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1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9.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trccompanies-my.sharepoint.com/personal/travis_jones_trcsolutions_com/Documents/Documents/Application Development- Local/2024/Custom-Standard/8.1.x/"/>
    </mc:Choice>
  </mc:AlternateContent>
  <xr:revisionPtr revIDLastSave="543" documentId="8_{2D7FE9BC-E1B8-4155-B431-CA65574C9DCC}" xr6:coauthVersionLast="47" xr6:coauthVersionMax="47" xr10:uidLastSave="{86E308E2-0755-491B-91C8-46C33671E701}"/>
  <workbookProtection workbookAlgorithmName="SHA-512" workbookHashValue="wzmUmxUYYZ6r3dZjHEvMqu3A0zIh6tmamcc0+0Cj26Iyj4TBfAGW3JCBx178rHyVCQfmEchzzV5v5WccuQFHLg==" workbookSaltValue="8sKdNCEkauPROUXGJsHgSw==" workbookSpinCount="100000" lockStructure="1"/>
  <bookViews>
    <workbookView showSheetTabs="0" xWindow="0" yWindow="0" windowWidth="25800" windowHeight="21000" tabRatio="792" firstSheet="7" activeTab="7" xr2:uid="{00000000-000D-0000-FFFF-FFFF00000000}"/>
  </bookViews>
  <sheets>
    <sheet name="TEMPLATE" sheetId="3" state="hidden" r:id="rId1"/>
    <sheet name="LIGHTPRESCRIP" sheetId="104" state="hidden" r:id="rId2"/>
    <sheet name="CUSTOMRCXNC" sheetId="106" state="hidden" r:id="rId3"/>
    <sheet name="CBDATA" sheetId="108" state="hidden" r:id="rId4"/>
    <sheet name="DATA TABLES" sheetId="109" state="hidden" r:id="rId5"/>
    <sheet name="EXPORT" sheetId="110" state="hidden" r:id="rId6"/>
    <sheet name="Changelog" sheetId="127" state="hidden" r:id="rId7"/>
    <sheet name="M01-S01" sheetId="8" r:id="rId8"/>
    <sheet name="M01-S02" sheetId="48" r:id="rId9"/>
    <sheet name="M01-S03" sheetId="49" r:id="rId10"/>
    <sheet name="M01-S04" sheetId="125" r:id="rId11"/>
    <sheet name="M01-S05" sheetId="51" r:id="rId12"/>
    <sheet name="M02-S01" sheetId="130" r:id="rId13"/>
    <sheet name="M02-S02" sheetId="55" r:id="rId14"/>
    <sheet name="M02-S05" sheetId="131" r:id="rId15"/>
    <sheet name="M02-S03" sheetId="56" r:id="rId16"/>
    <sheet name="M02-S04" sheetId="57" r:id="rId17"/>
    <sheet name="M03-S01" sheetId="111" r:id="rId18"/>
    <sheet name="M03-S01-2" sheetId="123" r:id="rId19"/>
    <sheet name="M03-S02" sheetId="119" r:id="rId20"/>
    <sheet name="M03-S03" sheetId="120" r:id="rId21"/>
    <sheet name="M03-S04" sheetId="121" r:id="rId22"/>
    <sheet name="M03-S06" sheetId="133" r:id="rId23"/>
    <sheet name="M03-S05" sheetId="122" r:id="rId24"/>
    <sheet name="M03-S07" sheetId="135" r:id="rId25"/>
    <sheet name="M03-S08" sheetId="137" r:id="rId26"/>
    <sheet name="M04-S01" sheetId="63" r:id="rId27"/>
    <sheet name="M04-S02" sheetId="64" r:id="rId28"/>
    <sheet name="M04-S03" sheetId="65" r:id="rId29"/>
    <sheet name="M04-S04" sheetId="66" r:id="rId30"/>
    <sheet name="M04-S05" sheetId="124" r:id="rId31"/>
    <sheet name="M04-S06" sheetId="132" r:id="rId32"/>
    <sheet name="M04-S07" sheetId="134" r:id="rId33"/>
    <sheet name="M05-S01" sheetId="13" r:id="rId34"/>
    <sheet name="M05-S02" sheetId="70" r:id="rId35"/>
    <sheet name="M05-S04" sheetId="72" r:id="rId36"/>
    <sheet name="M05-S03" sheetId="71" r:id="rId37"/>
    <sheet name="M05-S05" sheetId="73" r:id="rId38"/>
    <sheet name="M05-S06" sheetId="74" r:id="rId39"/>
    <sheet name="M05-S07" sheetId="75" r:id="rId40"/>
    <sheet name="M06-S01" sheetId="126" r:id="rId41"/>
    <sheet name="M06-S01-2" sheetId="128" r:id="rId42"/>
    <sheet name="M06-S02" sheetId="76" r:id="rId43"/>
    <sheet name="M06-S04" sheetId="78" state="hidden" r:id="rId44"/>
    <sheet name="M06-S05" sheetId="79" state="hidden" r:id="rId45"/>
    <sheet name="M06-S07" sheetId="81" state="hidden" r:id="rId46"/>
  </sheets>
  <externalReferences>
    <externalReference r:id="rId47"/>
  </externalReferences>
  <definedNames>
    <definedName name="ACTBONUS">TEMPLATE!$O$56</definedName>
    <definedName name="ACTLIGHT">'M06-S07'!$AO$17</definedName>
    <definedName name="APPTITLE">TEMPLATE!$B$3</definedName>
    <definedName name="BASEHIDCOL">INDEX(BASEHID[],,BASEHIDCOLNUM)</definedName>
    <definedName name="BASEHIDCOLEX">INDEX(BASEHID[],,BASEHIDCOLNUMEX)</definedName>
    <definedName name="BASEHIDCOLNUM">MATCH('M03-S03'!$C1,BASEHIDTYPE,0)</definedName>
    <definedName name="BASEHIDCOLNUMEX">MATCH('M03-S07'!$C1,BASEHIDTYPE,0)</definedName>
    <definedName name="BASEHIDTYPE">BASEHID[#Headers]</definedName>
    <definedName name="BASEHIDWATT2">INDEX(BASEHID[],1,BASEHIDCOLNUM):INDEX(BASEHID[],COUNTA(BASEHIDCOL),BASEHIDCOLNUM)</definedName>
    <definedName name="BASEHIDWATTEX">INDEX(BASEHID[],1,BASEHIDCOLNUMEX):INDEX(BASEHID[],COUNTA(BASEHIDCOLEX),BASEHIDCOLNUMEX)</definedName>
    <definedName name="BASEINCANDCOL">INDEX(BASEINCAND[],,BASEINCANDCOLNUM)</definedName>
    <definedName name="BASEINCANDCOLEX">INDEX(BASEINCANDEX[],,BASEINCANDCOLNUMEX)</definedName>
    <definedName name="BASEINCANDCOLNUM">MATCH('M03-S04'!$C1,BASEINCANDTYPE,0)</definedName>
    <definedName name="BASEINCANDCOLNUMEX">MATCH('M03-S07'!$C1,BASEINCANDTYPEEX,0)</definedName>
    <definedName name="BASEINCANDDET">INDEX(BASEINCAND[],1,BASEINCANDCOLNUM):INDEX(BASEINCAND[],COUNTA(BASEINCANDCOL),BASEINCANDCOLNUM)</definedName>
    <definedName name="BASEINCANDDETEX">INDEX(BASEINCANDEX[],1,BASEINCANDCOLNUMEX):INDEX(BASEINCANDEX[],COUNTA(BASEINCANDCOLEX),BASEINCANDCOLNUMEX)</definedName>
    <definedName name="BASEINCANDTYPE">BASEINCAND[#Headers]</definedName>
    <definedName name="BASEINCANDTYPEEX">BASEINCANDEX[#Headers]</definedName>
    <definedName name="BASEKWHALL">TEMPLATE!$F$56</definedName>
    <definedName name="BASEKWHCUSE">TEMPLATE!$F$53</definedName>
    <definedName name="BASEKWHFT">TEMPLATE!$F$55</definedName>
    <definedName name="BASEKWHPA">TEMPLATE!$F$54</definedName>
    <definedName name="BASEKWHPRESE">TEMPLATE!$F$52</definedName>
    <definedName name="BONUSADJ">TEMPLATE!$O$58</definedName>
    <definedName name="BONUSCOST">TEMPLATE!$Q$56</definedName>
    <definedName name="BUILDING">NCLPD[Building Area Type]</definedName>
    <definedName name="BUILDINGSITEINFO">BUILDINGTYPE[Building Type]</definedName>
    <definedName name="BUSDEVELEMAIL">BUSDEVEL[Email]</definedName>
    <definedName name="BUSDEVELNAME">BUSDEVEL[Business Development Lead]</definedName>
    <definedName name="BUSDEVELPHONE">BUSDEVEL[Phone]</definedName>
    <definedName name="CBALL">TEMPLATE!$R$56</definedName>
    <definedName name="CBCUSE">TEMPLATE!$R$53</definedName>
    <definedName name="CBPRESE">TEMPLATE!$R$52</definedName>
    <definedName name="CFLEFF1">CFLEFF[Eff Desc 1]</definedName>
    <definedName name="CMECOMPAIRDESC">INDEX(CMECOMPAIR[Proj Desc 1],MATCH('M05-S05'!XFB1,CMECOMPAIR[Project Category],0),1):INDEX(CMECOMPAIR[Proj Desc 1],MATCH('M05-S05'!XFB1,CMECOMPAIR[Project Category],1),1)</definedName>
    <definedName name="CMECOOKDESC">INDEX(CMECOOK[Proj Desc 1],MATCH('M05-S03'!XFB1,CMECOOK[Project Category],0),1):INDEX(CMECOOK[Proj Desc 1],MATCH('M05-S03'!XFB1,CMECOOK[Project Category],1),1)</definedName>
    <definedName name="CMEHVACDESC">INDEX(CMEHVAC[Proj Desc 1],MATCH('M05-S01'!XFB1,CMEHVAC[Project Category],0),1):INDEX(CMEHVAC[Proj Desc 1],MATCH('M05-S01'!XFB1,CMEHVAC[Project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1],MATCH('M05-S02'!XFB1,CMELIGHTCON[Project Category],0),1):INDEX(CMELIGHTCON[Proj Desc 1],MATCH('M05-S02'!XFB1,CMELIGHTCON[Project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1],MATCH('M05-S07'!XFB1,CMEMISC[Project Category],0),1):INDEX(CMEMISC[Proj Desc 1],MATCH('M05-S07'!XFB1,CMEMISC[Project Category],1),1)</definedName>
    <definedName name="CMEMOTORDESC">INDEX(CMEMOTOR[Proj Desc 1],MATCH('M05-S04'!XFB1,CMEMOTOR[Project Category],0),1):INDEX(CMEMOTOR[Proj Desc 1],MATCH('M05-S04'!XFB1,CMEMOTOR[Project Category],1),1)</definedName>
    <definedName name="CMEREFRIDESC">INDEX(CMEREFRI[Proj Desc 1],MATCH('M05-S06'!XFB1,CMEREFRI[Project Category],0),1):INDEX(CMEREFRI[Proj Desc 1],MATCH('M05-S06'!XFB1,CMEREFRI[Project Category],1),1)</definedName>
    <definedName name="CODEBASE">NCLPD[[#Headers],[IECC 2021]:[IECC 2012]]</definedName>
    <definedName name="COSTTOTAL">TEMPLATE!$M$56</definedName>
    <definedName name="COSTTOTALALL">TEMPLATE!$I$56</definedName>
    <definedName name="COSTTOTALALLCUSE">TEMPLATE!$I$53</definedName>
    <definedName name="COSTTOTALALLFT">TEMPLATE!$I$55</definedName>
    <definedName name="COSTTOTALALLPA">TEMPLATE!$I$54</definedName>
    <definedName name="COSTTOTALALLPRESE">TEMPLATE!$I$52</definedName>
    <definedName name="COSTTOTALCUSE">TEMPLATE!$M$53</definedName>
    <definedName name="COSTTOTALFT">TEMPLATE!$M$54</definedName>
    <definedName name="COSTTOTALPA">TEMPLATE!$M$54</definedName>
    <definedName name="COSTTOTALPRESE">TEMPLATE!$M$52</definedName>
    <definedName name="CUSTSUBAPP">'M06-S07'!$AO$14</definedName>
    <definedName name="DIVERSITYBUSTYPE">DIVERSITYTYPE[Diversity Business Type]</definedName>
    <definedName name="DIVERSITYORG">DIVERSITYISSUED[Diversity Issued Org]</definedName>
    <definedName name="EDR">CBDATA!$B$7</definedName>
    <definedName name="ELIBONUS">TEMPLATE!$N$56</definedName>
    <definedName name="ELOSS">CBDATA!$B$6</definedName>
    <definedName name="ENDUSECAT">ENDUSEALL[End Use to Coincident Peak Demand Factors]</definedName>
    <definedName name="ENGNRSNAMES">ENGNRS[Engineers]</definedName>
    <definedName name="ENGSIGN">'M06-S04'!$L$51</definedName>
    <definedName name="ENGSIGNDATE">'M06-S04'!$AE$51</definedName>
    <definedName name="EXPIRATION">'M01-S01'!$P$62</definedName>
    <definedName name="EXTLIGHTADJ">TEMPLATE!$F$7</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HEARABOUT">MARKETING[Marketing]</definedName>
    <definedName name="HIDEXTLEDLIST">HIDEXTLED[Exterior HID]</definedName>
    <definedName name="HVACENDUSETYPE">HVACUSES[HVAC Uses]</definedName>
    <definedName name="HVACTYPE">HVACTABL[#Headers]</definedName>
    <definedName name="IMPLSPECNAME">IMPLSPEC[Impl. Specialist]</definedName>
    <definedName name="INCENEW">TEMPLATE!$P$56</definedName>
    <definedName name="INCENLIGHTBONUS">TEMPLATE!$P$51</definedName>
    <definedName name="INCENLIGHTTOTAL">TEMPLATE!$J$51</definedName>
    <definedName name="INCENNEWCUS">TEMPLATE!$P$53</definedName>
    <definedName name="INCENNEWPRES">TEMPLATE!$P$52</definedName>
    <definedName name="INCENSTATUS">TEMPLATE!$F$3</definedName>
    <definedName name="INCENTCAPADJ">TEMPLATE!$F$6</definedName>
    <definedName name="INCENTOTAL">TEMPLATE!$J$56</definedName>
    <definedName name="INCENTOTALCUSE">TEMPLATE!$J$53</definedName>
    <definedName name="INCENTOTALFT">TEMPLATE!$J$55</definedName>
    <definedName name="INCENTOTALPA">TEMPLATE!$J$54</definedName>
    <definedName name="INCENTOTALPRESE">TEMPLATE!$J$52</definedName>
    <definedName name="INEXTLEDLIST">INEXTLED[Exterior Incand]</definedName>
    <definedName name="INSTALL">INSTALLER[Installer]</definedName>
    <definedName name="KWHSTATUS">TEMPLATE!$F$1</definedName>
    <definedName name="KWHTOTAL">TEMPLATE!$K$56</definedName>
    <definedName name="KWHTOTALALL">TEMPLATE!$G$56</definedName>
    <definedName name="KWHTOTALALLCUSE">TEMPLATE!$G$53</definedName>
    <definedName name="KWHTOTALALLFT">TEMPLATE!$G$55</definedName>
    <definedName name="KWHTOTALALLPA">TEMPLATE!$G$54</definedName>
    <definedName name="KWHTOTALALLPRESE">TEMPLATE!$G$52</definedName>
    <definedName name="KWHTOTALCUSE">TEMPLATE!$K$53</definedName>
    <definedName name="KWHTOTALFT">TEMPLATE!$K$55</definedName>
    <definedName name="KWHTOTALPA">TEMPLATE!$K$54</definedName>
    <definedName name="KWHTOTALPRESE">TEMPLATE!$K$52</definedName>
    <definedName name="KWTOTAL">TEMPLATE!$L$56</definedName>
    <definedName name="KWTOTALALL">TEMPLATE!$H$56</definedName>
    <definedName name="KWTOTALALLCUSE">TEMPLATE!$H$53</definedName>
    <definedName name="KWTOTALALLFT">TEMPLATE!$H$55</definedName>
    <definedName name="KWTOTALALLPA">TEMPLATE!$H$54</definedName>
    <definedName name="KWTOTALALLPRESE">TEMPLATE!$H$52</definedName>
    <definedName name="KWTOTALCUSE">TEMPLATE!$L$53</definedName>
    <definedName name="KWTOTALFT">TEMPLATE!$L$55</definedName>
    <definedName name="KWTOTALPA">TEMPLATE!$L$54</definedName>
    <definedName name="KWTOTALPRESE">TEMPLATE!$L$52</definedName>
    <definedName name="LEDREDEFF1">LEDREDEFF[Redesign LED]</definedName>
    <definedName name="LGHTSCHEDTYPES">LGHTSCHED[Lighting Schedule]</definedName>
    <definedName name="LIGHTHEATCOIN">'DATA TABLES'!$K$61</definedName>
    <definedName name="LIGHTING2021">'DATA TABLES'!$K$64</definedName>
    <definedName name="LIGHTRATE21">'DATA TABLES'!$K$65</definedName>
    <definedName name="LINEARUPGTYPE">LINEARUPG[#Headers]</definedName>
    <definedName name="LINEXTLEDLIST">LINEXTLED[Exterior Linear]</definedName>
    <definedName name="LINFIXTCOLEX">INDEX(LINFIXT[],,LINFIXTCOLNUMEX)</definedName>
    <definedName name="LINFIXTCOLNUMEX">MATCH('M03-S07'!$C1,LINFIXTTYPE,0)</definedName>
    <definedName name="LINFIXTCOLNUMPA">MATCH('M03-S01'!$C1,LINFIXTTYPE,0)</definedName>
    <definedName name="LINFIXTCOLNUMPRE">MATCH('M03-S02'!$C1,LINFIXTTYPE,0)</definedName>
    <definedName name="LINFIXTCOLPA">INDEX(LINFIXT[],,LINFIXTCOLNUMPA)</definedName>
    <definedName name="LINFIXTCOLPRE">INDEX(LINFIXT[],,LINFIXTCOLNUMPRE)</definedName>
    <definedName name="LINFIXTDETEX">INDEX(LINFIXT[],1,LINFIXTCOLNUMEX):INDEX(LINFIXT[],COUNTA(LINFIXTCOLEX),LINFIXTCOLNUMEX)</definedName>
    <definedName name="LINFIXTDETPA">INDEX(LINFIXT[],1,LINFIXTCOLNUMPA):INDEX(LINFIXT[],COUNTA(LINFIXTCOLPA),LINFIXTCOLNUMPA)</definedName>
    <definedName name="LINFIXTDETPRE">INDEX(LINFIXT[],1,LINFIXTCOLNUMPRE):INDEX(LINFIXT[],COUNTA(LINFIXTCOLPRE),LINFIXTCOLNUMPRE)</definedName>
    <definedName name="LINFIXTTYPE">LINFIXT[#Headers]</definedName>
    <definedName name="LINLAMPQTYFT">LEFT(INDEX(CMLIGHTBASE[Measure Subgroup 2], MATCH('M03-S02'!$E1048569,CMLIGHTBASE[Base Desc 1],0)),2)</definedName>
    <definedName name="LINLAMPQTYPA">LEFT(INDEX(CMLIGHTBASE[Measure Subgroup 2], MATCH('M03-S01'!$E1,CMLIGHTBASE[Base Desc 1],0)),2)</definedName>
    <definedName name="LINLEDTYPE">LINLEDREPL[Efficient Linear LEDs]</definedName>
    <definedName name="LPDEXMEASNUM">LIGHTPRESCRIP!$AS$49</definedName>
    <definedName name="LPDMEASNUM">LIGHTPRESCRIP!$AS$48</definedName>
    <definedName name="LPDRATE">LIGHTPRESCRIP!$AS$47</definedName>
    <definedName name="M02S01F01">'M02-S01'!$C$125</definedName>
    <definedName name="M02S01F02">'M02-S01'!$X$125</definedName>
    <definedName name="M02S01F03">'M02-S01'!$AL$125</definedName>
    <definedName name="M02S01F04">'M02-S01'!$M$129</definedName>
    <definedName name="M02S01F05">'M02-S01'!$X$128</definedName>
    <definedName name="M02S02F01">'M02-S05'!$C$28</definedName>
    <definedName name="M02S02F02">'M02-S05'!$J$28</definedName>
    <definedName name="M02S02F03">'M02-S05'!$Q$28</definedName>
    <definedName name="M02S02F04">'M02-S05'!$X$28</definedName>
    <definedName name="M02S02F05">'M02-S05'!$AE$28</definedName>
    <definedName name="M02S02F07">'M02-S05'!$AL$28</definedName>
    <definedName name="M02S02F08">'M02-S02'!$J$15</definedName>
    <definedName name="M02S02F09">'M02-S02'!$Q$15</definedName>
    <definedName name="M02S02F10">'M02-S02'!$X$15</definedName>
    <definedName name="M02S02F11">'M02-S02'!$AE$15</definedName>
    <definedName name="M02S02F11.1">'M02-S02'!$C$21</definedName>
    <definedName name="M02S02F11.2">'M02-S02'!$Q$21</definedName>
    <definedName name="M02S02F11.3">'M02-S02'!$X$21</definedName>
    <definedName name="M02S02F11.4">'M02-S02'!$AE$21</definedName>
    <definedName name="M02S02F11.5">'M02-S02'!$AL$21</definedName>
    <definedName name="M02S02F12">'M02-S02'!$C$28</definedName>
    <definedName name="M02S02F13">'M02-S02'!$J$28</definedName>
    <definedName name="M02S02F15">'M02-S02'!$AB$28</definedName>
    <definedName name="M02S02F16">'M02-S05'!$J$15</definedName>
    <definedName name="M02S02F17">'M02-S05'!$Q$15</definedName>
    <definedName name="M02S02F18">'M02-S05'!$X$15</definedName>
    <definedName name="M02S02F19">'M02-S05'!$AE$15</definedName>
    <definedName name="M02S02F21">'M02-S05'!$AL$15</definedName>
    <definedName name="M02S02F22">'M02-S02'!$J$31</definedName>
    <definedName name="M02S02F23">'M02-S02'!$Q$31</definedName>
    <definedName name="M02S02F24">'M02-S02'!$X$31</definedName>
    <definedName name="M02S02F25">'M02-S02'!$AE$31</definedName>
    <definedName name="M02S02F26">'M02-S02'!$C$34</definedName>
    <definedName name="M02S02F27">'M02-S02'!$J$34</definedName>
    <definedName name="M02S02F28">'M02-S02'!$Q$34</definedName>
    <definedName name="M02S02F29">'M02-S02'!$X$34</definedName>
    <definedName name="M02S02F30">'M02-S02'!$AE$34</definedName>
    <definedName name="M02S02F31">'M02-S02'!$AL$34</definedName>
    <definedName name="M02S02F32">'M02-S02'!$C$37</definedName>
    <definedName name="M02S02F33">'M02-S02'!$J$37</definedName>
    <definedName name="M02S02F34">'M02-S05'!$C$15</definedName>
    <definedName name="M02S02F35">'M02-S02'!$X$37</definedName>
    <definedName name="M02S02F36">'M02-S02'!$Q$37</definedName>
    <definedName name="M02S02F37">'M02-S02'!$C$40</definedName>
    <definedName name="M02S02F38">'M02-S02'!$J$40</definedName>
    <definedName name="M02S02F39">'M02-S02'!$Q$40</definedName>
    <definedName name="M02S02F40">'M02-S02'!$X$40</definedName>
    <definedName name="M02S02F42">'M02-S02'!$AE$37</definedName>
    <definedName name="M02S02F43">'M02-S01'!$AC$135</definedName>
    <definedName name="M02S02F44">'M02-S01'!$L$135</definedName>
    <definedName name="M02S02F45">'M02-S02'!$C$45</definedName>
    <definedName name="M02S02F46">'M02-S02'!$C$15</definedName>
    <definedName name="M02S02F47">'M02-S02'!$C$31</definedName>
    <definedName name="M02S02F48">'M02-S02'!$AL$15</definedName>
    <definedName name="M02S02F49">'M02-S02'!$V$42</definedName>
    <definedName name="M02S02F50">'M02-S02'!$AE$42</definedName>
    <definedName name="M02S02F51">'M02-S02'!#REF!</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3F18">'M02-S03'!$C$35</definedName>
    <definedName name="M02S03F19">'M02-S03'!$J$35</definedName>
    <definedName name="M02S03F20">'M02-S03'!$Q$35</definedName>
    <definedName name="M02S03F21">'M02-S03'!$X$35</definedName>
    <definedName name="M02S03F22">'M02-S03'!$AE$35</definedName>
    <definedName name="M02S03F23">'M02-S03'!$AL$35</definedName>
    <definedName name="M02S03F24">'M02-S03'!$C$38</definedName>
    <definedName name="M02S03F25">'M02-S03'!$J$38</definedName>
    <definedName name="M02S03F26">'M02-S03'!$Q$38</definedName>
    <definedName name="M02S03F27">'M02-S03'!$X$38</definedName>
    <definedName name="M02S03F28">'M02-S03'!$AE$38</definedName>
    <definedName name="M02S03F29">'M02-S03'!$C$41</definedName>
    <definedName name="M02S03F30">'M02-S03'!$J$41</definedName>
    <definedName name="M02S03F31">'M02-S03'!$Q$41</definedName>
    <definedName name="M02S03F32">'M02-S03'!$X$41</definedName>
    <definedName name="M02S03F33">'M02-S03'!$AE$41</definedName>
    <definedName name="M02S03F34">'M02-S03'!$AL$41</definedName>
    <definedName name="M02S03F35">'M02-S03'!$C$44</definedName>
    <definedName name="M02S03F36">'M02-S03'!$J$44</definedName>
    <definedName name="M02S03F37">'M02-S03'!$Q$44</definedName>
    <definedName name="M02S03F38">'M02-S03'!$X$44</definedName>
    <definedName name="M02S03F39">'M02-S03'!$AE$44</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'M02-S04'!$C$28</definedName>
    <definedName name="M02S04F12">'M02-S04'!$J$28</definedName>
    <definedName name="M02S04F12.1">'M02-S04'!$L$28</definedName>
    <definedName name="M02S04F13">'M02-S04'!$C$25</definedName>
    <definedName name="M02S04F14">'M02-S04'!$J$25</definedName>
    <definedName name="M02S04F15">'M02-S04'!$Q$25</definedName>
    <definedName name="M02S04F16">'M02-S04'!$X$25</definedName>
    <definedName name="M02S04F17">'M02-S04'!$AE$25</definedName>
    <definedName name="M02S05F01">'M02-S05'!$O$25</definedName>
    <definedName name="M03S01F13">'[1]M03-S01'!$C$63</definedName>
    <definedName name="M05S02F01">'M06-S02'!$R$32</definedName>
    <definedName name="M05S02F02">'M06-S02'!$X$32</definedName>
    <definedName name="M05S02F03">'M06-S02'!$S$34</definedName>
    <definedName name="M05S07F02">'M06-S07'!$AI$15</definedName>
    <definedName name="M05S07F03">'M06-S07'!$AI$16</definedName>
    <definedName name="M05S07F04">'M06-S07'!$AI$17</definedName>
    <definedName name="M05S07F05">'M06-S07'!$AI$18</definedName>
    <definedName name="M05S07F06">'M06-S07'!$AI$19</definedName>
    <definedName name="M05S07F07">'M06-S07'!#REF!</definedName>
    <definedName name="M05S07F08">'M06-S07'!#REF!</definedName>
    <definedName name="M05S07F09">'M06-S07'!#REF!</definedName>
    <definedName name="M05S07F10">'M06-S07'!#REF!</definedName>
    <definedName name="M05S07F11">'M06-S07'!#REF!</definedName>
    <definedName name="M05S07F12">'M06-S07'!#REF!</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CPROVMEASNUM">LIGHTPRESCRIP!$AS$50</definedName>
    <definedName name="NONPRESCPROGRAM">PROGRAMTYPE[Program]</definedName>
    <definedName name="PAYALL">TEMPLATE!$S$56</definedName>
    <definedName name="PAYCUSE">TEMPLATE!$S$53</definedName>
    <definedName name="PAYMENTTYPE">INDEX(TAPAY[],1,TAPAYCOLNUM):INDEX(TAPAY[],COUNTA(TAPAYCOL),TAPAYCOLNUM)</definedName>
    <definedName name="PAYPRESE">TEMPLATE!$S$52</definedName>
    <definedName name="PAYTO">PAYMENT[Payment to]</definedName>
    <definedName name="PEAKTD">CBDATA!$B$8</definedName>
    <definedName name="PMECOMPAIREFF1">PMECOMPAIR[Eff Desc 1]</definedName>
    <definedName name="PMECOMPAIRMAX">PMECOMPAIR[Eff HP 2]</definedName>
    <definedName name="PMECOMPAIRMIN">PMECOMPAIR[Eff HP 1]</definedName>
    <definedName name="PMEFANSMEAS">PMEFANS[Measure Type]</definedName>
    <definedName name="PMEHVACCOL">INDEX(HVACTABL[],,PMEHVACCOLNUM)</definedName>
    <definedName name="PMEHVACCOLNUM">MATCH('M04-S01'!$C1,HVACTYPE,0)</definedName>
    <definedName name="PMEHVACDET">INDEX(HVACTABL[],1,PMEHVACCOLNUM):INDEX(HVACTABL[],COUNTA(PMEHVACCOL),PMEHVACCOLNUM)</definedName>
    <definedName name="PMEHVACEFFMAX">PMEHVAC[Base EER 2]</definedName>
    <definedName name="PMEHVACEFFMIN">PMEHVAC[Base EER1]</definedName>
    <definedName name="PMEHVACMEAS">PMEHVAC[Measure Type]</definedName>
    <definedName name="PMEHVACSIZEMAX">PMEHVAC[Eff Ton 2]</definedName>
    <definedName name="PMEHVACSIZEMIN">PMEHVAC[Eff Ton 1]</definedName>
    <definedName name="PMEKITCHENEFF1">PMEKITCHEN[Eff Desc 1]</definedName>
    <definedName name="PMELIGHTHIDEFFMAX">PMELIGHTHID[Eff Watt 1]</definedName>
    <definedName name="PMELIGHTINCANBASEMAX">PMELIGHTINCAN[Base Watt 2]</definedName>
    <definedName name="PMELIGHTINCANBASEMIN">PMELIGHTINCAN[Base Watt 1]</definedName>
    <definedName name="PMELIGHTINCANCAT">PMELIGHTINCAN[Measure Category]</definedName>
    <definedName name="PMELIGHTINCANEFFMIN">PMELIGHTINCAN[Eff Watt 1]</definedName>
    <definedName name="PMELIGHTINCANVALID">PMELIGHTINCAN[Measure Validator]</definedName>
    <definedName name="PMELIGHTLINBASEMAX">PMELIGHTLIN[Base Watt 1]</definedName>
    <definedName name="PMELIGHTLINBASEMIN">PMELIGHTLIN[Inc Rate Unit FT]</definedName>
    <definedName name="PMELIGHTLINCAT">PMELIGHTLIN[Measure Category]</definedName>
    <definedName name="PMELIGHTLINEFFMAX">PMELIGHTLIN[Base Watt 2]</definedName>
    <definedName name="PMELINLENGTH">PMELINUPG[Replace Lamps]</definedName>
    <definedName name="PMELINUPGTYP">PMELINUPG[#Headers]</definedName>
    <definedName name="PMEMOTOREFF1">PMEMOTOR[Eff Desc 1]</definedName>
    <definedName name="PMEOCCSENEFF">PMEOCCSEN[Measure Type]</definedName>
    <definedName name="PMEOCCSENWATT">PMEOCCSEN[Watt 1]</definedName>
    <definedName name="PMEREFRIEFF1">PMEREFRI[Eff Desc 1]</definedName>
    <definedName name="PMEVFDEFF1">PMEVFD[Eff Desc 1]</definedName>
    <definedName name="PMEVFDMAXHP">PMEVFD[Eff HP 2]</definedName>
    <definedName name="PMEVFDMINHP">PMEVFD[Eff HP 1]</definedName>
    <definedName name="PNAME">TEMPLATE!$B$2</definedName>
    <definedName name="PREAPPROV2018">'DATA TABLES'!$K$62</definedName>
    <definedName name="_xlnm.Print_Area" localSheetId="40">'M06-S01'!$J$15:$AJ$89</definedName>
    <definedName name="_xlnm.Print_Area" localSheetId="41">'M06-S01-2'!$N$14:$AP$37</definedName>
    <definedName name="_xlnm.Print_Area" localSheetId="43">'M06-S04'!$J$14:$AJ$81</definedName>
    <definedName name="_xlnm.Print_Area" localSheetId="44">'M06-S05'!$J$15:$AJ$89</definedName>
    <definedName name="_xlnm.Print_Area" localSheetId="45">'M06-S07'!$C$10:$AQ$88</definedName>
    <definedName name="PROGRAM">PROGRAMS[Program]</definedName>
    <definedName name="PROGRESSSTATUS">TEMPLATE!$F$5</definedName>
    <definedName name="PROJID">'M06-S07'!$AI$14</definedName>
    <definedName name="PROJSTATBOUGHT">'DATA TABLES'!$A$81</definedName>
    <definedName name="PROJSTATELI">'DATA TABLES'!$A$78</definedName>
    <definedName name="PROJSTATEXP">'DATA TABLES'!$A$77</definedName>
    <definedName name="PROJSTATMEASURE">'DATA TABLES'!$A$73</definedName>
    <definedName name="PROJSTATNCINIT">'DATA TABLES'!$A$82</definedName>
    <definedName name="PROJSTATPREAPPROVE">'DATA TABLES'!$A$75</definedName>
    <definedName name="PROJSTATRES">'DATA TABLES'!$A$80</definedName>
    <definedName name="PROJSTATREVIEW">'DATA TABLES'!$A$76</definedName>
    <definedName name="PROJSTATSTANDARD">'DATA TABLES'!$A$74</definedName>
    <definedName name="PROJSTATUNDER">'DATA TABLES'!$A$79</definedName>
    <definedName name="PROJSTATUS">TEMPLATE!$F$4</definedName>
    <definedName name="PROSTATNCSUBMIT">'DATA TABLES'!$A$83</definedName>
    <definedName name="RATECAT">RATECLASS[Rate Schedules]</definedName>
    <definedName name="Reciprocating">#REF!</definedName>
    <definedName name="REDESIGNBASEDESC">REDESIGNBASE[Base Desc 1]</definedName>
    <definedName name="Screw">#REF!</definedName>
    <definedName name="SHEAT">SPACEHEAT[Space Conditioning]</definedName>
    <definedName name="STATESABBREV">STATES[Abbrev]</definedName>
    <definedName name="SUBLIGHTDATE1">'M03-S01'!$AH$6</definedName>
    <definedName name="SUBLIGHTDATE2">'M03-S01-2'!$AH$6</definedName>
    <definedName name="SUBLIGHTDATE3">'M03-S03'!$AH$6</definedName>
    <definedName name="TAPAYCOL">INDEX(TAPAY[],,TAPAYCOLNUM)</definedName>
    <definedName name="TAPAYCOLNUM">MATCH(M02S03F01,TATYPE,0)</definedName>
    <definedName name="TATYPE">TAPAY[#Headers]</definedName>
    <definedName name="TAX">TAXENTITY[Tax Entity]</definedName>
    <definedName name="THERMSTATUS">TEMPLATE!$F$2</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2" i="63" l="1"/>
  <c r="AL32" i="63" s="1"/>
  <c r="N34" i="63"/>
  <c r="AL34" i="63" s="1"/>
  <c r="N36" i="63"/>
  <c r="N18" i="63"/>
  <c r="N20" i="63"/>
  <c r="N22" i="63"/>
  <c r="AL22" i="63" s="1"/>
  <c r="N24" i="63"/>
  <c r="AZ24" i="63" s="1"/>
  <c r="N26" i="63"/>
  <c r="AL26" i="63" s="1"/>
  <c r="N28" i="63"/>
  <c r="AL28" i="63" s="1"/>
  <c r="N30" i="63"/>
  <c r="AL30" i="63" s="1"/>
  <c r="AO22" i="63"/>
  <c r="AO26" i="63"/>
  <c r="AO32" i="63"/>
  <c r="AO34" i="63"/>
  <c r="AL36" i="63"/>
  <c r="AO36" i="63"/>
  <c r="AL18" i="63"/>
  <c r="AO18" i="63"/>
  <c r="AY18" i="63"/>
  <c r="AZ18" i="63"/>
  <c r="AZ22" i="63"/>
  <c r="AZ26" i="63"/>
  <c r="AZ28" i="63"/>
  <c r="AY32" i="63"/>
  <c r="AZ32" i="63"/>
  <c r="AY34" i="63"/>
  <c r="AZ34" i="63"/>
  <c r="AY36" i="63"/>
  <c r="AZ36" i="63"/>
  <c r="AZ20" i="63"/>
  <c r="AL20" i="63"/>
  <c r="AO20" i="63"/>
  <c r="M14" i="63"/>
  <c r="AY18" i="134"/>
  <c r="AZ18" i="134"/>
  <c r="AY20" i="134"/>
  <c r="AZ20" i="134"/>
  <c r="AY22" i="134"/>
  <c r="AZ22" i="134"/>
  <c r="AY24" i="134"/>
  <c r="AZ24" i="134"/>
  <c r="AY26" i="134"/>
  <c r="AZ26" i="134"/>
  <c r="AY28" i="134"/>
  <c r="AZ28" i="134"/>
  <c r="AY30" i="134"/>
  <c r="AZ30" i="134"/>
  <c r="AY32" i="134"/>
  <c r="AZ32" i="134"/>
  <c r="AY34" i="134"/>
  <c r="AZ34" i="134"/>
  <c r="AZ16" i="134"/>
  <c r="AY16" i="134"/>
  <c r="AY18" i="124"/>
  <c r="AZ18" i="124"/>
  <c r="AY20" i="124"/>
  <c r="AZ20" i="124"/>
  <c r="AY22" i="124"/>
  <c r="AZ22" i="124"/>
  <c r="AY24" i="124"/>
  <c r="AZ24" i="124"/>
  <c r="AY26" i="124"/>
  <c r="AZ26" i="124"/>
  <c r="AY28" i="124"/>
  <c r="AZ28" i="124"/>
  <c r="AY30" i="124"/>
  <c r="AZ30" i="124"/>
  <c r="AY32" i="124"/>
  <c r="AZ32" i="124"/>
  <c r="AY34" i="124"/>
  <c r="AZ34" i="124"/>
  <c r="AZ16" i="124"/>
  <c r="AY16" i="124"/>
  <c r="AO18" i="134"/>
  <c r="AO20" i="134"/>
  <c r="AO22" i="134"/>
  <c r="AO24" i="134"/>
  <c r="AO26" i="134"/>
  <c r="AO28" i="134"/>
  <c r="AO30" i="134"/>
  <c r="AO32" i="134"/>
  <c r="AO34" i="134"/>
  <c r="AO16" i="134"/>
  <c r="AO18" i="124"/>
  <c r="AO20" i="124"/>
  <c r="AO22" i="124"/>
  <c r="AO24" i="124"/>
  <c r="AO26" i="124"/>
  <c r="AO28" i="124"/>
  <c r="AO30" i="124"/>
  <c r="AO32" i="124"/>
  <c r="AO34" i="124"/>
  <c r="AO16" i="124"/>
  <c r="P68" i="109"/>
  <c r="P69" i="109"/>
  <c r="P70" i="109"/>
  <c r="P71" i="109"/>
  <c r="P72" i="109"/>
  <c r="P73" i="109"/>
  <c r="P74" i="109"/>
  <c r="P75" i="109"/>
  <c r="P76" i="109"/>
  <c r="P77" i="109"/>
  <c r="P78" i="109"/>
  <c r="P79" i="109"/>
  <c r="P80" i="109"/>
  <c r="P81" i="109"/>
  <c r="P82" i="109"/>
  <c r="P83" i="109"/>
  <c r="R78" i="109"/>
  <c r="S78" i="109"/>
  <c r="T78" i="109"/>
  <c r="U78" i="109"/>
  <c r="Q78" i="109"/>
  <c r="T68" i="109"/>
  <c r="U68" i="109"/>
  <c r="T69" i="109"/>
  <c r="U69" i="109"/>
  <c r="T70" i="109"/>
  <c r="U70" i="109"/>
  <c r="T71" i="109"/>
  <c r="U71" i="109"/>
  <c r="T72" i="109"/>
  <c r="U72" i="109"/>
  <c r="T73" i="109"/>
  <c r="U73" i="109"/>
  <c r="T74" i="109"/>
  <c r="U74" i="109"/>
  <c r="T75" i="109"/>
  <c r="U75" i="109"/>
  <c r="T76" i="109"/>
  <c r="U76" i="109"/>
  <c r="T77" i="109"/>
  <c r="U77" i="109"/>
  <c r="T79" i="109"/>
  <c r="U79" i="109"/>
  <c r="T80" i="109"/>
  <c r="U80" i="109"/>
  <c r="T81" i="109"/>
  <c r="U81" i="109"/>
  <c r="T82" i="109"/>
  <c r="U82" i="109"/>
  <c r="T83" i="109"/>
  <c r="U83" i="109"/>
  <c r="S68" i="109"/>
  <c r="S69" i="109"/>
  <c r="S70" i="109"/>
  <c r="S71" i="109"/>
  <c r="S72" i="109"/>
  <c r="S73" i="109"/>
  <c r="S74" i="109"/>
  <c r="S75" i="109"/>
  <c r="S76" i="109"/>
  <c r="S77" i="109"/>
  <c r="S79" i="109"/>
  <c r="S80" i="109"/>
  <c r="S81" i="109"/>
  <c r="S82" i="109"/>
  <c r="S83" i="109"/>
  <c r="R68" i="109"/>
  <c r="R69" i="109"/>
  <c r="R70" i="109"/>
  <c r="R71" i="109"/>
  <c r="R72" i="109"/>
  <c r="R73" i="109"/>
  <c r="R74" i="109"/>
  <c r="R75" i="109"/>
  <c r="R76" i="109"/>
  <c r="R77" i="109"/>
  <c r="R79" i="109"/>
  <c r="R80" i="109"/>
  <c r="R81" i="109"/>
  <c r="R82" i="109"/>
  <c r="R83" i="109"/>
  <c r="Q83" i="109"/>
  <c r="Q82" i="109"/>
  <c r="Q81" i="109"/>
  <c r="Q80" i="109"/>
  <c r="Q79" i="109"/>
  <c r="Q77" i="109"/>
  <c r="Q76" i="109"/>
  <c r="Q75" i="109"/>
  <c r="Q74" i="109"/>
  <c r="Q73" i="109"/>
  <c r="Q72" i="109"/>
  <c r="Q71" i="109"/>
  <c r="Q70" i="109"/>
  <c r="Q69" i="109"/>
  <c r="Q68" i="109"/>
  <c r="BI18" i="122"/>
  <c r="BJ18" i="122"/>
  <c r="BI20" i="122"/>
  <c r="BJ20" i="122"/>
  <c r="BI22" i="122"/>
  <c r="BJ22" i="122"/>
  <c r="BI24" i="122"/>
  <c r="BJ24" i="122"/>
  <c r="BI26" i="122"/>
  <c r="BJ26" i="122"/>
  <c r="BI28" i="122"/>
  <c r="BJ28" i="122"/>
  <c r="BI30" i="122"/>
  <c r="BJ30" i="122"/>
  <c r="BI32" i="122"/>
  <c r="BJ32" i="122"/>
  <c r="BI34" i="122"/>
  <c r="BJ34" i="122"/>
  <c r="BI36" i="122"/>
  <c r="BJ36" i="122"/>
  <c r="BI38" i="122"/>
  <c r="BJ38" i="122"/>
  <c r="BI40" i="122"/>
  <c r="BJ40" i="122"/>
  <c r="BI42" i="122"/>
  <c r="BJ42" i="122"/>
  <c r="BI44" i="122"/>
  <c r="BJ44" i="122"/>
  <c r="BI46" i="122"/>
  <c r="BJ46" i="122"/>
  <c r="BI48" i="122"/>
  <c r="BJ48" i="122"/>
  <c r="BI50" i="122"/>
  <c r="BJ50" i="122"/>
  <c r="BI52" i="122"/>
  <c r="BJ52" i="122"/>
  <c r="BI54" i="122"/>
  <c r="BJ54" i="122"/>
  <c r="BI56" i="122"/>
  <c r="BJ56" i="122"/>
  <c r="BI58" i="122"/>
  <c r="BJ58" i="122"/>
  <c r="BI60" i="122"/>
  <c r="BJ60" i="122"/>
  <c r="BI62" i="122"/>
  <c r="BJ62" i="122"/>
  <c r="BI64" i="122"/>
  <c r="BJ64" i="122"/>
  <c r="BI66" i="122"/>
  <c r="BJ66" i="122"/>
  <c r="BI68" i="122"/>
  <c r="BJ68" i="122"/>
  <c r="BI70" i="122"/>
  <c r="BJ70" i="122"/>
  <c r="BI72" i="122"/>
  <c r="BJ72" i="122"/>
  <c r="BI74" i="122"/>
  <c r="BJ74" i="122"/>
  <c r="BJ16" i="122"/>
  <c r="BI16" i="122"/>
  <c r="AN18" i="122"/>
  <c r="AN20" i="122"/>
  <c r="AN22" i="122"/>
  <c r="AN24" i="122"/>
  <c r="AN26" i="122"/>
  <c r="AN28" i="122"/>
  <c r="AN30" i="122"/>
  <c r="AN32" i="122"/>
  <c r="AN34" i="122"/>
  <c r="AN36" i="122"/>
  <c r="AN38" i="122"/>
  <c r="AN40" i="122"/>
  <c r="AN42" i="122"/>
  <c r="AN44" i="122"/>
  <c r="AN46" i="122"/>
  <c r="AN48" i="122"/>
  <c r="AN50" i="122"/>
  <c r="AN52" i="122"/>
  <c r="AN54" i="122"/>
  <c r="AN56" i="122"/>
  <c r="AN58" i="122"/>
  <c r="AN60" i="122"/>
  <c r="AN62" i="122"/>
  <c r="AN64" i="122"/>
  <c r="AN66" i="122"/>
  <c r="AN68" i="122"/>
  <c r="AN70" i="122"/>
  <c r="AN72" i="122"/>
  <c r="AN74" i="122"/>
  <c r="AN16" i="122"/>
  <c r="BK20" i="119"/>
  <c r="BL20" i="119"/>
  <c r="BK22" i="119"/>
  <c r="BL22" i="119"/>
  <c r="BK24" i="119"/>
  <c r="BL24" i="119"/>
  <c r="BK26" i="119"/>
  <c r="BL26" i="119"/>
  <c r="BK28" i="119"/>
  <c r="BL28" i="119"/>
  <c r="BK30" i="119"/>
  <c r="BL30" i="119"/>
  <c r="BK32" i="119"/>
  <c r="BL32" i="119"/>
  <c r="BK34" i="119"/>
  <c r="BL34" i="119"/>
  <c r="BK36" i="119"/>
  <c r="BL36" i="119"/>
  <c r="BK38" i="119"/>
  <c r="BL38" i="119"/>
  <c r="BK40" i="119"/>
  <c r="BL40" i="119"/>
  <c r="BK42" i="119"/>
  <c r="BL42" i="119"/>
  <c r="BK44" i="119"/>
  <c r="BL44" i="119"/>
  <c r="BK46" i="119"/>
  <c r="BL46" i="119"/>
  <c r="BK48" i="119"/>
  <c r="BL48" i="119"/>
  <c r="BK50" i="119"/>
  <c r="BL50" i="119"/>
  <c r="BK52" i="119"/>
  <c r="BL52" i="119"/>
  <c r="BK54" i="119"/>
  <c r="BL54" i="119"/>
  <c r="BK56" i="119"/>
  <c r="BL56" i="119"/>
  <c r="BK58" i="119"/>
  <c r="BL58" i="119"/>
  <c r="BK60" i="119"/>
  <c r="BL60" i="119"/>
  <c r="BK62" i="119"/>
  <c r="BL62" i="119"/>
  <c r="BK64" i="119"/>
  <c r="BL64" i="119"/>
  <c r="BK66" i="119"/>
  <c r="BL66" i="119"/>
  <c r="BK68" i="119"/>
  <c r="BL68" i="119"/>
  <c r="BK70" i="119"/>
  <c r="BL70" i="119"/>
  <c r="BK72" i="119"/>
  <c r="BL72" i="119"/>
  <c r="BK74" i="119"/>
  <c r="BL74" i="119"/>
  <c r="BK76" i="119"/>
  <c r="BL76" i="119"/>
  <c r="BL18" i="119"/>
  <c r="BK18" i="119"/>
  <c r="AO20" i="119"/>
  <c r="AO22" i="119"/>
  <c r="AO24" i="119"/>
  <c r="AO26" i="119"/>
  <c r="AO28" i="119"/>
  <c r="AO30" i="119"/>
  <c r="AO32" i="119"/>
  <c r="AO34" i="119"/>
  <c r="AO36" i="119"/>
  <c r="AO38" i="119"/>
  <c r="AO40" i="119"/>
  <c r="AO42" i="119"/>
  <c r="AO44" i="119"/>
  <c r="AO46" i="119"/>
  <c r="AO48" i="119"/>
  <c r="AO50" i="119"/>
  <c r="AO52" i="119"/>
  <c r="AO54" i="119"/>
  <c r="AO56" i="119"/>
  <c r="AO58" i="119"/>
  <c r="AO60" i="119"/>
  <c r="AO62" i="119"/>
  <c r="AO64" i="119"/>
  <c r="AO66" i="119"/>
  <c r="AO68" i="119"/>
  <c r="AO70" i="119"/>
  <c r="AO72" i="119"/>
  <c r="AO74" i="119"/>
  <c r="AO76" i="119"/>
  <c r="AO18" i="119"/>
  <c r="BJ28" i="111"/>
  <c r="BK28" i="111"/>
  <c r="BJ30" i="111"/>
  <c r="BK30" i="111"/>
  <c r="BJ32" i="111"/>
  <c r="BK32" i="111"/>
  <c r="BJ34" i="111"/>
  <c r="BK34" i="111"/>
  <c r="BJ36" i="111"/>
  <c r="BK36" i="111"/>
  <c r="BJ38" i="111"/>
  <c r="BK38" i="111"/>
  <c r="BJ40" i="111"/>
  <c r="BK40" i="111"/>
  <c r="BJ42" i="111"/>
  <c r="BK42" i="111"/>
  <c r="BJ44" i="111"/>
  <c r="BK44" i="111"/>
  <c r="BJ46" i="111"/>
  <c r="BK46" i="111"/>
  <c r="BJ48" i="111"/>
  <c r="BK48" i="111"/>
  <c r="BJ50" i="111"/>
  <c r="BK50" i="111"/>
  <c r="BJ52" i="111"/>
  <c r="BK52" i="111"/>
  <c r="BJ54" i="111"/>
  <c r="BK54" i="111"/>
  <c r="BJ56" i="111"/>
  <c r="BK56" i="111"/>
  <c r="BJ58" i="111"/>
  <c r="BK58" i="111"/>
  <c r="BJ60" i="111"/>
  <c r="BK60" i="111"/>
  <c r="BJ62" i="111"/>
  <c r="BK62" i="111"/>
  <c r="BJ64" i="111"/>
  <c r="BK64" i="111"/>
  <c r="BJ66" i="111"/>
  <c r="BK66" i="111"/>
  <c r="BJ68" i="111"/>
  <c r="BK68" i="111"/>
  <c r="BJ70" i="111"/>
  <c r="BK70" i="111"/>
  <c r="BJ72" i="111"/>
  <c r="BK72" i="111"/>
  <c r="BJ74" i="111"/>
  <c r="BK74" i="111"/>
  <c r="BJ76" i="111"/>
  <c r="BK76" i="111"/>
  <c r="BJ78" i="111"/>
  <c r="BK78" i="111"/>
  <c r="BJ80" i="111"/>
  <c r="BK80" i="111"/>
  <c r="BJ26" i="111"/>
  <c r="BK26" i="111"/>
  <c r="AO28" i="111"/>
  <c r="AO30" i="111"/>
  <c r="AO32" i="111"/>
  <c r="AO34" i="111"/>
  <c r="AO36" i="111"/>
  <c r="AO38" i="111"/>
  <c r="AO40" i="111"/>
  <c r="AO42" i="111"/>
  <c r="AO44" i="111"/>
  <c r="AO46" i="111"/>
  <c r="AO48" i="111"/>
  <c r="AO50" i="111"/>
  <c r="AO52" i="111"/>
  <c r="AO54" i="111"/>
  <c r="AO56" i="111"/>
  <c r="AO58" i="111"/>
  <c r="AO60" i="111"/>
  <c r="AO62" i="111"/>
  <c r="AO64" i="111"/>
  <c r="AO66" i="111"/>
  <c r="AO68" i="111"/>
  <c r="AO70" i="111"/>
  <c r="AO72" i="111"/>
  <c r="AO74" i="111"/>
  <c r="AO76" i="111"/>
  <c r="AO78" i="111"/>
  <c r="AO80" i="111"/>
  <c r="AO26" i="111"/>
  <c r="AW43" i="55"/>
  <c r="AU43" i="55"/>
  <c r="V16" i="132"/>
  <c r="V18" i="132"/>
  <c r="V20" i="132"/>
  <c r="R16" i="132"/>
  <c r="R18" i="132"/>
  <c r="R20" i="132"/>
  <c r="AB16" i="132"/>
  <c r="AB18" i="132"/>
  <c r="X16" i="132"/>
  <c r="X18" i="132"/>
  <c r="X22" i="132"/>
  <c r="X24" i="132"/>
  <c r="X26" i="132"/>
  <c r="X28" i="132"/>
  <c r="X30" i="132"/>
  <c r="X32" i="132"/>
  <c r="X34" i="132"/>
  <c r="X20" i="132"/>
  <c r="AB22" i="132"/>
  <c r="AB24" i="132"/>
  <c r="AB26" i="132"/>
  <c r="AB28" i="132"/>
  <c r="AB30" i="132"/>
  <c r="AB32" i="132"/>
  <c r="AB34" i="132"/>
  <c r="AB20" i="132"/>
  <c r="V22" i="132"/>
  <c r="V24" i="132"/>
  <c r="V26" i="132"/>
  <c r="V28" i="132"/>
  <c r="V30" i="132"/>
  <c r="V32" i="132"/>
  <c r="V34" i="132"/>
  <c r="AB26" i="121"/>
  <c r="M26" i="121"/>
  <c r="AZ30" i="63" l="1"/>
  <c r="AO30" i="63"/>
  <c r="AO28" i="63"/>
  <c r="AO24" i="63"/>
  <c r="AL24" i="63"/>
  <c r="AY8" i="63" a="1"/>
  <c r="AY8" i="63" s="1"/>
  <c r="AY7" i="63" a="1"/>
  <c r="AY7" i="63" s="1"/>
  <c r="L239" i="110"/>
  <c r="R22" i="132"/>
  <c r="R24" i="132"/>
  <c r="R26" i="132"/>
  <c r="R28" i="132"/>
  <c r="R30" i="132"/>
  <c r="W18" i="119"/>
  <c r="W20" i="119"/>
  <c r="L237" i="110"/>
  <c r="L241" i="110"/>
  <c r="L242" i="110"/>
  <c r="L243" i="110"/>
  <c r="L244" i="110"/>
  <c r="L245" i="110"/>
  <c r="L246" i="110"/>
  <c r="L240" i="110"/>
  <c r="L238" i="110"/>
  <c r="AO16" i="132"/>
  <c r="AO24" i="132"/>
  <c r="AO28" i="132"/>
  <c r="AO32" i="132"/>
  <c r="AO34" i="132"/>
  <c r="AK16" i="132"/>
  <c r="AK28" i="132"/>
  <c r="AK20" i="132"/>
  <c r="AK22" i="132"/>
  <c r="AU24" i="132"/>
  <c r="AK26" i="132"/>
  <c r="AU30" i="132"/>
  <c r="AK32" i="132"/>
  <c r="AK34" i="132"/>
  <c r="R32" i="132"/>
  <c r="R34" i="132"/>
  <c r="AK18" i="132"/>
  <c r="BC10" i="132" a="1"/>
  <c r="BC10" i="132" s="1"/>
  <c r="BC9" i="132" a="1"/>
  <c r="BC9" i="132" s="1"/>
  <c r="BC14" i="132"/>
  <c r="AW24" i="132"/>
  <c r="AU28" i="132"/>
  <c r="AV28" i="132"/>
  <c r="AW28" i="132"/>
  <c r="AU32" i="132"/>
  <c r="AV32" i="132"/>
  <c r="AW32" i="132"/>
  <c r="AU34" i="132"/>
  <c r="AV34" i="132"/>
  <c r="AW34" i="132"/>
  <c r="AI24" i="132"/>
  <c r="AI26" i="132"/>
  <c r="AI28" i="132"/>
  <c r="AI30" i="132"/>
  <c r="AI32" i="132"/>
  <c r="AI34" i="132"/>
  <c r="L24" i="132"/>
  <c r="L26" i="132"/>
  <c r="L28" i="132"/>
  <c r="L30" i="132"/>
  <c r="L32" i="132"/>
  <c r="L34" i="132"/>
  <c r="AV24" i="132" l="1"/>
  <c r="AO30" i="132"/>
  <c r="AW30" i="132" s="1"/>
  <c r="AO26" i="132"/>
  <c r="AW26" i="132" s="1"/>
  <c r="AV26" i="132"/>
  <c r="AU26" i="132"/>
  <c r="AK30" i="132"/>
  <c r="AV30" i="132" s="1"/>
  <c r="AK24" i="132"/>
  <c r="J12" i="108"/>
  <c r="J15" i="108" s="1"/>
  <c r="K12" i="108"/>
  <c r="K21" i="108" s="1"/>
  <c r="J21" i="108" l="1"/>
  <c r="K38" i="108"/>
  <c r="J33" i="108"/>
  <c r="J32" i="108"/>
  <c r="J20" i="108"/>
  <c r="K30" i="108"/>
  <c r="J26" i="108"/>
  <c r="J13" i="108"/>
  <c r="J27" i="108"/>
  <c r="K19" i="108"/>
  <c r="K36" i="108"/>
  <c r="J19" i="108"/>
  <c r="K27" i="108"/>
  <c r="K35" i="108"/>
  <c r="K26" i="108"/>
  <c r="K18" i="108"/>
  <c r="K37" i="108"/>
  <c r="K34" i="108"/>
  <c r="K17" i="108"/>
  <c r="K33" i="108"/>
  <c r="K25" i="108"/>
  <c r="K16" i="108"/>
  <c r="K29" i="108"/>
  <c r="K24" i="108"/>
  <c r="K15" i="108"/>
  <c r="K28" i="108"/>
  <c r="K32" i="108"/>
  <c r="K23" i="108"/>
  <c r="K14" i="108"/>
  <c r="K22" i="108"/>
  <c r="J14" i="108"/>
  <c r="K20" i="108"/>
  <c r="K13" i="108"/>
  <c r="K31" i="108"/>
  <c r="J38" i="108"/>
  <c r="J25" i="108"/>
  <c r="J31" i="108"/>
  <c r="J18" i="108"/>
  <c r="J30" i="108"/>
  <c r="J17" i="108"/>
  <c r="J36" i="108"/>
  <c r="J23" i="108"/>
  <c r="J37" i="108"/>
  <c r="J24" i="108"/>
  <c r="J29" i="108"/>
  <c r="J35" i="108"/>
  <c r="J34" i="108"/>
  <c r="J28" i="108"/>
  <c r="J22" i="108"/>
  <c r="J16" i="108"/>
  <c r="AU13" i="63" a="1"/>
  <c r="AU13" i="63" s="1"/>
  <c r="AP17" i="104"/>
  <c r="AP16" i="104"/>
  <c r="AP15" i="104"/>
  <c r="AP14" i="104"/>
  <c r="AP13" i="104"/>
  <c r="AP12" i="104"/>
  <c r="AP11" i="104"/>
  <c r="AP10" i="104"/>
  <c r="AP9" i="104"/>
  <c r="AP8" i="104"/>
  <c r="AP7" i="104"/>
  <c r="AP6" i="104"/>
  <c r="AP5" i="104"/>
  <c r="AP4" i="104"/>
  <c r="AP3" i="104"/>
  <c r="AP2" i="104"/>
  <c r="AB20" i="121"/>
  <c r="AB22" i="121"/>
  <c r="AB18" i="121"/>
  <c r="AB24" i="121"/>
  <c r="AB28" i="121"/>
  <c r="AB30" i="121"/>
  <c r="M18" i="121"/>
  <c r="M20" i="121"/>
  <c r="M22" i="121"/>
  <c r="M24" i="121"/>
  <c r="M28" i="121"/>
  <c r="M30" i="121"/>
  <c r="M32" i="121"/>
  <c r="AW30" i="121" l="1"/>
  <c r="AY18" i="121"/>
  <c r="AW24" i="121"/>
  <c r="AW26" i="121"/>
  <c r="AY28" i="121"/>
  <c r="AY22" i="121"/>
  <c r="AY30" i="121"/>
  <c r="AW18" i="121"/>
  <c r="AW22" i="121"/>
  <c r="AW28" i="121"/>
  <c r="AY24" i="121"/>
  <c r="AY26" i="121"/>
  <c r="AY20" i="121" l="1"/>
  <c r="AW20" i="121"/>
  <c r="AX24" i="121" l="1"/>
  <c r="AZ24" i="121"/>
  <c r="AX26" i="121"/>
  <c r="AZ26" i="121"/>
  <c r="AX22" i="121"/>
  <c r="AZ22" i="121"/>
  <c r="Q28" i="131" l="1"/>
  <c r="AO20" i="13" l="1"/>
  <c r="AO22" i="13"/>
  <c r="AO24" i="13"/>
  <c r="AO26" i="13"/>
  <c r="AO28" i="13"/>
  <c r="AO30" i="13"/>
  <c r="AO32" i="13"/>
  <c r="AO34" i="13"/>
  <c r="AO16" i="13"/>
  <c r="AO18" i="13"/>
  <c r="BG22" i="13" l="1"/>
  <c r="BG24" i="13"/>
  <c r="BG28" i="13"/>
  <c r="BG30" i="13"/>
  <c r="BG32" i="13"/>
  <c r="BG34" i="13"/>
  <c r="BG20" i="13"/>
  <c r="BC20" i="133"/>
  <c r="BC22" i="133"/>
  <c r="BC24" i="133"/>
  <c r="BC26" i="133"/>
  <c r="BC28" i="133"/>
  <c r="BC30" i="133"/>
  <c r="BC32" i="133"/>
  <c r="BC34" i="133"/>
  <c r="BC16" i="133"/>
  <c r="BC18" i="133"/>
  <c r="AO20" i="133" l="1"/>
  <c r="AO22" i="133"/>
  <c r="AO24" i="133"/>
  <c r="AO26" i="133"/>
  <c r="AO28" i="133"/>
  <c r="AO30" i="133"/>
  <c r="AO32" i="133"/>
  <c r="AO34" i="133"/>
  <c r="AO16" i="133"/>
  <c r="C133" i="130" l="1"/>
  <c r="W34" i="111" l="1"/>
  <c r="W36" i="111"/>
  <c r="AC18" i="122" l="1"/>
  <c r="AC20" i="122"/>
  <c r="P18" i="122"/>
  <c r="R18" i="122"/>
  <c r="W28" i="111"/>
  <c r="W30" i="111"/>
  <c r="W32" i="111"/>
  <c r="W38" i="111"/>
  <c r="AW18" i="122" l="1"/>
  <c r="BE18" i="121"/>
  <c r="C19" i="57"/>
  <c r="AL28" i="131" l="1"/>
  <c r="AE28" i="131"/>
  <c r="X28" i="131"/>
  <c r="J28" i="131"/>
  <c r="C28" i="131"/>
  <c r="E137" i="3"/>
  <c r="B137" i="3"/>
  <c r="C137" i="3"/>
  <c r="AU10" i="133" l="1"/>
  <c r="AU14" i="121"/>
  <c r="AU14" i="120"/>
  <c r="AU14" i="111"/>
  <c r="AV13" i="75"/>
  <c r="E9" i="75" s="1"/>
  <c r="AV13" i="13"/>
  <c r="E9" i="13" s="1"/>
  <c r="AV13" i="70"/>
  <c r="E9" i="70" s="1"/>
  <c r="AV13" i="71"/>
  <c r="E9" i="71" s="1"/>
  <c r="AV13" i="72"/>
  <c r="E9" i="72" s="1"/>
  <c r="AV13" i="73"/>
  <c r="E9" i="73" s="1"/>
  <c r="AV13" i="74"/>
  <c r="E9" i="74" s="1"/>
  <c r="AW16" i="74"/>
  <c r="AX16" i="74"/>
  <c r="Q13" i="57"/>
  <c r="W29" i="137" l="1"/>
  <c r="X22" i="135"/>
  <c r="AX43" i="55" l="1"/>
  <c r="AV43" i="55"/>
  <c r="A139" i="110"/>
  <c r="AI51" i="81" l="1"/>
  <c r="AT43" i="55"/>
  <c r="F139" i="110"/>
  <c r="A143" i="110" l="1"/>
  <c r="AZ86" i="135"/>
  <c r="I141" i="110"/>
  <c r="H141" i="110"/>
  <c r="D22" i="135"/>
  <c r="L14" i="137"/>
  <c r="P14" i="135"/>
  <c r="M249" i="110" a="1"/>
  <c r="M249" i="110" s="1"/>
  <c r="M250" i="110" a="1"/>
  <c r="M250" i="110" s="1"/>
  <c r="M251" i="110" a="1"/>
  <c r="M251" i="110" s="1"/>
  <c r="O252" i="110" a="1"/>
  <c r="O252" i="110" s="1"/>
  <c r="M253" i="110" a="1"/>
  <c r="M253" i="110" s="1"/>
  <c r="M254" i="110" a="1"/>
  <c r="M254" i="110" s="1"/>
  <c r="M255" i="110" a="1"/>
  <c r="M255" i="110" s="1"/>
  <c r="O256" i="110" a="1"/>
  <c r="O256" i="110" s="1"/>
  <c r="M257" i="110" a="1"/>
  <c r="M257" i="110" s="1"/>
  <c r="M241" i="110" a="1"/>
  <c r="M241" i="110" s="1"/>
  <c r="M242" i="110" a="1"/>
  <c r="M242" i="110" s="1"/>
  <c r="N243" i="110" a="1"/>
  <c r="N243" i="110" s="1"/>
  <c r="M244" i="110" a="1"/>
  <c r="M244" i="110" s="1"/>
  <c r="M245" i="110" a="1"/>
  <c r="M245" i="110" s="1"/>
  <c r="M246" i="110" a="1"/>
  <c r="M246" i="110" s="1"/>
  <c r="O228" i="110" a="1"/>
  <c r="O228" i="110" s="1"/>
  <c r="M230" i="110" a="1"/>
  <c r="M230" i="110" s="1"/>
  <c r="N231" i="110" a="1"/>
  <c r="N231" i="110" s="1"/>
  <c r="M232" i="110" a="1"/>
  <c r="M232" i="110" s="1"/>
  <c r="M233" i="110" a="1"/>
  <c r="M233" i="110" s="1"/>
  <c r="M234" i="110" a="1"/>
  <c r="M234" i="110" s="1"/>
  <c r="M235" i="110" a="1"/>
  <c r="M235" i="110" s="1"/>
  <c r="AO18" i="66"/>
  <c r="N216" i="110" s="1" a="1"/>
  <c r="N216" i="110" s="1"/>
  <c r="AO20" i="66"/>
  <c r="M217" i="110" s="1"/>
  <c r="AO22" i="66"/>
  <c r="M218" i="110" s="1"/>
  <c r="AO24" i="66"/>
  <c r="O219" i="110" s="1" a="1"/>
  <c r="O219" i="110" s="1"/>
  <c r="AO26" i="66"/>
  <c r="M220" i="110" s="1"/>
  <c r="AO28" i="66"/>
  <c r="M221" i="110" s="1"/>
  <c r="AO30" i="66"/>
  <c r="O222" i="110" s="1" a="1"/>
  <c r="O222" i="110" s="1"/>
  <c r="AO32" i="66"/>
  <c r="M223" i="110" s="1"/>
  <c r="AO34" i="66"/>
  <c r="M224" i="110" s="1"/>
  <c r="AO20" i="65"/>
  <c r="N206" i="110" s="1" a="1"/>
  <c r="N206" i="110" s="1"/>
  <c r="AO22" i="65"/>
  <c r="M207" i="110" s="1" a="1"/>
  <c r="M207" i="110" s="1"/>
  <c r="AO24" i="65"/>
  <c r="M208" i="110" s="1" a="1"/>
  <c r="M208" i="110" s="1"/>
  <c r="AO26" i="65"/>
  <c r="O209" i="110" s="1" a="1"/>
  <c r="O209" i="110" s="1"/>
  <c r="AO28" i="65"/>
  <c r="M210" i="110" s="1" a="1"/>
  <c r="M210" i="110" s="1"/>
  <c r="AO30" i="65"/>
  <c r="M211" i="110" s="1" a="1"/>
  <c r="M211" i="110" s="1"/>
  <c r="AO32" i="65"/>
  <c r="O212" i="110" s="1" a="1"/>
  <c r="O212" i="110" s="1"/>
  <c r="AO34" i="65"/>
  <c r="M213" i="110" s="1" a="1"/>
  <c r="M213" i="110" s="1"/>
  <c r="AO18" i="64"/>
  <c r="M194" i="110" s="1"/>
  <c r="AO20" i="64"/>
  <c r="M195" i="110" s="1"/>
  <c r="AO22" i="64"/>
  <c r="M196" i="110" s="1"/>
  <c r="AO24" i="64"/>
  <c r="M197" i="110" s="1"/>
  <c r="AO26" i="64"/>
  <c r="O198" i="110" s="1"/>
  <c r="AO28" i="64"/>
  <c r="M199" i="110" s="1"/>
  <c r="AO30" i="64"/>
  <c r="M200" i="110" s="1"/>
  <c r="AO32" i="64"/>
  <c r="M201" i="110" s="1"/>
  <c r="AO34" i="64"/>
  <c r="O202" i="110" s="1"/>
  <c r="AX16" i="124"/>
  <c r="O248" i="110" a="1"/>
  <c r="O248" i="110" s="1"/>
  <c r="O237" i="110" a="1"/>
  <c r="O237" i="110" s="1"/>
  <c r="M226" i="110" a="1"/>
  <c r="M226" i="110" s="1"/>
  <c r="AO16" i="66"/>
  <c r="O215" i="110" s="1" a="1"/>
  <c r="O215" i="110" s="1"/>
  <c r="AO16" i="65"/>
  <c r="O204" i="110" s="1" a="1"/>
  <c r="O204" i="110" s="1"/>
  <c r="AO16" i="64"/>
  <c r="O193" i="110" s="1"/>
  <c r="N190" i="110" a="1"/>
  <c r="N190" i="110" s="1"/>
  <c r="M191" i="110" a="1"/>
  <c r="M191" i="110" s="1"/>
  <c r="AJ76" i="137"/>
  <c r="AJ49" i="137"/>
  <c r="AW12" i="137"/>
  <c r="AW12" i="135"/>
  <c r="D136" i="3"/>
  <c r="B136" i="3"/>
  <c r="E136" i="3"/>
  <c r="N194" i="110" l="1" a="1"/>
  <c r="N194" i="110" s="1"/>
  <c r="O207" i="110" a="1"/>
  <c r="O207" i="110" s="1"/>
  <c r="N207" i="110" a="1"/>
  <c r="N207" i="110" s="1"/>
  <c r="M222" i="110"/>
  <c r="M219" i="110"/>
  <c r="O230" i="110" a="1"/>
  <c r="O230" i="110" s="1"/>
  <c r="N228" i="110" a="1"/>
  <c r="N228" i="110" s="1"/>
  <c r="M243" i="110" a="1"/>
  <c r="M243" i="110" s="1"/>
  <c r="M202" i="110"/>
  <c r="O199" i="110"/>
  <c r="M256" i="110" a="1"/>
  <c r="M256" i="110" s="1"/>
  <c r="N199" i="110" a="1"/>
  <c r="N199" i="110" s="1"/>
  <c r="N252" i="110" a="1"/>
  <c r="N252" i="110" s="1"/>
  <c r="M190" i="110" a="1"/>
  <c r="M190" i="110" s="1"/>
  <c r="N202" i="110" a="1"/>
  <c r="N202" i="110" s="1"/>
  <c r="N198" i="110" a="1"/>
  <c r="N198" i="110" s="1"/>
  <c r="O194" i="110"/>
  <c r="N212" i="110" a="1"/>
  <c r="N212" i="110" s="1"/>
  <c r="N209" i="110" a="1"/>
  <c r="N209" i="110" s="1"/>
  <c r="O206" i="110" a="1"/>
  <c r="O206" i="110" s="1"/>
  <c r="O224" i="110" a="1"/>
  <c r="O224" i="110" s="1"/>
  <c r="N222" i="110" a="1"/>
  <c r="N222" i="110" s="1"/>
  <c r="N219" i="110" a="1"/>
  <c r="N219" i="110" s="1"/>
  <c r="M216" i="110"/>
  <c r="O233" i="110" a="1"/>
  <c r="O233" i="110" s="1"/>
  <c r="M231" i="110" a="1"/>
  <c r="M231" i="110" s="1"/>
  <c r="O245" i="110" a="1"/>
  <c r="O245" i="110" s="1"/>
  <c r="N256" i="110" a="1"/>
  <c r="N256" i="110" s="1"/>
  <c r="O201" i="110"/>
  <c r="O197" i="110"/>
  <c r="M212" i="110" a="1"/>
  <c r="M212" i="110" s="1"/>
  <c r="M209" i="110" a="1"/>
  <c r="M209" i="110" s="1"/>
  <c r="N224" i="110" a="1"/>
  <c r="N224" i="110" s="1"/>
  <c r="O221" i="110" a="1"/>
  <c r="O221" i="110" s="1"/>
  <c r="O218" i="110" a="1"/>
  <c r="O218" i="110" s="1"/>
  <c r="N226" i="110" a="1"/>
  <c r="N226" i="110" s="1"/>
  <c r="N233" i="110" a="1"/>
  <c r="N233" i="110" s="1"/>
  <c r="N245" i="110" a="1"/>
  <c r="N245" i="110" s="1"/>
  <c r="O246" i="110" a="1"/>
  <c r="O246" i="110" s="1"/>
  <c r="O255" i="110" a="1"/>
  <c r="O255" i="110" s="1"/>
  <c r="M252" i="110" a="1"/>
  <c r="M252" i="110" s="1"/>
  <c r="N201" i="110" a="1"/>
  <c r="N201" i="110" s="1"/>
  <c r="N197" i="110" a="1"/>
  <c r="N197" i="110" s="1"/>
  <c r="M204" i="110" a="1"/>
  <c r="M204" i="110" s="1"/>
  <c r="O211" i="110" a="1"/>
  <c r="O211" i="110" s="1"/>
  <c r="O208" i="110" a="1"/>
  <c r="O208" i="110" s="1"/>
  <c r="M206" i="110" a="1"/>
  <c r="M206" i="110" s="1"/>
  <c r="O226" i="110" a="1"/>
  <c r="O226" i="110" s="1"/>
  <c r="N230" i="110" a="1"/>
  <c r="N230" i="110" s="1"/>
  <c r="M228" i="110" a="1"/>
  <c r="M228" i="110" s="1"/>
  <c r="N246" i="110" a="1"/>
  <c r="N246" i="110" s="1"/>
  <c r="N255" i="110" a="1"/>
  <c r="N255" i="110" s="1"/>
  <c r="O251" i="110" a="1"/>
  <c r="O251" i="110" s="1"/>
  <c r="O191" i="110"/>
  <c r="N204" i="110" a="1"/>
  <c r="N204" i="110" s="1"/>
  <c r="N211" i="110" a="1"/>
  <c r="N211" i="110" s="1"/>
  <c r="N221" i="110" a="1"/>
  <c r="N221" i="110" s="1"/>
  <c r="N218" i="110" a="1"/>
  <c r="N218" i="110" s="1"/>
  <c r="O235" i="110" a="1"/>
  <c r="O235" i="110" s="1"/>
  <c r="N242" i="110" a="1"/>
  <c r="N242" i="110" s="1"/>
  <c r="N251" i="110" a="1"/>
  <c r="N251" i="110" s="1"/>
  <c r="O200" i="110"/>
  <c r="O196" i="110"/>
  <c r="N208" i="110" a="1"/>
  <c r="N208" i="110" s="1"/>
  <c r="O223" i="110" a="1"/>
  <c r="O223" i="110" s="1"/>
  <c r="N235" i="110" a="1"/>
  <c r="N235" i="110" s="1"/>
  <c r="O232" i="110" a="1"/>
  <c r="O232" i="110" s="1"/>
  <c r="M248" i="110" a="1"/>
  <c r="M248" i="110" s="1"/>
  <c r="O254" i="110" a="1"/>
  <c r="O254" i="110" s="1"/>
  <c r="M198" i="110"/>
  <c r="N191" i="110" a="1"/>
  <c r="N191" i="110" s="1"/>
  <c r="N200" i="110" a="1"/>
  <c r="N200" i="110" s="1"/>
  <c r="O210" i="110" a="1"/>
  <c r="O210" i="110" s="1"/>
  <c r="O217" i="110" a="1"/>
  <c r="O217" i="110" s="1"/>
  <c r="N244" i="110" a="1"/>
  <c r="N244" i="110" s="1"/>
  <c r="N248" i="110" a="1"/>
  <c r="N248" i="110" s="1"/>
  <c r="N254" i="110" a="1"/>
  <c r="N254" i="110" s="1"/>
  <c r="O250" i="110" a="1"/>
  <c r="O250" i="110" s="1"/>
  <c r="M193" i="110"/>
  <c r="N196" i="110" a="1"/>
  <c r="N196" i="110" s="1"/>
  <c r="O213" i="110" a="1"/>
  <c r="O213" i="110" s="1"/>
  <c r="N223" i="110" a="1"/>
  <c r="N223" i="110" s="1"/>
  <c r="O220" i="110" a="1"/>
  <c r="O220" i="110" s="1"/>
  <c r="N232" i="110" a="1"/>
  <c r="N232" i="110" s="1"/>
  <c r="O241" i="110" a="1"/>
  <c r="O241" i="110" s="1"/>
  <c r="N250" i="110" a="1"/>
  <c r="N250" i="110" s="1"/>
  <c r="O190" i="110"/>
  <c r="N193" i="110" a="1"/>
  <c r="N193" i="110" s="1"/>
  <c r="N213" i="110" a="1"/>
  <c r="N213" i="110" s="1"/>
  <c r="N210" i="110" a="1"/>
  <c r="N210" i="110" s="1"/>
  <c r="M215" i="110"/>
  <c r="N220" i="110" a="1"/>
  <c r="N220" i="110" s="1"/>
  <c r="N217" i="110" a="1"/>
  <c r="N217" i="110" s="1"/>
  <c r="O234" i="110" a="1"/>
  <c r="O234" i="110" s="1"/>
  <c r="O257" i="110" a="1"/>
  <c r="O257" i="110" s="1"/>
  <c r="O253" i="110" a="1"/>
  <c r="O253" i="110" s="1"/>
  <c r="O195" i="110"/>
  <c r="N215" i="110" a="1"/>
  <c r="N215" i="110" s="1"/>
  <c r="N234" i="110" a="1"/>
  <c r="N234" i="110" s="1"/>
  <c r="O231" i="110" a="1"/>
  <c r="O231" i="110" s="1"/>
  <c r="M237" i="110" a="1"/>
  <c r="M237" i="110" s="1"/>
  <c r="O243" i="110" a="1"/>
  <c r="O243" i="110" s="1"/>
  <c r="N241" i="110" a="1"/>
  <c r="N241" i="110" s="1"/>
  <c r="N257" i="110" a="1"/>
  <c r="N257" i="110" s="1"/>
  <c r="N253" i="110" a="1"/>
  <c r="N253" i="110" s="1"/>
  <c r="O249" i="110" a="1"/>
  <c r="O249" i="110" s="1"/>
  <c r="N195" i="110" a="1"/>
  <c r="N195" i="110" s="1"/>
  <c r="O216" i="110" a="1"/>
  <c r="O216" i="110" s="1"/>
  <c r="N237" i="110" a="1"/>
  <c r="N237" i="110" s="1"/>
  <c r="N249" i="110" a="1"/>
  <c r="N249" i="110" s="1"/>
  <c r="W22" i="119" l="1"/>
  <c r="W24" i="119"/>
  <c r="W26" i="111"/>
  <c r="AZ88" i="135"/>
  <c r="AZ90" i="135"/>
  <c r="AZ92" i="135"/>
  <c r="AX94" i="135"/>
  <c r="AZ94" i="135"/>
  <c r="AX96" i="135"/>
  <c r="AZ96" i="135"/>
  <c r="AX98" i="135"/>
  <c r="AZ98" i="135"/>
  <c r="AX100" i="135"/>
  <c r="AZ100" i="135"/>
  <c r="AX102" i="135"/>
  <c r="AZ102" i="135"/>
  <c r="AX104" i="135"/>
  <c r="AZ104" i="135"/>
  <c r="AX106" i="135"/>
  <c r="AZ106" i="135"/>
  <c r="AX108" i="135"/>
  <c r="AZ108" i="135"/>
  <c r="AX110" i="135"/>
  <c r="AZ110" i="135"/>
  <c r="AX112" i="135"/>
  <c r="AZ112" i="135"/>
  <c r="AX114" i="135"/>
  <c r="AZ114" i="135"/>
  <c r="AX116" i="135"/>
  <c r="AZ116" i="135"/>
  <c r="AX118" i="135"/>
  <c r="AZ118" i="135"/>
  <c r="AX120" i="135"/>
  <c r="AZ120" i="135"/>
  <c r="AX122" i="135"/>
  <c r="AZ122" i="135"/>
  <c r="AX124" i="135"/>
  <c r="AZ124" i="135"/>
  <c r="AH88" i="135"/>
  <c r="AH90" i="135"/>
  <c r="AH92" i="135"/>
  <c r="AH94" i="135"/>
  <c r="AH96" i="135"/>
  <c r="AH98" i="135"/>
  <c r="AH100" i="135"/>
  <c r="AH102" i="135"/>
  <c r="AH104" i="135"/>
  <c r="AH106" i="135"/>
  <c r="AH108" i="135"/>
  <c r="AH110" i="135"/>
  <c r="AH112" i="135"/>
  <c r="AH114" i="135"/>
  <c r="AH116" i="135"/>
  <c r="AH118" i="135"/>
  <c r="AH120" i="135"/>
  <c r="AH122" i="135"/>
  <c r="AH124" i="135"/>
  <c r="AZ31" i="135"/>
  <c r="AZ33" i="135"/>
  <c r="AZ35" i="135"/>
  <c r="AX37" i="135"/>
  <c r="AZ37" i="135"/>
  <c r="AX39" i="135"/>
  <c r="AZ39" i="135"/>
  <c r="AX41" i="135"/>
  <c r="AZ41" i="135"/>
  <c r="AX43" i="135"/>
  <c r="AZ43" i="135"/>
  <c r="AZ45" i="135"/>
  <c r="AX47" i="135"/>
  <c r="AZ47" i="135"/>
  <c r="AX49" i="135"/>
  <c r="AZ49" i="135"/>
  <c r="AX51" i="135"/>
  <c r="AZ51" i="135"/>
  <c r="AX53" i="135"/>
  <c r="AZ53" i="135"/>
  <c r="AX55" i="135"/>
  <c r="AZ55" i="135"/>
  <c r="AX57" i="135"/>
  <c r="AZ57" i="135"/>
  <c r="AX59" i="135"/>
  <c r="AZ59" i="135"/>
  <c r="AX61" i="135"/>
  <c r="AZ61" i="135"/>
  <c r="AX63" i="135"/>
  <c r="AZ63" i="135"/>
  <c r="AX65" i="135"/>
  <c r="AZ65" i="135"/>
  <c r="AX67" i="135"/>
  <c r="AZ67" i="135"/>
  <c r="AX69" i="135"/>
  <c r="AZ69" i="135"/>
  <c r="I143" i="110"/>
  <c r="H143" i="110"/>
  <c r="AD143" i="110"/>
  <c r="AB143" i="110"/>
  <c r="F143" i="110"/>
  <c r="W183" i="110" l="1" a="1"/>
  <c r="W183" i="110" s="1"/>
  <c r="E183" i="110" s="1"/>
  <c r="W184" i="110" a="1"/>
  <c r="W184" i="110" s="1"/>
  <c r="E184" i="110" s="1"/>
  <c r="W185" i="110" a="1"/>
  <c r="W185" i="110" s="1"/>
  <c r="E185" i="110" s="1"/>
  <c r="W186" i="110" a="1"/>
  <c r="W186" i="110" s="1"/>
  <c r="E186" i="110" s="1"/>
  <c r="W187" i="110" a="1"/>
  <c r="W187" i="110" s="1"/>
  <c r="E187" i="110" s="1"/>
  <c r="W188" i="110" a="1"/>
  <c r="W188" i="110" s="1"/>
  <c r="E188" i="110" s="1"/>
  <c r="W189" i="110" a="1"/>
  <c r="W189" i="110" s="1"/>
  <c r="E189" i="110" s="1"/>
  <c r="W190" i="110" a="1"/>
  <c r="W190" i="110" s="1"/>
  <c r="E190" i="110" s="1"/>
  <c r="W191" i="110" a="1"/>
  <c r="W191" i="110" s="1"/>
  <c r="E191" i="110" s="1"/>
  <c r="W182" i="110" a="1"/>
  <c r="W182" i="110" s="1"/>
  <c r="E182" i="110" s="1"/>
  <c r="D135" i="3"/>
  <c r="W56" i="137" l="1"/>
  <c r="A142" i="110" l="1"/>
  <c r="E33" i="3"/>
  <c r="AW13" i="135" a="1"/>
  <c r="AW13" i="135" s="1"/>
  <c r="AH86" i="135"/>
  <c r="O81" i="135" s="1"/>
  <c r="AW126" i="135"/>
  <c r="BG22" i="137"/>
  <c r="BG20" i="137"/>
  <c r="AH33" i="135"/>
  <c r="AH35" i="135"/>
  <c r="AH37" i="135"/>
  <c r="AH39" i="135"/>
  <c r="AH41" i="135"/>
  <c r="AH43" i="135"/>
  <c r="AH45" i="135"/>
  <c r="AH47" i="135"/>
  <c r="AH49" i="135"/>
  <c r="AH51" i="135"/>
  <c r="AH53" i="135"/>
  <c r="AH55" i="135"/>
  <c r="AH57" i="135"/>
  <c r="AH59" i="135"/>
  <c r="AH61" i="135"/>
  <c r="AH63" i="135"/>
  <c r="AH65" i="135"/>
  <c r="AH67" i="135"/>
  <c r="AH69" i="135"/>
  <c r="AH31" i="135"/>
  <c r="AW16" i="135"/>
  <c r="B135" i="3"/>
  <c r="AI5" i="137" l="1"/>
  <c r="AI5" i="133"/>
  <c r="AI5" i="119"/>
  <c r="AI5" i="135"/>
  <c r="AI5" i="111"/>
  <c r="AI5" i="121"/>
  <c r="AI5" i="122"/>
  <c r="AI5" i="120"/>
  <c r="O26" i="135"/>
  <c r="W74" i="137"/>
  <c r="W72" i="137"/>
  <c r="W70" i="137"/>
  <c r="W68" i="137"/>
  <c r="W66" i="137"/>
  <c r="W64" i="137"/>
  <c r="W62" i="137"/>
  <c r="W60" i="137"/>
  <c r="W58" i="137"/>
  <c r="W47" i="137"/>
  <c r="W45" i="137"/>
  <c r="W43" i="137"/>
  <c r="W41" i="137"/>
  <c r="W39" i="137"/>
  <c r="W37" i="137"/>
  <c r="W35" i="137"/>
  <c r="W33" i="137"/>
  <c r="W31" i="137"/>
  <c r="E22" i="137"/>
  <c r="E20" i="137"/>
  <c r="AR202" i="137"/>
  <c r="W202" i="137"/>
  <c r="B202" i="137"/>
  <c r="B201" i="137"/>
  <c r="B200" i="137"/>
  <c r="AX6" i="137"/>
  <c r="AW4" i="137"/>
  <c r="AU12" i="122"/>
  <c r="F141" i="110"/>
  <c r="W76" i="137" l="1"/>
  <c r="H22" i="137" s="1"/>
  <c r="W49" i="137"/>
  <c r="M20" i="137" s="1"/>
  <c r="AW13" i="137" a="1"/>
  <c r="AW13" i="137" s="1"/>
  <c r="AJ20" i="63"/>
  <c r="AN5" i="137" l="1"/>
  <c r="AN5" i="133"/>
  <c r="AN5" i="119"/>
  <c r="AN5" i="121"/>
  <c r="AN5" i="111"/>
  <c r="AN5" i="120"/>
  <c r="AN5" i="135"/>
  <c r="AN5" i="122"/>
  <c r="AA22" i="137"/>
  <c r="M22" i="137"/>
  <c r="AD22" i="137"/>
  <c r="K22" i="137"/>
  <c r="R22" i="137"/>
  <c r="U22" i="137"/>
  <c r="Y22" i="137"/>
  <c r="AF22" i="137"/>
  <c r="AH22" i="137"/>
  <c r="AA20" i="137"/>
  <c r="R20" i="137"/>
  <c r="Y20" i="137"/>
  <c r="H20" i="137"/>
  <c r="U20" i="137"/>
  <c r="AD20" i="137"/>
  <c r="AF20" i="137"/>
  <c r="AH20" i="137"/>
  <c r="K20" i="137"/>
  <c r="BB20" i="133"/>
  <c r="BB22" i="133"/>
  <c r="BB24" i="133"/>
  <c r="BB26" i="133"/>
  <c r="BB28" i="133"/>
  <c r="BB30" i="133"/>
  <c r="BB32" i="133"/>
  <c r="BB34" i="133"/>
  <c r="BB126" i="135"/>
  <c r="BA83" i="135"/>
  <c r="Q77" i="135"/>
  <c r="BA28" i="135"/>
  <c r="I81" i="135" l="1"/>
  <c r="U81" i="135" s="1"/>
  <c r="AH81" i="135" s="1"/>
  <c r="AY88" i="135"/>
  <c r="BA88" i="135" s="1"/>
  <c r="AY112" i="135"/>
  <c r="BA112" i="135" s="1"/>
  <c r="AY90" i="135"/>
  <c r="BA90" i="135" s="1"/>
  <c r="AY114" i="135"/>
  <c r="BA114" i="135" s="1"/>
  <c r="AY92" i="135"/>
  <c r="BA92" i="135" s="1"/>
  <c r="AY116" i="135"/>
  <c r="BA116" i="135" s="1"/>
  <c r="AY94" i="135"/>
  <c r="BA94" i="135" s="1"/>
  <c r="AY118" i="135"/>
  <c r="BA118" i="135" s="1"/>
  <c r="AY96" i="135"/>
  <c r="BA96" i="135" s="1"/>
  <c r="AY120" i="135"/>
  <c r="BA120" i="135" s="1"/>
  <c r="AY98" i="135"/>
  <c r="BA98" i="135" s="1"/>
  <c r="AY122" i="135"/>
  <c r="BA122" i="135" s="1"/>
  <c r="AY100" i="135"/>
  <c r="BA100" i="135" s="1"/>
  <c r="AY124" i="135"/>
  <c r="BA124" i="135" s="1"/>
  <c r="AY102" i="135"/>
  <c r="BA102" i="135" s="1"/>
  <c r="AY86" i="135"/>
  <c r="BA86" i="135" s="1"/>
  <c r="AX86" i="135" s="1"/>
  <c r="AY104" i="135"/>
  <c r="BA104" i="135" s="1"/>
  <c r="AY106" i="135"/>
  <c r="BA106" i="135" s="1"/>
  <c r="AY108" i="135"/>
  <c r="BA108" i="135" s="1"/>
  <c r="AY110" i="135"/>
  <c r="BA110" i="135" s="1"/>
  <c r="N132" i="110" a="1"/>
  <c r="N132" i="110" s="1"/>
  <c r="O132" i="110" a="1"/>
  <c r="O132" i="110" s="1"/>
  <c r="M132" i="110" a="1"/>
  <c r="M132" i="110" s="1"/>
  <c r="M130" i="110" a="1"/>
  <c r="M130" i="110" s="1"/>
  <c r="N130" i="110" a="1"/>
  <c r="N130" i="110" s="1"/>
  <c r="O130" i="110" a="1"/>
  <c r="O130" i="110" s="1"/>
  <c r="O137" i="110" a="1"/>
  <c r="O137" i="110" s="1"/>
  <c r="M137" i="110" a="1"/>
  <c r="M137" i="110" s="1"/>
  <c r="N137" i="110" a="1"/>
  <c r="N137" i="110" s="1"/>
  <c r="M136" i="110" a="1"/>
  <c r="M136" i="110" s="1"/>
  <c r="N136" i="110" a="1"/>
  <c r="N136" i="110" s="1"/>
  <c r="O136" i="110" a="1"/>
  <c r="O136" i="110" s="1"/>
  <c r="O134" i="110" a="1"/>
  <c r="O134" i="110" s="1"/>
  <c r="M134" i="110" a="1"/>
  <c r="M134" i="110" s="1"/>
  <c r="N134" i="110" a="1"/>
  <c r="N134" i="110" s="1"/>
  <c r="M133" i="110" a="1"/>
  <c r="M133" i="110" s="1"/>
  <c r="N133" i="110" a="1"/>
  <c r="N133" i="110" s="1"/>
  <c r="O133" i="110" a="1"/>
  <c r="O133" i="110" s="1"/>
  <c r="N135" i="110" a="1"/>
  <c r="N135" i="110" s="1"/>
  <c r="O135" i="110" a="1"/>
  <c r="O135" i="110" s="1"/>
  <c r="M135" i="110" a="1"/>
  <c r="M135" i="110" s="1"/>
  <c r="O131" i="110" a="1"/>
  <c r="O131" i="110" s="1"/>
  <c r="M131" i="110" a="1"/>
  <c r="M131" i="110" s="1"/>
  <c r="N131" i="110" a="1"/>
  <c r="N131" i="110" s="1"/>
  <c r="AZ22" i="137"/>
  <c r="AU22" i="137"/>
  <c r="BB22" i="137"/>
  <c r="BC22" i="137" s="1"/>
  <c r="AJ22" i="137" s="1"/>
  <c r="AY22" i="137"/>
  <c r="AW22" i="137"/>
  <c r="AX22" i="137"/>
  <c r="V141" i="110"/>
  <c r="AX20" i="137"/>
  <c r="AU20" i="137"/>
  <c r="BB20" i="137"/>
  <c r="BC20" i="137" s="1"/>
  <c r="AJ20" i="137" s="1"/>
  <c r="AZ20" i="137"/>
  <c r="AY20" i="137"/>
  <c r="AW20" i="137"/>
  <c r="AZ126" i="135"/>
  <c r="AZ18" i="135" s="1"/>
  <c r="AW18" i="135"/>
  <c r="AW71" i="135"/>
  <c r="AZ71" i="135"/>
  <c r="AZ16" i="135" s="1"/>
  <c r="C135" i="3"/>
  <c r="E134" i="3"/>
  <c r="C136" i="3"/>
  <c r="E135" i="3"/>
  <c r="C134" i="3"/>
  <c r="BA126" i="135" l="1"/>
  <c r="AL22" i="137"/>
  <c r="AV22" i="137" s="1"/>
  <c r="BH22" i="137" s="1"/>
  <c r="BD22" i="137"/>
  <c r="BD20" i="137"/>
  <c r="AW200" i="137"/>
  <c r="F33" i="3" s="1"/>
  <c r="AY200" i="137"/>
  <c r="S143" i="110" s="1"/>
  <c r="AZ200" i="137"/>
  <c r="T143" i="110" s="1"/>
  <c r="AU200" i="137"/>
  <c r="AX200" i="137"/>
  <c r="AG143" i="110" s="1"/>
  <c r="AL20" i="137"/>
  <c r="AZ20" i="135"/>
  <c r="T141" i="110"/>
  <c r="AW20" i="135"/>
  <c r="Q22" i="135"/>
  <c r="O139" i="110" l="1"/>
  <c r="AI48" i="81" s="1"/>
  <c r="N139" i="110"/>
  <c r="AI47" i="81" s="1"/>
  <c r="M139" i="110"/>
  <c r="AI46" i="81" s="1"/>
  <c r="L139" i="110"/>
  <c r="AY57" i="135"/>
  <c r="BA57" i="135" s="1"/>
  <c r="AY59" i="135"/>
  <c r="BA59" i="135" s="1"/>
  <c r="AY61" i="135"/>
  <c r="BA61" i="135" s="1"/>
  <c r="AY43" i="135"/>
  <c r="BA43" i="135" s="1"/>
  <c r="AY67" i="135"/>
  <c r="BA67" i="135" s="1"/>
  <c r="AY49" i="135"/>
  <c r="BA49" i="135" s="1"/>
  <c r="AY39" i="135"/>
  <c r="BA39" i="135" s="1"/>
  <c r="AY45" i="135"/>
  <c r="BA45" i="135" s="1"/>
  <c r="AY69" i="135"/>
  <c r="BA69" i="135" s="1"/>
  <c r="AY51" i="135"/>
  <c r="BA51" i="135" s="1"/>
  <c r="AY31" i="135"/>
  <c r="BA31" i="135" s="1"/>
  <c r="AX31" i="135" s="1"/>
  <c r="AY41" i="135"/>
  <c r="BA41" i="135" s="1"/>
  <c r="AY47" i="135"/>
  <c r="BA47" i="135" s="1"/>
  <c r="AY33" i="135"/>
  <c r="BA33" i="135" s="1"/>
  <c r="AX33" i="135" s="1"/>
  <c r="AY53" i="135"/>
  <c r="BA53" i="135" s="1"/>
  <c r="AY65" i="135"/>
  <c r="BA65" i="135" s="1"/>
  <c r="AY55" i="135"/>
  <c r="BA55" i="135" s="1"/>
  <c r="AY35" i="135"/>
  <c r="BA35" i="135" s="1"/>
  <c r="AY37" i="135"/>
  <c r="BA37" i="135" s="1"/>
  <c r="AY63" i="135"/>
  <c r="BA63" i="135" s="1"/>
  <c r="J143" i="110"/>
  <c r="AF143" i="110"/>
  <c r="AX45" i="135"/>
  <c r="AX90" i="135"/>
  <c r="AX35" i="135"/>
  <c r="AX92" i="135"/>
  <c r="I26" i="135"/>
  <c r="AV20" i="137"/>
  <c r="AV200" i="137" s="1"/>
  <c r="BH200" i="137" s="1"/>
  <c r="Z12" i="137"/>
  <c r="G33" i="3" s="1"/>
  <c r="AG141" i="110"/>
  <c r="AZ22" i="135"/>
  <c r="J141" i="110"/>
  <c r="AW22" i="135"/>
  <c r="V12" i="135"/>
  <c r="AV18" i="135"/>
  <c r="C139" i="110" l="1"/>
  <c r="B139" i="110" s="1"/>
  <c r="C141" i="110"/>
  <c r="AO141" i="110" s="1"/>
  <c r="E141" i="110"/>
  <c r="E143" i="110"/>
  <c r="C143" i="110"/>
  <c r="B143" i="110" s="1"/>
  <c r="U26" i="135"/>
  <c r="AH26" i="135" s="1"/>
  <c r="AV16" i="135" s="1"/>
  <c r="AB26" i="135"/>
  <c r="AX88" i="135"/>
  <c r="AB81" i="135"/>
  <c r="AM143" i="110"/>
  <c r="BH20" i="137"/>
  <c r="H33" i="3"/>
  <c r="S141" i="110"/>
  <c r="BA71" i="135"/>
  <c r="AY126" i="135"/>
  <c r="AY18" i="135" s="1"/>
  <c r="AY71" i="135"/>
  <c r="AY16" i="135" s="1"/>
  <c r="B141" i="110" l="1"/>
  <c r="L141" i="110"/>
  <c r="AO143" i="110"/>
  <c r="AH143" i="110" s="1"/>
  <c r="AV20" i="135"/>
  <c r="AV22" i="135" s="1"/>
  <c r="L143" i="110"/>
  <c r="AI143" i="110" s="1"/>
  <c r="AY20" i="135"/>
  <c r="AX126" i="135"/>
  <c r="AX18" i="135" s="1"/>
  <c r="BA18" i="135"/>
  <c r="AX71" i="135"/>
  <c r="AX16" i="135" s="1"/>
  <c r="AF141" i="110" l="1"/>
  <c r="AH141" i="110" s="1"/>
  <c r="AY22" i="135"/>
  <c r="F32" i="3"/>
  <c r="AX20" i="135"/>
  <c r="BA16" i="135"/>
  <c r="BA20" i="135" s="1"/>
  <c r="BA22" i="135" s="1"/>
  <c r="AX22" i="135" l="1"/>
  <c r="H32" i="3"/>
  <c r="Z12" i="135"/>
  <c r="G32" i="3" s="1"/>
  <c r="AC16" i="122"/>
  <c r="P16" i="122"/>
  <c r="R16" i="122"/>
  <c r="AB32" i="121"/>
  <c r="AB34" i="121"/>
  <c r="AB36" i="121"/>
  <c r="AB38" i="121"/>
  <c r="AB40" i="121"/>
  <c r="AB42" i="121"/>
  <c r="M34" i="121"/>
  <c r="M36" i="121"/>
  <c r="M38" i="121"/>
  <c r="M40" i="121"/>
  <c r="M42" i="121"/>
  <c r="M44" i="121"/>
  <c r="W26" i="119"/>
  <c r="AK16" i="72"/>
  <c r="AK18" i="72"/>
  <c r="AK20" i="72"/>
  <c r="AK22" i="72"/>
  <c r="AK24" i="72"/>
  <c r="AK26" i="72"/>
  <c r="AK28" i="72"/>
  <c r="AK30" i="72"/>
  <c r="AK32" i="72"/>
  <c r="AK34" i="72"/>
  <c r="AK22" i="13"/>
  <c r="AK24" i="13"/>
  <c r="AK28" i="13"/>
  <c r="AK30" i="13"/>
  <c r="AK32" i="13"/>
  <c r="AK34" i="13"/>
  <c r="AW16" i="122" l="1"/>
  <c r="AY32" i="121"/>
  <c r="AW32" i="121"/>
  <c r="AY42" i="121"/>
  <c r="AW42" i="121"/>
  <c r="AY36" i="121"/>
  <c r="AW36" i="121"/>
  <c r="AY40" i="121"/>
  <c r="AW40" i="121"/>
  <c r="AW38" i="121"/>
  <c r="AY38" i="121"/>
  <c r="AY34" i="121"/>
  <c r="AW34" i="121"/>
  <c r="BE42" i="121"/>
  <c r="BE40" i="121"/>
  <c r="BE38" i="121"/>
  <c r="BE36" i="121"/>
  <c r="BE28" i="121"/>
  <c r="BE34" i="121"/>
  <c r="BE32" i="121"/>
  <c r="BE30" i="121"/>
  <c r="BJ36" i="121"/>
  <c r="BI36" i="121"/>
  <c r="AN36" i="121"/>
  <c r="BJ34" i="121"/>
  <c r="BI34" i="121"/>
  <c r="AN34" i="121"/>
  <c r="BJ32" i="121"/>
  <c r="BI32" i="121"/>
  <c r="AN32" i="121"/>
  <c r="BJ30" i="121"/>
  <c r="BI30" i="121"/>
  <c r="AN30" i="121"/>
  <c r="AN28" i="121"/>
  <c r="BJ28" i="121"/>
  <c r="BI28" i="121"/>
  <c r="BJ38" i="121"/>
  <c r="BI38" i="121"/>
  <c r="AN38" i="121"/>
  <c r="BJ42" i="121"/>
  <c r="BI42" i="121"/>
  <c r="AN42" i="121"/>
  <c r="BJ40" i="121"/>
  <c r="BI40" i="121"/>
  <c r="AN40" i="121"/>
  <c r="BB22" i="135"/>
  <c r="AC22" i="122"/>
  <c r="AC24" i="122"/>
  <c r="AC26" i="122"/>
  <c r="AC28" i="122"/>
  <c r="AC30" i="122"/>
  <c r="R26" i="122"/>
  <c r="R28" i="122"/>
  <c r="R30" i="122"/>
  <c r="R32" i="122"/>
  <c r="P26" i="122"/>
  <c r="P28" i="122"/>
  <c r="P30" i="122"/>
  <c r="P32" i="122"/>
  <c r="AB44" i="121"/>
  <c r="AN44" i="121" s="1"/>
  <c r="AB46" i="121"/>
  <c r="AB48" i="121"/>
  <c r="AB50" i="121"/>
  <c r="AB52" i="121"/>
  <c r="AB54" i="121"/>
  <c r="M46" i="121"/>
  <c r="M48" i="121"/>
  <c r="M50" i="121"/>
  <c r="M52" i="121"/>
  <c r="M54" i="121"/>
  <c r="W28" i="119"/>
  <c r="W30" i="119"/>
  <c r="W27" i="123"/>
  <c r="W29" i="123"/>
  <c r="W31" i="123"/>
  <c r="W33" i="123"/>
  <c r="W40" i="111"/>
  <c r="W42" i="111"/>
  <c r="W44" i="111"/>
  <c r="W46" i="111"/>
  <c r="W48" i="111"/>
  <c r="W50" i="111"/>
  <c r="W52" i="111"/>
  <c r="W54" i="111"/>
  <c r="W56" i="111"/>
  <c r="W58" i="111"/>
  <c r="W60" i="111"/>
  <c r="W62" i="111"/>
  <c r="W64" i="111"/>
  <c r="W66" i="111"/>
  <c r="W68" i="111"/>
  <c r="W70" i="111"/>
  <c r="W72" i="111"/>
  <c r="W74" i="111"/>
  <c r="W76" i="111"/>
  <c r="W78" i="111"/>
  <c r="W80" i="111"/>
  <c r="AW26" i="122" l="1"/>
  <c r="AW28" i="122"/>
  <c r="AW30" i="122"/>
  <c r="AW46" i="121"/>
  <c r="AY46" i="121"/>
  <c r="AW44" i="121"/>
  <c r="AY44" i="121"/>
  <c r="AW48" i="121"/>
  <c r="AY48" i="121"/>
  <c r="BE54" i="121"/>
  <c r="AY54" i="121"/>
  <c r="AW54" i="121"/>
  <c r="AY52" i="121"/>
  <c r="AW52" i="121"/>
  <c r="AY50" i="121"/>
  <c r="AW50" i="121"/>
  <c r="BE50" i="121"/>
  <c r="BE52" i="121"/>
  <c r="BE48" i="121"/>
  <c r="BE46" i="121"/>
  <c r="BE44" i="121"/>
  <c r="BI44" i="121"/>
  <c r="AN52" i="121"/>
  <c r="BJ52" i="121"/>
  <c r="BI52" i="121"/>
  <c r="BJ48" i="121"/>
  <c r="BI48" i="121"/>
  <c r="AN48" i="121"/>
  <c r="BJ46" i="121"/>
  <c r="BI46" i="121"/>
  <c r="AN46" i="121"/>
  <c r="BJ54" i="121"/>
  <c r="BI54" i="121"/>
  <c r="AN54" i="121"/>
  <c r="BJ50" i="121"/>
  <c r="BI50" i="121"/>
  <c r="AN50" i="121"/>
  <c r="BJ44" i="121"/>
  <c r="AM141" i="110"/>
  <c r="AD11" i="111"/>
  <c r="AG10" i="123"/>
  <c r="AD11" i="120"/>
  <c r="AJ38" i="121" l="1"/>
  <c r="BG20" i="123"/>
  <c r="BG18" i="123"/>
  <c r="BG18" i="122" l="1"/>
  <c r="BG20" i="122"/>
  <c r="BG22" i="122"/>
  <c r="BG24" i="122"/>
  <c r="BG26" i="122"/>
  <c r="BG28" i="122"/>
  <c r="BG30" i="122"/>
  <c r="BG32" i="122"/>
  <c r="BG34" i="122"/>
  <c r="BG36" i="122"/>
  <c r="BG38" i="122"/>
  <c r="BG40" i="122"/>
  <c r="BG42" i="122"/>
  <c r="BG44" i="122"/>
  <c r="BG46" i="122"/>
  <c r="BG48" i="122"/>
  <c r="BG50" i="122"/>
  <c r="BG52" i="122"/>
  <c r="BG54" i="122"/>
  <c r="BG56" i="122"/>
  <c r="BG58" i="122"/>
  <c r="BG60" i="122"/>
  <c r="BG62" i="122"/>
  <c r="BG64" i="122"/>
  <c r="BG66" i="122"/>
  <c r="BG68" i="122"/>
  <c r="BG70" i="122"/>
  <c r="BG72" i="122"/>
  <c r="BG74" i="122"/>
  <c r="AZ18" i="133"/>
  <c r="AZ20" i="133"/>
  <c r="AZ22" i="133"/>
  <c r="AZ24" i="133"/>
  <c r="AZ26" i="133"/>
  <c r="AZ28" i="133"/>
  <c r="AZ30" i="133"/>
  <c r="AZ32" i="133"/>
  <c r="AZ34" i="133"/>
  <c r="BG20" i="121"/>
  <c r="BG22" i="121"/>
  <c r="BG24" i="121"/>
  <c r="BG26" i="121"/>
  <c r="BG28" i="121"/>
  <c r="BG30" i="121"/>
  <c r="BG32" i="121"/>
  <c r="BG34" i="121"/>
  <c r="BG36" i="121"/>
  <c r="AJ36" i="121" s="1"/>
  <c r="AV36" i="121" s="1"/>
  <c r="BG38" i="121"/>
  <c r="BG40" i="121"/>
  <c r="BG42" i="121"/>
  <c r="BG44" i="121"/>
  <c r="BG46" i="121"/>
  <c r="BG48" i="121"/>
  <c r="BG50" i="121"/>
  <c r="BG52" i="121"/>
  <c r="BG54" i="121"/>
  <c r="BG56" i="121"/>
  <c r="BG58" i="121"/>
  <c r="BG60" i="121"/>
  <c r="BG62" i="121"/>
  <c r="BG64" i="121"/>
  <c r="BG66" i="121"/>
  <c r="BG68" i="121"/>
  <c r="BG70" i="121"/>
  <c r="BG72" i="121"/>
  <c r="BG74" i="121"/>
  <c r="BG76" i="121"/>
  <c r="BG20" i="120"/>
  <c r="BG22" i="120"/>
  <c r="BG24" i="120"/>
  <c r="BG26" i="120"/>
  <c r="BG28" i="120"/>
  <c r="BG30" i="120"/>
  <c r="BG32" i="120"/>
  <c r="BG34" i="120"/>
  <c r="BG36" i="120"/>
  <c r="BG38" i="120"/>
  <c r="BG40" i="120"/>
  <c r="BG42" i="120"/>
  <c r="BG44" i="120"/>
  <c r="BG46" i="120"/>
  <c r="BG48" i="120"/>
  <c r="BG50" i="120"/>
  <c r="BG52" i="120"/>
  <c r="BG54" i="120"/>
  <c r="BG56" i="120"/>
  <c r="BG58" i="120"/>
  <c r="BG60" i="120"/>
  <c r="BG62" i="120"/>
  <c r="BG64" i="120"/>
  <c r="BG66" i="120"/>
  <c r="BG68" i="120"/>
  <c r="BG70" i="120"/>
  <c r="BG72" i="120"/>
  <c r="BG74" i="120"/>
  <c r="BG76" i="120"/>
  <c r="BH20" i="119"/>
  <c r="BH22" i="119"/>
  <c r="BH24" i="119"/>
  <c r="BH26" i="119"/>
  <c r="BH28" i="119"/>
  <c r="BH30" i="119"/>
  <c r="BH32" i="119"/>
  <c r="BH34" i="119"/>
  <c r="BH36" i="119"/>
  <c r="BH38" i="119"/>
  <c r="BH40" i="119"/>
  <c r="BH42" i="119"/>
  <c r="BH44" i="119"/>
  <c r="BH46" i="119"/>
  <c r="BH48" i="119"/>
  <c r="BH50" i="119"/>
  <c r="BH52" i="119"/>
  <c r="BH54" i="119"/>
  <c r="BH56" i="119"/>
  <c r="BH58" i="119"/>
  <c r="BH60" i="119"/>
  <c r="BH62" i="119"/>
  <c r="BH64" i="119"/>
  <c r="BH66" i="119"/>
  <c r="BH68" i="119"/>
  <c r="BH70" i="119"/>
  <c r="BH72" i="119"/>
  <c r="BH74" i="119"/>
  <c r="BH76" i="119"/>
  <c r="BG16" i="122"/>
  <c r="AK20" i="133"/>
  <c r="AK24" i="133"/>
  <c r="AK28" i="133"/>
  <c r="AK32" i="133"/>
  <c r="AK34" i="133"/>
  <c r="AZ16" i="133"/>
  <c r="BG18" i="121"/>
  <c r="BG18" i="120"/>
  <c r="BH18" i="119"/>
  <c r="BH28" i="111"/>
  <c r="BH30" i="111"/>
  <c r="BH32" i="111"/>
  <c r="BH34" i="111"/>
  <c r="BH36" i="111"/>
  <c r="BH38" i="111"/>
  <c r="BH40" i="111"/>
  <c r="BH42" i="111"/>
  <c r="BH44" i="111"/>
  <c r="BH46" i="111"/>
  <c r="BH48" i="111"/>
  <c r="BH50" i="111"/>
  <c r="BH52" i="111"/>
  <c r="BH54" i="111"/>
  <c r="BH56" i="111"/>
  <c r="BH58" i="111"/>
  <c r="BH60" i="111"/>
  <c r="BH62" i="111"/>
  <c r="BH64" i="111"/>
  <c r="BH66" i="111"/>
  <c r="BH68" i="111"/>
  <c r="BH70" i="111"/>
  <c r="BH72" i="111"/>
  <c r="BH74" i="111"/>
  <c r="BH76" i="111"/>
  <c r="BH78" i="111"/>
  <c r="BH80" i="111"/>
  <c r="BH26" i="111"/>
  <c r="EA2" i="110" l="1"/>
  <c r="DZ2" i="110"/>
  <c r="DY2" i="110"/>
  <c r="DX2" i="110"/>
  <c r="DW2" i="110"/>
  <c r="D204" i="3"/>
  <c r="D202" i="3"/>
  <c r="D200" i="3"/>
  <c r="C202" i="3"/>
  <c r="D201" i="3"/>
  <c r="B204" i="3"/>
  <c r="B202" i="3"/>
  <c r="C201" i="3"/>
  <c r="C200" i="3"/>
  <c r="D203" i="3"/>
  <c r="C204" i="3"/>
  <c r="B200" i="3"/>
  <c r="B201" i="3"/>
  <c r="C203" i="3"/>
  <c r="B203" i="3"/>
  <c r="BC42" i="111" l="1"/>
  <c r="BC44" i="111"/>
  <c r="BC48" i="111"/>
  <c r="BC50" i="111"/>
  <c r="BC52" i="111"/>
  <c r="BC54" i="111"/>
  <c r="BC56" i="111"/>
  <c r="BC58" i="111"/>
  <c r="BC60" i="111"/>
  <c r="BC62" i="111"/>
  <c r="BC64" i="111"/>
  <c r="BC66" i="111"/>
  <c r="BC68" i="111"/>
  <c r="BC70" i="111"/>
  <c r="BC72" i="111"/>
  <c r="BC74" i="111"/>
  <c r="BC76" i="111"/>
  <c r="BC78" i="111"/>
  <c r="BC80" i="111"/>
  <c r="BC26" i="111"/>
  <c r="BC26" i="120"/>
  <c r="BC30" i="120"/>
  <c r="BC32" i="120"/>
  <c r="BC36" i="120"/>
  <c r="BC38" i="120"/>
  <c r="BC40" i="120"/>
  <c r="BC42" i="120"/>
  <c r="BC44" i="120"/>
  <c r="BC48" i="120"/>
  <c r="BC50" i="120"/>
  <c r="BC54" i="120"/>
  <c r="BC56" i="120"/>
  <c r="BC58" i="120"/>
  <c r="BC60" i="120"/>
  <c r="BC62" i="120"/>
  <c r="BC64" i="120"/>
  <c r="BC66" i="120"/>
  <c r="BC68" i="120"/>
  <c r="BC70" i="120"/>
  <c r="BC72" i="120"/>
  <c r="BC74" i="120"/>
  <c r="BC76" i="120"/>
  <c r="BW2" i="110" l="1"/>
  <c r="BO2" i="110" l="1"/>
  <c r="Z19" i="81" l="1"/>
  <c r="E77" i="3"/>
  <c r="E120" i="3"/>
  <c r="E97" i="3"/>
  <c r="E145" i="3"/>
  <c r="E112" i="3"/>
  <c r="E126" i="3"/>
  <c r="C79" i="3"/>
  <c r="E127" i="3"/>
  <c r="E151" i="3"/>
  <c r="E176" i="3"/>
  <c r="E195" i="3"/>
  <c r="E170" i="3"/>
  <c r="E156" i="3"/>
  <c r="E119" i="3"/>
  <c r="E169" i="3"/>
  <c r="E84" i="3"/>
  <c r="D79" i="3"/>
  <c r="E149" i="3"/>
  <c r="E142" i="3"/>
  <c r="E79" i="3"/>
  <c r="E183" i="3"/>
  <c r="E85" i="3"/>
  <c r="E146" i="3"/>
  <c r="E163" i="3"/>
  <c r="E125" i="3"/>
  <c r="E109" i="3"/>
  <c r="E93" i="3"/>
  <c r="E75" i="3"/>
  <c r="E154" i="3"/>
  <c r="E153" i="3"/>
  <c r="E105" i="3"/>
  <c r="E173" i="3"/>
  <c r="E174" i="3"/>
  <c r="E104" i="3"/>
  <c r="E78" i="3"/>
  <c r="E150" i="3"/>
  <c r="E92" i="3"/>
  <c r="E114" i="3"/>
  <c r="E115" i="3"/>
  <c r="E90" i="3"/>
  <c r="E116" i="3"/>
  <c r="E186" i="3"/>
  <c r="E107" i="3"/>
  <c r="E96" i="3"/>
  <c r="E124" i="3"/>
  <c r="E122" i="3"/>
  <c r="E178" i="3"/>
  <c r="E118" i="3"/>
  <c r="E161" i="3"/>
  <c r="E166" i="3"/>
  <c r="E88" i="3"/>
  <c r="E157" i="3"/>
  <c r="E94" i="3"/>
  <c r="E130" i="3"/>
  <c r="E159" i="3"/>
  <c r="E152" i="3"/>
  <c r="E95" i="3"/>
  <c r="E147" i="3"/>
  <c r="E165" i="3"/>
  <c r="E98" i="3"/>
  <c r="E168" i="3"/>
  <c r="E99" i="3"/>
  <c r="B79" i="3"/>
  <c r="E86" i="3"/>
  <c r="E158" i="3"/>
  <c r="E148" i="3"/>
  <c r="E172" i="3"/>
  <c r="E74" i="3"/>
  <c r="E160" i="3"/>
  <c r="E117" i="3"/>
  <c r="E100" i="3"/>
  <c r="E121" i="3"/>
  <c r="E185" i="3"/>
  <c r="E101" i="3"/>
  <c r="E131" i="3"/>
  <c r="E188" i="3"/>
  <c r="E177" i="3"/>
  <c r="E194" i="3"/>
  <c r="E179" i="3"/>
  <c r="E132" i="3"/>
  <c r="E103" i="3"/>
  <c r="E162" i="3"/>
  <c r="E171" i="3"/>
  <c r="E76" i="3"/>
  <c r="E219" i="3"/>
  <c r="E106" i="3"/>
  <c r="E141" i="3"/>
  <c r="E91" i="3"/>
  <c r="E218" i="3"/>
  <c r="E128" i="3"/>
  <c r="E143" i="3"/>
  <c r="E87" i="3"/>
  <c r="E164" i="3"/>
  <c r="E196" i="3"/>
  <c r="E187" i="3"/>
  <c r="E167" i="3"/>
  <c r="E175" i="3"/>
  <c r="E144" i="3"/>
  <c r="E217" i="3"/>
  <c r="E155" i="3"/>
  <c r="X128" i="130" l="1"/>
  <c r="E80" i="3"/>
  <c r="C80" i="3"/>
  <c r="BP2" i="110" l="1"/>
  <c r="C31" i="55"/>
  <c r="E133" i="3"/>
  <c r="AC48" i="122" l="1"/>
  <c r="P48" i="122"/>
  <c r="R48" i="122"/>
  <c r="AW48" i="122" l="1"/>
  <c r="AZ16" i="122"/>
  <c r="BD18" i="122" l="1"/>
  <c r="BD20" i="122"/>
  <c r="BD22" i="122"/>
  <c r="BD24" i="122"/>
  <c r="BD26" i="122"/>
  <c r="BD28" i="122"/>
  <c r="BD30" i="122"/>
  <c r="BD32" i="122"/>
  <c r="BD34" i="122"/>
  <c r="BD36" i="122"/>
  <c r="BD38" i="122"/>
  <c r="BD40" i="122"/>
  <c r="BD42" i="122"/>
  <c r="BD44" i="122"/>
  <c r="BD46" i="122"/>
  <c r="BD48" i="122"/>
  <c r="BD50" i="122"/>
  <c r="BD52" i="122"/>
  <c r="BD54" i="122"/>
  <c r="BD56" i="122"/>
  <c r="BD58" i="122"/>
  <c r="BD60" i="122"/>
  <c r="BD62" i="122"/>
  <c r="BD64" i="122"/>
  <c r="BD66" i="122"/>
  <c r="BD68" i="122"/>
  <c r="BD70" i="122"/>
  <c r="BD72" i="122"/>
  <c r="BD74" i="122"/>
  <c r="R22" i="122"/>
  <c r="R24" i="122"/>
  <c r="R34" i="122"/>
  <c r="R36" i="122"/>
  <c r="R38" i="122"/>
  <c r="R40" i="122"/>
  <c r="R42" i="122"/>
  <c r="R44" i="122"/>
  <c r="R46" i="122"/>
  <c r="R50" i="122"/>
  <c r="R52" i="122"/>
  <c r="R54" i="122"/>
  <c r="R56" i="122"/>
  <c r="R58" i="122"/>
  <c r="R60" i="122"/>
  <c r="R62" i="122"/>
  <c r="R64" i="122"/>
  <c r="R66" i="122"/>
  <c r="R68" i="122"/>
  <c r="R70" i="122"/>
  <c r="R72" i="122"/>
  <c r="R74" i="122"/>
  <c r="R20" i="122"/>
  <c r="BA18" i="122" l="1"/>
  <c r="AY18" i="122"/>
  <c r="AX18" i="122"/>
  <c r="AZ18" i="122"/>
  <c r="AV18" i="122" l="1"/>
  <c r="AQ152" i="110"/>
  <c r="AD141" i="110"/>
  <c r="AB141" i="110"/>
  <c r="A141" i="110" l="1"/>
  <c r="BD16" i="122"/>
  <c r="BA16" i="122" l="1"/>
  <c r="AX16" i="122"/>
  <c r="AV16" i="122"/>
  <c r="AY16" i="122"/>
  <c r="P20" i="122" l="1"/>
  <c r="AW20" i="122" s="1"/>
  <c r="A140" i="110" l="1"/>
  <c r="E32" i="3"/>
  <c r="AR202" i="135" l="1"/>
  <c r="W202" i="135"/>
  <c r="B202" i="135"/>
  <c r="B201" i="135"/>
  <c r="B200" i="135"/>
  <c r="AX6" i="135"/>
  <c r="AW4" i="135"/>
  <c r="AI5" i="123" l="1"/>
  <c r="I32" i="3"/>
  <c r="EI2" i="110"/>
  <c r="AX145" i="135" l="1"/>
  <c r="AR280" i="110"/>
  <c r="BF18" i="70"/>
  <c r="BG18" i="70"/>
  <c r="BE18" i="70" s="1"/>
  <c r="BF20" i="70"/>
  <c r="BG20" i="70"/>
  <c r="BE20" i="70" s="1"/>
  <c r="BF22" i="70"/>
  <c r="BG22" i="70"/>
  <c r="BE22" i="70" s="1"/>
  <c r="BF24" i="70"/>
  <c r="BG24" i="70"/>
  <c r="BE24" i="70" s="1"/>
  <c r="BF26" i="70"/>
  <c r="BG26" i="70"/>
  <c r="BE26" i="70" s="1"/>
  <c r="BF28" i="70"/>
  <c r="BG28" i="70"/>
  <c r="BE28" i="70" s="1"/>
  <c r="BF30" i="70"/>
  <c r="BG30" i="70"/>
  <c r="BE30" i="70" s="1"/>
  <c r="BF32" i="70"/>
  <c r="BG32" i="70"/>
  <c r="BE32" i="70" s="1"/>
  <c r="BF34" i="70"/>
  <c r="BG34" i="70"/>
  <c r="BE34" i="70" s="1"/>
  <c r="T55" i="78" l="1"/>
  <c r="BC18" i="75" l="1"/>
  <c r="BC20" i="75"/>
  <c r="BC22" i="75"/>
  <c r="BC24" i="75"/>
  <c r="BC26" i="75"/>
  <c r="BC28" i="75"/>
  <c r="BC30" i="75"/>
  <c r="BC32" i="75"/>
  <c r="BC34" i="75"/>
  <c r="BE22" i="13" l="1"/>
  <c r="BE24" i="13"/>
  <c r="AR265" i="110"/>
  <c r="BE30" i="13"/>
  <c r="BE32" i="13"/>
  <c r="BE34" i="13"/>
  <c r="AK18" i="70"/>
  <c r="AK20" i="70"/>
  <c r="AR272" i="110" s="1"/>
  <c r="AK22" i="70"/>
  <c r="AR273" i="110" s="1"/>
  <c r="AK24" i="70"/>
  <c r="AR274" i="110" s="1"/>
  <c r="AK26" i="70"/>
  <c r="AR275" i="110" s="1"/>
  <c r="AK28" i="70"/>
  <c r="AE276" i="110" s="1"/>
  <c r="AK30" i="70"/>
  <c r="N277" i="110" s="1"/>
  <c r="AK32" i="70"/>
  <c r="AR278" i="110" s="1"/>
  <c r="AK34" i="70"/>
  <c r="AR279" i="110" s="1"/>
  <c r="AK16" i="71"/>
  <c r="O282" i="110" s="1"/>
  <c r="AK18" i="71"/>
  <c r="O283" i="110" s="1"/>
  <c r="AK20" i="71"/>
  <c r="AE284" i="110" s="1"/>
  <c r="AK22" i="71"/>
  <c r="M285" i="110" s="1"/>
  <c r="AK24" i="71"/>
  <c r="AK26" i="71"/>
  <c r="O287" i="110" s="1"/>
  <c r="AK28" i="71"/>
  <c r="N288" i="110" s="1"/>
  <c r="AK30" i="71"/>
  <c r="M289" i="110" s="1"/>
  <c r="AK32" i="71"/>
  <c r="AE290" i="110" s="1"/>
  <c r="AK34" i="71"/>
  <c r="BG16" i="72"/>
  <c r="AR293" i="110" s="1"/>
  <c r="BG20" i="72"/>
  <c r="AR295" i="110" s="1"/>
  <c r="BG22" i="72"/>
  <c r="BG24" i="72"/>
  <c r="BG26" i="72"/>
  <c r="BG28" i="72"/>
  <c r="AR299" i="110" s="1"/>
  <c r="BG30" i="72"/>
  <c r="BG32" i="72"/>
  <c r="BG34" i="72"/>
  <c r="AK20" i="73"/>
  <c r="O306" i="110" s="1"/>
  <c r="AK22" i="73"/>
  <c r="O307" i="110" s="1"/>
  <c r="AK24" i="73"/>
  <c r="N308" i="110" s="1"/>
  <c r="AK26" i="73"/>
  <c r="N309" i="110" s="1"/>
  <c r="AK28" i="73"/>
  <c r="N310" i="110" s="1"/>
  <c r="AK30" i="73"/>
  <c r="N311" i="110" s="1"/>
  <c r="AK32" i="73"/>
  <c r="L312" i="110" s="1"/>
  <c r="AK34" i="73"/>
  <c r="O313" i="110" s="1"/>
  <c r="AK18" i="74"/>
  <c r="L316" i="110" s="1"/>
  <c r="AK20" i="74"/>
  <c r="M317" i="110" s="1"/>
  <c r="AK22" i="74"/>
  <c r="M318" i="110" s="1"/>
  <c r="AK24" i="74"/>
  <c r="N319" i="110" s="1"/>
  <c r="AK26" i="74"/>
  <c r="N320" i="110" s="1"/>
  <c r="AK28" i="74"/>
  <c r="O321" i="110" s="1"/>
  <c r="AK30" i="74"/>
  <c r="AE322" i="110" s="1"/>
  <c r="AK32" i="74"/>
  <c r="AK34" i="74"/>
  <c r="AK18" i="75"/>
  <c r="O327" i="110" s="1"/>
  <c r="AK20" i="75"/>
  <c r="L328" i="110" s="1"/>
  <c r="AK22" i="75"/>
  <c r="M329" i="110" s="1"/>
  <c r="AK24" i="75"/>
  <c r="M330" i="110" s="1"/>
  <c r="AK26" i="75"/>
  <c r="O331" i="110" s="1"/>
  <c r="AK28" i="75"/>
  <c r="N332" i="110" s="1"/>
  <c r="AK30" i="75"/>
  <c r="O333" i="110" s="1"/>
  <c r="AK32" i="75"/>
  <c r="O334" i="110" s="1"/>
  <c r="AK34" i="75"/>
  <c r="AE335" i="110" s="1"/>
  <c r="AX36" i="63"/>
  <c r="AO36" i="64"/>
  <c r="AO38" i="64"/>
  <c r="AO40" i="64"/>
  <c r="AO42" i="64"/>
  <c r="AO44" i="64"/>
  <c r="AW16" i="65"/>
  <c r="AO36" i="65"/>
  <c r="AO38" i="65"/>
  <c r="AO40" i="65"/>
  <c r="AO42" i="65"/>
  <c r="AO44" i="65"/>
  <c r="AO36" i="66"/>
  <c r="AO38" i="66"/>
  <c r="AO40" i="66"/>
  <c r="AO42" i="66"/>
  <c r="AO44" i="66"/>
  <c r="AO36" i="132"/>
  <c r="AO38" i="132"/>
  <c r="AO40" i="132"/>
  <c r="AO42" i="132"/>
  <c r="AO44" i="132"/>
  <c r="AX16" i="134"/>
  <c r="AX18" i="134"/>
  <c r="AX20" i="134"/>
  <c r="AX22" i="134"/>
  <c r="AX24" i="134"/>
  <c r="AX26" i="134"/>
  <c r="AX28" i="134"/>
  <c r="AX30" i="134"/>
  <c r="AX32" i="134"/>
  <c r="AX34" i="134"/>
  <c r="BA20" i="133"/>
  <c r="BA24" i="133"/>
  <c r="BA28" i="133"/>
  <c r="BA32" i="133"/>
  <c r="BA34" i="133"/>
  <c r="N300" i="110"/>
  <c r="O301" i="110"/>
  <c r="N302" i="110"/>
  <c r="L268" i="110"/>
  <c r="P62" i="8"/>
  <c r="AX20" i="124"/>
  <c r="AX24" i="124"/>
  <c r="AX26" i="124"/>
  <c r="AX28" i="124"/>
  <c r="AX30" i="124"/>
  <c r="AX32" i="124"/>
  <c r="AX34" i="124"/>
  <c r="AU16" i="124"/>
  <c r="J226" i="110" s="1"/>
  <c r="AU18" i="124"/>
  <c r="AU20" i="124"/>
  <c r="J228" i="110" s="1"/>
  <c r="AU22" i="124"/>
  <c r="AU24" i="124"/>
  <c r="J230" i="110" s="1"/>
  <c r="AU26" i="124"/>
  <c r="J231" i="110" s="1"/>
  <c r="AU28" i="124"/>
  <c r="J232" i="110" s="1"/>
  <c r="AU30" i="124"/>
  <c r="J233" i="110" s="1"/>
  <c r="AU32" i="124"/>
  <c r="J234" i="110" s="1"/>
  <c r="AU34" i="124"/>
  <c r="J235" i="110" s="1"/>
  <c r="AU36" i="124"/>
  <c r="AU38" i="124"/>
  <c r="AU40" i="124"/>
  <c r="AU42" i="124"/>
  <c r="AU44" i="124"/>
  <c r="BE16" i="72"/>
  <c r="BE20" i="72"/>
  <c r="BE22" i="72"/>
  <c r="BE24" i="72"/>
  <c r="BE26" i="72"/>
  <c r="BE28" i="72"/>
  <c r="BE30" i="72"/>
  <c r="BE32" i="72"/>
  <c r="BE34" i="72"/>
  <c r="AH16" i="72"/>
  <c r="J293" i="110" s="1"/>
  <c r="AH18" i="72"/>
  <c r="J294" i="110" s="1"/>
  <c r="AH20" i="72"/>
  <c r="AH22" i="72"/>
  <c r="AH24" i="72"/>
  <c r="J297" i="110" s="1"/>
  <c r="AH26" i="72"/>
  <c r="J298" i="110" s="1"/>
  <c r="AH28" i="72"/>
  <c r="J299" i="110" s="1"/>
  <c r="AH30" i="72"/>
  <c r="J300" i="110" s="1"/>
  <c r="AH32" i="72"/>
  <c r="J301" i="110" s="1"/>
  <c r="AH34" i="72"/>
  <c r="J302" i="110" s="1"/>
  <c r="AK36" i="124"/>
  <c r="AY36" i="124" s="1"/>
  <c r="AK38" i="124"/>
  <c r="AY38" i="124" s="1"/>
  <c r="S16" i="65"/>
  <c r="BF22" i="13"/>
  <c r="BF24" i="13"/>
  <c r="BF28" i="13"/>
  <c r="BF30" i="13"/>
  <c r="BF32" i="13"/>
  <c r="BF34" i="13"/>
  <c r="BF16" i="72"/>
  <c r="BF20" i="72"/>
  <c r="BF22" i="72"/>
  <c r="BF24" i="72"/>
  <c r="BF26" i="72"/>
  <c r="BF28" i="72"/>
  <c r="BF30" i="72"/>
  <c r="BF32" i="72"/>
  <c r="BF34" i="72"/>
  <c r="AH16" i="13"/>
  <c r="J259" i="110" s="1"/>
  <c r="AX16" i="13"/>
  <c r="AW16" i="13"/>
  <c r="E259" i="110" s="1" a="1"/>
  <c r="E259" i="110" s="1"/>
  <c r="L205" i="110"/>
  <c r="L206" i="110"/>
  <c r="L207" i="110"/>
  <c r="L208" i="110"/>
  <c r="L209" i="110"/>
  <c r="L210" i="110"/>
  <c r="L211" i="110"/>
  <c r="L212" i="110"/>
  <c r="L213" i="110"/>
  <c r="L204" i="110"/>
  <c r="AU16" i="132"/>
  <c r="J237" i="110" s="1"/>
  <c r="AW16" i="132"/>
  <c r="AW34" i="65"/>
  <c r="AW32" i="65"/>
  <c r="AW30" i="65"/>
  <c r="AW28" i="65"/>
  <c r="AW26" i="65"/>
  <c r="AW24" i="65"/>
  <c r="AW22" i="65"/>
  <c r="AW20" i="65"/>
  <c r="AI16" i="124"/>
  <c r="AU18" i="63"/>
  <c r="AU18" i="65"/>
  <c r="AO18" i="65" s="1"/>
  <c r="AW16" i="133"/>
  <c r="AX16" i="133"/>
  <c r="AG128" i="110" s="1"/>
  <c r="AU16" i="133"/>
  <c r="J128" i="110" s="1"/>
  <c r="AW20" i="133"/>
  <c r="AX20" i="133"/>
  <c r="AG130" i="110" s="1"/>
  <c r="AQ130" i="110"/>
  <c r="AU20" i="133"/>
  <c r="J130" i="110" s="1"/>
  <c r="W205" i="110"/>
  <c r="E205" i="110" s="1"/>
  <c r="W206" i="110"/>
  <c r="K206" i="110" s="1"/>
  <c r="W207" i="110"/>
  <c r="K207" i="110" s="1"/>
  <c r="W208" i="110"/>
  <c r="E208" i="110" s="1"/>
  <c r="W209" i="110"/>
  <c r="E209" i="110" s="1"/>
  <c r="W210" i="110"/>
  <c r="E210" i="110" s="1"/>
  <c r="W211" i="110"/>
  <c r="E211" i="110" s="1"/>
  <c r="W212" i="110"/>
  <c r="K212" i="110" s="1"/>
  <c r="W213" i="110"/>
  <c r="K213" i="110" s="1"/>
  <c r="W204" i="110"/>
  <c r="K204" i="110" s="1"/>
  <c r="W129" i="110"/>
  <c r="E129" i="110" s="1"/>
  <c r="W130" i="110"/>
  <c r="E130" i="110" s="1"/>
  <c r="W131" i="110"/>
  <c r="E131" i="110" s="1"/>
  <c r="W132" i="110"/>
  <c r="E132" i="110" s="1"/>
  <c r="W133" i="110"/>
  <c r="E133" i="110" s="1"/>
  <c r="W134" i="110"/>
  <c r="E134" i="110" s="1"/>
  <c r="W135" i="110"/>
  <c r="E135" i="110" s="1"/>
  <c r="W136" i="110"/>
  <c r="E136" i="110" s="1"/>
  <c r="W137" i="110"/>
  <c r="E137" i="110" s="1"/>
  <c r="W128" i="110"/>
  <c r="E128" i="110" s="1"/>
  <c r="AV16" i="132"/>
  <c r="AU18" i="132"/>
  <c r="AU20" i="132"/>
  <c r="AU22" i="132"/>
  <c r="J241" i="110"/>
  <c r="J242" i="110"/>
  <c r="J243" i="110"/>
  <c r="J244" i="110"/>
  <c r="J245" i="110"/>
  <c r="J246" i="110"/>
  <c r="AI18" i="132"/>
  <c r="AI20" i="132"/>
  <c r="AI22" i="132"/>
  <c r="L18" i="132"/>
  <c r="L20" i="132"/>
  <c r="L22" i="132"/>
  <c r="AK20" i="134"/>
  <c r="AK16" i="134"/>
  <c r="AK18" i="134"/>
  <c r="AK22" i="134"/>
  <c r="AK24" i="134"/>
  <c r="AK26" i="134"/>
  <c r="AK28" i="134"/>
  <c r="AK30" i="134"/>
  <c r="AK32" i="134"/>
  <c r="AK34" i="134"/>
  <c r="T20" i="134"/>
  <c r="AU20" i="134" s="1"/>
  <c r="J250" i="110" s="1"/>
  <c r="T16" i="134"/>
  <c r="AU16" i="134" s="1"/>
  <c r="T18" i="134"/>
  <c r="AU18" i="134" s="1"/>
  <c r="J249" i="110" s="1"/>
  <c r="T22" i="134"/>
  <c r="AU22" i="134" s="1"/>
  <c r="J251" i="110" s="1"/>
  <c r="T24" i="134"/>
  <c r="AU24" i="134" s="1"/>
  <c r="J252" i="110" s="1"/>
  <c r="T26" i="134"/>
  <c r="AU26" i="134" s="1"/>
  <c r="J253" i="110" s="1"/>
  <c r="T28" i="134"/>
  <c r="AU28" i="134" s="1"/>
  <c r="J254" i="110" s="1"/>
  <c r="T30" i="134"/>
  <c r="AU30" i="134" s="1"/>
  <c r="J255" i="110" s="1"/>
  <c r="T32" i="134"/>
  <c r="AU32" i="134" s="1"/>
  <c r="J256" i="110" s="1"/>
  <c r="T34" i="134"/>
  <c r="AU34" i="134" s="1"/>
  <c r="J257" i="110" s="1"/>
  <c r="AU36" i="134"/>
  <c r="AU38" i="134"/>
  <c r="AU40" i="134"/>
  <c r="AU42" i="134"/>
  <c r="AU44" i="134"/>
  <c r="AK18" i="65"/>
  <c r="AK16" i="65"/>
  <c r="AK20" i="65"/>
  <c r="AK22" i="65"/>
  <c r="AK24" i="65"/>
  <c r="AK26" i="65"/>
  <c r="AK28" i="65"/>
  <c r="AK30" i="65"/>
  <c r="AK32" i="65"/>
  <c r="AK34" i="65"/>
  <c r="AK36" i="65"/>
  <c r="AK38" i="65"/>
  <c r="AK40" i="65"/>
  <c r="AK42" i="65"/>
  <c r="AK44" i="65"/>
  <c r="AU16" i="65"/>
  <c r="J204" i="110" s="1"/>
  <c r="AU20" i="65"/>
  <c r="J206" i="110" s="1"/>
  <c r="AU22" i="65"/>
  <c r="AU24" i="65"/>
  <c r="J208" i="110" s="1"/>
  <c r="AU26" i="65"/>
  <c r="J209" i="110" s="1"/>
  <c r="AU28" i="65"/>
  <c r="J210" i="110" s="1"/>
  <c r="AU30" i="65"/>
  <c r="J211" i="110" s="1"/>
  <c r="AU32" i="65"/>
  <c r="J212" i="110" s="1"/>
  <c r="AU34" i="65"/>
  <c r="AU36" i="65"/>
  <c r="AU38" i="65"/>
  <c r="AU40" i="65"/>
  <c r="AU42" i="65"/>
  <c r="AU44" i="65"/>
  <c r="AW18" i="133"/>
  <c r="AW22" i="133"/>
  <c r="AW24" i="133"/>
  <c r="AF132" i="110" s="1"/>
  <c r="AW26" i="133"/>
  <c r="AW28" i="133"/>
  <c r="AF134" i="110" s="1"/>
  <c r="AW30" i="133"/>
  <c r="AW32" i="133"/>
  <c r="AF136" i="110" s="1"/>
  <c r="AW34" i="133"/>
  <c r="AF137" i="110" s="1"/>
  <c r="AV20" i="133"/>
  <c r="AV24" i="133"/>
  <c r="AV28" i="133"/>
  <c r="AV32" i="133"/>
  <c r="AV34" i="133"/>
  <c r="AU18" i="133"/>
  <c r="J129" i="110" s="1"/>
  <c r="AU22" i="133"/>
  <c r="J131" i="110" s="1"/>
  <c r="AU24" i="133"/>
  <c r="J132" i="110" s="1"/>
  <c r="AU26" i="133"/>
  <c r="J133" i="110" s="1"/>
  <c r="AU28" i="133"/>
  <c r="J134" i="110" s="1"/>
  <c r="AU30" i="133"/>
  <c r="J135" i="110" s="1"/>
  <c r="AU32" i="133"/>
  <c r="J136" i="110" s="1"/>
  <c r="AU34" i="133"/>
  <c r="J137" i="110" s="1"/>
  <c r="AQ132" i="110"/>
  <c r="AW16" i="73"/>
  <c r="E304" i="110" s="1"/>
  <c r="AX16" i="73"/>
  <c r="AW16" i="75"/>
  <c r="E326" i="110" s="1"/>
  <c r="AX16" i="75"/>
  <c r="E18" i="123"/>
  <c r="W35" i="123"/>
  <c r="W37" i="123"/>
  <c r="W39" i="123"/>
  <c r="W41" i="123"/>
  <c r="W43" i="123"/>
  <c r="W45" i="123"/>
  <c r="AJ47" i="123"/>
  <c r="E20" i="123"/>
  <c r="W54" i="123"/>
  <c r="W56" i="123"/>
  <c r="W58" i="123"/>
  <c r="W60" i="123"/>
  <c r="W62" i="123"/>
  <c r="W64" i="123"/>
  <c r="W66" i="123"/>
  <c r="W68" i="123"/>
  <c r="W70" i="123"/>
  <c r="W72" i="123"/>
  <c r="AJ74" i="123"/>
  <c r="M26" i="111"/>
  <c r="M28" i="111"/>
  <c r="M30" i="111"/>
  <c r="M32" i="111"/>
  <c r="M34" i="111"/>
  <c r="M36" i="111"/>
  <c r="M38" i="111"/>
  <c r="M40" i="111"/>
  <c r="AD13" i="110"/>
  <c r="M42" i="111"/>
  <c r="M44" i="111"/>
  <c r="M46" i="111"/>
  <c r="AD16" i="110"/>
  <c r="M48" i="111"/>
  <c r="BE48" i="111" s="1"/>
  <c r="M50" i="111"/>
  <c r="M52" i="111"/>
  <c r="AD19" i="110"/>
  <c r="M54" i="111"/>
  <c r="M56" i="111"/>
  <c r="M58" i="111"/>
  <c r="M60" i="111"/>
  <c r="M62" i="111"/>
  <c r="M64" i="111"/>
  <c r="AD25" i="110"/>
  <c r="M66" i="111"/>
  <c r="AD26" i="110"/>
  <c r="M68" i="111"/>
  <c r="BE68" i="111" s="1"/>
  <c r="M70" i="111"/>
  <c r="M72" i="111"/>
  <c r="M74" i="111"/>
  <c r="M76" i="111"/>
  <c r="M78" i="111"/>
  <c r="M80" i="111"/>
  <c r="K18" i="120"/>
  <c r="K20" i="120"/>
  <c r="K22" i="120"/>
  <c r="AU22" i="120" s="1"/>
  <c r="J68" i="110" s="1"/>
  <c r="K24" i="120"/>
  <c r="K26" i="120"/>
  <c r="K28" i="120"/>
  <c r="K30" i="120"/>
  <c r="K32" i="120"/>
  <c r="K34" i="120"/>
  <c r="K36" i="120"/>
  <c r="K38" i="120"/>
  <c r="K40" i="120"/>
  <c r="K42" i="120"/>
  <c r="K44" i="120"/>
  <c r="K46" i="120"/>
  <c r="K48" i="120"/>
  <c r="K50" i="120"/>
  <c r="K52" i="120"/>
  <c r="K54" i="120"/>
  <c r="K56" i="120"/>
  <c r="K58" i="120"/>
  <c r="K60" i="120"/>
  <c r="K62" i="120"/>
  <c r="K64" i="120"/>
  <c r="K66" i="120"/>
  <c r="K68" i="120"/>
  <c r="K70" i="120"/>
  <c r="K72" i="120"/>
  <c r="K74" i="120"/>
  <c r="K76" i="120"/>
  <c r="F97" i="110"/>
  <c r="Z98" i="110"/>
  <c r="Z100" i="110"/>
  <c r="F103" i="110"/>
  <c r="F106" i="110"/>
  <c r="F109" i="110"/>
  <c r="F112" i="110"/>
  <c r="Z113" i="110"/>
  <c r="F115" i="110"/>
  <c r="M56" i="121"/>
  <c r="AB56" i="121"/>
  <c r="Z116" i="110" s="1"/>
  <c r="M58" i="121"/>
  <c r="AB58" i="121"/>
  <c r="M60" i="121"/>
  <c r="AB60" i="121"/>
  <c r="F118" i="110" s="1"/>
  <c r="M62" i="121"/>
  <c r="AB62" i="121"/>
  <c r="M64" i="121"/>
  <c r="AB64" i="121"/>
  <c r="M66" i="121"/>
  <c r="AB66" i="121"/>
  <c r="F121" i="110" s="1"/>
  <c r="M68" i="121"/>
  <c r="AB68" i="121"/>
  <c r="M70" i="121"/>
  <c r="AB70" i="121"/>
  <c r="M72" i="121"/>
  <c r="AB72" i="121"/>
  <c r="F124" i="110" s="1"/>
  <c r="M74" i="121"/>
  <c r="AB74" i="121"/>
  <c r="Z125" i="110" s="1"/>
  <c r="M76" i="121"/>
  <c r="AB76" i="121"/>
  <c r="F126" i="110" s="1"/>
  <c r="AI20" i="134"/>
  <c r="AW20" i="134" s="1"/>
  <c r="AI16" i="133"/>
  <c r="AI20" i="133"/>
  <c r="Z151" i="110"/>
  <c r="F153" i="110"/>
  <c r="P22" i="122"/>
  <c r="P24" i="122"/>
  <c r="AW24" i="122" s="1"/>
  <c r="Z157" i="110"/>
  <c r="Z158" i="110"/>
  <c r="AC32" i="122"/>
  <c r="AW32" i="122" s="1"/>
  <c r="P34" i="122"/>
  <c r="AC34" i="122"/>
  <c r="P36" i="122"/>
  <c r="Z161" i="110"/>
  <c r="AC36" i="122"/>
  <c r="P38" i="122"/>
  <c r="AC38" i="122"/>
  <c r="T162" i="110" s="1"/>
  <c r="P40" i="122"/>
  <c r="AC40" i="122"/>
  <c r="T163" i="110" s="1"/>
  <c r="P42" i="122"/>
  <c r="AC42" i="122"/>
  <c r="T164" i="110" s="1"/>
  <c r="P44" i="122"/>
  <c r="F165" i="110"/>
  <c r="AC44" i="122"/>
  <c r="P46" i="122"/>
  <c r="Z166" i="110"/>
  <c r="AC46" i="122"/>
  <c r="P50" i="122"/>
  <c r="AC50" i="122"/>
  <c r="T168" i="110" s="1"/>
  <c r="P52" i="122"/>
  <c r="AC52" i="122"/>
  <c r="T169" i="110" s="1"/>
  <c r="P54" i="122"/>
  <c r="AC54" i="122"/>
  <c r="T170" i="110" s="1"/>
  <c r="P56" i="122"/>
  <c r="AC56" i="122"/>
  <c r="P58" i="122"/>
  <c r="AC58" i="122"/>
  <c r="T172" i="110" s="1"/>
  <c r="P60" i="122"/>
  <c r="Z173" i="110"/>
  <c r="AC60" i="122"/>
  <c r="T173" i="110" s="1"/>
  <c r="P62" i="122"/>
  <c r="Z174" i="110"/>
  <c r="AC62" i="122"/>
  <c r="T174" i="110" s="1"/>
  <c r="P64" i="122"/>
  <c r="AC64" i="122"/>
  <c r="T175" i="110" s="1"/>
  <c r="P66" i="122"/>
  <c r="AC66" i="122"/>
  <c r="P68" i="122"/>
  <c r="F177" i="110"/>
  <c r="AC68" i="122"/>
  <c r="P70" i="122"/>
  <c r="Z178" i="110"/>
  <c r="AC70" i="122"/>
  <c r="T178" i="110" s="1"/>
  <c r="P72" i="122"/>
  <c r="S179" i="110" s="1"/>
  <c r="AC72" i="122"/>
  <c r="P74" i="122"/>
  <c r="AC74" i="122"/>
  <c r="T180" i="110" s="1"/>
  <c r="AX18" i="133"/>
  <c r="AG129" i="110" s="1"/>
  <c r="AX22" i="133"/>
  <c r="AG131" i="110" s="1"/>
  <c r="AX24" i="133"/>
  <c r="AG132" i="110" s="1"/>
  <c r="AY24" i="133"/>
  <c r="AX26" i="133"/>
  <c r="AG133" i="110" s="1"/>
  <c r="AX28" i="133"/>
  <c r="AG134" i="110" s="1"/>
  <c r="AY28" i="133"/>
  <c r="AX30" i="133"/>
  <c r="AG135" i="110" s="1"/>
  <c r="AX32" i="133"/>
  <c r="AG136" i="110" s="1"/>
  <c r="AY32" i="133"/>
  <c r="AX34" i="133"/>
  <c r="AG137" i="110" s="1"/>
  <c r="AY34" i="133"/>
  <c r="AY20" i="133"/>
  <c r="S20" i="65"/>
  <c r="I22" i="63"/>
  <c r="I18" i="63"/>
  <c r="A249" i="110"/>
  <c r="G249" i="110"/>
  <c r="H249" i="110"/>
  <c r="I249" i="110"/>
  <c r="L249" i="110"/>
  <c r="U249" i="110"/>
  <c r="W249" i="110"/>
  <c r="E249" i="110" s="1"/>
  <c r="Y249" i="110"/>
  <c r="A250" i="110"/>
  <c r="G250" i="110"/>
  <c r="H250" i="110"/>
  <c r="I250" i="110"/>
  <c r="L250" i="110"/>
  <c r="U250" i="110"/>
  <c r="W250" i="110"/>
  <c r="E250" i="110" s="1"/>
  <c r="Y250" i="110"/>
  <c r="A251" i="110"/>
  <c r="G251" i="110"/>
  <c r="H251" i="110"/>
  <c r="I251" i="110"/>
  <c r="L251" i="110"/>
  <c r="U251" i="110"/>
  <c r="W251" i="110"/>
  <c r="E251" i="110" s="1"/>
  <c r="Y251" i="110"/>
  <c r="A252" i="110"/>
  <c r="G252" i="110"/>
  <c r="H252" i="110"/>
  <c r="I252" i="110"/>
  <c r="L252" i="110"/>
  <c r="U252" i="110"/>
  <c r="W252" i="110"/>
  <c r="E252" i="110" s="1"/>
  <c r="Y252" i="110"/>
  <c r="A253" i="110"/>
  <c r="G253" i="110"/>
  <c r="H253" i="110"/>
  <c r="I253" i="110"/>
  <c r="L253" i="110"/>
  <c r="U253" i="110"/>
  <c r="W253" i="110"/>
  <c r="E253" i="110" s="1"/>
  <c r="Y253" i="110"/>
  <c r="A254" i="110"/>
  <c r="G254" i="110"/>
  <c r="H254" i="110"/>
  <c r="I254" i="110"/>
  <c r="L254" i="110"/>
  <c r="U254" i="110"/>
  <c r="W254" i="110"/>
  <c r="E254" i="110" s="1"/>
  <c r="Y254" i="110"/>
  <c r="A255" i="110"/>
  <c r="G255" i="110"/>
  <c r="H255" i="110"/>
  <c r="I255" i="110"/>
  <c r="L255" i="110"/>
  <c r="U255" i="110"/>
  <c r="W255" i="110"/>
  <c r="E255" i="110" s="1"/>
  <c r="Y255" i="110"/>
  <c r="A256" i="110"/>
  <c r="G256" i="110"/>
  <c r="H256" i="110"/>
  <c r="I256" i="110"/>
  <c r="L256" i="110"/>
  <c r="U256" i="110"/>
  <c r="W256" i="110"/>
  <c r="E256" i="110" s="1"/>
  <c r="Y256" i="110"/>
  <c r="A257" i="110"/>
  <c r="G257" i="110"/>
  <c r="H257" i="110"/>
  <c r="I257" i="110"/>
  <c r="L257" i="110"/>
  <c r="U257" i="110"/>
  <c r="W257" i="110"/>
  <c r="E257" i="110" s="1"/>
  <c r="Y257" i="110"/>
  <c r="Y248" i="110"/>
  <c r="W248" i="110"/>
  <c r="E248" i="110" s="1"/>
  <c r="U248" i="110"/>
  <c r="L248" i="110"/>
  <c r="I248" i="110"/>
  <c r="H248" i="110"/>
  <c r="G248" i="110"/>
  <c r="A247" i="110"/>
  <c r="A248" i="110"/>
  <c r="S24" i="65"/>
  <c r="A129" i="110"/>
  <c r="A130" i="110"/>
  <c r="A131" i="110"/>
  <c r="A132" i="110"/>
  <c r="A133" i="110"/>
  <c r="A134" i="110"/>
  <c r="A135" i="110"/>
  <c r="A136" i="110"/>
  <c r="A137" i="110"/>
  <c r="A128" i="110"/>
  <c r="F129" i="110"/>
  <c r="G129" i="110"/>
  <c r="H129" i="110"/>
  <c r="I129" i="110"/>
  <c r="L129" i="110"/>
  <c r="U129" i="110"/>
  <c r="Y129" i="110"/>
  <c r="AO129" i="110"/>
  <c r="F130" i="110"/>
  <c r="G130" i="110"/>
  <c r="H130" i="110"/>
  <c r="I130" i="110"/>
  <c r="L130" i="110"/>
  <c r="U130" i="110"/>
  <c r="Y130" i="110"/>
  <c r="AO130" i="110"/>
  <c r="F131" i="110"/>
  <c r="G131" i="110"/>
  <c r="H131" i="110"/>
  <c r="I131" i="110"/>
  <c r="L131" i="110"/>
  <c r="U131" i="110"/>
  <c r="Y131" i="110"/>
  <c r="AO131" i="110"/>
  <c r="F132" i="110"/>
  <c r="G132" i="110"/>
  <c r="H132" i="110"/>
  <c r="I132" i="110"/>
  <c r="L132" i="110"/>
  <c r="U132" i="110"/>
  <c r="Y132" i="110"/>
  <c r="AO132" i="110"/>
  <c r="F133" i="110"/>
  <c r="G133" i="110"/>
  <c r="H133" i="110"/>
  <c r="I133" i="110"/>
  <c r="L133" i="110"/>
  <c r="U133" i="110"/>
  <c r="Y133" i="110"/>
  <c r="AO133" i="110"/>
  <c r="F134" i="110"/>
  <c r="G134" i="110"/>
  <c r="H134" i="110"/>
  <c r="I134" i="110"/>
  <c r="L134" i="110"/>
  <c r="U134" i="110"/>
  <c r="Y134" i="110"/>
  <c r="AO134" i="110"/>
  <c r="F135" i="110"/>
  <c r="G135" i="110"/>
  <c r="H135" i="110"/>
  <c r="I135" i="110"/>
  <c r="L135" i="110"/>
  <c r="U135" i="110"/>
  <c r="Y135" i="110"/>
  <c r="AO135" i="110"/>
  <c r="F136" i="110"/>
  <c r="G136" i="110"/>
  <c r="H136" i="110"/>
  <c r="I136" i="110"/>
  <c r="L136" i="110"/>
  <c r="U136" i="110"/>
  <c r="Y136" i="110"/>
  <c r="AO136" i="110"/>
  <c r="F137" i="110"/>
  <c r="G137" i="110"/>
  <c r="H137" i="110"/>
  <c r="I137" i="110"/>
  <c r="L137" i="110"/>
  <c r="U137" i="110"/>
  <c r="Y137" i="110"/>
  <c r="AO137" i="110"/>
  <c r="AO128" i="110"/>
  <c r="Y128" i="110"/>
  <c r="U128" i="110"/>
  <c r="L128" i="110"/>
  <c r="I128" i="110"/>
  <c r="H128" i="110"/>
  <c r="G128" i="110"/>
  <c r="F128" i="110"/>
  <c r="A127" i="110"/>
  <c r="AL127" i="110"/>
  <c r="AK127" i="110"/>
  <c r="AJ127" i="110"/>
  <c r="S22" i="65"/>
  <c r="S26" i="65"/>
  <c r="S28" i="65"/>
  <c r="S30" i="65"/>
  <c r="S32" i="65"/>
  <c r="S34" i="65"/>
  <c r="BC20" i="73"/>
  <c r="BC22" i="73"/>
  <c r="BC24" i="73"/>
  <c r="BC26" i="73"/>
  <c r="BC28" i="73"/>
  <c r="BC30" i="73"/>
  <c r="BC32" i="73"/>
  <c r="BC34" i="73"/>
  <c r="BC20" i="72"/>
  <c r="R295" i="110" s="1"/>
  <c r="BC22" i="72"/>
  <c r="R296" i="110" s="1"/>
  <c r="BC24" i="72"/>
  <c r="R297" i="110" s="1"/>
  <c r="BC26" i="72"/>
  <c r="R298" i="110" s="1"/>
  <c r="BC28" i="72"/>
  <c r="R299" i="110" s="1"/>
  <c r="BC30" i="72"/>
  <c r="BC32" i="72"/>
  <c r="BC34" i="72"/>
  <c r="BC16" i="72"/>
  <c r="R293" i="110" s="1"/>
  <c r="BC18" i="71"/>
  <c r="BC20" i="71"/>
  <c r="BC22" i="71"/>
  <c r="BC24" i="71"/>
  <c r="BC26" i="71"/>
  <c r="BC28" i="71"/>
  <c r="BC30" i="71"/>
  <c r="BC32" i="71"/>
  <c r="BC34" i="71"/>
  <c r="BC16" i="71"/>
  <c r="BC18" i="70"/>
  <c r="BC20" i="70"/>
  <c r="BC22" i="70"/>
  <c r="BC24" i="70"/>
  <c r="BC26" i="70"/>
  <c r="BC28" i="70"/>
  <c r="BC30" i="70"/>
  <c r="BC32" i="70"/>
  <c r="BC34" i="70"/>
  <c r="BC22" i="13"/>
  <c r="R262" i="110" s="1"/>
  <c r="BC24" i="13"/>
  <c r="R263" i="110" s="1"/>
  <c r="BC28" i="13"/>
  <c r="R265" i="110" s="1"/>
  <c r="BC30" i="13"/>
  <c r="R266" i="110" s="1"/>
  <c r="BC32" i="13"/>
  <c r="R267" i="110" s="1"/>
  <c r="BC34" i="13"/>
  <c r="R268" i="110" s="1"/>
  <c r="O293" i="110"/>
  <c r="T18" i="133"/>
  <c r="T20" i="133"/>
  <c r="T22" i="133"/>
  <c r="T24" i="133"/>
  <c r="T26" i="133"/>
  <c r="T28" i="133"/>
  <c r="T30" i="133"/>
  <c r="T32" i="133"/>
  <c r="T34" i="133"/>
  <c r="J18" i="133"/>
  <c r="J20" i="133"/>
  <c r="V130" i="110" s="1"/>
  <c r="J22" i="133"/>
  <c r="V131" i="110" s="1"/>
  <c r="J24" i="133"/>
  <c r="V132" i="110" s="1"/>
  <c r="J26" i="133"/>
  <c r="V133" i="110" s="1"/>
  <c r="J28" i="133"/>
  <c r="V134" i="110" s="1"/>
  <c r="J30" i="133"/>
  <c r="V135" i="110" s="1"/>
  <c r="J32" i="133"/>
  <c r="V136" i="110" s="1"/>
  <c r="J34" i="133"/>
  <c r="V137" i="110" s="1"/>
  <c r="T16" i="133"/>
  <c r="BC18" i="74"/>
  <c r="BC20" i="74"/>
  <c r="BC22" i="74"/>
  <c r="BC24" i="74"/>
  <c r="BC26" i="74"/>
  <c r="BC28" i="74"/>
  <c r="BC30" i="74"/>
  <c r="BC32" i="74"/>
  <c r="BC34" i="74"/>
  <c r="I20" i="63"/>
  <c r="AV18" i="134"/>
  <c r="AV22" i="134"/>
  <c r="AV24" i="134"/>
  <c r="AV26" i="134"/>
  <c r="AV28" i="134"/>
  <c r="AV30" i="134"/>
  <c r="AV32" i="134"/>
  <c r="AV34" i="134"/>
  <c r="N18" i="134"/>
  <c r="AI18" i="134"/>
  <c r="N20" i="134"/>
  <c r="N22" i="134"/>
  <c r="AI22" i="134"/>
  <c r="N24" i="134"/>
  <c r="AI24" i="134"/>
  <c r="AW24" i="134" s="1"/>
  <c r="N26" i="134"/>
  <c r="AI26" i="134"/>
  <c r="N28" i="134"/>
  <c r="AI28" i="134"/>
  <c r="AW28" i="134" s="1"/>
  <c r="N30" i="134"/>
  <c r="AI30" i="134"/>
  <c r="AW30" i="134" s="1"/>
  <c r="N32" i="134"/>
  <c r="AI32" i="134"/>
  <c r="AW32" i="134" s="1"/>
  <c r="N34" i="134"/>
  <c r="AI34" i="134"/>
  <c r="AW34" i="134" s="1"/>
  <c r="AI16" i="134"/>
  <c r="N16" i="134"/>
  <c r="AV20" i="134"/>
  <c r="AV16" i="134"/>
  <c r="AW16" i="72"/>
  <c r="AX16" i="72"/>
  <c r="AR202" i="134"/>
  <c r="W202" i="134"/>
  <c r="B202" i="134"/>
  <c r="B201" i="134"/>
  <c r="B200" i="134"/>
  <c r="AV44" i="134"/>
  <c r="AV42" i="134"/>
  <c r="AV40" i="134"/>
  <c r="AV38" i="134"/>
  <c r="AV36" i="134"/>
  <c r="AU12" i="134"/>
  <c r="AV6" i="134"/>
  <c r="S18" i="65"/>
  <c r="AV20" i="65"/>
  <c r="AV22" i="65"/>
  <c r="AV24" i="65"/>
  <c r="AV26" i="65"/>
  <c r="AV28" i="65"/>
  <c r="AV30" i="65"/>
  <c r="AV32" i="65"/>
  <c r="AV34" i="65"/>
  <c r="AI34" i="65"/>
  <c r="AI20" i="65"/>
  <c r="AI22" i="65"/>
  <c r="AI24" i="65"/>
  <c r="AI26" i="65"/>
  <c r="AI28" i="65"/>
  <c r="AI30" i="65"/>
  <c r="AI32" i="65"/>
  <c r="M20" i="65"/>
  <c r="M22" i="65"/>
  <c r="M24" i="65"/>
  <c r="M26" i="65"/>
  <c r="M28" i="65"/>
  <c r="M30" i="65"/>
  <c r="M32" i="65"/>
  <c r="M34" i="65"/>
  <c r="AV16" i="65"/>
  <c r="AI16" i="65"/>
  <c r="M16" i="65"/>
  <c r="AI18" i="133"/>
  <c r="AI22" i="133"/>
  <c r="AI24" i="133"/>
  <c r="AI26" i="133"/>
  <c r="AI28" i="133"/>
  <c r="AI30" i="133"/>
  <c r="AI32" i="133"/>
  <c r="AI34" i="133"/>
  <c r="J16" i="133"/>
  <c r="V128" i="110" s="1"/>
  <c r="AR202" i="133"/>
  <c r="W202" i="133"/>
  <c r="B202" i="133"/>
  <c r="B201" i="133"/>
  <c r="B200" i="133"/>
  <c r="AV6" i="133"/>
  <c r="AQ136" i="110"/>
  <c r="AQ134" i="110"/>
  <c r="AR262" i="110"/>
  <c r="AV18" i="65"/>
  <c r="M18" i="119"/>
  <c r="M20" i="119"/>
  <c r="AX20" i="119" s="1"/>
  <c r="AG36" i="110" s="1"/>
  <c r="M22" i="119"/>
  <c r="M24" i="119"/>
  <c r="AD38" i="110"/>
  <c r="M26" i="119"/>
  <c r="M28" i="119"/>
  <c r="M30" i="119"/>
  <c r="M32" i="119"/>
  <c r="W32" i="119"/>
  <c r="AD42" i="110" s="1"/>
  <c r="M34" i="119"/>
  <c r="W34" i="119"/>
  <c r="M36" i="119"/>
  <c r="W36" i="119"/>
  <c r="M38" i="119"/>
  <c r="W38" i="119"/>
  <c r="M40" i="119"/>
  <c r="W40" i="119"/>
  <c r="AD46" i="110" s="1"/>
  <c r="M42" i="119"/>
  <c r="W42" i="119"/>
  <c r="M44" i="119"/>
  <c r="W44" i="119"/>
  <c r="M46" i="119"/>
  <c r="W46" i="119"/>
  <c r="M48" i="119"/>
  <c r="W48" i="119"/>
  <c r="AD50" i="110" s="1"/>
  <c r="M50" i="119"/>
  <c r="W50" i="119"/>
  <c r="AD51" i="110" s="1"/>
  <c r="M52" i="119"/>
  <c r="W52" i="119"/>
  <c r="M54" i="119"/>
  <c r="W54" i="119"/>
  <c r="AD53" i="110" s="1"/>
  <c r="M56" i="119"/>
  <c r="W56" i="119"/>
  <c r="M58" i="119"/>
  <c r="W58" i="119"/>
  <c r="M60" i="119"/>
  <c r="W60" i="119"/>
  <c r="AD56" i="110" s="1"/>
  <c r="M62" i="119"/>
  <c r="W62" i="119"/>
  <c r="AD57" i="110" s="1"/>
  <c r="M64" i="119"/>
  <c r="W64" i="119"/>
  <c r="M66" i="119"/>
  <c r="W66" i="119"/>
  <c r="AD59" i="110" s="1"/>
  <c r="M68" i="119"/>
  <c r="W68" i="119"/>
  <c r="AD60" i="110" s="1"/>
  <c r="M70" i="119"/>
  <c r="W70" i="119"/>
  <c r="M72" i="119"/>
  <c r="W72" i="119"/>
  <c r="AD62" i="110" s="1"/>
  <c r="M74" i="119"/>
  <c r="W74" i="119"/>
  <c r="M76" i="119"/>
  <c r="W76" i="119"/>
  <c r="AD64" i="110" s="1"/>
  <c r="L182" i="110"/>
  <c r="I26" i="63"/>
  <c r="A183" i="110"/>
  <c r="AO36" i="124"/>
  <c r="AO38" i="124"/>
  <c r="AO40" i="124"/>
  <c r="AO42" i="124"/>
  <c r="AO44" i="124"/>
  <c r="L265" i="110"/>
  <c r="M267" i="110"/>
  <c r="G183" i="110"/>
  <c r="H183" i="110"/>
  <c r="I183" i="110"/>
  <c r="AU20" i="63"/>
  <c r="L183" i="110"/>
  <c r="U183" i="110"/>
  <c r="Y183" i="110"/>
  <c r="X37" i="55"/>
  <c r="A184" i="110"/>
  <c r="G184" i="110"/>
  <c r="H184" i="110"/>
  <c r="I184" i="110"/>
  <c r="AU22" i="63"/>
  <c r="L184" i="110"/>
  <c r="U184" i="110"/>
  <c r="Y184" i="110"/>
  <c r="A185" i="110"/>
  <c r="G185" i="110"/>
  <c r="H185" i="110"/>
  <c r="I185" i="110"/>
  <c r="AU24" i="63"/>
  <c r="L185" i="110"/>
  <c r="AV24" i="63"/>
  <c r="U185" i="110"/>
  <c r="I24" i="63"/>
  <c r="Y185" i="110"/>
  <c r="A186" i="110"/>
  <c r="G186" i="110"/>
  <c r="H186" i="110"/>
  <c r="I186" i="110"/>
  <c r="AU26" i="63"/>
  <c r="L186" i="110"/>
  <c r="AV26" i="63"/>
  <c r="U186" i="110"/>
  <c r="Y186" i="110"/>
  <c r="A187" i="110"/>
  <c r="G187" i="110"/>
  <c r="H187" i="110"/>
  <c r="I187" i="110"/>
  <c r="AU28" i="63"/>
  <c r="L187" i="110"/>
  <c r="U187" i="110"/>
  <c r="I28" i="63"/>
  <c r="Y187" i="110"/>
  <c r="A188" i="110"/>
  <c r="G188" i="110"/>
  <c r="H188" i="110"/>
  <c r="I188" i="110"/>
  <c r="AU30" i="63"/>
  <c r="L188" i="110"/>
  <c r="AV30" i="63"/>
  <c r="U188" i="110"/>
  <c r="I30" i="63"/>
  <c r="Y188" i="110"/>
  <c r="A189" i="110"/>
  <c r="G189" i="110"/>
  <c r="H189" i="110"/>
  <c r="I189" i="110"/>
  <c r="AU32" i="63"/>
  <c r="L189" i="110"/>
  <c r="U189" i="110"/>
  <c r="I32" i="63"/>
  <c r="Y189" i="110"/>
  <c r="A190" i="110"/>
  <c r="G190" i="110"/>
  <c r="H190" i="110"/>
  <c r="I190" i="110"/>
  <c r="AU34" i="63"/>
  <c r="L190" i="110"/>
  <c r="AV34" i="63"/>
  <c r="U190" i="110"/>
  <c r="I34" i="63"/>
  <c r="W34" i="63" s="1"/>
  <c r="Y190" i="110"/>
  <c r="A191" i="110"/>
  <c r="G191" i="110"/>
  <c r="H191" i="110"/>
  <c r="I191" i="110"/>
  <c r="AU36" i="63"/>
  <c r="J191" i="110" s="1"/>
  <c r="L191" i="110"/>
  <c r="AV36" i="63"/>
  <c r="U191" i="110"/>
  <c r="I36" i="63"/>
  <c r="W36" i="63" s="1"/>
  <c r="Y191" i="110"/>
  <c r="Y182" i="110"/>
  <c r="I182" i="110"/>
  <c r="H182" i="110"/>
  <c r="G182" i="110"/>
  <c r="AW36" i="63"/>
  <c r="AJ22" i="63"/>
  <c r="AJ24" i="63"/>
  <c r="AJ26" i="63"/>
  <c r="AJ28" i="63"/>
  <c r="AJ30" i="63"/>
  <c r="AJ32" i="63"/>
  <c r="AJ34" i="63"/>
  <c r="AJ36" i="63"/>
  <c r="AJ18" i="63"/>
  <c r="Z180" i="110"/>
  <c r="J31" i="55"/>
  <c r="G36" i="81" s="1"/>
  <c r="Q31" i="55"/>
  <c r="AE31" i="55"/>
  <c r="BA28" i="111"/>
  <c r="E7" i="110" s="1"/>
  <c r="BA20" i="120"/>
  <c r="E67" i="110" s="1"/>
  <c r="BA22" i="120"/>
  <c r="E68" i="110" s="1"/>
  <c r="AI16" i="64"/>
  <c r="AU16" i="64"/>
  <c r="J193" i="110" s="1"/>
  <c r="AI32" i="64"/>
  <c r="AU32" i="64"/>
  <c r="J201" i="110" s="1"/>
  <c r="AI16" i="132"/>
  <c r="A182" i="110"/>
  <c r="BA18" i="119"/>
  <c r="E35" i="110" s="1"/>
  <c r="BA74" i="119"/>
  <c r="E63" i="110" s="1"/>
  <c r="BC74" i="119"/>
  <c r="BD74" i="119"/>
  <c r="AI24" i="124"/>
  <c r="AW24" i="124" s="1"/>
  <c r="H238" i="110"/>
  <c r="I238" i="110"/>
  <c r="H239" i="110"/>
  <c r="I239" i="110"/>
  <c r="H240" i="110"/>
  <c r="I240" i="110"/>
  <c r="H241" i="110"/>
  <c r="I241" i="110"/>
  <c r="H242" i="110"/>
  <c r="I242" i="110"/>
  <c r="H243" i="110"/>
  <c r="I243" i="110"/>
  <c r="H244" i="110"/>
  <c r="I244" i="110"/>
  <c r="H245" i="110"/>
  <c r="I245" i="110"/>
  <c r="H246" i="110"/>
  <c r="I246" i="110"/>
  <c r="I237" i="110"/>
  <c r="H237" i="110"/>
  <c r="H227" i="110"/>
  <c r="H228" i="110"/>
  <c r="H229" i="110"/>
  <c r="H230" i="110"/>
  <c r="H231" i="110"/>
  <c r="H232" i="110"/>
  <c r="H233" i="110"/>
  <c r="H234" i="110"/>
  <c r="H235" i="110"/>
  <c r="I227" i="110"/>
  <c r="I228" i="110"/>
  <c r="I229" i="110"/>
  <c r="I230" i="110"/>
  <c r="I231" i="110"/>
  <c r="I232" i="110"/>
  <c r="I233" i="110"/>
  <c r="I234" i="110"/>
  <c r="I235" i="110"/>
  <c r="I226" i="110"/>
  <c r="H226" i="110"/>
  <c r="H216" i="110"/>
  <c r="I216" i="110"/>
  <c r="H217" i="110"/>
  <c r="I217" i="110"/>
  <c r="H218" i="110"/>
  <c r="I218" i="110"/>
  <c r="H219" i="110"/>
  <c r="I219" i="110"/>
  <c r="H220" i="110"/>
  <c r="I220" i="110"/>
  <c r="H221" i="110"/>
  <c r="I221" i="110"/>
  <c r="H222" i="110"/>
  <c r="I222" i="110"/>
  <c r="H223" i="110"/>
  <c r="I223" i="110"/>
  <c r="H224" i="110"/>
  <c r="I224" i="110"/>
  <c r="I215" i="110"/>
  <c r="H215" i="110"/>
  <c r="I205" i="110"/>
  <c r="I206" i="110"/>
  <c r="I207" i="110"/>
  <c r="I208" i="110"/>
  <c r="I209" i="110"/>
  <c r="I210" i="110"/>
  <c r="I211" i="110"/>
  <c r="I212" i="110"/>
  <c r="I213" i="110"/>
  <c r="I204" i="110"/>
  <c r="H205" i="110"/>
  <c r="H206" i="110"/>
  <c r="H207" i="110"/>
  <c r="H208" i="110"/>
  <c r="H209" i="110"/>
  <c r="H210" i="110"/>
  <c r="H211" i="110"/>
  <c r="H212" i="110"/>
  <c r="H213" i="110"/>
  <c r="H204" i="110"/>
  <c r="I194" i="110"/>
  <c r="I195" i="110"/>
  <c r="I196" i="110"/>
  <c r="I197" i="110"/>
  <c r="I198" i="110"/>
  <c r="I199" i="110"/>
  <c r="I200" i="110"/>
  <c r="I201" i="110"/>
  <c r="I202" i="110"/>
  <c r="I193" i="110"/>
  <c r="H194" i="110"/>
  <c r="H195" i="110"/>
  <c r="H196" i="110"/>
  <c r="H197" i="110"/>
  <c r="H198" i="110"/>
  <c r="H199" i="110"/>
  <c r="H200" i="110"/>
  <c r="H201" i="110"/>
  <c r="H202" i="110"/>
  <c r="H193" i="110"/>
  <c r="AU18" i="66"/>
  <c r="J216" i="110" s="1"/>
  <c r="AU20" i="66"/>
  <c r="AU22" i="66"/>
  <c r="J218" i="110" s="1"/>
  <c r="AU24" i="66"/>
  <c r="J219" i="110" s="1"/>
  <c r="AU26" i="66"/>
  <c r="J220" i="110" s="1"/>
  <c r="AU28" i="66"/>
  <c r="AU30" i="66"/>
  <c r="J222" i="110" s="1"/>
  <c r="AU32" i="66"/>
  <c r="J223" i="110" s="1"/>
  <c r="AU34" i="66"/>
  <c r="AU16" i="66"/>
  <c r="J215" i="110" s="1"/>
  <c r="AU18" i="64"/>
  <c r="J194" i="110" s="1"/>
  <c r="AU20" i="64"/>
  <c r="J195" i="110" s="1"/>
  <c r="AU22" i="64"/>
  <c r="J196" i="110" s="1"/>
  <c r="AU24" i="64"/>
  <c r="J197" i="110" s="1"/>
  <c r="AU26" i="64"/>
  <c r="J198" i="110" s="1"/>
  <c r="AU28" i="64"/>
  <c r="J199" i="110" s="1"/>
  <c r="AU30" i="64"/>
  <c r="J200" i="110" s="1"/>
  <c r="AU34" i="64"/>
  <c r="J202" i="110" s="1"/>
  <c r="N24" i="124"/>
  <c r="N16" i="124"/>
  <c r="N18" i="124"/>
  <c r="N20" i="124"/>
  <c r="N22" i="124"/>
  <c r="N26" i="124"/>
  <c r="N28" i="124"/>
  <c r="N30" i="124"/>
  <c r="N32" i="124"/>
  <c r="N34" i="124"/>
  <c r="N16" i="64"/>
  <c r="T16" i="64"/>
  <c r="N18" i="64"/>
  <c r="T18" i="64"/>
  <c r="N20" i="64"/>
  <c r="T20" i="64"/>
  <c r="N22" i="64"/>
  <c r="T22" i="64"/>
  <c r="N24" i="64"/>
  <c r="T24" i="64"/>
  <c r="N26" i="64"/>
  <c r="T26" i="64"/>
  <c r="N28" i="64"/>
  <c r="T28" i="64"/>
  <c r="N30" i="64"/>
  <c r="T30" i="64"/>
  <c r="N32" i="64"/>
  <c r="T32" i="64"/>
  <c r="N34" i="64"/>
  <c r="T34" i="64"/>
  <c r="M18" i="65"/>
  <c r="N16" i="66"/>
  <c r="T16" i="66"/>
  <c r="N18" i="66"/>
  <c r="T18" i="66"/>
  <c r="N20" i="66"/>
  <c r="T20" i="66"/>
  <c r="N22" i="66"/>
  <c r="T22" i="66"/>
  <c r="N24" i="66"/>
  <c r="T24" i="66"/>
  <c r="N26" i="66"/>
  <c r="T26" i="66"/>
  <c r="N28" i="66"/>
  <c r="T28" i="66"/>
  <c r="N30" i="66"/>
  <c r="T30" i="66"/>
  <c r="N32" i="66"/>
  <c r="T32" i="66"/>
  <c r="N34" i="66"/>
  <c r="T34" i="66"/>
  <c r="L16" i="132"/>
  <c r="A238" i="110"/>
  <c r="W238" i="110"/>
  <c r="E238" i="110" s="1"/>
  <c r="A239" i="110"/>
  <c r="W239" i="110"/>
  <c r="E239" i="110" s="1"/>
  <c r="A240" i="110"/>
  <c r="W240" i="110"/>
  <c r="E240" i="110" s="1"/>
  <c r="A241" i="110"/>
  <c r="W241" i="110"/>
  <c r="E241" i="110" s="1"/>
  <c r="A242" i="110"/>
  <c r="W242" i="110"/>
  <c r="E242" i="110" s="1"/>
  <c r="A243" i="110"/>
  <c r="W243" i="110"/>
  <c r="K243" i="110" s="1"/>
  <c r="A244" i="110"/>
  <c r="W244" i="110"/>
  <c r="E244" i="110" s="1"/>
  <c r="A245" i="110"/>
  <c r="W245" i="110"/>
  <c r="E245" i="110" s="1"/>
  <c r="A246" i="110"/>
  <c r="W246" i="110"/>
  <c r="K246" i="110" s="1"/>
  <c r="W237" i="110"/>
  <c r="K237" i="110" s="1"/>
  <c r="AV22" i="132"/>
  <c r="L227" i="110"/>
  <c r="L228" i="110"/>
  <c r="L229" i="110"/>
  <c r="L230" i="110"/>
  <c r="L231" i="110"/>
  <c r="L232" i="110"/>
  <c r="L233" i="110"/>
  <c r="L234" i="110"/>
  <c r="L235" i="110"/>
  <c r="L226" i="110"/>
  <c r="G238" i="110"/>
  <c r="U238" i="110"/>
  <c r="Y238" i="110"/>
  <c r="G239" i="110"/>
  <c r="U239" i="110"/>
  <c r="Y239" i="110"/>
  <c r="G240" i="110"/>
  <c r="U240" i="110"/>
  <c r="Y240" i="110"/>
  <c r="G241" i="110"/>
  <c r="U241" i="110"/>
  <c r="Y241" i="110"/>
  <c r="G242" i="110"/>
  <c r="U242" i="110"/>
  <c r="Y242" i="110"/>
  <c r="G243" i="110"/>
  <c r="U243" i="110"/>
  <c r="Y243" i="110"/>
  <c r="G244" i="110"/>
  <c r="U244" i="110"/>
  <c r="Y244" i="110"/>
  <c r="G245" i="110"/>
  <c r="U245" i="110"/>
  <c r="Y245" i="110"/>
  <c r="G246" i="110"/>
  <c r="U246" i="110"/>
  <c r="Y246" i="110"/>
  <c r="A237" i="110"/>
  <c r="Y237" i="110"/>
  <c r="U237" i="110"/>
  <c r="L217" i="110"/>
  <c r="L216" i="110"/>
  <c r="L215" i="110"/>
  <c r="G237" i="110"/>
  <c r="A236" i="110"/>
  <c r="AR202" i="132"/>
  <c r="W202" i="132"/>
  <c r="B202" i="132"/>
  <c r="AR201" i="8"/>
  <c r="B201" i="132"/>
  <c r="AU36" i="132"/>
  <c r="AU38" i="132"/>
  <c r="AU40" i="132"/>
  <c r="AU42" i="132"/>
  <c r="AU44" i="132"/>
  <c r="AR200" i="8"/>
  <c r="AR200" i="131" s="1"/>
  <c r="M200" i="8"/>
  <c r="B200" i="132"/>
  <c r="AV44" i="132"/>
  <c r="AK44" i="132"/>
  <c r="AI44" i="132"/>
  <c r="T44" i="132"/>
  <c r="N44" i="132"/>
  <c r="AV42" i="132"/>
  <c r="AK42" i="132"/>
  <c r="AI42" i="132"/>
  <c r="T42" i="132"/>
  <c r="N42" i="132"/>
  <c r="AV40" i="132"/>
  <c r="AK40" i="132"/>
  <c r="AI40" i="132"/>
  <c r="T40" i="132"/>
  <c r="N40" i="132"/>
  <c r="AV38" i="132"/>
  <c r="AK38" i="132"/>
  <c r="AI38" i="132"/>
  <c r="T38" i="132"/>
  <c r="N38" i="132"/>
  <c r="AV36" i="132"/>
  <c r="AK36" i="132"/>
  <c r="AI36" i="132"/>
  <c r="T36" i="132"/>
  <c r="N36" i="132"/>
  <c r="AU12" i="132"/>
  <c r="AV6" i="132"/>
  <c r="P5" i="109"/>
  <c r="C16" i="57" s="1"/>
  <c r="AX2" i="110" s="1"/>
  <c r="U5" i="109"/>
  <c r="U37" i="81" s="1"/>
  <c r="V5" i="109"/>
  <c r="J19" i="57" s="1"/>
  <c r="W5" i="109"/>
  <c r="Q19" i="57" s="1"/>
  <c r="Z38" i="81" s="1"/>
  <c r="X5" i="109"/>
  <c r="X19" i="57" s="1"/>
  <c r="D199" i="3"/>
  <c r="AU13" i="13"/>
  <c r="AU13" i="70"/>
  <c r="J5" i="72" s="1"/>
  <c r="AU13" i="71"/>
  <c r="O5" i="75" s="1"/>
  <c r="AU13" i="72"/>
  <c r="T5" i="72" s="1"/>
  <c r="AU13" i="73"/>
  <c r="Y5" i="70" s="1"/>
  <c r="AU13" i="74"/>
  <c r="AD5" i="75" s="1"/>
  <c r="AU13" i="75"/>
  <c r="AI5" i="13" s="1"/>
  <c r="F156" i="110"/>
  <c r="W26" i="79"/>
  <c r="W25" i="79"/>
  <c r="W24" i="79"/>
  <c r="W23" i="78"/>
  <c r="O26" i="126"/>
  <c r="O25" i="126"/>
  <c r="O22" i="126"/>
  <c r="G32" i="81"/>
  <c r="U30" i="81"/>
  <c r="U29" i="81"/>
  <c r="U28" i="81"/>
  <c r="Z27" i="81"/>
  <c r="U27" i="81"/>
  <c r="G25" i="81"/>
  <c r="G22" i="81"/>
  <c r="P8" i="109"/>
  <c r="P7" i="109"/>
  <c r="L35" i="81"/>
  <c r="K19" i="78"/>
  <c r="J19" i="126"/>
  <c r="K20" i="79"/>
  <c r="AD24" i="79"/>
  <c r="AD23" i="78"/>
  <c r="AR202" i="131"/>
  <c r="W202" i="131"/>
  <c r="B202" i="131"/>
  <c r="B201" i="131"/>
  <c r="B200" i="131"/>
  <c r="U45" i="81"/>
  <c r="BI2" i="110"/>
  <c r="A152" i="110"/>
  <c r="E152" i="110"/>
  <c r="D152" i="110" s="1"/>
  <c r="G152" i="110"/>
  <c r="H152" i="110"/>
  <c r="I152" i="110"/>
  <c r="U152" i="110"/>
  <c r="V152" i="110"/>
  <c r="W152" i="110"/>
  <c r="X152" i="110"/>
  <c r="Y152" i="110"/>
  <c r="AA152" i="110"/>
  <c r="AB152" i="110"/>
  <c r="AC152" i="110"/>
  <c r="AD152" i="110"/>
  <c r="AO152" i="110"/>
  <c r="A153" i="110"/>
  <c r="E153" i="110"/>
  <c r="D153" i="110" s="1"/>
  <c r="G153" i="110"/>
  <c r="H153" i="110"/>
  <c r="I153" i="110"/>
  <c r="U153" i="110"/>
  <c r="V153" i="110"/>
  <c r="W153" i="110"/>
  <c r="X153" i="110"/>
  <c r="Y153" i="110"/>
  <c r="AA153" i="110"/>
  <c r="AB153" i="110"/>
  <c r="AC153" i="110"/>
  <c r="AD153" i="110"/>
  <c r="AO153" i="110"/>
  <c r="A154" i="110"/>
  <c r="E154" i="110"/>
  <c r="D154" i="110" s="1"/>
  <c r="G154" i="110"/>
  <c r="H154" i="110"/>
  <c r="I154" i="110"/>
  <c r="U154" i="110"/>
  <c r="V154" i="110"/>
  <c r="W154" i="110"/>
  <c r="X154" i="110"/>
  <c r="Y154" i="110"/>
  <c r="AA154" i="110"/>
  <c r="AB154" i="110"/>
  <c r="AC154" i="110"/>
  <c r="AD154" i="110"/>
  <c r="AO154" i="110"/>
  <c r="A155" i="110"/>
  <c r="E155" i="110"/>
  <c r="D155" i="110" s="1"/>
  <c r="G155" i="110"/>
  <c r="H155" i="110"/>
  <c r="I155" i="110"/>
  <c r="U155" i="110"/>
  <c r="V155" i="110"/>
  <c r="W155" i="110"/>
  <c r="X155" i="110"/>
  <c r="Y155" i="110"/>
  <c r="AA155" i="110"/>
  <c r="AB155" i="110"/>
  <c r="AC155" i="110"/>
  <c r="AD155" i="110"/>
  <c r="AO155" i="110"/>
  <c r="A156" i="110"/>
  <c r="E156" i="110"/>
  <c r="D156" i="110" s="1"/>
  <c r="G156" i="110"/>
  <c r="H156" i="110"/>
  <c r="I156" i="110"/>
  <c r="U156" i="110"/>
  <c r="V156" i="110"/>
  <c r="W156" i="110"/>
  <c r="X156" i="110"/>
  <c r="Y156" i="110"/>
  <c r="AA156" i="110"/>
  <c r="AB156" i="110"/>
  <c r="AC156" i="110"/>
  <c r="AD156" i="110"/>
  <c r="AO156" i="110"/>
  <c r="A157" i="110"/>
  <c r="E157" i="110"/>
  <c r="D157" i="110" s="1"/>
  <c r="G157" i="110"/>
  <c r="H157" i="110"/>
  <c r="I157" i="110"/>
  <c r="U157" i="110"/>
  <c r="V157" i="110"/>
  <c r="W157" i="110"/>
  <c r="X157" i="110"/>
  <c r="Y157" i="110"/>
  <c r="AA157" i="110"/>
  <c r="AB157" i="110"/>
  <c r="AC157" i="110"/>
  <c r="AD157" i="110"/>
  <c r="AO157" i="110"/>
  <c r="A158" i="110"/>
  <c r="E158" i="110"/>
  <c r="D158" i="110" s="1"/>
  <c r="G158" i="110"/>
  <c r="H158" i="110"/>
  <c r="I158" i="110"/>
  <c r="U158" i="110"/>
  <c r="V158" i="110"/>
  <c r="W158" i="110"/>
  <c r="X158" i="110"/>
  <c r="Y158" i="110"/>
  <c r="AA158" i="110"/>
  <c r="AB158" i="110"/>
  <c r="AC158" i="110"/>
  <c r="AD158" i="110"/>
  <c r="AO158" i="110"/>
  <c r="A159" i="110"/>
  <c r="E159" i="110"/>
  <c r="D159" i="110" s="1"/>
  <c r="G159" i="110"/>
  <c r="H159" i="110"/>
  <c r="I159" i="110"/>
  <c r="U159" i="110"/>
  <c r="V159" i="110"/>
  <c r="W159" i="110"/>
  <c r="X159" i="110"/>
  <c r="Y159" i="110"/>
  <c r="AA159" i="110"/>
  <c r="AB159" i="110"/>
  <c r="AC159" i="110"/>
  <c r="AD159" i="110"/>
  <c r="AO159" i="110"/>
  <c r="A160" i="110"/>
  <c r="E160" i="110"/>
  <c r="D160" i="110" s="1"/>
  <c r="G160" i="110"/>
  <c r="H160" i="110"/>
  <c r="I160" i="110"/>
  <c r="U160" i="110"/>
  <c r="V160" i="110"/>
  <c r="W160" i="110"/>
  <c r="X160" i="110"/>
  <c r="Y160" i="110"/>
  <c r="AA160" i="110"/>
  <c r="AB160" i="110"/>
  <c r="AC160" i="110"/>
  <c r="AD160" i="110"/>
  <c r="AO160" i="110"/>
  <c r="A161" i="110"/>
  <c r="E161" i="110"/>
  <c r="D161" i="110" s="1"/>
  <c r="G161" i="110"/>
  <c r="H161" i="110"/>
  <c r="I161" i="110"/>
  <c r="U161" i="110"/>
  <c r="V161" i="110"/>
  <c r="W161" i="110"/>
  <c r="X161" i="110"/>
  <c r="Y161" i="110"/>
  <c r="AA161" i="110"/>
  <c r="AB161" i="110"/>
  <c r="AC161" i="110"/>
  <c r="AD161" i="110"/>
  <c r="AO161" i="110"/>
  <c r="A162" i="110"/>
  <c r="E162" i="110"/>
  <c r="D162" i="110" s="1"/>
  <c r="G162" i="110"/>
  <c r="H162" i="110"/>
  <c r="I162" i="110"/>
  <c r="U162" i="110"/>
  <c r="V162" i="110"/>
  <c r="W162" i="110"/>
  <c r="X162" i="110"/>
  <c r="Y162" i="110"/>
  <c r="AA162" i="110"/>
  <c r="AB162" i="110"/>
  <c r="AC162" i="110"/>
  <c r="AD162" i="110"/>
  <c r="AO162" i="110"/>
  <c r="A163" i="110"/>
  <c r="E163" i="110"/>
  <c r="D163" i="110" s="1"/>
  <c r="G163" i="110"/>
  <c r="H163" i="110"/>
  <c r="I163" i="110"/>
  <c r="U163" i="110"/>
  <c r="V163" i="110"/>
  <c r="W163" i="110"/>
  <c r="X163" i="110"/>
  <c r="Y163" i="110"/>
  <c r="AA163" i="110"/>
  <c r="AB163" i="110"/>
  <c r="AC163" i="110"/>
  <c r="AD163" i="110"/>
  <c r="AO163" i="110"/>
  <c r="A164" i="110"/>
  <c r="E164" i="110"/>
  <c r="D164" i="110" s="1"/>
  <c r="G164" i="110"/>
  <c r="H164" i="110"/>
  <c r="I164" i="110"/>
  <c r="U164" i="110"/>
  <c r="V164" i="110"/>
  <c r="W164" i="110"/>
  <c r="X164" i="110"/>
  <c r="Y164" i="110"/>
  <c r="AA164" i="110"/>
  <c r="AB164" i="110"/>
  <c r="AC164" i="110"/>
  <c r="AD164" i="110"/>
  <c r="AO164" i="110"/>
  <c r="A165" i="110"/>
  <c r="E165" i="110"/>
  <c r="D165" i="110" s="1"/>
  <c r="G165" i="110"/>
  <c r="H165" i="110"/>
  <c r="I165" i="110"/>
  <c r="U165" i="110"/>
  <c r="V165" i="110"/>
  <c r="W165" i="110"/>
  <c r="X165" i="110"/>
  <c r="Y165" i="110"/>
  <c r="AA165" i="110"/>
  <c r="AB165" i="110"/>
  <c r="AC165" i="110"/>
  <c r="AD165" i="110"/>
  <c r="AO165" i="110"/>
  <c r="A166" i="110"/>
  <c r="E166" i="110"/>
  <c r="D166" i="110" s="1"/>
  <c r="G166" i="110"/>
  <c r="H166" i="110"/>
  <c r="I166" i="110"/>
  <c r="U166" i="110"/>
  <c r="V166" i="110"/>
  <c r="W166" i="110"/>
  <c r="X166" i="110"/>
  <c r="Y166" i="110"/>
  <c r="AA166" i="110"/>
  <c r="AB166" i="110"/>
  <c r="AC166" i="110"/>
  <c r="AD166" i="110"/>
  <c r="AO166" i="110"/>
  <c r="A167" i="110"/>
  <c r="E167" i="110"/>
  <c r="D167" i="110" s="1"/>
  <c r="G167" i="110"/>
  <c r="H167" i="110"/>
  <c r="I167" i="110"/>
  <c r="U167" i="110"/>
  <c r="V167" i="110"/>
  <c r="W167" i="110"/>
  <c r="X167" i="110"/>
  <c r="Y167" i="110"/>
  <c r="AA167" i="110"/>
  <c r="AB167" i="110"/>
  <c r="AC167" i="110"/>
  <c r="AD167" i="110"/>
  <c r="AO167" i="110"/>
  <c r="A168" i="110"/>
  <c r="E168" i="110"/>
  <c r="D168" i="110" s="1"/>
  <c r="G168" i="110"/>
  <c r="H168" i="110"/>
  <c r="I168" i="110"/>
  <c r="U168" i="110"/>
  <c r="V168" i="110"/>
  <c r="W168" i="110"/>
  <c r="X168" i="110"/>
  <c r="Y168" i="110"/>
  <c r="AA168" i="110"/>
  <c r="AB168" i="110"/>
  <c r="AC168" i="110"/>
  <c r="AD168" i="110"/>
  <c r="AO168" i="110"/>
  <c r="A169" i="110"/>
  <c r="E169" i="110"/>
  <c r="D169" i="110" s="1"/>
  <c r="G169" i="110"/>
  <c r="H169" i="110"/>
  <c r="I169" i="110"/>
  <c r="U169" i="110"/>
  <c r="V169" i="110"/>
  <c r="W169" i="110"/>
  <c r="X169" i="110"/>
  <c r="Y169" i="110"/>
  <c r="AA169" i="110"/>
  <c r="AB169" i="110"/>
  <c r="AC169" i="110"/>
  <c r="AD169" i="110"/>
  <c r="AO169" i="110"/>
  <c r="A170" i="110"/>
  <c r="E170" i="110"/>
  <c r="D170" i="110" s="1"/>
  <c r="G170" i="110"/>
  <c r="H170" i="110"/>
  <c r="I170" i="110"/>
  <c r="U170" i="110"/>
  <c r="V170" i="110"/>
  <c r="W170" i="110"/>
  <c r="X170" i="110"/>
  <c r="Y170" i="110"/>
  <c r="AA170" i="110"/>
  <c r="AB170" i="110"/>
  <c r="AC170" i="110"/>
  <c r="AD170" i="110"/>
  <c r="AO170" i="110"/>
  <c r="A171" i="110"/>
  <c r="E171" i="110"/>
  <c r="D171" i="110" s="1"/>
  <c r="G171" i="110"/>
  <c r="H171" i="110"/>
  <c r="I171" i="110"/>
  <c r="U171" i="110"/>
  <c r="V171" i="110"/>
  <c r="W171" i="110"/>
  <c r="X171" i="110"/>
  <c r="Y171" i="110"/>
  <c r="AA171" i="110"/>
  <c r="AB171" i="110"/>
  <c r="AC171" i="110"/>
  <c r="AD171" i="110"/>
  <c r="AO171" i="110"/>
  <c r="A172" i="110"/>
  <c r="E172" i="110"/>
  <c r="D172" i="110" s="1"/>
  <c r="G172" i="110"/>
  <c r="H172" i="110"/>
  <c r="I172" i="110"/>
  <c r="U172" i="110"/>
  <c r="V172" i="110"/>
  <c r="W172" i="110"/>
  <c r="X172" i="110"/>
  <c r="Y172" i="110"/>
  <c r="AA172" i="110"/>
  <c r="AB172" i="110"/>
  <c r="AC172" i="110"/>
  <c r="AD172" i="110"/>
  <c r="AO172" i="110"/>
  <c r="A173" i="110"/>
  <c r="E173" i="110"/>
  <c r="D173" i="110" s="1"/>
  <c r="G173" i="110"/>
  <c r="H173" i="110"/>
  <c r="I173" i="110"/>
  <c r="U173" i="110"/>
  <c r="V173" i="110"/>
  <c r="W173" i="110"/>
  <c r="X173" i="110"/>
  <c r="Y173" i="110"/>
  <c r="AA173" i="110"/>
  <c r="AB173" i="110"/>
  <c r="AC173" i="110"/>
  <c r="AD173" i="110"/>
  <c r="AO173" i="110"/>
  <c r="A174" i="110"/>
  <c r="E174" i="110"/>
  <c r="D174" i="110" s="1"/>
  <c r="G174" i="110"/>
  <c r="H174" i="110"/>
  <c r="I174" i="110"/>
  <c r="U174" i="110"/>
  <c r="V174" i="110"/>
  <c r="W174" i="110"/>
  <c r="X174" i="110"/>
  <c r="Y174" i="110"/>
  <c r="AA174" i="110"/>
  <c r="AB174" i="110"/>
  <c r="AC174" i="110"/>
  <c r="AD174" i="110"/>
  <c r="AO174" i="110"/>
  <c r="A175" i="110"/>
  <c r="E175" i="110"/>
  <c r="D175" i="110" s="1"/>
  <c r="G175" i="110"/>
  <c r="H175" i="110"/>
  <c r="I175" i="110"/>
  <c r="U175" i="110"/>
  <c r="V175" i="110"/>
  <c r="W175" i="110"/>
  <c r="X175" i="110"/>
  <c r="Y175" i="110"/>
  <c r="AA175" i="110"/>
  <c r="AB175" i="110"/>
  <c r="AC175" i="110"/>
  <c r="AD175" i="110"/>
  <c r="AO175" i="110"/>
  <c r="A176" i="110"/>
  <c r="E176" i="110"/>
  <c r="D176" i="110" s="1"/>
  <c r="G176" i="110"/>
  <c r="H176" i="110"/>
  <c r="I176" i="110"/>
  <c r="U176" i="110"/>
  <c r="V176" i="110"/>
  <c r="W176" i="110"/>
  <c r="X176" i="110"/>
  <c r="Y176" i="110"/>
  <c r="AA176" i="110"/>
  <c r="AB176" i="110"/>
  <c r="AC176" i="110"/>
  <c r="AD176" i="110"/>
  <c r="AO176" i="110"/>
  <c r="A177" i="110"/>
  <c r="E177" i="110"/>
  <c r="D177" i="110" s="1"/>
  <c r="G177" i="110"/>
  <c r="H177" i="110"/>
  <c r="I177" i="110"/>
  <c r="U177" i="110"/>
  <c r="V177" i="110"/>
  <c r="W177" i="110"/>
  <c r="X177" i="110"/>
  <c r="Y177" i="110"/>
  <c r="AA177" i="110"/>
  <c r="AB177" i="110"/>
  <c r="AC177" i="110"/>
  <c r="AD177" i="110"/>
  <c r="AO177" i="110"/>
  <c r="A178" i="110"/>
  <c r="E178" i="110"/>
  <c r="D178" i="110" s="1"/>
  <c r="G178" i="110"/>
  <c r="H178" i="110"/>
  <c r="I178" i="110"/>
  <c r="U178" i="110"/>
  <c r="V178" i="110"/>
  <c r="W178" i="110"/>
  <c r="X178" i="110"/>
  <c r="Y178" i="110"/>
  <c r="AA178" i="110"/>
  <c r="AB178" i="110"/>
  <c r="AC178" i="110"/>
  <c r="AD178" i="110"/>
  <c r="AO178" i="110"/>
  <c r="A179" i="110"/>
  <c r="E179" i="110"/>
  <c r="D179" i="110" s="1"/>
  <c r="G179" i="110"/>
  <c r="H179" i="110"/>
  <c r="I179" i="110"/>
  <c r="U179" i="110"/>
  <c r="V179" i="110"/>
  <c r="W179" i="110"/>
  <c r="X179" i="110"/>
  <c r="Y179" i="110"/>
  <c r="AA179" i="110"/>
  <c r="AB179" i="110"/>
  <c r="AC179" i="110"/>
  <c r="AD179" i="110"/>
  <c r="AO179" i="110"/>
  <c r="A180" i="110"/>
  <c r="E180" i="110"/>
  <c r="D180" i="110" s="1"/>
  <c r="G180" i="110"/>
  <c r="H180" i="110"/>
  <c r="I180" i="110"/>
  <c r="U180" i="110"/>
  <c r="V180" i="110"/>
  <c r="W180" i="110"/>
  <c r="X180" i="110"/>
  <c r="Y180" i="110"/>
  <c r="AA180" i="110"/>
  <c r="AB180" i="110"/>
  <c r="AC180" i="110"/>
  <c r="AD180" i="110"/>
  <c r="AO180" i="110"/>
  <c r="AO151" i="110"/>
  <c r="AD151" i="110"/>
  <c r="AC151" i="110"/>
  <c r="AB151" i="110"/>
  <c r="AA151" i="110"/>
  <c r="Y151" i="110"/>
  <c r="X151" i="110"/>
  <c r="W151" i="110"/>
  <c r="V151" i="110"/>
  <c r="I151" i="110"/>
  <c r="H151" i="110"/>
  <c r="S151" i="110"/>
  <c r="T152" i="110"/>
  <c r="F164" i="110"/>
  <c r="Z164" i="110"/>
  <c r="Z156" i="110"/>
  <c r="F176" i="110"/>
  <c r="Z176" i="110"/>
  <c r="F168" i="110"/>
  <c r="Z168" i="110"/>
  <c r="Z162" i="110"/>
  <c r="F158" i="110"/>
  <c r="S158" i="110"/>
  <c r="F180" i="110"/>
  <c r="Z160" i="110"/>
  <c r="S152" i="110"/>
  <c r="F179" i="110"/>
  <c r="Z179" i="110"/>
  <c r="F175" i="110"/>
  <c r="F171" i="110"/>
  <c r="Z171" i="110"/>
  <c r="F167" i="110"/>
  <c r="Z167" i="110"/>
  <c r="F163" i="110"/>
  <c r="F159" i="110"/>
  <c r="AI61" i="81"/>
  <c r="AN60" i="81"/>
  <c r="AI60" i="81"/>
  <c r="AI59" i="81"/>
  <c r="AN58" i="81"/>
  <c r="AI58" i="81"/>
  <c r="AP57" i="81"/>
  <c r="AN57" i="81"/>
  <c r="AI57" i="81"/>
  <c r="AI56" i="81"/>
  <c r="AI55" i="81"/>
  <c r="AN54" i="81"/>
  <c r="AI54" i="81"/>
  <c r="AI53" i="81"/>
  <c r="AN52" i="81"/>
  <c r="AI52" i="81"/>
  <c r="AU4" i="122"/>
  <c r="AR202" i="130"/>
  <c r="W202" i="130"/>
  <c r="B202" i="130"/>
  <c r="B201" i="130"/>
  <c r="B200" i="130"/>
  <c r="U22" i="81"/>
  <c r="AU38" i="63"/>
  <c r="AU40" i="63"/>
  <c r="AU42" i="63"/>
  <c r="AU44" i="63"/>
  <c r="AU46" i="63"/>
  <c r="AK34" i="64"/>
  <c r="AU36" i="64"/>
  <c r="AU38" i="64"/>
  <c r="AU40" i="64"/>
  <c r="AU42" i="64"/>
  <c r="AU44" i="64"/>
  <c r="J213" i="110"/>
  <c r="AU36" i="66"/>
  <c r="AU38" i="66"/>
  <c r="AU40" i="66"/>
  <c r="AU42" i="66"/>
  <c r="AU44" i="66"/>
  <c r="AK24" i="124"/>
  <c r="AH18" i="13"/>
  <c r="AH20" i="13"/>
  <c r="J261" i="110" s="1"/>
  <c r="AH22" i="13"/>
  <c r="J262" i="110" s="1"/>
  <c r="AH24" i="13"/>
  <c r="J263" i="110" s="1"/>
  <c r="AH26" i="13"/>
  <c r="AY26" i="13"/>
  <c r="AH28" i="13"/>
  <c r="J265" i="110" s="1"/>
  <c r="AY28" i="13"/>
  <c r="AH30" i="13"/>
  <c r="J266" i="110" s="1"/>
  <c r="AH32" i="13"/>
  <c r="J267" i="110" s="1"/>
  <c r="AH34" i="13"/>
  <c r="AW34" i="13"/>
  <c r="E268" i="110" s="1" a="1"/>
  <c r="E268" i="110" s="1"/>
  <c r="AY34" i="13"/>
  <c r="AH16" i="70"/>
  <c r="J270" i="110" s="1"/>
  <c r="AH18" i="70"/>
  <c r="J271" i="110" s="1"/>
  <c r="AY18" i="70"/>
  <c r="AH20" i="70"/>
  <c r="J272" i="110" s="1"/>
  <c r="AH22" i="70"/>
  <c r="J273" i="110" s="1"/>
  <c r="AH24" i="70"/>
  <c r="J274" i="110" s="1"/>
  <c r="AH26" i="70"/>
  <c r="J275" i="110" s="1"/>
  <c r="AH28" i="70"/>
  <c r="J276" i="110" s="1"/>
  <c r="AH30" i="70"/>
  <c r="J277" i="110" s="1"/>
  <c r="AO30" i="70"/>
  <c r="AW30" i="70"/>
  <c r="E277" i="110" s="1"/>
  <c r="AH32" i="70"/>
  <c r="J278" i="110" s="1"/>
  <c r="AH34" i="70"/>
  <c r="J279" i="110" s="1"/>
  <c r="AH16" i="71"/>
  <c r="J282" i="110" s="1"/>
  <c r="AH18" i="71"/>
  <c r="J283" i="110" s="1"/>
  <c r="AH20" i="71"/>
  <c r="J284" i="110" s="1"/>
  <c r="AY20" i="71"/>
  <c r="AH22" i="71"/>
  <c r="J285" i="110" s="1"/>
  <c r="AH24" i="71"/>
  <c r="J286" i="110" s="1"/>
  <c r="AH26" i="71"/>
  <c r="J287" i="110" s="1"/>
  <c r="AY26" i="71"/>
  <c r="AH28" i="71"/>
  <c r="J288" i="110" s="1"/>
  <c r="AH30" i="71"/>
  <c r="J289" i="110" s="1"/>
  <c r="AH32" i="71"/>
  <c r="AH34" i="71"/>
  <c r="J291" i="110" s="1"/>
  <c r="AY34" i="71"/>
  <c r="J296" i="110"/>
  <c r="AY24" i="72"/>
  <c r="AY28" i="72"/>
  <c r="AH16" i="73"/>
  <c r="AH18" i="73"/>
  <c r="J305" i="110" s="1"/>
  <c r="AH20" i="73"/>
  <c r="AH22" i="73"/>
  <c r="J307" i="110" s="1"/>
  <c r="AH24" i="73"/>
  <c r="J308" i="110" s="1"/>
  <c r="AY24" i="73"/>
  <c r="AH26" i="73"/>
  <c r="AH28" i="73"/>
  <c r="J310" i="110" s="1"/>
  <c r="AH30" i="73"/>
  <c r="J311" i="110" s="1"/>
  <c r="AH32" i="73"/>
  <c r="J312" i="110" s="1"/>
  <c r="AH34" i="73"/>
  <c r="J313" i="110" s="1"/>
  <c r="AH16" i="74"/>
  <c r="J315" i="110" s="1"/>
  <c r="AH18" i="74"/>
  <c r="AH20" i="74"/>
  <c r="J317" i="110" s="1"/>
  <c r="AH22" i="74"/>
  <c r="J318" i="110" s="1"/>
  <c r="AH24" i="74"/>
  <c r="J319" i="110" s="1"/>
  <c r="AH26" i="74"/>
  <c r="AH28" i="74"/>
  <c r="AY28" i="74"/>
  <c r="AH30" i="74"/>
  <c r="J322" i="110" s="1"/>
  <c r="AH32" i="74"/>
  <c r="J323" i="110" s="1"/>
  <c r="AH34" i="74"/>
  <c r="J324" i="110" s="1"/>
  <c r="AH16" i="75"/>
  <c r="AH18" i="75"/>
  <c r="J327" i="110" s="1"/>
  <c r="AY18" i="75"/>
  <c r="AH20" i="75"/>
  <c r="J328" i="110" s="1"/>
  <c r="AY20" i="75"/>
  <c r="AH22" i="75"/>
  <c r="J329" i="110" s="1"/>
  <c r="AH24" i="75"/>
  <c r="J330" i="110" s="1"/>
  <c r="AH26" i="75"/>
  <c r="J331" i="110" s="1"/>
  <c r="AH28" i="75"/>
  <c r="J332" i="110" s="1"/>
  <c r="AH30" i="75"/>
  <c r="J333" i="110" s="1"/>
  <c r="AH32" i="75"/>
  <c r="J334" i="110" s="1"/>
  <c r="AH34" i="75"/>
  <c r="J335" i="110" s="1"/>
  <c r="BA18" i="123"/>
  <c r="BA22" i="111" s="1"/>
  <c r="E4" i="110" s="1"/>
  <c r="BA20" i="123"/>
  <c r="BA24" i="111" s="1"/>
  <c r="E5" i="110" s="1"/>
  <c r="BA26" i="111"/>
  <c r="E6" i="110" s="1"/>
  <c r="BA18" i="120"/>
  <c r="E66" i="110" s="1"/>
  <c r="AE266" i="110"/>
  <c r="L295" i="110"/>
  <c r="M297" i="110"/>
  <c r="BC32" i="121"/>
  <c r="AK16" i="64"/>
  <c r="AK18" i="64"/>
  <c r="AK20" i="64"/>
  <c r="AK22" i="64"/>
  <c r="AK24" i="64"/>
  <c r="AK26" i="64"/>
  <c r="AK28" i="64"/>
  <c r="AK30" i="64"/>
  <c r="AK32" i="64"/>
  <c r="AK36" i="64"/>
  <c r="AK38" i="64"/>
  <c r="AK40" i="64"/>
  <c r="AK42" i="64"/>
  <c r="AK44" i="64"/>
  <c r="AK16" i="66"/>
  <c r="AK18" i="66"/>
  <c r="AK20" i="66"/>
  <c r="AK22" i="66"/>
  <c r="AK24" i="66"/>
  <c r="AK26" i="66"/>
  <c r="AK28" i="66"/>
  <c r="AK30" i="66"/>
  <c r="AK32" i="66"/>
  <c r="AK34" i="66"/>
  <c r="AK36" i="66"/>
  <c r="AK38" i="66"/>
  <c r="AK40" i="66"/>
  <c r="AK42" i="66"/>
  <c r="AK44" i="66"/>
  <c r="AK16" i="124"/>
  <c r="AK18" i="124"/>
  <c r="AK20" i="124"/>
  <c r="AK22" i="124"/>
  <c r="AK26" i="124"/>
  <c r="AK28" i="124"/>
  <c r="AK30" i="124"/>
  <c r="AK32" i="124"/>
  <c r="AK34" i="124"/>
  <c r="AK40" i="124"/>
  <c r="AK42" i="124"/>
  <c r="AK44" i="124"/>
  <c r="P262" i="110"/>
  <c r="P265" i="110"/>
  <c r="P266" i="110"/>
  <c r="AW32" i="13"/>
  <c r="E267" i="110" s="1" a="1"/>
  <c r="E267" i="110" s="1"/>
  <c r="AO16" i="70"/>
  <c r="AO18" i="70"/>
  <c r="AO20" i="70"/>
  <c r="AW20" i="70"/>
  <c r="AO22" i="70"/>
  <c r="AO24" i="70"/>
  <c r="AO26" i="70"/>
  <c r="AO28" i="70"/>
  <c r="AO32" i="70"/>
  <c r="AO34" i="70"/>
  <c r="AO16" i="71"/>
  <c r="AO18" i="71"/>
  <c r="AO20" i="71"/>
  <c r="AO22" i="71"/>
  <c r="AO24" i="71"/>
  <c r="AW24" i="71"/>
  <c r="E286" i="110" s="1"/>
  <c r="AO26" i="71"/>
  <c r="AO28" i="71"/>
  <c r="AO30" i="71"/>
  <c r="AO32" i="71"/>
  <c r="AO34" i="71"/>
  <c r="AO16" i="72"/>
  <c r="AO18" i="72"/>
  <c r="AO20" i="72"/>
  <c r="P295" i="110" s="1"/>
  <c r="AO22" i="72"/>
  <c r="P296" i="110" s="1"/>
  <c r="AO24" i="72"/>
  <c r="P297" i="110" s="1"/>
  <c r="AO26" i="72"/>
  <c r="P298" i="110" s="1"/>
  <c r="AO28" i="72"/>
  <c r="P299" i="110" s="1"/>
  <c r="AW28" i="72"/>
  <c r="E299" i="110" s="1"/>
  <c r="AO30" i="72"/>
  <c r="AO32" i="72"/>
  <c r="AO34" i="72"/>
  <c r="AO16" i="73"/>
  <c r="AO18" i="73"/>
  <c r="AO20" i="73"/>
  <c r="AO22" i="73"/>
  <c r="AO24" i="73"/>
  <c r="AW24" i="73"/>
  <c r="E308" i="110" s="1"/>
  <c r="AO26" i="73"/>
  <c r="AO28" i="73"/>
  <c r="AO30" i="73"/>
  <c r="AO32" i="73"/>
  <c r="AO34" i="73"/>
  <c r="AO16" i="74"/>
  <c r="AO18" i="74"/>
  <c r="AO20" i="74"/>
  <c r="AO22" i="74"/>
  <c r="AO24" i="74"/>
  <c r="AO26" i="74"/>
  <c r="AO28" i="74"/>
  <c r="AW28" i="74"/>
  <c r="E321" i="110" s="1"/>
  <c r="AO30" i="74"/>
  <c r="AO32" i="74"/>
  <c r="AO34" i="74"/>
  <c r="AO16" i="75"/>
  <c r="AO18" i="75"/>
  <c r="AO20" i="75"/>
  <c r="AO22" i="75"/>
  <c r="AO24" i="75"/>
  <c r="AW24" i="75"/>
  <c r="E330" i="110" s="1"/>
  <c r="AO26" i="75"/>
  <c r="AO28" i="75"/>
  <c r="AO30" i="75"/>
  <c r="AO32" i="75"/>
  <c r="AO34" i="75"/>
  <c r="AR205" i="128"/>
  <c r="W205" i="128"/>
  <c r="B205" i="128"/>
  <c r="B204" i="128"/>
  <c r="B203" i="128"/>
  <c r="CP2" i="110"/>
  <c r="U23" i="81"/>
  <c r="H36" i="110"/>
  <c r="I36" i="110"/>
  <c r="H37" i="110"/>
  <c r="I37" i="110"/>
  <c r="H38" i="110"/>
  <c r="I38" i="110"/>
  <c r="H39" i="110"/>
  <c r="I39" i="110"/>
  <c r="H40" i="110"/>
  <c r="I40" i="110"/>
  <c r="H41" i="110"/>
  <c r="I41" i="110"/>
  <c r="H42" i="110"/>
  <c r="I42" i="110"/>
  <c r="H43" i="110"/>
  <c r="I43" i="110"/>
  <c r="H44" i="110"/>
  <c r="I44" i="110"/>
  <c r="H45" i="110"/>
  <c r="I45" i="110"/>
  <c r="H46" i="110"/>
  <c r="I46" i="110"/>
  <c r="H47" i="110"/>
  <c r="I47" i="110"/>
  <c r="H48" i="110"/>
  <c r="I48" i="110"/>
  <c r="H49" i="110"/>
  <c r="I49" i="110"/>
  <c r="H50" i="110"/>
  <c r="I50" i="110"/>
  <c r="H51" i="110"/>
  <c r="I51" i="110"/>
  <c r="H52" i="110"/>
  <c r="I52" i="110"/>
  <c r="H53" i="110"/>
  <c r="I53" i="110"/>
  <c r="H54" i="110"/>
  <c r="I54" i="110"/>
  <c r="H55" i="110"/>
  <c r="I55" i="110"/>
  <c r="H56" i="110"/>
  <c r="I56" i="110"/>
  <c r="H57" i="110"/>
  <c r="I57" i="110"/>
  <c r="H58" i="110"/>
  <c r="I58" i="110"/>
  <c r="H59" i="110"/>
  <c r="I59" i="110"/>
  <c r="H60" i="110"/>
  <c r="I60" i="110"/>
  <c r="H61" i="110"/>
  <c r="I61" i="110"/>
  <c r="H62" i="110"/>
  <c r="I62" i="110"/>
  <c r="H63" i="110"/>
  <c r="I63" i="110"/>
  <c r="H64" i="110"/>
  <c r="I64" i="110"/>
  <c r="I35" i="110"/>
  <c r="Q10" i="104"/>
  <c r="AZ44" i="120"/>
  <c r="BC76" i="119"/>
  <c r="BA20" i="119"/>
  <c r="E36" i="110" s="1"/>
  <c r="BC26" i="119"/>
  <c r="BC28" i="119"/>
  <c r="BC32" i="119"/>
  <c r="BC34" i="119"/>
  <c r="BC36" i="119"/>
  <c r="BC40" i="119"/>
  <c r="BC44" i="119"/>
  <c r="BC46" i="119"/>
  <c r="BC48" i="119"/>
  <c r="BC50" i="119"/>
  <c r="BC52" i="119"/>
  <c r="BC54" i="119"/>
  <c r="BC56" i="119"/>
  <c r="BC58" i="119"/>
  <c r="BC60" i="119"/>
  <c r="BC62" i="119"/>
  <c r="BC64" i="119"/>
  <c r="BC66" i="119"/>
  <c r="BC68" i="119"/>
  <c r="BC70" i="119"/>
  <c r="BC72" i="119"/>
  <c r="BE60" i="111"/>
  <c r="Q11" i="104"/>
  <c r="AC227" i="110"/>
  <c r="AC228" i="110"/>
  <c r="AC229" i="110"/>
  <c r="AC230" i="110"/>
  <c r="AC231" i="110"/>
  <c r="AC232" i="110"/>
  <c r="AC233" i="110"/>
  <c r="AC234" i="110"/>
  <c r="AC235" i="110"/>
  <c r="AC226" i="110"/>
  <c r="J280" i="110"/>
  <c r="C280" i="110" s="1"/>
  <c r="B280" i="110" s="1"/>
  <c r="AY22" i="75"/>
  <c r="AY24" i="75"/>
  <c r="AY26" i="75"/>
  <c r="AY28" i="75"/>
  <c r="AY30" i="75"/>
  <c r="AY32" i="75"/>
  <c r="AY34" i="75"/>
  <c r="AY16" i="75"/>
  <c r="AY18" i="74"/>
  <c r="AY20" i="74"/>
  <c r="AY22" i="74"/>
  <c r="AY24" i="74"/>
  <c r="AY26" i="74"/>
  <c r="AY30" i="74"/>
  <c r="AY32" i="74"/>
  <c r="AY34" i="74"/>
  <c r="AY16" i="74"/>
  <c r="AY18" i="73"/>
  <c r="AY20" i="73"/>
  <c r="AY22" i="73"/>
  <c r="AY26" i="73"/>
  <c r="AY28" i="73"/>
  <c r="AY30" i="73"/>
  <c r="AY32" i="73"/>
  <c r="AY34" i="73"/>
  <c r="AY16" i="73"/>
  <c r="A294" i="110"/>
  <c r="AY18" i="72"/>
  <c r="A295" i="110"/>
  <c r="AY20" i="72"/>
  <c r="A296" i="110"/>
  <c r="AY22" i="72"/>
  <c r="A297" i="110"/>
  <c r="A298" i="110"/>
  <c r="AY26" i="72"/>
  <c r="A299" i="110"/>
  <c r="A300" i="110"/>
  <c r="AY30" i="72"/>
  <c r="A301" i="110"/>
  <c r="AY32" i="72"/>
  <c r="A302" i="110"/>
  <c r="AY34" i="72"/>
  <c r="AY16" i="72"/>
  <c r="AY18" i="71"/>
  <c r="AY22" i="71"/>
  <c r="AY24" i="71"/>
  <c r="AY28" i="71"/>
  <c r="AY30" i="71"/>
  <c r="AY32" i="71"/>
  <c r="AY16" i="71"/>
  <c r="AP98" i="110"/>
  <c r="AP99" i="110"/>
  <c r="AP100" i="110"/>
  <c r="AP101" i="110"/>
  <c r="AP102" i="110"/>
  <c r="AP103" i="110"/>
  <c r="AP104" i="110"/>
  <c r="AP105" i="110"/>
  <c r="AP106" i="110"/>
  <c r="AP107" i="110"/>
  <c r="AP108" i="110"/>
  <c r="AP109" i="110"/>
  <c r="AP110" i="110"/>
  <c r="AP111" i="110"/>
  <c r="AP112" i="110"/>
  <c r="AP113" i="110"/>
  <c r="AP114" i="110"/>
  <c r="AP115" i="110"/>
  <c r="AP116" i="110"/>
  <c r="AP117" i="110"/>
  <c r="AP118" i="110"/>
  <c r="AP119" i="110"/>
  <c r="AP120" i="110"/>
  <c r="AP121" i="110"/>
  <c r="AP122" i="110"/>
  <c r="AP123" i="110"/>
  <c r="AP124" i="110"/>
  <c r="AP125" i="110"/>
  <c r="AP126" i="110"/>
  <c r="AP97" i="110"/>
  <c r="AP67" i="110"/>
  <c r="AP68" i="110"/>
  <c r="AP69" i="110"/>
  <c r="AP70" i="110"/>
  <c r="AP71" i="110"/>
  <c r="AP72" i="110"/>
  <c r="AP73" i="110"/>
  <c r="AP74" i="110"/>
  <c r="AP75" i="110"/>
  <c r="AP76" i="110"/>
  <c r="AP77" i="110"/>
  <c r="AP78" i="110"/>
  <c r="AP79" i="110"/>
  <c r="AP80" i="110"/>
  <c r="AP81" i="110"/>
  <c r="AP82" i="110"/>
  <c r="AP83" i="110"/>
  <c r="AP84" i="110"/>
  <c r="AP85" i="110"/>
  <c r="AP86" i="110"/>
  <c r="AP87" i="110"/>
  <c r="AP88" i="110"/>
  <c r="AP89" i="110"/>
  <c r="AP90" i="110"/>
  <c r="AP91" i="110"/>
  <c r="AP92" i="110"/>
  <c r="AP93" i="110"/>
  <c r="AP94" i="110"/>
  <c r="AP95" i="110"/>
  <c r="AP66" i="110"/>
  <c r="AP36" i="110"/>
  <c r="AP37" i="110"/>
  <c r="AP38" i="110"/>
  <c r="AP39" i="110"/>
  <c r="AP40" i="110"/>
  <c r="AP41" i="110"/>
  <c r="AP42" i="110"/>
  <c r="AP43" i="110"/>
  <c r="AP44" i="110"/>
  <c r="AP45" i="110"/>
  <c r="AP46" i="110"/>
  <c r="AP47" i="110"/>
  <c r="AP48" i="110"/>
  <c r="AP49" i="110"/>
  <c r="AP50" i="110"/>
  <c r="AP51" i="110"/>
  <c r="AP52" i="110"/>
  <c r="AP53" i="110"/>
  <c r="AP54" i="110"/>
  <c r="AP55" i="110"/>
  <c r="AP56" i="110"/>
  <c r="AP57" i="110"/>
  <c r="AP58" i="110"/>
  <c r="AP59" i="110"/>
  <c r="AP60" i="110"/>
  <c r="AP61" i="110"/>
  <c r="AP62" i="110"/>
  <c r="AP63" i="110"/>
  <c r="AP64" i="110"/>
  <c r="AP35" i="110"/>
  <c r="AP7" i="110"/>
  <c r="AP8" i="110"/>
  <c r="AP9" i="110"/>
  <c r="AP10" i="110"/>
  <c r="AP11" i="110"/>
  <c r="AP12" i="110"/>
  <c r="AP13" i="110"/>
  <c r="AP14" i="110"/>
  <c r="AP15" i="110"/>
  <c r="AP16" i="110"/>
  <c r="AP17" i="110"/>
  <c r="AP18" i="110"/>
  <c r="AP19" i="110"/>
  <c r="AP20" i="110"/>
  <c r="AP21" i="110"/>
  <c r="AP22" i="110"/>
  <c r="AP23" i="110"/>
  <c r="AP24" i="110"/>
  <c r="AP25" i="110"/>
  <c r="AP26" i="110"/>
  <c r="AP27" i="110"/>
  <c r="AP28" i="110"/>
  <c r="AP29" i="110"/>
  <c r="AP30" i="110"/>
  <c r="AP31" i="110"/>
  <c r="AP32" i="110"/>
  <c r="AP33" i="110"/>
  <c r="AP6" i="110"/>
  <c r="Z67" i="110"/>
  <c r="Z68" i="110"/>
  <c r="Z69" i="110"/>
  <c r="Z70" i="110"/>
  <c r="Z71" i="110"/>
  <c r="Z72" i="110"/>
  <c r="Z73" i="110"/>
  <c r="Z74" i="110"/>
  <c r="Z75" i="110"/>
  <c r="Z76" i="110"/>
  <c r="Z77" i="110"/>
  <c r="Z78" i="110"/>
  <c r="Z79" i="110"/>
  <c r="Z80" i="110"/>
  <c r="Z81" i="110"/>
  <c r="Z82" i="110"/>
  <c r="Z83" i="110"/>
  <c r="Z84" i="110"/>
  <c r="Z85" i="110"/>
  <c r="Z86" i="110"/>
  <c r="Z87" i="110"/>
  <c r="Z88" i="110"/>
  <c r="Z89" i="110"/>
  <c r="Z90" i="110"/>
  <c r="Z91" i="110"/>
  <c r="Z92" i="110"/>
  <c r="Z93" i="110"/>
  <c r="Z94" i="110"/>
  <c r="Z95" i="110"/>
  <c r="Z66" i="110"/>
  <c r="Z36" i="110"/>
  <c r="Z37" i="110"/>
  <c r="Z38" i="110"/>
  <c r="Z39" i="110"/>
  <c r="Z40" i="110"/>
  <c r="Z41" i="110"/>
  <c r="Z42" i="110"/>
  <c r="Z43" i="110"/>
  <c r="Z44" i="110"/>
  <c r="Z45" i="110"/>
  <c r="Z46" i="110"/>
  <c r="Z47" i="110"/>
  <c r="Z48" i="110"/>
  <c r="Z49" i="110"/>
  <c r="Z50" i="110"/>
  <c r="Z51" i="110"/>
  <c r="Z52" i="110"/>
  <c r="Z53" i="110"/>
  <c r="Z54" i="110"/>
  <c r="Z55" i="110"/>
  <c r="Z56" i="110"/>
  <c r="Z57" i="110"/>
  <c r="Z58" i="110"/>
  <c r="Z59" i="110"/>
  <c r="Z60" i="110"/>
  <c r="Z61" i="110"/>
  <c r="Z62" i="110"/>
  <c r="Z63" i="110"/>
  <c r="Z64" i="110"/>
  <c r="Z35" i="110"/>
  <c r="Z7" i="110"/>
  <c r="Z8" i="110"/>
  <c r="Z9" i="110"/>
  <c r="Z10" i="110"/>
  <c r="Z11" i="110"/>
  <c r="Z12" i="110"/>
  <c r="Z13" i="110"/>
  <c r="Z14" i="110"/>
  <c r="Z15" i="110"/>
  <c r="Z16" i="110"/>
  <c r="Z17" i="110"/>
  <c r="Z18" i="110"/>
  <c r="Z19" i="110"/>
  <c r="Z20" i="110"/>
  <c r="Z21" i="110"/>
  <c r="Z22" i="110"/>
  <c r="Z23" i="110"/>
  <c r="Z24" i="110"/>
  <c r="Z25" i="110"/>
  <c r="Z26" i="110"/>
  <c r="Z27" i="110"/>
  <c r="Z28" i="110"/>
  <c r="Z29" i="110"/>
  <c r="Z30" i="110"/>
  <c r="Z31" i="110"/>
  <c r="Z32" i="110"/>
  <c r="Z33" i="110"/>
  <c r="Z6" i="110"/>
  <c r="H35" i="110"/>
  <c r="U36" i="81"/>
  <c r="U39" i="81"/>
  <c r="U40" i="81"/>
  <c r="A5" i="110"/>
  <c r="A6" i="110"/>
  <c r="A7" i="110"/>
  <c r="A8" i="110"/>
  <c r="A9" i="110"/>
  <c r="A10" i="110"/>
  <c r="A11" i="110"/>
  <c r="A12" i="110"/>
  <c r="A13" i="110"/>
  <c r="A14" i="110"/>
  <c r="A15" i="110"/>
  <c r="A16" i="110"/>
  <c r="A17" i="110"/>
  <c r="A18" i="110"/>
  <c r="A19" i="110"/>
  <c r="A20" i="110"/>
  <c r="A21" i="110"/>
  <c r="A22" i="110"/>
  <c r="A23" i="110"/>
  <c r="A24" i="110"/>
  <c r="A25" i="110"/>
  <c r="A26" i="110"/>
  <c r="A27" i="110"/>
  <c r="A28" i="110"/>
  <c r="A29" i="110"/>
  <c r="A30" i="110"/>
  <c r="A31" i="110"/>
  <c r="A32" i="110"/>
  <c r="A33" i="110"/>
  <c r="A4" i="110"/>
  <c r="BA24" i="120"/>
  <c r="E69" i="110" s="1"/>
  <c r="BA26" i="120"/>
  <c r="E70" i="110" s="1"/>
  <c r="BD26" i="120"/>
  <c r="BF26" i="120"/>
  <c r="BA28" i="120"/>
  <c r="E71" i="110" s="1"/>
  <c r="BA30" i="120"/>
  <c r="E72" i="110" s="1"/>
  <c r="BD30" i="120"/>
  <c r="BF30" i="120"/>
  <c r="BA32" i="120"/>
  <c r="E73" i="110" s="1"/>
  <c r="BD32" i="120"/>
  <c r="BF32" i="120"/>
  <c r="BA34" i="120"/>
  <c r="E74" i="110" s="1"/>
  <c r="BA36" i="120"/>
  <c r="E75" i="110" s="1"/>
  <c r="BD36" i="120"/>
  <c r="BF36" i="120"/>
  <c r="BA38" i="120"/>
  <c r="E76" i="110" s="1"/>
  <c r="BD38" i="120"/>
  <c r="BF38" i="120"/>
  <c r="BA40" i="120"/>
  <c r="E77" i="110" s="1"/>
  <c r="BD40" i="120"/>
  <c r="BF40" i="120"/>
  <c r="BA42" i="120"/>
  <c r="E78" i="110" s="1"/>
  <c r="BD42" i="120"/>
  <c r="BF42" i="120"/>
  <c r="BA44" i="120"/>
  <c r="E79" i="110" s="1"/>
  <c r="BD44" i="120"/>
  <c r="BF44" i="120"/>
  <c r="BA46" i="120"/>
  <c r="E80" i="110" s="1"/>
  <c r="BA48" i="120"/>
  <c r="E81" i="110" s="1"/>
  <c r="BD48" i="120"/>
  <c r="BF48" i="120"/>
  <c r="BA50" i="120"/>
  <c r="E82" i="110" s="1"/>
  <c r="BD50" i="120"/>
  <c r="BF50" i="120"/>
  <c r="BA52" i="120"/>
  <c r="E83" i="110" s="1"/>
  <c r="BA54" i="120"/>
  <c r="E84" i="110" s="1"/>
  <c r="BD54" i="120"/>
  <c r="BF54" i="120"/>
  <c r="BA56" i="120"/>
  <c r="E85" i="110" s="1"/>
  <c r="BD56" i="120"/>
  <c r="BF56" i="120"/>
  <c r="BA58" i="120"/>
  <c r="E86" i="110" s="1"/>
  <c r="BD58" i="120"/>
  <c r="BF58" i="120"/>
  <c r="BA60" i="120"/>
  <c r="E87" i="110" s="1"/>
  <c r="BD60" i="120"/>
  <c r="BF60" i="120"/>
  <c r="BA62" i="120"/>
  <c r="E88" i="110" s="1"/>
  <c r="BD62" i="120"/>
  <c r="BF62" i="120"/>
  <c r="BA64" i="120"/>
  <c r="E89" i="110" s="1"/>
  <c r="BD64" i="120"/>
  <c r="BF64" i="120"/>
  <c r="BA66" i="120"/>
  <c r="E90" i="110" s="1"/>
  <c r="BD66" i="120"/>
  <c r="BF66" i="120"/>
  <c r="BA68" i="120"/>
  <c r="E91" i="110" s="1"/>
  <c r="BD68" i="120"/>
  <c r="BF68" i="120"/>
  <c r="BA70" i="120"/>
  <c r="E92" i="110" s="1"/>
  <c r="BD70" i="120"/>
  <c r="BF70" i="120"/>
  <c r="AO93" i="110"/>
  <c r="BA72" i="120"/>
  <c r="E93" i="110" s="1"/>
  <c r="BD72" i="120"/>
  <c r="BF72" i="120"/>
  <c r="BA74" i="120"/>
  <c r="E94" i="110" s="1"/>
  <c r="BD74" i="120"/>
  <c r="BF74" i="120"/>
  <c r="BA76" i="120"/>
  <c r="E95" i="110" s="1"/>
  <c r="BD76" i="120"/>
  <c r="BF76" i="120"/>
  <c r="BD26" i="119"/>
  <c r="BA22" i="119"/>
  <c r="E37" i="110" s="1"/>
  <c r="BA26" i="119"/>
  <c r="E39" i="110" s="1"/>
  <c r="W35" i="110"/>
  <c r="W36" i="110"/>
  <c r="W37" i="110"/>
  <c r="W38" i="110"/>
  <c r="W39" i="110"/>
  <c r="W40" i="110"/>
  <c r="W41" i="110"/>
  <c r="W42" i="110"/>
  <c r="W43" i="110"/>
  <c r="W44" i="110"/>
  <c r="W45" i="110"/>
  <c r="W46" i="110"/>
  <c r="W47" i="110"/>
  <c r="W48" i="110"/>
  <c r="W49" i="110"/>
  <c r="W50" i="110"/>
  <c r="W51" i="110"/>
  <c r="W52" i="110"/>
  <c r="W53" i="110"/>
  <c r="W54" i="110"/>
  <c r="W55" i="110"/>
  <c r="W56" i="110"/>
  <c r="W57" i="110"/>
  <c r="W58" i="110"/>
  <c r="W59" i="110"/>
  <c r="W60" i="110"/>
  <c r="W61" i="110"/>
  <c r="W62" i="110"/>
  <c r="W63" i="110"/>
  <c r="W64" i="110"/>
  <c r="P9" i="109"/>
  <c r="Q9" i="109"/>
  <c r="R9" i="109"/>
  <c r="Z36" i="81"/>
  <c r="S9" i="109"/>
  <c r="T9" i="109"/>
  <c r="U9" i="109"/>
  <c r="V9" i="109"/>
  <c r="W9" i="109"/>
  <c r="X9" i="109"/>
  <c r="AR202" i="126"/>
  <c r="W202" i="126"/>
  <c r="B202" i="126"/>
  <c r="B201" i="126"/>
  <c r="B200" i="126"/>
  <c r="AX53" i="126"/>
  <c r="AX57" i="126"/>
  <c r="AC27" i="126"/>
  <c r="AC26" i="126"/>
  <c r="AI25" i="126"/>
  <c r="AG25" i="126"/>
  <c r="AC25" i="126"/>
  <c r="AC24" i="126"/>
  <c r="AC23" i="126"/>
  <c r="AC22" i="126"/>
  <c r="J21" i="126"/>
  <c r="AR202" i="125"/>
  <c r="W202" i="125"/>
  <c r="B202" i="125"/>
  <c r="B201" i="125"/>
  <c r="B200" i="125"/>
  <c r="AU12" i="75"/>
  <c r="AU12" i="74"/>
  <c r="AU12" i="73"/>
  <c r="AU12" i="72"/>
  <c r="AU12" i="71"/>
  <c r="AU12" i="70"/>
  <c r="AU12" i="13"/>
  <c r="AU12" i="124"/>
  <c r="AU12" i="66"/>
  <c r="AU12" i="65"/>
  <c r="AU12" i="64"/>
  <c r="AU12" i="63"/>
  <c r="AU14" i="119"/>
  <c r="AI18" i="124"/>
  <c r="AI20" i="124"/>
  <c r="AI22" i="124"/>
  <c r="AI26" i="124"/>
  <c r="AW26" i="124" s="1"/>
  <c r="AI28" i="124"/>
  <c r="AW28" i="124" s="1"/>
  <c r="AI30" i="124"/>
  <c r="AW30" i="124" s="1"/>
  <c r="AI32" i="124"/>
  <c r="AW32" i="124" s="1"/>
  <c r="AI34" i="124"/>
  <c r="AW34" i="124" s="1"/>
  <c r="BD28" i="119"/>
  <c r="BD32" i="119"/>
  <c r="BD34" i="119"/>
  <c r="BD36" i="119"/>
  <c r="BD40" i="119"/>
  <c r="BD44" i="119"/>
  <c r="BD46" i="119"/>
  <c r="BD48" i="119"/>
  <c r="BD50" i="119"/>
  <c r="BD52" i="119"/>
  <c r="BD54" i="119"/>
  <c r="BD56" i="119"/>
  <c r="BD58" i="119"/>
  <c r="BD60" i="119"/>
  <c r="BD62" i="119"/>
  <c r="BD64" i="119"/>
  <c r="BD66" i="119"/>
  <c r="BD68" i="119"/>
  <c r="BD70" i="119"/>
  <c r="BD72" i="119"/>
  <c r="BD76" i="119"/>
  <c r="AV18" i="64"/>
  <c r="AV20" i="64"/>
  <c r="AV22" i="64"/>
  <c r="AV24" i="64"/>
  <c r="AV26" i="64"/>
  <c r="AV28" i="64"/>
  <c r="AV30" i="64"/>
  <c r="AV32" i="64"/>
  <c r="AV34" i="64"/>
  <c r="AV16" i="64"/>
  <c r="AV18" i="66"/>
  <c r="AV20" i="66"/>
  <c r="AV22" i="66"/>
  <c r="AV24" i="66"/>
  <c r="AV26" i="66"/>
  <c r="AV28" i="66"/>
  <c r="AV30" i="66"/>
  <c r="AV32" i="66"/>
  <c r="AV34" i="66"/>
  <c r="AV16" i="66"/>
  <c r="AV20" i="124"/>
  <c r="AV22" i="124"/>
  <c r="AV24" i="124"/>
  <c r="AV26" i="124"/>
  <c r="AV28" i="124"/>
  <c r="AV30" i="124"/>
  <c r="AV32" i="124"/>
  <c r="AV34" i="124"/>
  <c r="B216" i="3"/>
  <c r="K43" i="108"/>
  <c r="J43" i="108"/>
  <c r="K42" i="108"/>
  <c r="J42" i="108"/>
  <c r="H98" i="110"/>
  <c r="I98" i="110"/>
  <c r="H99" i="110"/>
  <c r="I99" i="110"/>
  <c r="H100" i="110"/>
  <c r="I100" i="110"/>
  <c r="H101" i="110"/>
  <c r="I101" i="110"/>
  <c r="H102" i="110"/>
  <c r="I102" i="110"/>
  <c r="H103" i="110"/>
  <c r="I103" i="110"/>
  <c r="H104" i="110"/>
  <c r="I104" i="110"/>
  <c r="H105" i="110"/>
  <c r="I105" i="110"/>
  <c r="H106" i="110"/>
  <c r="I106" i="110"/>
  <c r="H107" i="110"/>
  <c r="I107" i="110"/>
  <c r="H108" i="110"/>
  <c r="I108" i="110"/>
  <c r="H109" i="110"/>
  <c r="I109" i="110"/>
  <c r="H110" i="110"/>
  <c r="I110" i="110"/>
  <c r="H111" i="110"/>
  <c r="I111" i="110"/>
  <c r="H112" i="110"/>
  <c r="I112" i="110"/>
  <c r="H113" i="110"/>
  <c r="I113" i="110"/>
  <c r="H114" i="110"/>
  <c r="I114" i="110"/>
  <c r="H115" i="110"/>
  <c r="I115" i="110"/>
  <c r="H116" i="110"/>
  <c r="I116" i="110"/>
  <c r="H117" i="110"/>
  <c r="I117" i="110"/>
  <c r="H118" i="110"/>
  <c r="I118" i="110"/>
  <c r="H119" i="110"/>
  <c r="I119" i="110"/>
  <c r="H120" i="110"/>
  <c r="I120" i="110"/>
  <c r="H121" i="110"/>
  <c r="I121" i="110"/>
  <c r="H122" i="110"/>
  <c r="I122" i="110"/>
  <c r="H123" i="110"/>
  <c r="I123" i="110"/>
  <c r="H124" i="110"/>
  <c r="I124" i="110"/>
  <c r="H125" i="110"/>
  <c r="I125" i="110"/>
  <c r="H126" i="110"/>
  <c r="I126" i="110"/>
  <c r="I97" i="110"/>
  <c r="H97" i="110"/>
  <c r="Y67" i="110"/>
  <c r="Y68" i="110"/>
  <c r="Y69" i="110"/>
  <c r="Y70" i="110"/>
  <c r="Y71" i="110"/>
  <c r="Y72" i="110"/>
  <c r="Y73" i="110"/>
  <c r="Y74" i="110"/>
  <c r="Y75" i="110"/>
  <c r="Y76" i="110"/>
  <c r="Y77" i="110"/>
  <c r="Y78" i="110"/>
  <c r="Y79" i="110"/>
  <c r="Y80" i="110"/>
  <c r="Y81" i="110"/>
  <c r="Y82" i="110"/>
  <c r="Y83" i="110"/>
  <c r="Y84" i="110"/>
  <c r="Y85" i="110"/>
  <c r="Y86" i="110"/>
  <c r="Y87" i="110"/>
  <c r="Y88" i="110"/>
  <c r="Y89" i="110"/>
  <c r="Y90" i="110"/>
  <c r="Y91" i="110"/>
  <c r="Y92" i="110"/>
  <c r="Y93" i="110"/>
  <c r="Y94" i="110"/>
  <c r="Y95" i="110"/>
  <c r="Y66" i="110"/>
  <c r="W67" i="110"/>
  <c r="W68" i="110"/>
  <c r="W69" i="110"/>
  <c r="W70" i="110"/>
  <c r="W71" i="110"/>
  <c r="W72" i="110"/>
  <c r="W73" i="110"/>
  <c r="W74" i="110"/>
  <c r="W75" i="110"/>
  <c r="W76" i="110"/>
  <c r="W77" i="110"/>
  <c r="W78" i="110"/>
  <c r="W79" i="110"/>
  <c r="W80" i="110"/>
  <c r="W81" i="110"/>
  <c r="W82" i="110"/>
  <c r="W83" i="110"/>
  <c r="W84" i="110"/>
  <c r="W85" i="110"/>
  <c r="W86" i="110"/>
  <c r="W87" i="110"/>
  <c r="W88" i="110"/>
  <c r="W89" i="110"/>
  <c r="W90" i="110"/>
  <c r="W91" i="110"/>
  <c r="W92" i="110"/>
  <c r="W93" i="110"/>
  <c r="W94" i="110"/>
  <c r="W95" i="110"/>
  <c r="W66" i="110"/>
  <c r="T67" i="110"/>
  <c r="T68" i="110"/>
  <c r="T69" i="110"/>
  <c r="T70" i="110"/>
  <c r="T71" i="110"/>
  <c r="T72" i="110"/>
  <c r="T73" i="110"/>
  <c r="T74" i="110"/>
  <c r="T75" i="110"/>
  <c r="T76" i="110"/>
  <c r="T77" i="110"/>
  <c r="T78" i="110"/>
  <c r="T79" i="110"/>
  <c r="T80" i="110"/>
  <c r="T81" i="110"/>
  <c r="T82" i="110"/>
  <c r="T83" i="110"/>
  <c r="T84" i="110"/>
  <c r="T85" i="110"/>
  <c r="T86" i="110"/>
  <c r="T87" i="110"/>
  <c r="T88" i="110"/>
  <c r="T89" i="110"/>
  <c r="T90" i="110"/>
  <c r="T91" i="110"/>
  <c r="T92" i="110"/>
  <c r="T93" i="110"/>
  <c r="T94" i="110"/>
  <c r="T95" i="110"/>
  <c r="T66" i="110"/>
  <c r="H67" i="110"/>
  <c r="I67" i="110"/>
  <c r="H68" i="110"/>
  <c r="I68" i="110"/>
  <c r="H69" i="110"/>
  <c r="I69" i="110"/>
  <c r="H70" i="110"/>
  <c r="I70" i="110"/>
  <c r="H71" i="110"/>
  <c r="I71" i="110"/>
  <c r="H72" i="110"/>
  <c r="I72" i="110"/>
  <c r="H73" i="110"/>
  <c r="I73" i="110"/>
  <c r="H74" i="110"/>
  <c r="I74" i="110"/>
  <c r="H75" i="110"/>
  <c r="I75" i="110"/>
  <c r="H76" i="110"/>
  <c r="I76" i="110"/>
  <c r="H77" i="110"/>
  <c r="I77" i="110"/>
  <c r="H78" i="110"/>
  <c r="I78" i="110"/>
  <c r="H79" i="110"/>
  <c r="I79" i="110"/>
  <c r="H80" i="110"/>
  <c r="I80" i="110"/>
  <c r="H81" i="110"/>
  <c r="I81" i="110"/>
  <c r="H82" i="110"/>
  <c r="I82" i="110"/>
  <c r="H83" i="110"/>
  <c r="I83" i="110"/>
  <c r="H84" i="110"/>
  <c r="I84" i="110"/>
  <c r="H85" i="110"/>
  <c r="I85" i="110"/>
  <c r="H86" i="110"/>
  <c r="I86" i="110"/>
  <c r="H87" i="110"/>
  <c r="I87" i="110"/>
  <c r="H88" i="110"/>
  <c r="I88" i="110"/>
  <c r="H89" i="110"/>
  <c r="I89" i="110"/>
  <c r="H90" i="110"/>
  <c r="I90" i="110"/>
  <c r="H91" i="110"/>
  <c r="I91" i="110"/>
  <c r="H92" i="110"/>
  <c r="I92" i="110"/>
  <c r="H93" i="110"/>
  <c r="I93" i="110"/>
  <c r="H94" i="110"/>
  <c r="I94" i="110"/>
  <c r="H95" i="110"/>
  <c r="I95" i="110"/>
  <c r="I66" i="110"/>
  <c r="H66" i="110"/>
  <c r="AB7" i="110"/>
  <c r="AB8" i="110"/>
  <c r="AB9" i="110"/>
  <c r="AB10" i="110"/>
  <c r="AB11" i="110"/>
  <c r="AB12" i="110"/>
  <c r="AB13" i="110"/>
  <c r="AB14" i="110"/>
  <c r="AB15" i="110"/>
  <c r="AB16" i="110"/>
  <c r="AB17" i="110"/>
  <c r="AB18" i="110"/>
  <c r="AB19" i="110"/>
  <c r="AB20" i="110"/>
  <c r="AB21" i="110"/>
  <c r="AB22" i="110"/>
  <c r="AB23" i="110"/>
  <c r="AB24" i="110"/>
  <c r="AB25" i="110"/>
  <c r="AB26" i="110"/>
  <c r="AB27" i="110"/>
  <c r="AB28" i="110"/>
  <c r="AB29" i="110"/>
  <c r="AB30" i="110"/>
  <c r="AB31" i="110"/>
  <c r="AB32" i="110"/>
  <c r="AB33" i="110"/>
  <c r="AA7" i="110"/>
  <c r="AA8" i="110"/>
  <c r="AA9" i="110"/>
  <c r="AA10" i="110"/>
  <c r="AA11" i="110"/>
  <c r="AA12" i="110"/>
  <c r="AA13" i="110"/>
  <c r="AA14" i="110"/>
  <c r="AA15" i="110"/>
  <c r="AA16" i="110"/>
  <c r="AA17" i="110"/>
  <c r="AA18" i="110"/>
  <c r="AA19" i="110"/>
  <c r="AA20" i="110"/>
  <c r="AA21" i="110"/>
  <c r="AA22" i="110"/>
  <c r="AA23" i="110"/>
  <c r="AA24" i="110"/>
  <c r="AA25" i="110"/>
  <c r="AA26" i="110"/>
  <c r="AA27" i="110"/>
  <c r="AA28" i="110"/>
  <c r="AA29" i="110"/>
  <c r="AA30" i="110"/>
  <c r="AA31" i="110"/>
  <c r="AA32" i="110"/>
  <c r="AA33" i="110"/>
  <c r="BC28" i="121"/>
  <c r="BD28" i="121"/>
  <c r="BF28" i="121"/>
  <c r="BC30" i="121"/>
  <c r="BC34" i="121"/>
  <c r="BD34" i="121"/>
  <c r="BF34" i="121"/>
  <c r="BC36" i="121"/>
  <c r="BC38" i="121"/>
  <c r="BD38" i="121"/>
  <c r="BF38" i="121"/>
  <c r="BC40" i="121"/>
  <c r="BD40" i="121"/>
  <c r="BF40" i="121"/>
  <c r="BC46" i="121"/>
  <c r="BD46" i="121"/>
  <c r="BF46" i="121"/>
  <c r="BC48" i="121"/>
  <c r="BD48" i="121"/>
  <c r="BF48" i="121"/>
  <c r="BC50" i="121"/>
  <c r="BD50" i="121"/>
  <c r="BF50" i="121"/>
  <c r="BC56" i="121"/>
  <c r="BD56" i="121"/>
  <c r="BF56" i="121"/>
  <c r="BC58" i="121"/>
  <c r="BD58" i="121"/>
  <c r="BF58" i="121"/>
  <c r="BC60" i="121"/>
  <c r="BD60" i="121"/>
  <c r="BF60" i="121"/>
  <c r="BC62" i="121"/>
  <c r="BD62" i="121"/>
  <c r="BF62" i="121"/>
  <c r="BC64" i="121"/>
  <c r="BD64" i="121"/>
  <c r="BF64" i="121"/>
  <c r="BC66" i="121"/>
  <c r="BD66" i="121"/>
  <c r="BF66" i="121"/>
  <c r="BC68" i="121"/>
  <c r="BD68" i="121"/>
  <c r="BF68" i="121"/>
  <c r="BC70" i="121"/>
  <c r="BD70" i="121"/>
  <c r="BF70" i="121"/>
  <c r="BC72" i="121"/>
  <c r="BD72" i="121"/>
  <c r="BF72" i="121"/>
  <c r="BC74" i="121"/>
  <c r="BD74" i="121"/>
  <c r="BF74" i="121"/>
  <c r="BG44" i="111"/>
  <c r="BG48" i="111"/>
  <c r="BG50" i="111"/>
  <c r="BG52" i="111"/>
  <c r="BG54" i="111"/>
  <c r="BG58" i="111"/>
  <c r="BG60" i="111"/>
  <c r="BG62" i="111"/>
  <c r="BG64" i="111"/>
  <c r="BG66" i="111"/>
  <c r="BG68" i="111"/>
  <c r="BG70" i="111"/>
  <c r="BG72" i="111"/>
  <c r="BG74" i="111"/>
  <c r="BG76" i="111"/>
  <c r="BG78" i="111"/>
  <c r="BG26" i="119"/>
  <c r="BG28" i="119"/>
  <c r="BG32" i="119"/>
  <c r="BG34" i="119"/>
  <c r="BG36" i="119"/>
  <c r="BG40" i="119"/>
  <c r="BG44" i="119"/>
  <c r="BG46" i="119"/>
  <c r="BG48" i="119"/>
  <c r="BG50" i="119"/>
  <c r="BG52" i="119"/>
  <c r="BG54" i="119"/>
  <c r="BG56" i="119"/>
  <c r="BG58" i="119"/>
  <c r="BG60" i="119"/>
  <c r="BG62" i="119"/>
  <c r="BG64" i="119"/>
  <c r="BG66" i="119"/>
  <c r="BG68" i="119"/>
  <c r="BG70" i="119"/>
  <c r="BG72" i="119"/>
  <c r="BG74" i="119"/>
  <c r="BG76" i="119"/>
  <c r="BD30" i="111"/>
  <c r="BD36" i="111"/>
  <c r="BD44" i="111"/>
  <c r="BD48" i="111"/>
  <c r="BD50" i="111"/>
  <c r="BD52" i="111"/>
  <c r="BD54" i="111"/>
  <c r="BD56" i="111"/>
  <c r="BD58" i="111"/>
  <c r="BD60" i="111"/>
  <c r="BD62" i="111"/>
  <c r="BD64" i="111"/>
  <c r="BD66" i="111"/>
  <c r="BD68" i="111"/>
  <c r="BD70" i="111"/>
  <c r="BD72" i="111"/>
  <c r="BD74" i="111"/>
  <c r="BD76" i="111"/>
  <c r="BD78" i="111"/>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AA36" i="110"/>
  <c r="AB36" i="110"/>
  <c r="AA37" i="110"/>
  <c r="AB37" i="110"/>
  <c r="AA38" i="110"/>
  <c r="AB38" i="110"/>
  <c r="AA39" i="110"/>
  <c r="AB39" i="110"/>
  <c r="AA40" i="110"/>
  <c r="AB40" i="110"/>
  <c r="AA41" i="110"/>
  <c r="AB41" i="110"/>
  <c r="AA42" i="110"/>
  <c r="AB42" i="110"/>
  <c r="AA43" i="110"/>
  <c r="AB43" i="110"/>
  <c r="AA44" i="110"/>
  <c r="AB44" i="110"/>
  <c r="AA45" i="110"/>
  <c r="AB45" i="110"/>
  <c r="AA46" i="110"/>
  <c r="AB46" i="110"/>
  <c r="AA47" i="110"/>
  <c r="AB47" i="110"/>
  <c r="AA48" i="110"/>
  <c r="AB48" i="110"/>
  <c r="AA49" i="110"/>
  <c r="AB49" i="110"/>
  <c r="AA50" i="110"/>
  <c r="AB50" i="110"/>
  <c r="AA51" i="110"/>
  <c r="AB51" i="110"/>
  <c r="AA52" i="110"/>
  <c r="AB52" i="110"/>
  <c r="AA53" i="110"/>
  <c r="AB53" i="110"/>
  <c r="AA54" i="110"/>
  <c r="AB54" i="110"/>
  <c r="AA55" i="110"/>
  <c r="AB55" i="110"/>
  <c r="AA56" i="110"/>
  <c r="AB56" i="110"/>
  <c r="AA57" i="110"/>
  <c r="AB57" i="110"/>
  <c r="AA58" i="110"/>
  <c r="AB58" i="110"/>
  <c r="AA59" i="110"/>
  <c r="AB59" i="110"/>
  <c r="AA60" i="110"/>
  <c r="AB60" i="110"/>
  <c r="AA61" i="110"/>
  <c r="AB61" i="110"/>
  <c r="AA62" i="110"/>
  <c r="AB62" i="110"/>
  <c r="AA63" i="110"/>
  <c r="AB63" i="110"/>
  <c r="AA64" i="110"/>
  <c r="AB64" i="110"/>
  <c r="AB35" i="110"/>
  <c r="AA35" i="110"/>
  <c r="AA6" i="110"/>
  <c r="AB6" i="110"/>
  <c r="A327" i="110"/>
  <c r="H327" i="110"/>
  <c r="I327" i="110"/>
  <c r="K327" i="110"/>
  <c r="U327" i="110"/>
  <c r="W327" i="110"/>
  <c r="X327" i="110"/>
  <c r="Y327" i="110"/>
  <c r="AF327" i="110"/>
  <c r="AG327" i="110"/>
  <c r="AO327" i="110"/>
  <c r="A328" i="110"/>
  <c r="H328" i="110"/>
  <c r="I328" i="110"/>
  <c r="K328" i="110"/>
  <c r="U328" i="110"/>
  <c r="W328" i="110"/>
  <c r="X328" i="110"/>
  <c r="Y328" i="110"/>
  <c r="AF328" i="110"/>
  <c r="AG328" i="110"/>
  <c r="AO328" i="110"/>
  <c r="A329" i="110"/>
  <c r="H329" i="110"/>
  <c r="I329" i="110"/>
  <c r="K329" i="110"/>
  <c r="U329" i="110"/>
  <c r="W329" i="110"/>
  <c r="X329" i="110"/>
  <c r="Y329" i="110"/>
  <c r="AF329" i="110"/>
  <c r="AG329" i="110"/>
  <c r="AO329" i="110"/>
  <c r="A330" i="110"/>
  <c r="H330" i="110"/>
  <c r="I330" i="110"/>
  <c r="K330" i="110"/>
  <c r="U330" i="110"/>
  <c r="W330" i="110"/>
  <c r="X330" i="110"/>
  <c r="Y330" i="110"/>
  <c r="AF330" i="110"/>
  <c r="AO330" i="110"/>
  <c r="AG330" i="110"/>
  <c r="A331" i="110"/>
  <c r="H331" i="110"/>
  <c r="I331" i="110"/>
  <c r="K331" i="110"/>
  <c r="U331" i="110"/>
  <c r="W331" i="110"/>
  <c r="X331" i="110"/>
  <c r="Y331" i="110"/>
  <c r="AF331" i="110"/>
  <c r="AO331" i="110"/>
  <c r="AG331" i="110"/>
  <c r="A332" i="110"/>
  <c r="H332" i="110"/>
  <c r="I332" i="110"/>
  <c r="K332" i="110"/>
  <c r="U332" i="110"/>
  <c r="W332" i="110"/>
  <c r="X332" i="110"/>
  <c r="Y332" i="110"/>
  <c r="AF332" i="110"/>
  <c r="AG332" i="110"/>
  <c r="AO332" i="110"/>
  <c r="A333" i="110"/>
  <c r="H333" i="110"/>
  <c r="I333" i="110"/>
  <c r="K333" i="110"/>
  <c r="U333" i="110"/>
  <c r="W333" i="110"/>
  <c r="X333" i="110"/>
  <c r="Y333" i="110"/>
  <c r="AF333" i="110"/>
  <c r="AG333" i="110"/>
  <c r="AO333" i="110"/>
  <c r="A334" i="110"/>
  <c r="H334" i="110"/>
  <c r="I334" i="110"/>
  <c r="K334" i="110"/>
  <c r="U334" i="110"/>
  <c r="W334" i="110"/>
  <c r="X334" i="110"/>
  <c r="Y334" i="110"/>
  <c r="AF334" i="110"/>
  <c r="AO334" i="110"/>
  <c r="AG334" i="110"/>
  <c r="A335" i="110"/>
  <c r="H335" i="110"/>
  <c r="I335" i="110"/>
  <c r="K335" i="110"/>
  <c r="U335" i="110"/>
  <c r="W335" i="110"/>
  <c r="X335" i="110"/>
  <c r="Y335" i="110"/>
  <c r="AF335" i="110"/>
  <c r="AG335" i="110"/>
  <c r="AO335" i="110"/>
  <c r="AO326" i="110"/>
  <c r="AG326" i="110"/>
  <c r="AF326" i="110"/>
  <c r="Y326" i="110"/>
  <c r="X326" i="110"/>
  <c r="W326" i="110"/>
  <c r="U326" i="110"/>
  <c r="K326" i="110"/>
  <c r="I326" i="110"/>
  <c r="H326" i="110"/>
  <c r="A316" i="110"/>
  <c r="H316" i="110"/>
  <c r="I316" i="110"/>
  <c r="K316" i="110"/>
  <c r="U316" i="110"/>
  <c r="W316" i="110"/>
  <c r="X316" i="110"/>
  <c r="Y316" i="110"/>
  <c r="AF316" i="110"/>
  <c r="AO316" i="110"/>
  <c r="AG316" i="110"/>
  <c r="A317" i="110"/>
  <c r="H317" i="110"/>
  <c r="I317" i="110"/>
  <c r="K317" i="110"/>
  <c r="U317" i="110"/>
  <c r="W317" i="110"/>
  <c r="X317" i="110"/>
  <c r="Y317" i="110"/>
  <c r="AF317" i="110"/>
  <c r="AO317" i="110"/>
  <c r="AG317" i="110"/>
  <c r="A318" i="110"/>
  <c r="H318" i="110"/>
  <c r="I318" i="110"/>
  <c r="K318" i="110"/>
  <c r="U318" i="110"/>
  <c r="W318" i="110"/>
  <c r="X318" i="110"/>
  <c r="Y318" i="110"/>
  <c r="AF318" i="110"/>
  <c r="AG318" i="110"/>
  <c r="AO318" i="110"/>
  <c r="A319" i="110"/>
  <c r="H319" i="110"/>
  <c r="I319" i="110"/>
  <c r="K319" i="110"/>
  <c r="U319" i="110"/>
  <c r="W319" i="110"/>
  <c r="X319" i="110"/>
  <c r="Y319" i="110"/>
  <c r="AF319" i="110"/>
  <c r="AG319" i="110"/>
  <c r="AO319" i="110"/>
  <c r="A320" i="110"/>
  <c r="H320" i="110"/>
  <c r="I320" i="110"/>
  <c r="K320" i="110"/>
  <c r="U320" i="110"/>
  <c r="W320" i="110"/>
  <c r="X320" i="110"/>
  <c r="Y320" i="110"/>
  <c r="AF320" i="110"/>
  <c r="AO320" i="110"/>
  <c r="AG320" i="110"/>
  <c r="A321" i="110"/>
  <c r="H321" i="110"/>
  <c r="I321" i="110"/>
  <c r="K321" i="110"/>
  <c r="U321" i="110"/>
  <c r="W321" i="110"/>
  <c r="X321" i="110"/>
  <c r="Y321" i="110"/>
  <c r="AF321" i="110"/>
  <c r="AG321" i="110"/>
  <c r="AO321" i="110"/>
  <c r="A322" i="110"/>
  <c r="H322" i="110"/>
  <c r="I322" i="110"/>
  <c r="K322" i="110"/>
  <c r="U322" i="110"/>
  <c r="W322" i="110"/>
  <c r="X322" i="110"/>
  <c r="Y322" i="110"/>
  <c r="AF322" i="110"/>
  <c r="AG322" i="110"/>
  <c r="AO322" i="110"/>
  <c r="A323" i="110"/>
  <c r="H323" i="110"/>
  <c r="I323" i="110"/>
  <c r="K323" i="110"/>
  <c r="U323" i="110"/>
  <c r="W323" i="110"/>
  <c r="X323" i="110"/>
  <c r="Y323" i="110"/>
  <c r="AF323" i="110"/>
  <c r="AG323" i="110"/>
  <c r="AO323" i="110"/>
  <c r="A324" i="110"/>
  <c r="H324" i="110"/>
  <c r="I324" i="110"/>
  <c r="K324" i="110"/>
  <c r="U324" i="110"/>
  <c r="W324" i="110"/>
  <c r="X324" i="110"/>
  <c r="Y324" i="110"/>
  <c r="AF324" i="110"/>
  <c r="AO324" i="110"/>
  <c r="AG324" i="110"/>
  <c r="AO315" i="110"/>
  <c r="AF315" i="110"/>
  <c r="AG315" i="110"/>
  <c r="Y315" i="110"/>
  <c r="X315" i="110"/>
  <c r="W315" i="110"/>
  <c r="U315" i="110"/>
  <c r="K315" i="110"/>
  <c r="I315" i="110"/>
  <c r="H315" i="110"/>
  <c r="A305" i="110"/>
  <c r="H305" i="110"/>
  <c r="I305" i="110"/>
  <c r="K305" i="110"/>
  <c r="U305" i="110"/>
  <c r="W305" i="110"/>
  <c r="X305" i="110"/>
  <c r="Y305" i="110"/>
  <c r="AF305" i="110"/>
  <c r="AG305" i="110"/>
  <c r="AO305" i="110"/>
  <c r="A306" i="110"/>
  <c r="H306" i="110"/>
  <c r="I306" i="110"/>
  <c r="K306" i="110"/>
  <c r="U306" i="110"/>
  <c r="W306" i="110"/>
  <c r="X306" i="110"/>
  <c r="Y306" i="110"/>
  <c r="AF306" i="110"/>
  <c r="AO306" i="110"/>
  <c r="AG306" i="110"/>
  <c r="A307" i="110"/>
  <c r="H307" i="110"/>
  <c r="I307" i="110"/>
  <c r="K307" i="110"/>
  <c r="U307" i="110"/>
  <c r="W307" i="110"/>
  <c r="X307" i="110"/>
  <c r="Y307" i="110"/>
  <c r="AF307" i="110"/>
  <c r="AO307" i="110"/>
  <c r="AG307" i="110"/>
  <c r="A308" i="110"/>
  <c r="H308" i="110"/>
  <c r="I308" i="110"/>
  <c r="K308" i="110"/>
  <c r="U308" i="110"/>
  <c r="W308" i="110"/>
  <c r="X308" i="110"/>
  <c r="Y308" i="110"/>
  <c r="AF308" i="110"/>
  <c r="AG308" i="110"/>
  <c r="AO308" i="110"/>
  <c r="A309" i="110"/>
  <c r="H309" i="110"/>
  <c r="I309" i="110"/>
  <c r="K309" i="110"/>
  <c r="U309" i="110"/>
  <c r="W309" i="110"/>
  <c r="X309" i="110"/>
  <c r="Y309" i="110"/>
  <c r="AF309" i="110"/>
  <c r="AG309" i="110"/>
  <c r="AO309" i="110"/>
  <c r="A310" i="110"/>
  <c r="H310" i="110"/>
  <c r="I310" i="110"/>
  <c r="K310" i="110"/>
  <c r="U310" i="110"/>
  <c r="W310" i="110"/>
  <c r="X310" i="110"/>
  <c r="Y310" i="110"/>
  <c r="AF310" i="110"/>
  <c r="AO310" i="110"/>
  <c r="AG310" i="110"/>
  <c r="A311" i="110"/>
  <c r="H311" i="110"/>
  <c r="I311" i="110"/>
  <c r="K311" i="110"/>
  <c r="U311" i="110"/>
  <c r="W311" i="110"/>
  <c r="X311" i="110"/>
  <c r="Y311" i="110"/>
  <c r="AF311" i="110"/>
  <c r="AO311" i="110"/>
  <c r="AG311" i="110"/>
  <c r="A312" i="110"/>
  <c r="H312" i="110"/>
  <c r="I312" i="110"/>
  <c r="K312" i="110"/>
  <c r="U312" i="110"/>
  <c r="W312" i="110"/>
  <c r="X312" i="110"/>
  <c r="Y312" i="110"/>
  <c r="AF312" i="110"/>
  <c r="AG312" i="110"/>
  <c r="AO312" i="110"/>
  <c r="A313" i="110"/>
  <c r="H313" i="110"/>
  <c r="I313" i="110"/>
  <c r="K313" i="110"/>
  <c r="U313" i="110"/>
  <c r="W313" i="110"/>
  <c r="X313" i="110"/>
  <c r="Y313" i="110"/>
  <c r="AF313" i="110"/>
  <c r="AG313" i="110"/>
  <c r="AO313" i="110"/>
  <c r="AO304" i="110"/>
  <c r="AG304" i="110"/>
  <c r="AF304" i="110"/>
  <c r="Y304" i="110"/>
  <c r="X304" i="110"/>
  <c r="W304" i="110"/>
  <c r="U304" i="110"/>
  <c r="K304" i="110"/>
  <c r="I304" i="110"/>
  <c r="H304" i="110"/>
  <c r="H294" i="110"/>
  <c r="I294" i="110"/>
  <c r="K294" i="110"/>
  <c r="U294" i="110"/>
  <c r="W294" i="110"/>
  <c r="X294" i="110"/>
  <c r="Y294" i="110"/>
  <c r="AF294" i="110"/>
  <c r="AG294" i="110"/>
  <c r="AO294" i="110"/>
  <c r="H295" i="110"/>
  <c r="I295" i="110"/>
  <c r="K295" i="110"/>
  <c r="U295" i="110"/>
  <c r="W295" i="110"/>
  <c r="X295" i="110"/>
  <c r="Y295" i="110"/>
  <c r="AF295" i="110"/>
  <c r="AO295" i="110"/>
  <c r="AG295" i="110"/>
  <c r="H296" i="110"/>
  <c r="I296" i="110"/>
  <c r="K296" i="110"/>
  <c r="U296" i="110"/>
  <c r="W296" i="110"/>
  <c r="X296" i="110"/>
  <c r="Y296" i="110"/>
  <c r="AF296" i="110"/>
  <c r="AG296" i="110"/>
  <c r="AO296" i="110"/>
  <c r="H297" i="110"/>
  <c r="I297" i="110"/>
  <c r="K297" i="110"/>
  <c r="U297" i="110"/>
  <c r="W297" i="110"/>
  <c r="X297" i="110"/>
  <c r="Y297" i="110"/>
  <c r="AF297" i="110"/>
  <c r="AG297" i="110"/>
  <c r="AO297" i="110"/>
  <c r="H298" i="110"/>
  <c r="I298" i="110"/>
  <c r="K298" i="110"/>
  <c r="U298" i="110"/>
  <c r="W298" i="110"/>
  <c r="X298" i="110"/>
  <c r="Y298" i="110"/>
  <c r="AF298" i="110"/>
  <c r="AG298" i="110"/>
  <c r="AO298" i="110"/>
  <c r="H299" i="110"/>
  <c r="I299" i="110"/>
  <c r="K299" i="110"/>
  <c r="U299" i="110"/>
  <c r="W299" i="110"/>
  <c r="X299" i="110"/>
  <c r="Y299" i="110"/>
  <c r="AF299" i="110"/>
  <c r="AO299" i="110"/>
  <c r="AG299" i="110"/>
  <c r="H300" i="110"/>
  <c r="I300" i="110"/>
  <c r="K300" i="110"/>
  <c r="U300" i="110"/>
  <c r="W300" i="110"/>
  <c r="X300" i="110"/>
  <c r="Y300" i="110"/>
  <c r="AF300" i="110"/>
  <c r="AG300" i="110"/>
  <c r="AO300" i="110"/>
  <c r="H301" i="110"/>
  <c r="I301" i="110"/>
  <c r="K301" i="110"/>
  <c r="U301" i="110"/>
  <c r="W301" i="110"/>
  <c r="X301" i="110"/>
  <c r="Y301" i="110"/>
  <c r="AF301" i="110"/>
  <c r="AO301" i="110"/>
  <c r="AG301" i="110"/>
  <c r="H302" i="110"/>
  <c r="I302" i="110"/>
  <c r="K302" i="110"/>
  <c r="U302" i="110"/>
  <c r="W302" i="110"/>
  <c r="X302" i="110"/>
  <c r="Y302" i="110"/>
  <c r="AF302" i="110"/>
  <c r="AG302" i="110"/>
  <c r="AO302" i="110"/>
  <c r="AO293" i="110"/>
  <c r="AG293" i="110"/>
  <c r="AF293" i="110"/>
  <c r="Y293" i="110"/>
  <c r="X293" i="110"/>
  <c r="W293" i="110"/>
  <c r="U293" i="110"/>
  <c r="K293" i="110"/>
  <c r="I293" i="110"/>
  <c r="H293" i="110"/>
  <c r="A283" i="110"/>
  <c r="H283" i="110"/>
  <c r="I283" i="110"/>
  <c r="K283" i="110"/>
  <c r="U283" i="110"/>
  <c r="W283" i="110"/>
  <c r="X283" i="110"/>
  <c r="Y283" i="110"/>
  <c r="AF283" i="110"/>
  <c r="AG283" i="110"/>
  <c r="AO283" i="110"/>
  <c r="A284" i="110"/>
  <c r="H284" i="110"/>
  <c r="I284" i="110"/>
  <c r="K284" i="110"/>
  <c r="U284" i="110"/>
  <c r="W284" i="110"/>
  <c r="X284" i="110"/>
  <c r="Y284" i="110"/>
  <c r="AF284" i="110"/>
  <c r="AG284" i="110"/>
  <c r="AO284" i="110"/>
  <c r="A285" i="110"/>
  <c r="H285" i="110"/>
  <c r="I285" i="110"/>
  <c r="K285" i="110"/>
  <c r="U285" i="110"/>
  <c r="W285" i="110"/>
  <c r="X285" i="110"/>
  <c r="Y285" i="110"/>
  <c r="AF285" i="110"/>
  <c r="AG285" i="110"/>
  <c r="AO285" i="110"/>
  <c r="A286" i="110"/>
  <c r="H286" i="110"/>
  <c r="I286" i="110"/>
  <c r="K286" i="110"/>
  <c r="U286" i="110"/>
  <c r="W286" i="110"/>
  <c r="X286" i="110"/>
  <c r="Y286" i="110"/>
  <c r="AF286" i="110"/>
  <c r="AO286" i="110"/>
  <c r="AG286" i="110"/>
  <c r="A287" i="110"/>
  <c r="H287" i="110"/>
  <c r="I287" i="110"/>
  <c r="K287" i="110"/>
  <c r="U287" i="110"/>
  <c r="W287" i="110"/>
  <c r="X287" i="110"/>
  <c r="Y287" i="110"/>
  <c r="AF287" i="110"/>
  <c r="AG287" i="110"/>
  <c r="AO287" i="110"/>
  <c r="A288" i="110"/>
  <c r="H288" i="110"/>
  <c r="I288" i="110"/>
  <c r="K288" i="110"/>
  <c r="U288" i="110"/>
  <c r="W288" i="110"/>
  <c r="X288" i="110"/>
  <c r="Y288" i="110"/>
  <c r="AF288" i="110"/>
  <c r="AG288" i="110"/>
  <c r="AO288" i="110"/>
  <c r="A289" i="110"/>
  <c r="H289" i="110"/>
  <c r="I289" i="110"/>
  <c r="K289" i="110"/>
  <c r="U289" i="110"/>
  <c r="W289" i="110"/>
  <c r="X289" i="110"/>
  <c r="Y289" i="110"/>
  <c r="AF289" i="110"/>
  <c r="AG289" i="110"/>
  <c r="AO289" i="110"/>
  <c r="A290" i="110"/>
  <c r="H290" i="110"/>
  <c r="I290" i="110"/>
  <c r="K290" i="110"/>
  <c r="U290" i="110"/>
  <c r="W290" i="110"/>
  <c r="X290" i="110"/>
  <c r="Y290" i="110"/>
  <c r="AF290" i="110"/>
  <c r="AO290" i="110"/>
  <c r="AG290" i="110"/>
  <c r="A291" i="110"/>
  <c r="H291" i="110"/>
  <c r="I291" i="110"/>
  <c r="K291" i="110"/>
  <c r="U291" i="110"/>
  <c r="W291" i="110"/>
  <c r="X291" i="110"/>
  <c r="Y291" i="110"/>
  <c r="AF291" i="110"/>
  <c r="AG291" i="110"/>
  <c r="AO291" i="110"/>
  <c r="AO282" i="110"/>
  <c r="AG282" i="110"/>
  <c r="AF282" i="110"/>
  <c r="Y282" i="110"/>
  <c r="X282" i="110"/>
  <c r="W282" i="110"/>
  <c r="U282" i="110"/>
  <c r="K282" i="110"/>
  <c r="I282" i="110"/>
  <c r="H282" i="110"/>
  <c r="A271" i="110"/>
  <c r="H271" i="110"/>
  <c r="I271" i="110"/>
  <c r="K271" i="110"/>
  <c r="U271" i="110"/>
  <c r="W271" i="110"/>
  <c r="X271" i="110"/>
  <c r="Y271" i="110"/>
  <c r="AF271" i="110"/>
  <c r="AO271" i="110"/>
  <c r="AG271" i="110"/>
  <c r="A272" i="110"/>
  <c r="H272" i="110"/>
  <c r="I272" i="110"/>
  <c r="K272" i="110"/>
  <c r="U272" i="110"/>
  <c r="W272" i="110"/>
  <c r="X272" i="110"/>
  <c r="Y272" i="110"/>
  <c r="AF272" i="110"/>
  <c r="AG272" i="110"/>
  <c r="AO272" i="110"/>
  <c r="A273" i="110"/>
  <c r="H273" i="110"/>
  <c r="I273" i="110"/>
  <c r="K273" i="110"/>
  <c r="U273" i="110"/>
  <c r="W273" i="110"/>
  <c r="X273" i="110"/>
  <c r="Y273" i="110"/>
  <c r="AF273" i="110"/>
  <c r="AG273" i="110"/>
  <c r="AO273" i="110"/>
  <c r="A274" i="110"/>
  <c r="H274" i="110"/>
  <c r="I274" i="110"/>
  <c r="K274" i="110"/>
  <c r="U274" i="110"/>
  <c r="W274" i="110"/>
  <c r="X274" i="110"/>
  <c r="Y274" i="110"/>
  <c r="AF274" i="110"/>
  <c r="AG274" i="110"/>
  <c r="AO274" i="110"/>
  <c r="A275" i="110"/>
  <c r="H275" i="110"/>
  <c r="I275" i="110"/>
  <c r="K275" i="110"/>
  <c r="U275" i="110"/>
  <c r="W275" i="110"/>
  <c r="X275" i="110"/>
  <c r="Y275" i="110"/>
  <c r="AF275" i="110"/>
  <c r="AO275" i="110"/>
  <c r="AG275" i="110"/>
  <c r="A276" i="110"/>
  <c r="H276" i="110"/>
  <c r="I276" i="110"/>
  <c r="K276" i="110"/>
  <c r="U276" i="110"/>
  <c r="W276" i="110"/>
  <c r="X276" i="110"/>
  <c r="Y276" i="110"/>
  <c r="AF276" i="110"/>
  <c r="AG276" i="110"/>
  <c r="AO276" i="110"/>
  <c r="A277" i="110"/>
  <c r="H277" i="110"/>
  <c r="I277" i="110"/>
  <c r="K277" i="110"/>
  <c r="U277" i="110"/>
  <c r="W277" i="110"/>
  <c r="X277" i="110"/>
  <c r="Y277" i="110"/>
  <c r="AF277" i="110"/>
  <c r="AG277" i="110"/>
  <c r="AO277" i="110"/>
  <c r="A278" i="110"/>
  <c r="H278" i="110"/>
  <c r="I278" i="110"/>
  <c r="K278" i="110"/>
  <c r="U278" i="110"/>
  <c r="W278" i="110"/>
  <c r="X278" i="110"/>
  <c r="Y278" i="110"/>
  <c r="AF278" i="110"/>
  <c r="AG278" i="110"/>
  <c r="AO278" i="110"/>
  <c r="A279" i="110"/>
  <c r="H279" i="110"/>
  <c r="I279" i="110"/>
  <c r="K279" i="110"/>
  <c r="U279" i="110"/>
  <c r="W279" i="110"/>
  <c r="X279" i="110"/>
  <c r="Y279" i="110"/>
  <c r="AF279" i="110"/>
  <c r="AO279" i="110"/>
  <c r="AG279" i="110"/>
  <c r="A280" i="110"/>
  <c r="E280" i="110"/>
  <c r="H280" i="110"/>
  <c r="I280" i="110"/>
  <c r="K280" i="110"/>
  <c r="L280" i="110"/>
  <c r="O280" i="110"/>
  <c r="M280" i="110"/>
  <c r="N280" i="110"/>
  <c r="P280" i="110"/>
  <c r="Q280" i="110"/>
  <c r="R280" i="110"/>
  <c r="U280" i="110"/>
  <c r="W280" i="110"/>
  <c r="X280" i="110"/>
  <c r="Y280" i="110"/>
  <c r="AE280" i="110"/>
  <c r="AF280" i="110"/>
  <c r="AG280" i="110"/>
  <c r="AM280" i="110"/>
  <c r="AN280" i="110"/>
  <c r="AO280" i="110"/>
  <c r="AO270" i="110"/>
  <c r="AG270" i="110"/>
  <c r="AF270" i="110"/>
  <c r="Y270" i="110"/>
  <c r="X270" i="110"/>
  <c r="U270" i="110"/>
  <c r="K270" i="110"/>
  <c r="I270" i="110"/>
  <c r="H270" i="110"/>
  <c r="W270" i="110"/>
  <c r="A270" i="110"/>
  <c r="A325" i="110"/>
  <c r="A314" i="110"/>
  <c r="A303" i="110"/>
  <c r="A292" i="110"/>
  <c r="A281" i="110"/>
  <c r="A269" i="110"/>
  <c r="A258" i="110"/>
  <c r="A227" i="110"/>
  <c r="G227" i="110"/>
  <c r="U227" i="110"/>
  <c r="W227" i="110"/>
  <c r="E227" i="110" s="1"/>
  <c r="Y227" i="110"/>
  <c r="A228" i="110"/>
  <c r="G228" i="110"/>
  <c r="U228" i="110"/>
  <c r="W228" i="110"/>
  <c r="E228" i="110" s="1"/>
  <c r="Y228" i="110"/>
  <c r="A229" i="110"/>
  <c r="G229" i="110"/>
  <c r="U229" i="110"/>
  <c r="W229" i="110"/>
  <c r="K229" i="110" s="1"/>
  <c r="Y229" i="110"/>
  <c r="A230" i="110"/>
  <c r="G230" i="110"/>
  <c r="U230" i="110"/>
  <c r="W230" i="110"/>
  <c r="E230" i="110" s="1"/>
  <c r="Y230" i="110"/>
  <c r="A231" i="110"/>
  <c r="G231" i="110"/>
  <c r="U231" i="110"/>
  <c r="W231" i="110"/>
  <c r="K231" i="110" s="1"/>
  <c r="Y231" i="110"/>
  <c r="A232" i="110"/>
  <c r="G232" i="110"/>
  <c r="U232" i="110"/>
  <c r="W232" i="110"/>
  <c r="Y232" i="110"/>
  <c r="A233" i="110"/>
  <c r="G233" i="110"/>
  <c r="U233" i="110"/>
  <c r="W233" i="110"/>
  <c r="E233" i="110" s="1"/>
  <c r="Y233" i="110"/>
  <c r="A234" i="110"/>
  <c r="G234" i="110"/>
  <c r="U234" i="110"/>
  <c r="W234" i="110"/>
  <c r="E234" i="110" s="1"/>
  <c r="Y234" i="110"/>
  <c r="A235" i="110"/>
  <c r="G235" i="110"/>
  <c r="U235" i="110"/>
  <c r="W235" i="110"/>
  <c r="E235" i="110" s="1"/>
  <c r="Y235" i="110"/>
  <c r="Y226" i="110"/>
  <c r="W226" i="110"/>
  <c r="E226" i="110" s="1"/>
  <c r="U226" i="110"/>
  <c r="G226" i="110"/>
  <c r="A226" i="110"/>
  <c r="A216" i="110"/>
  <c r="G216" i="110"/>
  <c r="U216" i="110"/>
  <c r="W216" i="110"/>
  <c r="K216" i="110" s="1"/>
  <c r="Y216" i="110"/>
  <c r="A217" i="110"/>
  <c r="G217" i="110"/>
  <c r="U217" i="110"/>
  <c r="W217" i="110"/>
  <c r="K217" i="110" s="1"/>
  <c r="Y217" i="110"/>
  <c r="A218" i="110"/>
  <c r="G218" i="110"/>
  <c r="L218" i="110"/>
  <c r="U218" i="110"/>
  <c r="W218" i="110"/>
  <c r="Y218" i="110"/>
  <c r="A219" i="110"/>
  <c r="G219" i="110"/>
  <c r="L219" i="110"/>
  <c r="U219" i="110"/>
  <c r="W219" i="110"/>
  <c r="Y219" i="110"/>
  <c r="A220" i="110"/>
  <c r="G220" i="110"/>
  <c r="L220" i="110"/>
  <c r="U220" i="110"/>
  <c r="W220" i="110"/>
  <c r="Y220" i="110"/>
  <c r="A221" i="110"/>
  <c r="G221" i="110"/>
  <c r="L221" i="110"/>
  <c r="U221" i="110"/>
  <c r="W221" i="110"/>
  <c r="K221" i="110" s="1"/>
  <c r="Y221" i="110"/>
  <c r="A222" i="110"/>
  <c r="G222" i="110"/>
  <c r="L222" i="110"/>
  <c r="U222" i="110"/>
  <c r="W222" i="110"/>
  <c r="E222" i="110" s="1"/>
  <c r="Y222" i="110"/>
  <c r="A223" i="110"/>
  <c r="G223" i="110"/>
  <c r="L223" i="110"/>
  <c r="U223" i="110"/>
  <c r="W223" i="110"/>
  <c r="K223" i="110" s="1"/>
  <c r="Y223" i="110"/>
  <c r="A224" i="110"/>
  <c r="G224" i="110"/>
  <c r="L224" i="110"/>
  <c r="U224" i="110"/>
  <c r="W224" i="110"/>
  <c r="Y224" i="110"/>
  <c r="Y215" i="110"/>
  <c r="W215" i="110"/>
  <c r="K215" i="110" s="1"/>
  <c r="U215" i="110"/>
  <c r="G215" i="110"/>
  <c r="A215" i="110"/>
  <c r="A205" i="110"/>
  <c r="G205" i="110"/>
  <c r="U205" i="110"/>
  <c r="Y205" i="110"/>
  <c r="A206" i="110"/>
  <c r="G206" i="110"/>
  <c r="U206" i="110"/>
  <c r="Y206" i="110"/>
  <c r="A207" i="110"/>
  <c r="G207" i="110"/>
  <c r="U207" i="110"/>
  <c r="Y207" i="110"/>
  <c r="A208" i="110"/>
  <c r="G208" i="110"/>
  <c r="U208" i="110"/>
  <c r="Y208" i="110"/>
  <c r="A209" i="110"/>
  <c r="G209" i="110"/>
  <c r="U209" i="110"/>
  <c r="Y209" i="110"/>
  <c r="A210" i="110"/>
  <c r="G210" i="110"/>
  <c r="U210" i="110"/>
  <c r="Y210" i="110"/>
  <c r="A211" i="110"/>
  <c r="G211" i="110"/>
  <c r="U211" i="110"/>
  <c r="Y211" i="110"/>
  <c r="A212" i="110"/>
  <c r="G212" i="110"/>
  <c r="U212" i="110"/>
  <c r="Y212" i="110"/>
  <c r="A213" i="110"/>
  <c r="G213" i="110"/>
  <c r="U213" i="110"/>
  <c r="Y213" i="110"/>
  <c r="Y204" i="110"/>
  <c r="U204" i="110"/>
  <c r="G204" i="110"/>
  <c r="A204" i="110"/>
  <c r="A194" i="110"/>
  <c r="G194" i="110"/>
  <c r="L194" i="110"/>
  <c r="U194" i="110"/>
  <c r="W194" i="110"/>
  <c r="K194" i="110" s="1"/>
  <c r="Y194" i="110"/>
  <c r="A195" i="110"/>
  <c r="G195" i="110"/>
  <c r="L195" i="110"/>
  <c r="U195" i="110"/>
  <c r="W195" i="110"/>
  <c r="K195" i="110" s="1"/>
  <c r="Y195" i="110"/>
  <c r="A196" i="110"/>
  <c r="G196" i="110"/>
  <c r="L196" i="110"/>
  <c r="U196" i="110"/>
  <c r="W196" i="110"/>
  <c r="E196" i="110" s="1"/>
  <c r="Y196" i="110"/>
  <c r="A197" i="110"/>
  <c r="G197" i="110"/>
  <c r="L197" i="110"/>
  <c r="U197" i="110"/>
  <c r="W197" i="110"/>
  <c r="E197" i="110" s="1"/>
  <c r="Y197" i="110"/>
  <c r="A198" i="110"/>
  <c r="G198" i="110"/>
  <c r="L198" i="110"/>
  <c r="U198" i="110"/>
  <c r="W198" i="110"/>
  <c r="K198" i="110" s="1"/>
  <c r="Y198" i="110"/>
  <c r="A199" i="110"/>
  <c r="G199" i="110"/>
  <c r="L199" i="110"/>
  <c r="U199" i="110"/>
  <c r="W199" i="110"/>
  <c r="E199" i="110" s="1"/>
  <c r="Y199" i="110"/>
  <c r="A200" i="110"/>
  <c r="G200" i="110"/>
  <c r="L200" i="110"/>
  <c r="U200" i="110"/>
  <c r="W200" i="110"/>
  <c r="E200" i="110" s="1"/>
  <c r="Y200" i="110"/>
  <c r="A201" i="110"/>
  <c r="G201" i="110"/>
  <c r="L201" i="110"/>
  <c r="U201" i="110"/>
  <c r="W201" i="110"/>
  <c r="E201" i="110" s="1"/>
  <c r="Y201" i="110"/>
  <c r="A202" i="110"/>
  <c r="G202" i="110"/>
  <c r="L202" i="110"/>
  <c r="U202" i="110"/>
  <c r="W202" i="110"/>
  <c r="K202" i="110" s="1"/>
  <c r="Y202" i="110"/>
  <c r="Y193" i="110"/>
  <c r="W193" i="110"/>
  <c r="K193" i="110" s="1"/>
  <c r="U193" i="110"/>
  <c r="L193" i="110"/>
  <c r="G193" i="110"/>
  <c r="A193" i="110"/>
  <c r="A225" i="110"/>
  <c r="A214" i="110"/>
  <c r="A203" i="110"/>
  <c r="A192" i="110"/>
  <c r="AL225" i="110"/>
  <c r="AK225" i="110"/>
  <c r="AJ225" i="110"/>
  <c r="AL214" i="110"/>
  <c r="AK214" i="110"/>
  <c r="AJ214" i="110"/>
  <c r="AL203" i="110"/>
  <c r="AK203" i="110"/>
  <c r="AJ203" i="110"/>
  <c r="AL192" i="110"/>
  <c r="AK192" i="110"/>
  <c r="AJ192" i="110"/>
  <c r="A181" i="110"/>
  <c r="U151" i="110"/>
  <c r="G151" i="110"/>
  <c r="E151" i="110"/>
  <c r="D151" i="110" s="1"/>
  <c r="A151" i="110"/>
  <c r="A98" i="110"/>
  <c r="G98" i="110"/>
  <c r="S98" i="110"/>
  <c r="T98" i="110"/>
  <c r="U98" i="110"/>
  <c r="V98" i="110"/>
  <c r="W98" i="110"/>
  <c r="Y98" i="110"/>
  <c r="AO98" i="110"/>
  <c r="A99" i="110"/>
  <c r="G99" i="110"/>
  <c r="S99" i="110"/>
  <c r="T99" i="110"/>
  <c r="U99" i="110"/>
  <c r="V99" i="110"/>
  <c r="Y99" i="110"/>
  <c r="AO99" i="110"/>
  <c r="A100" i="110"/>
  <c r="G100" i="110"/>
  <c r="S100" i="110"/>
  <c r="T100" i="110"/>
  <c r="U100" i="110"/>
  <c r="V100" i="110"/>
  <c r="Y100" i="110"/>
  <c r="AO100" i="110"/>
  <c r="A101" i="110"/>
  <c r="G101" i="110"/>
  <c r="S101" i="110"/>
  <c r="T101" i="110"/>
  <c r="U101" i="110"/>
  <c r="V101" i="110"/>
  <c r="Y101" i="110"/>
  <c r="AO101" i="110"/>
  <c r="A102" i="110"/>
  <c r="G102" i="110"/>
  <c r="S102" i="110"/>
  <c r="T102" i="110"/>
  <c r="U102" i="110"/>
  <c r="V102" i="110"/>
  <c r="Y102" i="110"/>
  <c r="AO102" i="110"/>
  <c r="A103" i="110"/>
  <c r="G103" i="110"/>
  <c r="S103" i="110"/>
  <c r="T103" i="110"/>
  <c r="U103" i="110"/>
  <c r="V103" i="110"/>
  <c r="Y103" i="110"/>
  <c r="AO103" i="110"/>
  <c r="A104" i="110"/>
  <c r="G104" i="110"/>
  <c r="S104" i="110"/>
  <c r="T104" i="110"/>
  <c r="U104" i="110"/>
  <c r="V104" i="110"/>
  <c r="Y104" i="110"/>
  <c r="AO104" i="110"/>
  <c r="A105" i="110"/>
  <c r="G105" i="110"/>
  <c r="S105" i="110"/>
  <c r="T105" i="110"/>
  <c r="U105" i="110"/>
  <c r="V105" i="110"/>
  <c r="Y105" i="110"/>
  <c r="AO105" i="110"/>
  <c r="A106" i="110"/>
  <c r="G106" i="110"/>
  <c r="S106" i="110"/>
  <c r="T106" i="110"/>
  <c r="U106" i="110"/>
  <c r="V106" i="110"/>
  <c r="Y106" i="110"/>
  <c r="AO106" i="110"/>
  <c r="A107" i="110"/>
  <c r="G107" i="110"/>
  <c r="S107" i="110"/>
  <c r="T107" i="110"/>
  <c r="U107" i="110"/>
  <c r="V107" i="110"/>
  <c r="Y107" i="110"/>
  <c r="AO107" i="110"/>
  <c r="A108" i="110"/>
  <c r="G108" i="110"/>
  <c r="S108" i="110"/>
  <c r="T108" i="110"/>
  <c r="U108" i="110"/>
  <c r="V108" i="110"/>
  <c r="Y108" i="110"/>
  <c r="AO108" i="110"/>
  <c r="A109" i="110"/>
  <c r="G109" i="110"/>
  <c r="S109" i="110"/>
  <c r="T109" i="110"/>
  <c r="U109" i="110"/>
  <c r="V109" i="110"/>
  <c r="Y109" i="110"/>
  <c r="AO109" i="110"/>
  <c r="A110" i="110"/>
  <c r="G110" i="110"/>
  <c r="S110" i="110"/>
  <c r="T110" i="110"/>
  <c r="U110" i="110"/>
  <c r="V110" i="110"/>
  <c r="Y110" i="110"/>
  <c r="AO110" i="110"/>
  <c r="A111" i="110"/>
  <c r="G111" i="110"/>
  <c r="S111" i="110"/>
  <c r="T111" i="110"/>
  <c r="U111" i="110"/>
  <c r="V111" i="110"/>
  <c r="Y111" i="110"/>
  <c r="AO111" i="110"/>
  <c r="A112" i="110"/>
  <c r="G112" i="110"/>
  <c r="S112" i="110"/>
  <c r="T112" i="110"/>
  <c r="U112" i="110"/>
  <c r="V112" i="110"/>
  <c r="Y112" i="110"/>
  <c r="AO112" i="110"/>
  <c r="A113" i="110"/>
  <c r="G113" i="110"/>
  <c r="S113" i="110"/>
  <c r="T113" i="110"/>
  <c r="U113" i="110"/>
  <c r="V113" i="110"/>
  <c r="Y113" i="110"/>
  <c r="AO113" i="110"/>
  <c r="A114" i="110"/>
  <c r="G114" i="110"/>
  <c r="S114" i="110"/>
  <c r="T114" i="110"/>
  <c r="U114" i="110"/>
  <c r="V114" i="110"/>
  <c r="Y114" i="110"/>
  <c r="AO114" i="110"/>
  <c r="A115" i="110"/>
  <c r="G115" i="110"/>
  <c r="S115" i="110"/>
  <c r="T115" i="110"/>
  <c r="U115" i="110"/>
  <c r="V115" i="110"/>
  <c r="Y115" i="110"/>
  <c r="AO115" i="110"/>
  <c r="A116" i="110"/>
  <c r="G116" i="110"/>
  <c r="S116" i="110"/>
  <c r="T116" i="110"/>
  <c r="U116" i="110"/>
  <c r="V116" i="110"/>
  <c r="Y116" i="110"/>
  <c r="AO116" i="110"/>
  <c r="A117" i="110"/>
  <c r="G117" i="110"/>
  <c r="S117" i="110"/>
  <c r="T117" i="110"/>
  <c r="U117" i="110"/>
  <c r="V117" i="110"/>
  <c r="Y117" i="110"/>
  <c r="AO117" i="110"/>
  <c r="A118" i="110"/>
  <c r="G118" i="110"/>
  <c r="S118" i="110"/>
  <c r="T118" i="110"/>
  <c r="U118" i="110"/>
  <c r="V118" i="110"/>
  <c r="Y118" i="110"/>
  <c r="AO118" i="110"/>
  <c r="A119" i="110"/>
  <c r="G119" i="110"/>
  <c r="S119" i="110"/>
  <c r="T119" i="110"/>
  <c r="U119" i="110"/>
  <c r="V119" i="110"/>
  <c r="Y119" i="110"/>
  <c r="AO119" i="110"/>
  <c r="A120" i="110"/>
  <c r="G120" i="110"/>
  <c r="S120" i="110"/>
  <c r="T120" i="110"/>
  <c r="U120" i="110"/>
  <c r="V120" i="110"/>
  <c r="Y120" i="110"/>
  <c r="AO120" i="110"/>
  <c r="A121" i="110"/>
  <c r="G121" i="110"/>
  <c r="S121" i="110"/>
  <c r="T121" i="110"/>
  <c r="U121" i="110"/>
  <c r="V121" i="110"/>
  <c r="Y121" i="110"/>
  <c r="AO121" i="110"/>
  <c r="A122" i="110"/>
  <c r="G122" i="110"/>
  <c r="S122" i="110"/>
  <c r="T122" i="110"/>
  <c r="U122" i="110"/>
  <c r="V122" i="110"/>
  <c r="Y122" i="110"/>
  <c r="AO122" i="110"/>
  <c r="A123" i="110"/>
  <c r="G123" i="110"/>
  <c r="S123" i="110"/>
  <c r="T123" i="110"/>
  <c r="U123" i="110"/>
  <c r="V123" i="110"/>
  <c r="Y123" i="110"/>
  <c r="AO123" i="110"/>
  <c r="A124" i="110"/>
  <c r="G124" i="110"/>
  <c r="S124" i="110"/>
  <c r="T124" i="110"/>
  <c r="U124" i="110"/>
  <c r="V124" i="110"/>
  <c r="Y124" i="110"/>
  <c r="AO124" i="110"/>
  <c r="A125" i="110"/>
  <c r="G125" i="110"/>
  <c r="S125" i="110"/>
  <c r="T125" i="110"/>
  <c r="U125" i="110"/>
  <c r="V125" i="110"/>
  <c r="Y125" i="110"/>
  <c r="AO125" i="110"/>
  <c r="A126" i="110"/>
  <c r="G126" i="110"/>
  <c r="S126" i="110"/>
  <c r="T126" i="110"/>
  <c r="U126" i="110"/>
  <c r="V126" i="110"/>
  <c r="Y126" i="110"/>
  <c r="AO126" i="110"/>
  <c r="AO97" i="110"/>
  <c r="V97" i="110"/>
  <c r="Y97" i="110"/>
  <c r="U97" i="110"/>
  <c r="T97" i="110"/>
  <c r="S97" i="110"/>
  <c r="G97" i="110"/>
  <c r="A97" i="110"/>
  <c r="AO67" i="110"/>
  <c r="AO68" i="110"/>
  <c r="AO69" i="110"/>
  <c r="AO70" i="110"/>
  <c r="AO71" i="110"/>
  <c r="AO72" i="110"/>
  <c r="AO73" i="110"/>
  <c r="AO74" i="110"/>
  <c r="AO75" i="110"/>
  <c r="AO76" i="110"/>
  <c r="AO77" i="110"/>
  <c r="AO78" i="110"/>
  <c r="AO79" i="110"/>
  <c r="AO80" i="110"/>
  <c r="AO81" i="110"/>
  <c r="AO82" i="110"/>
  <c r="AO83" i="110"/>
  <c r="AO84" i="110"/>
  <c r="AO85" i="110"/>
  <c r="AO86" i="110"/>
  <c r="AO87" i="110"/>
  <c r="AO88" i="110"/>
  <c r="AO89" i="110"/>
  <c r="AO90" i="110"/>
  <c r="AO91" i="110"/>
  <c r="AO92" i="110"/>
  <c r="AO94" i="110"/>
  <c r="AO95" i="110"/>
  <c r="A67" i="110"/>
  <c r="F67" i="110"/>
  <c r="G67" i="110"/>
  <c r="U67" i="110"/>
  <c r="V67" i="110"/>
  <c r="A68" i="110"/>
  <c r="F68" i="110"/>
  <c r="G68" i="110"/>
  <c r="U68" i="110"/>
  <c r="V68" i="110"/>
  <c r="A69" i="110"/>
  <c r="F69" i="110"/>
  <c r="G69" i="110"/>
  <c r="U69" i="110"/>
  <c r="V69" i="110"/>
  <c r="A70" i="110"/>
  <c r="F70" i="110"/>
  <c r="G70" i="110"/>
  <c r="U70" i="110"/>
  <c r="V70" i="110"/>
  <c r="A71" i="110"/>
  <c r="F71" i="110"/>
  <c r="G71" i="110"/>
  <c r="U71" i="110"/>
  <c r="V71" i="110"/>
  <c r="A72" i="110"/>
  <c r="F72" i="110"/>
  <c r="G72" i="110"/>
  <c r="U72" i="110"/>
  <c r="V72" i="110"/>
  <c r="A73" i="110"/>
  <c r="F73" i="110"/>
  <c r="G73" i="110"/>
  <c r="U73" i="110"/>
  <c r="V73" i="110"/>
  <c r="A74" i="110"/>
  <c r="F74" i="110"/>
  <c r="G74" i="110"/>
  <c r="U74" i="110"/>
  <c r="V74" i="110"/>
  <c r="A75" i="110"/>
  <c r="F75" i="110"/>
  <c r="G75" i="110"/>
  <c r="U75" i="110"/>
  <c r="V75" i="110"/>
  <c r="A76" i="110"/>
  <c r="F76" i="110"/>
  <c r="G76" i="110"/>
  <c r="U76" i="110"/>
  <c r="V76" i="110"/>
  <c r="A77" i="110"/>
  <c r="F77" i="110"/>
  <c r="G77" i="110"/>
  <c r="U77" i="110"/>
  <c r="V77" i="110"/>
  <c r="A78" i="110"/>
  <c r="F78" i="110"/>
  <c r="G78" i="110"/>
  <c r="U78" i="110"/>
  <c r="V78" i="110"/>
  <c r="A79" i="110"/>
  <c r="F79" i="110"/>
  <c r="G79" i="110"/>
  <c r="U79" i="110"/>
  <c r="V79" i="110"/>
  <c r="A80" i="110"/>
  <c r="F80" i="110"/>
  <c r="G80" i="110"/>
  <c r="U80" i="110"/>
  <c r="V80" i="110"/>
  <c r="A81" i="110"/>
  <c r="F81" i="110"/>
  <c r="G81" i="110"/>
  <c r="U81" i="110"/>
  <c r="V81" i="110"/>
  <c r="A82" i="110"/>
  <c r="F82" i="110"/>
  <c r="G82" i="110"/>
  <c r="U82" i="110"/>
  <c r="V82" i="110"/>
  <c r="A83" i="110"/>
  <c r="F83" i="110"/>
  <c r="G83" i="110"/>
  <c r="U83" i="110"/>
  <c r="V83" i="110"/>
  <c r="A84" i="110"/>
  <c r="F84" i="110"/>
  <c r="G84" i="110"/>
  <c r="U84" i="110"/>
  <c r="V84" i="110"/>
  <c r="A85" i="110"/>
  <c r="F85" i="110"/>
  <c r="G85" i="110"/>
  <c r="U85" i="110"/>
  <c r="V85" i="110"/>
  <c r="A86" i="110"/>
  <c r="F86" i="110"/>
  <c r="G86" i="110"/>
  <c r="U86" i="110"/>
  <c r="V86" i="110"/>
  <c r="A87" i="110"/>
  <c r="F87" i="110"/>
  <c r="G87" i="110"/>
  <c r="U87" i="110"/>
  <c r="V87" i="110"/>
  <c r="A88" i="110"/>
  <c r="F88" i="110"/>
  <c r="G88" i="110"/>
  <c r="U88" i="110"/>
  <c r="V88" i="110"/>
  <c r="A89" i="110"/>
  <c r="F89" i="110"/>
  <c r="G89" i="110"/>
  <c r="U89" i="110"/>
  <c r="V89" i="110"/>
  <c r="A90" i="110"/>
  <c r="F90" i="110"/>
  <c r="G90" i="110"/>
  <c r="U90" i="110"/>
  <c r="V90" i="110"/>
  <c r="A91" i="110"/>
  <c r="F91" i="110"/>
  <c r="G91" i="110"/>
  <c r="U91" i="110"/>
  <c r="V91" i="110"/>
  <c r="A92" i="110"/>
  <c r="F92" i="110"/>
  <c r="G92" i="110"/>
  <c r="U92" i="110"/>
  <c r="V92" i="110"/>
  <c r="A93" i="110"/>
  <c r="F93" i="110"/>
  <c r="G93" i="110"/>
  <c r="U93" i="110"/>
  <c r="V93" i="110"/>
  <c r="A94" i="110"/>
  <c r="F94" i="110"/>
  <c r="G94" i="110"/>
  <c r="U94" i="110"/>
  <c r="V94" i="110"/>
  <c r="A95" i="110"/>
  <c r="F95" i="110"/>
  <c r="G95" i="110"/>
  <c r="U95" i="110"/>
  <c r="V95" i="110"/>
  <c r="AO66" i="110"/>
  <c r="V66" i="110"/>
  <c r="U66" i="110"/>
  <c r="G66" i="110"/>
  <c r="F66" i="110"/>
  <c r="A66" i="110"/>
  <c r="A36" i="110"/>
  <c r="A37" i="110"/>
  <c r="A38" i="110"/>
  <c r="A39" i="110"/>
  <c r="A40" i="110"/>
  <c r="A41" i="110"/>
  <c r="A42" i="110"/>
  <c r="A43" i="110"/>
  <c r="A44" i="110"/>
  <c r="A45" i="110"/>
  <c r="A46" i="110"/>
  <c r="A47" i="110"/>
  <c r="A48" i="110"/>
  <c r="A49" i="110"/>
  <c r="A50" i="110"/>
  <c r="A51" i="110"/>
  <c r="A52" i="110"/>
  <c r="A53" i="110"/>
  <c r="A54" i="110"/>
  <c r="A55" i="110"/>
  <c r="A56" i="110"/>
  <c r="A57" i="110"/>
  <c r="A58" i="110"/>
  <c r="A59" i="110"/>
  <c r="A60" i="110"/>
  <c r="A61" i="110"/>
  <c r="A62" i="110"/>
  <c r="A63" i="110"/>
  <c r="A64" i="110"/>
  <c r="X36" i="110"/>
  <c r="Y36" i="110"/>
  <c r="AO36" i="110"/>
  <c r="X37" i="110"/>
  <c r="Y37" i="110"/>
  <c r="AO37" i="110"/>
  <c r="X38" i="110"/>
  <c r="Y38" i="110"/>
  <c r="AO38" i="110"/>
  <c r="X39" i="110"/>
  <c r="Y39" i="110"/>
  <c r="AO39" i="110"/>
  <c r="X40" i="110"/>
  <c r="Y40" i="110"/>
  <c r="AO40" i="110"/>
  <c r="X41" i="110"/>
  <c r="Y41" i="110"/>
  <c r="AO41" i="110"/>
  <c r="X42" i="110"/>
  <c r="Y42" i="110"/>
  <c r="AO42" i="110"/>
  <c r="X43" i="110"/>
  <c r="Y43" i="110"/>
  <c r="AO43" i="110"/>
  <c r="X44" i="110"/>
  <c r="Y44" i="110"/>
  <c r="AO44" i="110"/>
  <c r="X45" i="110"/>
  <c r="Y45" i="110"/>
  <c r="AO45" i="110"/>
  <c r="X46" i="110"/>
  <c r="Y46" i="110"/>
  <c r="AO46" i="110"/>
  <c r="X47" i="110"/>
  <c r="Y47" i="110"/>
  <c r="AO47" i="110"/>
  <c r="X48" i="110"/>
  <c r="Y48" i="110"/>
  <c r="AO48" i="110"/>
  <c r="X49" i="110"/>
  <c r="Y49" i="110"/>
  <c r="AO49" i="110"/>
  <c r="X50" i="110"/>
  <c r="Y50" i="110"/>
  <c r="AO50" i="110"/>
  <c r="X51" i="110"/>
  <c r="Y51" i="110"/>
  <c r="AO51" i="110"/>
  <c r="X52" i="110"/>
  <c r="Y52" i="110"/>
  <c r="AO52" i="110"/>
  <c r="X53" i="110"/>
  <c r="Y53" i="110"/>
  <c r="AO53" i="110"/>
  <c r="X54" i="110"/>
  <c r="Y54" i="110"/>
  <c r="AO54" i="110"/>
  <c r="X55" i="110"/>
  <c r="Y55" i="110"/>
  <c r="AO55" i="110"/>
  <c r="X56" i="110"/>
  <c r="Y56" i="110"/>
  <c r="AO56" i="110"/>
  <c r="X57" i="110"/>
  <c r="Y57" i="110"/>
  <c r="AO57" i="110"/>
  <c r="X58" i="110"/>
  <c r="Y58" i="110"/>
  <c r="AO58" i="110"/>
  <c r="X59" i="110"/>
  <c r="Y59" i="110"/>
  <c r="AO59" i="110"/>
  <c r="X60" i="110"/>
  <c r="Y60" i="110"/>
  <c r="AO60" i="110"/>
  <c r="X61" i="110"/>
  <c r="Y61" i="110"/>
  <c r="AO61" i="110"/>
  <c r="X62" i="110"/>
  <c r="Y62" i="110"/>
  <c r="AO62" i="110"/>
  <c r="X63" i="110"/>
  <c r="Y63" i="110"/>
  <c r="AO63" i="110"/>
  <c r="X64" i="110"/>
  <c r="Y64" i="110"/>
  <c r="AO64" i="110"/>
  <c r="F36" i="110"/>
  <c r="G36" i="110"/>
  <c r="T36" i="110"/>
  <c r="U36" i="110"/>
  <c r="V36" i="110"/>
  <c r="F37" i="110"/>
  <c r="G37" i="110"/>
  <c r="T37" i="110"/>
  <c r="U37" i="110"/>
  <c r="V37" i="110"/>
  <c r="F38" i="110"/>
  <c r="G38" i="110"/>
  <c r="T38" i="110"/>
  <c r="U38" i="110"/>
  <c r="V38" i="110"/>
  <c r="F39" i="110"/>
  <c r="G39" i="110"/>
  <c r="T39" i="110"/>
  <c r="U39" i="110"/>
  <c r="V39" i="110"/>
  <c r="F40" i="110"/>
  <c r="G40" i="110"/>
  <c r="T40" i="110"/>
  <c r="U40" i="110"/>
  <c r="V40" i="110"/>
  <c r="F41" i="110"/>
  <c r="G41" i="110"/>
  <c r="T41" i="110"/>
  <c r="U41" i="110"/>
  <c r="V41" i="110"/>
  <c r="F42" i="110"/>
  <c r="G42" i="110"/>
  <c r="T42" i="110"/>
  <c r="U42" i="110"/>
  <c r="V42" i="110"/>
  <c r="F43" i="110"/>
  <c r="G43" i="110"/>
  <c r="T43" i="110"/>
  <c r="U43" i="110"/>
  <c r="V43" i="110"/>
  <c r="F44" i="110"/>
  <c r="G44" i="110"/>
  <c r="T44" i="110"/>
  <c r="U44" i="110"/>
  <c r="V44" i="110"/>
  <c r="F45" i="110"/>
  <c r="G45" i="110"/>
  <c r="T45" i="110"/>
  <c r="U45" i="110"/>
  <c r="V45" i="110"/>
  <c r="F46" i="110"/>
  <c r="G46" i="110"/>
  <c r="T46" i="110"/>
  <c r="U46" i="110"/>
  <c r="V46" i="110"/>
  <c r="F47" i="110"/>
  <c r="G47" i="110"/>
  <c r="T47" i="110"/>
  <c r="U47" i="110"/>
  <c r="V47" i="110"/>
  <c r="F48" i="110"/>
  <c r="G48" i="110"/>
  <c r="T48" i="110"/>
  <c r="U48" i="110"/>
  <c r="V48" i="110"/>
  <c r="F49" i="110"/>
  <c r="G49" i="110"/>
  <c r="T49" i="110"/>
  <c r="U49" i="110"/>
  <c r="V49" i="110"/>
  <c r="F50" i="110"/>
  <c r="G50" i="110"/>
  <c r="T50" i="110"/>
  <c r="U50" i="110"/>
  <c r="V50" i="110"/>
  <c r="F51" i="110"/>
  <c r="G51" i="110"/>
  <c r="T51" i="110"/>
  <c r="U51" i="110"/>
  <c r="V51" i="110"/>
  <c r="F52" i="110"/>
  <c r="G52" i="110"/>
  <c r="T52" i="110"/>
  <c r="U52" i="110"/>
  <c r="V52" i="110"/>
  <c r="F53" i="110"/>
  <c r="G53" i="110"/>
  <c r="T53" i="110"/>
  <c r="U53" i="110"/>
  <c r="V53" i="110"/>
  <c r="F54" i="110"/>
  <c r="G54" i="110"/>
  <c r="T54" i="110"/>
  <c r="U54" i="110"/>
  <c r="V54" i="110"/>
  <c r="F55" i="110"/>
  <c r="G55" i="110"/>
  <c r="T55" i="110"/>
  <c r="U55" i="110"/>
  <c r="V55" i="110"/>
  <c r="F56" i="110"/>
  <c r="G56" i="110"/>
  <c r="T56" i="110"/>
  <c r="U56" i="110"/>
  <c r="V56" i="110"/>
  <c r="F57" i="110"/>
  <c r="G57" i="110"/>
  <c r="T57" i="110"/>
  <c r="U57" i="110"/>
  <c r="V57" i="110"/>
  <c r="F58" i="110"/>
  <c r="G58" i="110"/>
  <c r="T58" i="110"/>
  <c r="U58" i="110"/>
  <c r="V58" i="110"/>
  <c r="F59" i="110"/>
  <c r="G59" i="110"/>
  <c r="T59" i="110"/>
  <c r="U59" i="110"/>
  <c r="V59" i="110"/>
  <c r="F60" i="110"/>
  <c r="G60" i="110"/>
  <c r="T60" i="110"/>
  <c r="U60" i="110"/>
  <c r="V60" i="110"/>
  <c r="F61" i="110"/>
  <c r="G61" i="110"/>
  <c r="T61" i="110"/>
  <c r="U61" i="110"/>
  <c r="V61" i="110"/>
  <c r="F62" i="110"/>
  <c r="G62" i="110"/>
  <c r="T62" i="110"/>
  <c r="U62" i="110"/>
  <c r="V62" i="110"/>
  <c r="F63" i="110"/>
  <c r="G63" i="110"/>
  <c r="T63" i="110"/>
  <c r="U63" i="110"/>
  <c r="V63" i="110"/>
  <c r="F64" i="110"/>
  <c r="G64" i="110"/>
  <c r="T64" i="110"/>
  <c r="U64" i="110"/>
  <c r="V64" i="110"/>
  <c r="AO35" i="110"/>
  <c r="Y35" i="110"/>
  <c r="X35" i="110"/>
  <c r="V35" i="110"/>
  <c r="U35" i="110"/>
  <c r="T35" i="110"/>
  <c r="G35" i="110"/>
  <c r="F35" i="110"/>
  <c r="A35" i="110"/>
  <c r="A150" i="110"/>
  <c r="A96" i="110"/>
  <c r="A65" i="110"/>
  <c r="AO6" i="110"/>
  <c r="AO7" i="110"/>
  <c r="AO8" i="110"/>
  <c r="AO9" i="110"/>
  <c r="AO10" i="110"/>
  <c r="AO11" i="110"/>
  <c r="AO12" i="110"/>
  <c r="AO13" i="110"/>
  <c r="AO14" i="110"/>
  <c r="AO15" i="110"/>
  <c r="AO16" i="110"/>
  <c r="AO17" i="110"/>
  <c r="AO18" i="110"/>
  <c r="AO19" i="110"/>
  <c r="AO20" i="110"/>
  <c r="AO21" i="110"/>
  <c r="AO22" i="110"/>
  <c r="AO23" i="110"/>
  <c r="AO24" i="110"/>
  <c r="AO25" i="110"/>
  <c r="AO26" i="110"/>
  <c r="AO27" i="110"/>
  <c r="AO28" i="110"/>
  <c r="AO29" i="110"/>
  <c r="AO30" i="110"/>
  <c r="AO31" i="110"/>
  <c r="AO32" i="110"/>
  <c r="AO33" i="110"/>
  <c r="W5" i="110"/>
  <c r="V6" i="110"/>
  <c r="W6" i="110"/>
  <c r="X6" i="110"/>
  <c r="Y6" i="110"/>
  <c r="V7" i="110"/>
  <c r="W7" i="110"/>
  <c r="X7" i="110"/>
  <c r="Y7" i="110"/>
  <c r="V8" i="110"/>
  <c r="W8" i="110"/>
  <c r="X8" i="110"/>
  <c r="Y8" i="110"/>
  <c r="V9" i="110"/>
  <c r="W9" i="110"/>
  <c r="X9" i="110"/>
  <c r="Y9" i="110"/>
  <c r="V10" i="110"/>
  <c r="W10" i="110"/>
  <c r="X10" i="110"/>
  <c r="Y10" i="110"/>
  <c r="V11" i="110"/>
  <c r="W11" i="110"/>
  <c r="X11" i="110"/>
  <c r="Y11" i="110"/>
  <c r="V12" i="110"/>
  <c r="W12" i="110"/>
  <c r="X12" i="110"/>
  <c r="Y12" i="110"/>
  <c r="V13" i="110"/>
  <c r="W13" i="110"/>
  <c r="X13" i="110"/>
  <c r="Y13" i="110"/>
  <c r="V14" i="110"/>
  <c r="W14" i="110"/>
  <c r="X14" i="110"/>
  <c r="Y14" i="110"/>
  <c r="V15" i="110"/>
  <c r="W15" i="110"/>
  <c r="X15" i="110"/>
  <c r="Y15" i="110"/>
  <c r="V16" i="110"/>
  <c r="W16" i="110"/>
  <c r="X16" i="110"/>
  <c r="Y16" i="110"/>
  <c r="V17" i="110"/>
  <c r="W17" i="110"/>
  <c r="X17" i="110"/>
  <c r="Y17" i="110"/>
  <c r="V18" i="110"/>
  <c r="W18" i="110"/>
  <c r="X18" i="110"/>
  <c r="Y18" i="110"/>
  <c r="V19" i="110"/>
  <c r="W19" i="110"/>
  <c r="X19" i="110"/>
  <c r="Y19" i="110"/>
  <c r="V20" i="110"/>
  <c r="W20" i="110"/>
  <c r="X20" i="110"/>
  <c r="Y20" i="110"/>
  <c r="V21" i="110"/>
  <c r="W21" i="110"/>
  <c r="X21" i="110"/>
  <c r="Y21" i="110"/>
  <c r="V22" i="110"/>
  <c r="W22" i="110"/>
  <c r="X22" i="110"/>
  <c r="Y22" i="110"/>
  <c r="V23" i="110"/>
  <c r="W23" i="110"/>
  <c r="X23" i="110"/>
  <c r="Y23" i="110"/>
  <c r="V24" i="110"/>
  <c r="W24" i="110"/>
  <c r="X24" i="110"/>
  <c r="Y24" i="110"/>
  <c r="V25" i="110"/>
  <c r="W25" i="110"/>
  <c r="X25" i="110"/>
  <c r="Y25" i="110"/>
  <c r="V26" i="110"/>
  <c r="W26" i="110"/>
  <c r="X26" i="110"/>
  <c r="Y26" i="110"/>
  <c r="V27" i="110"/>
  <c r="W27" i="110"/>
  <c r="X27" i="110"/>
  <c r="Y27" i="110"/>
  <c r="V28" i="110"/>
  <c r="W28" i="110"/>
  <c r="X28" i="110"/>
  <c r="Y28" i="110"/>
  <c r="V29" i="110"/>
  <c r="W29" i="110"/>
  <c r="X29" i="110"/>
  <c r="Y29" i="110"/>
  <c r="V30" i="110"/>
  <c r="W30" i="110"/>
  <c r="X30" i="110"/>
  <c r="Y30" i="110"/>
  <c r="V31" i="110"/>
  <c r="W31" i="110"/>
  <c r="X31" i="110"/>
  <c r="Y31" i="110"/>
  <c r="V32" i="110"/>
  <c r="W32" i="110"/>
  <c r="X32" i="110"/>
  <c r="Y32" i="110"/>
  <c r="V33" i="110"/>
  <c r="W33" i="110"/>
  <c r="X33" i="110"/>
  <c r="Y33" i="110"/>
  <c r="U5" i="110"/>
  <c r="F6" i="110"/>
  <c r="G6" i="110"/>
  <c r="T6" i="110"/>
  <c r="U6" i="110"/>
  <c r="F7" i="110"/>
  <c r="G7" i="110"/>
  <c r="T7" i="110"/>
  <c r="U7" i="110"/>
  <c r="F8" i="110"/>
  <c r="G8" i="110"/>
  <c r="T8" i="110"/>
  <c r="U8" i="110"/>
  <c r="F9" i="110"/>
  <c r="G9" i="110"/>
  <c r="T9" i="110"/>
  <c r="U9" i="110"/>
  <c r="F10" i="110"/>
  <c r="G10" i="110"/>
  <c r="T10" i="110"/>
  <c r="U10" i="110"/>
  <c r="F11" i="110"/>
  <c r="G11" i="110"/>
  <c r="T11" i="110"/>
  <c r="U11" i="110"/>
  <c r="F12" i="110"/>
  <c r="G12" i="110"/>
  <c r="T12" i="110"/>
  <c r="U12" i="110"/>
  <c r="F13" i="110"/>
  <c r="G13" i="110"/>
  <c r="T13" i="110"/>
  <c r="U13" i="110"/>
  <c r="F14" i="110"/>
  <c r="G14" i="110"/>
  <c r="T14" i="110"/>
  <c r="U14" i="110"/>
  <c r="F15" i="110"/>
  <c r="G15" i="110"/>
  <c r="T15" i="110"/>
  <c r="U15" i="110"/>
  <c r="F16" i="110"/>
  <c r="G16" i="110"/>
  <c r="T16" i="110"/>
  <c r="U16" i="110"/>
  <c r="F17" i="110"/>
  <c r="G17" i="110"/>
  <c r="T17" i="110"/>
  <c r="U17" i="110"/>
  <c r="F18" i="110"/>
  <c r="G18" i="110"/>
  <c r="T18" i="110"/>
  <c r="U18" i="110"/>
  <c r="F19" i="110"/>
  <c r="G19" i="110"/>
  <c r="T19" i="110"/>
  <c r="U19" i="110"/>
  <c r="F20" i="110"/>
  <c r="G20" i="110"/>
  <c r="T20" i="110"/>
  <c r="U20" i="110"/>
  <c r="F21" i="110"/>
  <c r="G21" i="110"/>
  <c r="T21" i="110"/>
  <c r="U21" i="110"/>
  <c r="F22" i="110"/>
  <c r="G22" i="110"/>
  <c r="T22" i="110"/>
  <c r="U22" i="110"/>
  <c r="F23" i="110"/>
  <c r="G23" i="110"/>
  <c r="T23" i="110"/>
  <c r="U23" i="110"/>
  <c r="F24" i="110"/>
  <c r="G24" i="110"/>
  <c r="T24" i="110"/>
  <c r="U24" i="110"/>
  <c r="F25" i="110"/>
  <c r="G25" i="110"/>
  <c r="T25" i="110"/>
  <c r="U25" i="110"/>
  <c r="F26" i="110"/>
  <c r="G26" i="110"/>
  <c r="T26" i="110"/>
  <c r="U26" i="110"/>
  <c r="F27" i="110"/>
  <c r="G27" i="110"/>
  <c r="T27" i="110"/>
  <c r="U27" i="110"/>
  <c r="F28" i="110"/>
  <c r="G28" i="110"/>
  <c r="T28" i="110"/>
  <c r="U28" i="110"/>
  <c r="F29" i="110"/>
  <c r="G29" i="110"/>
  <c r="T29" i="110"/>
  <c r="U29" i="110"/>
  <c r="F30" i="110"/>
  <c r="G30" i="110"/>
  <c r="T30" i="110"/>
  <c r="U30" i="110"/>
  <c r="F31" i="110"/>
  <c r="G31" i="110"/>
  <c r="T31" i="110"/>
  <c r="U31" i="110"/>
  <c r="F32" i="110"/>
  <c r="G32" i="110"/>
  <c r="T32" i="110"/>
  <c r="U32" i="110"/>
  <c r="F33" i="110"/>
  <c r="G33" i="110"/>
  <c r="T33" i="110"/>
  <c r="U33" i="110"/>
  <c r="W4" i="110"/>
  <c r="U4" i="110"/>
  <c r="H39" i="3"/>
  <c r="AR202" i="124"/>
  <c r="W202" i="124"/>
  <c r="B202" i="124"/>
  <c r="B201" i="124"/>
  <c r="B200" i="124"/>
  <c r="AV44" i="124"/>
  <c r="AI44" i="124"/>
  <c r="T44" i="124"/>
  <c r="N44" i="124"/>
  <c r="AV42" i="124"/>
  <c r="AI42" i="124"/>
  <c r="T42" i="124"/>
  <c r="N42" i="124"/>
  <c r="AV40" i="124"/>
  <c r="AI40" i="124"/>
  <c r="T40" i="124"/>
  <c r="N40" i="124"/>
  <c r="AV38" i="124"/>
  <c r="AI38" i="124"/>
  <c r="T38" i="124"/>
  <c r="N38" i="124"/>
  <c r="AV36" i="124"/>
  <c r="AI36" i="124"/>
  <c r="T36" i="124"/>
  <c r="N36" i="124"/>
  <c r="AV6" i="124"/>
  <c r="BA28" i="119"/>
  <c r="E40" i="110" s="1"/>
  <c r="BA30" i="119"/>
  <c r="E41" i="110" s="1"/>
  <c r="BA32" i="119"/>
  <c r="E42" i="110" s="1"/>
  <c r="BA34" i="119"/>
  <c r="E43" i="110" s="1"/>
  <c r="BA36" i="119"/>
  <c r="E44" i="110" s="1"/>
  <c r="BA38" i="119"/>
  <c r="E45" i="110" s="1"/>
  <c r="BA40" i="119"/>
  <c r="E46" i="110" s="1"/>
  <c r="BA42" i="119"/>
  <c r="E47" i="110" s="1"/>
  <c r="BA44" i="119"/>
  <c r="E48" i="110" s="1"/>
  <c r="BA46" i="119"/>
  <c r="E49" i="110" s="1"/>
  <c r="BA48" i="119"/>
  <c r="E50" i="110" s="1"/>
  <c r="BA50" i="119"/>
  <c r="E51" i="110" s="1"/>
  <c r="BA52" i="119"/>
  <c r="E52" i="110" s="1"/>
  <c r="BA54" i="119"/>
  <c r="E53" i="110" s="1"/>
  <c r="BA56" i="119"/>
  <c r="E54" i="110" s="1"/>
  <c r="BA58" i="119"/>
  <c r="E55" i="110" s="1"/>
  <c r="BA60" i="119"/>
  <c r="E56" i="110" s="1"/>
  <c r="BA62" i="119"/>
  <c r="E57" i="110" s="1"/>
  <c r="BA64" i="119"/>
  <c r="E58" i="110" s="1"/>
  <c r="BA66" i="119"/>
  <c r="E59" i="110" s="1"/>
  <c r="BA68" i="119"/>
  <c r="E60" i="110" s="1"/>
  <c r="BA70" i="119"/>
  <c r="E61" i="110" s="1"/>
  <c r="BA72" i="119"/>
  <c r="E62" i="110" s="1"/>
  <c r="BA76" i="119"/>
  <c r="E64" i="110" s="1"/>
  <c r="BA30" i="111"/>
  <c r="E8" i="110" s="1"/>
  <c r="BA32" i="111"/>
  <c r="E9" i="110" s="1"/>
  <c r="BA34" i="111"/>
  <c r="E10" i="110" s="1"/>
  <c r="BA36" i="111"/>
  <c r="E11" i="110" s="1"/>
  <c r="BA38" i="111"/>
  <c r="E12" i="110" s="1"/>
  <c r="BA40" i="111"/>
  <c r="E13" i="110" s="1"/>
  <c r="BA42" i="111"/>
  <c r="E14" i="110" s="1"/>
  <c r="BA44" i="111"/>
  <c r="E15" i="110" s="1"/>
  <c r="BA46" i="111"/>
  <c r="E16" i="110" s="1"/>
  <c r="BA48" i="111"/>
  <c r="E17" i="110" s="1"/>
  <c r="BA50" i="111"/>
  <c r="E18" i="110" s="1"/>
  <c r="BA52" i="111"/>
  <c r="E19" i="110" s="1"/>
  <c r="BA54" i="111"/>
  <c r="E20" i="110" s="1"/>
  <c r="BA56" i="111"/>
  <c r="E21" i="110" s="1"/>
  <c r="BA58" i="111"/>
  <c r="E22" i="110" s="1"/>
  <c r="BA60" i="111"/>
  <c r="E23" i="110" s="1"/>
  <c r="BA62" i="111"/>
  <c r="E24" i="110" s="1"/>
  <c r="BA64" i="111"/>
  <c r="E25" i="110" s="1"/>
  <c r="BA66" i="111"/>
  <c r="E26" i="110" s="1"/>
  <c r="BA68" i="111"/>
  <c r="E27" i="110" s="1"/>
  <c r="BA70" i="111"/>
  <c r="E28" i="110" s="1"/>
  <c r="BA72" i="111"/>
  <c r="E29" i="110" s="1"/>
  <c r="BA74" i="111"/>
  <c r="E30" i="110" s="1"/>
  <c r="BA76" i="111"/>
  <c r="E31" i="110" s="1"/>
  <c r="BA78" i="111"/>
  <c r="E32" i="110" s="1"/>
  <c r="BA80" i="111"/>
  <c r="E33" i="110" s="1"/>
  <c r="BA24" i="119"/>
  <c r="E38" i="110" s="1"/>
  <c r="E24" i="111"/>
  <c r="AA5" i="110" s="1"/>
  <c r="E22" i="111"/>
  <c r="AA4" i="110" s="1"/>
  <c r="BD80" i="111"/>
  <c r="BG80" i="111"/>
  <c r="AR202" i="123"/>
  <c r="W202" i="123"/>
  <c r="B202" i="123"/>
  <c r="B201" i="123"/>
  <c r="B200" i="123"/>
  <c r="E5" i="123"/>
  <c r="BG56" i="111"/>
  <c r="BD42" i="111"/>
  <c r="BG42" i="111"/>
  <c r="AD41" i="110"/>
  <c r="F49" i="3"/>
  <c r="F48" i="3"/>
  <c r="F47" i="3"/>
  <c r="F46" i="3"/>
  <c r="F45" i="3"/>
  <c r="F44" i="3"/>
  <c r="F43" i="3"/>
  <c r="E31" i="3"/>
  <c r="E30" i="3"/>
  <c r="E29" i="3"/>
  <c r="E28" i="3"/>
  <c r="E27" i="3"/>
  <c r="E26" i="3"/>
  <c r="E50" i="3"/>
  <c r="E49" i="3"/>
  <c r="E48" i="3"/>
  <c r="E47" i="3"/>
  <c r="E46" i="3"/>
  <c r="E45" i="3"/>
  <c r="E44" i="3"/>
  <c r="E43" i="3"/>
  <c r="E42" i="3"/>
  <c r="E41" i="3"/>
  <c r="E40" i="3"/>
  <c r="E39" i="3"/>
  <c r="E38" i="3"/>
  <c r="E37" i="3"/>
  <c r="E36" i="3"/>
  <c r="E35" i="3"/>
  <c r="E34" i="3"/>
  <c r="AR202" i="122"/>
  <c r="W202" i="122"/>
  <c r="B202" i="122"/>
  <c r="B201" i="122"/>
  <c r="B200" i="122"/>
  <c r="AV6" i="122"/>
  <c r="AR202" i="121"/>
  <c r="W202" i="121"/>
  <c r="B202" i="121"/>
  <c r="B201" i="121"/>
  <c r="B200" i="121"/>
  <c r="AV6" i="121"/>
  <c r="AR202" i="120"/>
  <c r="W202" i="120"/>
  <c r="B202" i="120"/>
  <c r="B201" i="120"/>
  <c r="B200" i="120"/>
  <c r="AV6" i="120"/>
  <c r="AR202" i="119"/>
  <c r="W202" i="119"/>
  <c r="B202" i="119"/>
  <c r="B201" i="119"/>
  <c r="B200" i="119"/>
  <c r="AV6" i="119"/>
  <c r="BC76" i="121"/>
  <c r="W107" i="110"/>
  <c r="W104" i="110"/>
  <c r="BD76" i="121"/>
  <c r="BF76" i="121"/>
  <c r="AN28" i="81"/>
  <c r="AI28" i="81"/>
  <c r="AI27" i="81"/>
  <c r="AI24" i="81"/>
  <c r="AN23" i="81"/>
  <c r="AI23" i="81"/>
  <c r="AI22" i="81"/>
  <c r="L24" i="81"/>
  <c r="G24" i="81"/>
  <c r="G23" i="81"/>
  <c r="AF259" i="110"/>
  <c r="AF260" i="110"/>
  <c r="AF261" i="110"/>
  <c r="AO261" i="110"/>
  <c r="AF262" i="110"/>
  <c r="AF263" i="110"/>
  <c r="AF264" i="110"/>
  <c r="AF265" i="110"/>
  <c r="AO265" i="110"/>
  <c r="AF266" i="110"/>
  <c r="AF267" i="110"/>
  <c r="AF268" i="110"/>
  <c r="AG260" i="110"/>
  <c r="AG261" i="110"/>
  <c r="AG262" i="110"/>
  <c r="AG263" i="110"/>
  <c r="AG264" i="110"/>
  <c r="AG265" i="110"/>
  <c r="AG266" i="110"/>
  <c r="AG267" i="110"/>
  <c r="AG268" i="110"/>
  <c r="AG259" i="110"/>
  <c r="J207" i="110"/>
  <c r="J40" i="108"/>
  <c r="J41" i="108" s="1"/>
  <c r="K40" i="108"/>
  <c r="K41" i="108" s="1"/>
  <c r="I259" i="110"/>
  <c r="I260" i="110"/>
  <c r="I261" i="110"/>
  <c r="I262" i="110"/>
  <c r="I263" i="110"/>
  <c r="I264" i="110"/>
  <c r="I265" i="110"/>
  <c r="I266" i="110"/>
  <c r="I267" i="110"/>
  <c r="I268" i="110"/>
  <c r="H259" i="110"/>
  <c r="H260" i="110"/>
  <c r="H261" i="110"/>
  <c r="H262" i="110"/>
  <c r="H263" i="110"/>
  <c r="H264" i="110"/>
  <c r="H265" i="110"/>
  <c r="H266" i="110"/>
  <c r="H267" i="110"/>
  <c r="H268" i="110"/>
  <c r="J22" i="51"/>
  <c r="J23" i="51"/>
  <c r="J24" i="51"/>
  <c r="J25" i="51"/>
  <c r="J26" i="51"/>
  <c r="J27" i="51"/>
  <c r="J28" i="51"/>
  <c r="J18" i="51"/>
  <c r="K77" i="79"/>
  <c r="K70" i="78"/>
  <c r="K69" i="78"/>
  <c r="K76" i="79"/>
  <c r="AC77" i="79"/>
  <c r="T77" i="79"/>
  <c r="AC70" i="78"/>
  <c r="T70" i="78"/>
  <c r="K78" i="79"/>
  <c r="AC78" i="79" s="1"/>
  <c r="W30" i="78"/>
  <c r="K71" i="78"/>
  <c r="T71" i="78" s="1"/>
  <c r="AL65" i="110"/>
  <c r="AK65" i="110"/>
  <c r="AJ65" i="110"/>
  <c r="X260" i="110"/>
  <c r="X261" i="110"/>
  <c r="X262" i="110"/>
  <c r="X263" i="110"/>
  <c r="X264" i="110"/>
  <c r="X265" i="110"/>
  <c r="X266" i="110"/>
  <c r="X267" i="110"/>
  <c r="X268" i="110"/>
  <c r="X259" i="110"/>
  <c r="AY16" i="13"/>
  <c r="AV28" i="13"/>
  <c r="Q265" i="110" s="1"/>
  <c r="AV20" i="13"/>
  <c r="AW20" i="13"/>
  <c r="E261" i="110" s="1" a="1"/>
  <c r="E261" i="110" s="1"/>
  <c r="AX20" i="13"/>
  <c r="AU20" i="13" s="1"/>
  <c r="AM261" i="110" s="1"/>
  <c r="AY20" i="13"/>
  <c r="AU22" i="13"/>
  <c r="AM262" i="110" s="1"/>
  <c r="AV22" i="13"/>
  <c r="Q262" i="110" s="1"/>
  <c r="AW22" i="13"/>
  <c r="E262" i="110" s="1" a="1"/>
  <c r="E262" i="110" s="1"/>
  <c r="AX22" i="13"/>
  <c r="AY22" i="13"/>
  <c r="AW24" i="13"/>
  <c r="E263" i="110" s="1" a="1"/>
  <c r="E263" i="110" s="1"/>
  <c r="AX24" i="13"/>
  <c r="AY24" i="13"/>
  <c r="AV26" i="13"/>
  <c r="AU26" i="13" s="1"/>
  <c r="AM264" i="110" s="1"/>
  <c r="AW26" i="13"/>
  <c r="E264" i="110" s="1" a="1"/>
  <c r="E264" i="110" s="1"/>
  <c r="AX26" i="13"/>
  <c r="AW28" i="13"/>
  <c r="E265" i="110" s="1" a="1"/>
  <c r="E265" i="110" s="1"/>
  <c r="AX28" i="13"/>
  <c r="AU30" i="13"/>
  <c r="AM266" i="110" s="1"/>
  <c r="AV30" i="13"/>
  <c r="Q266" i="110" s="1"/>
  <c r="AW30" i="13"/>
  <c r="E266" i="110" s="1" a="1"/>
  <c r="E266" i="110" s="1"/>
  <c r="AX30" i="13"/>
  <c r="AY30" i="13"/>
  <c r="AU32" i="13"/>
  <c r="AM267" i="110" s="1"/>
  <c r="AV32" i="13"/>
  <c r="Q267" i="110" s="1"/>
  <c r="AX32" i="13"/>
  <c r="AY32" i="13"/>
  <c r="AX34" i="13"/>
  <c r="AW18" i="13"/>
  <c r="E260" i="110" s="1" a="1"/>
  <c r="E260" i="110" s="1"/>
  <c r="AY18" i="13"/>
  <c r="AX18" i="13"/>
  <c r="AV36" i="65"/>
  <c r="AV38" i="65"/>
  <c r="AV40" i="65"/>
  <c r="AV42" i="65"/>
  <c r="AV44" i="65"/>
  <c r="Z14" i="81"/>
  <c r="AI19" i="81"/>
  <c r="AI18" i="64"/>
  <c r="AI26" i="64"/>
  <c r="V51" i="78"/>
  <c r="N66" i="79"/>
  <c r="N65" i="79"/>
  <c r="N60" i="79"/>
  <c r="R60" i="79" s="1"/>
  <c r="W36" i="79"/>
  <c r="AD35" i="79"/>
  <c r="W35" i="79"/>
  <c r="AD34" i="79"/>
  <c r="W34" i="79"/>
  <c r="P34" i="79"/>
  <c r="W31" i="79"/>
  <c r="W30" i="79"/>
  <c r="W29" i="79"/>
  <c r="P29" i="79"/>
  <c r="P24" i="79"/>
  <c r="AD34" i="78"/>
  <c r="AD33" i="78"/>
  <c r="W35" i="78"/>
  <c r="W34" i="78"/>
  <c r="W33" i="78"/>
  <c r="P33" i="78"/>
  <c r="W29" i="78"/>
  <c r="W28" i="78"/>
  <c r="W25" i="78"/>
  <c r="W24" i="78"/>
  <c r="P28" i="78"/>
  <c r="P23" i="78"/>
  <c r="N36" i="66"/>
  <c r="T36" i="66"/>
  <c r="AI36" i="66"/>
  <c r="AV36" i="66"/>
  <c r="N38" i="66"/>
  <c r="T38" i="66"/>
  <c r="AI38" i="66"/>
  <c r="AV38" i="66"/>
  <c r="N40" i="66"/>
  <c r="T40" i="66"/>
  <c r="AI40" i="66"/>
  <c r="AV40" i="66"/>
  <c r="N42" i="66"/>
  <c r="T42" i="66"/>
  <c r="AI42" i="66"/>
  <c r="AV42" i="66"/>
  <c r="N44" i="66"/>
  <c r="T44" i="66"/>
  <c r="AI44" i="66"/>
  <c r="AV44" i="66"/>
  <c r="U182" i="110"/>
  <c r="AV36" i="64"/>
  <c r="AV38" i="64"/>
  <c r="AV40" i="64"/>
  <c r="AV42" i="64"/>
  <c r="AV44" i="64"/>
  <c r="AV38" i="63"/>
  <c r="AV40" i="63"/>
  <c r="AV42" i="63"/>
  <c r="AV44" i="63"/>
  <c r="AV46" i="63"/>
  <c r="AL181" i="110"/>
  <c r="AK181" i="110"/>
  <c r="AJ181" i="110"/>
  <c r="A34" i="110"/>
  <c r="A3" i="110"/>
  <c r="AI34" i="64"/>
  <c r="AI30" i="64"/>
  <c r="AI28" i="64"/>
  <c r="AI24" i="64"/>
  <c r="AI22" i="64"/>
  <c r="AI20" i="64"/>
  <c r="AI18" i="65"/>
  <c r="AV6" i="66"/>
  <c r="AI34" i="66"/>
  <c r="AI32" i="66"/>
  <c r="AI30" i="66"/>
  <c r="AI28" i="66"/>
  <c r="AI26" i="66"/>
  <c r="AI24" i="66"/>
  <c r="AI22" i="66"/>
  <c r="AI20" i="66"/>
  <c r="AW20" i="66" s="1"/>
  <c r="AI18" i="66"/>
  <c r="AI16" i="66"/>
  <c r="U44" i="81"/>
  <c r="X18" i="51"/>
  <c r="X19" i="51"/>
  <c r="X20" i="51"/>
  <c r="X21" i="51"/>
  <c r="X22" i="51"/>
  <c r="X23" i="51"/>
  <c r="X24" i="51"/>
  <c r="X25" i="51"/>
  <c r="X26" i="51"/>
  <c r="X27" i="51"/>
  <c r="X28" i="51"/>
  <c r="BY2" i="110"/>
  <c r="AV6" i="65"/>
  <c r="AV6" i="64"/>
  <c r="AV6" i="63"/>
  <c r="AV6" i="75"/>
  <c r="AV6" i="74"/>
  <c r="AV6" i="73"/>
  <c r="AV6" i="72"/>
  <c r="AV6" i="71"/>
  <c r="AV6" i="70"/>
  <c r="AV6" i="13"/>
  <c r="AS2" i="110"/>
  <c r="Q42" i="106"/>
  <c r="Q43" i="106"/>
  <c r="Q44" i="106"/>
  <c r="Q3" i="106"/>
  <c r="Q2" i="106"/>
  <c r="D132" i="106"/>
  <c r="D133" i="106"/>
  <c r="D134" i="106"/>
  <c r="D131" i="106"/>
  <c r="D3" i="106"/>
  <c r="D4" i="106"/>
  <c r="D2" i="106"/>
  <c r="AV18" i="75"/>
  <c r="AV20" i="75"/>
  <c r="AV22" i="75"/>
  <c r="AV24" i="75"/>
  <c r="AV26" i="75"/>
  <c r="AV28" i="75"/>
  <c r="AV30" i="75"/>
  <c r="AV32" i="75"/>
  <c r="AV34" i="75"/>
  <c r="AV18" i="74"/>
  <c r="AV20" i="74"/>
  <c r="AV22" i="74"/>
  <c r="AV24" i="74"/>
  <c r="AV26" i="74"/>
  <c r="AV28" i="74"/>
  <c r="AV30" i="74"/>
  <c r="AV32" i="74"/>
  <c r="AV34" i="74"/>
  <c r="AV20" i="73"/>
  <c r="AV24" i="73"/>
  <c r="Q308" i="110" s="1"/>
  <c r="AV26" i="73"/>
  <c r="AV28" i="73"/>
  <c r="AV30" i="73"/>
  <c r="AV32" i="73"/>
  <c r="AV34" i="73"/>
  <c r="AV20" i="72"/>
  <c r="Q295" i="110" s="1"/>
  <c r="AV22" i="72"/>
  <c r="Q296" i="110" s="1"/>
  <c r="AV24" i="72"/>
  <c r="Q297" i="110" s="1"/>
  <c r="AV26" i="72"/>
  <c r="Q298" i="110" s="1"/>
  <c r="AV30" i="72"/>
  <c r="AV32" i="72"/>
  <c r="AV34" i="72"/>
  <c r="AV20" i="71"/>
  <c r="AV22" i="71"/>
  <c r="AV24" i="71"/>
  <c r="AV26" i="71"/>
  <c r="AV28" i="71"/>
  <c r="AV30" i="71"/>
  <c r="AV32" i="71"/>
  <c r="AV34" i="71"/>
  <c r="AV16" i="71"/>
  <c r="Q282" i="110" s="1"/>
  <c r="AV18" i="70"/>
  <c r="AV20" i="70"/>
  <c r="AV22" i="70"/>
  <c r="AV24" i="70"/>
  <c r="AV26" i="70"/>
  <c r="AV28" i="70"/>
  <c r="AV30" i="70"/>
  <c r="Q277" i="110" s="1"/>
  <c r="AV32" i="70"/>
  <c r="Q278" i="110" s="1"/>
  <c r="AV34" i="70"/>
  <c r="AN32" i="81"/>
  <c r="AI32" i="81"/>
  <c r="AI31" i="81"/>
  <c r="AI30" i="81"/>
  <c r="AI29" i="81"/>
  <c r="AL16" i="57"/>
  <c r="G28" i="81"/>
  <c r="G27" i="81"/>
  <c r="L29" i="81"/>
  <c r="G29" i="81"/>
  <c r="G26" i="81"/>
  <c r="BH2" i="110"/>
  <c r="C31" i="57"/>
  <c r="W7" i="109"/>
  <c r="AR202" i="81"/>
  <c r="AR202" i="79"/>
  <c r="AR201" i="78"/>
  <c r="AR202" i="76"/>
  <c r="AR202" i="75"/>
  <c r="AR202" i="74"/>
  <c r="AR202" i="73"/>
  <c r="AR202" i="72"/>
  <c r="AR202" i="71"/>
  <c r="AR202" i="70"/>
  <c r="AR202" i="13"/>
  <c r="AR202" i="66"/>
  <c r="AR202" i="65"/>
  <c r="AR202" i="64"/>
  <c r="AR204" i="63"/>
  <c r="AR202" i="111"/>
  <c r="AR202" i="57"/>
  <c r="AR202" i="56"/>
  <c r="AR202" i="55"/>
  <c r="AR202" i="51"/>
  <c r="AR202" i="49"/>
  <c r="AR202" i="48"/>
  <c r="C51" i="81"/>
  <c r="CJ2" i="110"/>
  <c r="CI2" i="110"/>
  <c r="AU18" i="75"/>
  <c r="AM327" i="110" s="1"/>
  <c r="AU20" i="75"/>
  <c r="AM328" i="110" s="1"/>
  <c r="AU22" i="75"/>
  <c r="AM329" i="110" s="1"/>
  <c r="AU24" i="75"/>
  <c r="AM330" i="110" s="1"/>
  <c r="AU26" i="75"/>
  <c r="AM331" i="110" s="1"/>
  <c r="AU28" i="75"/>
  <c r="AM332" i="110" s="1"/>
  <c r="AU30" i="75"/>
  <c r="AM333" i="110" s="1"/>
  <c r="AU32" i="75"/>
  <c r="AM334" i="110" s="1"/>
  <c r="AU34" i="75"/>
  <c r="AM335" i="110" s="1"/>
  <c r="AU18" i="74"/>
  <c r="AM316" i="110" s="1"/>
  <c r="AU20" i="74"/>
  <c r="AM317" i="110" s="1"/>
  <c r="AU22" i="74"/>
  <c r="AM318" i="110" s="1"/>
  <c r="AU24" i="74"/>
  <c r="AM319" i="110" s="1"/>
  <c r="AU26" i="74"/>
  <c r="AM320" i="110" s="1"/>
  <c r="AU28" i="74"/>
  <c r="AM321" i="110" s="1"/>
  <c r="AU30" i="74"/>
  <c r="AM322" i="110" s="1"/>
  <c r="AU32" i="74"/>
  <c r="AM323" i="110" s="1"/>
  <c r="AU34" i="74"/>
  <c r="AM324" i="110" s="1"/>
  <c r="AU20" i="73"/>
  <c r="AM306" i="110" s="1"/>
  <c r="AU24" i="73"/>
  <c r="AM308" i="110" s="1"/>
  <c r="AU26" i="73"/>
  <c r="AM309" i="110" s="1"/>
  <c r="AU28" i="73"/>
  <c r="AM310" i="110" s="1"/>
  <c r="AU30" i="73"/>
  <c r="AM311" i="110" s="1"/>
  <c r="AU32" i="73"/>
  <c r="AM312" i="110" s="1"/>
  <c r="AU34" i="73"/>
  <c r="AM313" i="110" s="1"/>
  <c r="AU20" i="72"/>
  <c r="AM295" i="110" s="1"/>
  <c r="AU22" i="72"/>
  <c r="AM296" i="110" s="1"/>
  <c r="AU24" i="72"/>
  <c r="AM297" i="110" s="1"/>
  <c r="AU26" i="72"/>
  <c r="AM298" i="110" s="1"/>
  <c r="AU30" i="72"/>
  <c r="AM300" i="110" s="1"/>
  <c r="AU32" i="72"/>
  <c r="AM301" i="110" s="1"/>
  <c r="AU34" i="72"/>
  <c r="AM302" i="110" s="1"/>
  <c r="AU20" i="71"/>
  <c r="AM284" i="110" s="1"/>
  <c r="AU22" i="71"/>
  <c r="AM285" i="110" s="1"/>
  <c r="AU24" i="71"/>
  <c r="AM286" i="110" s="1"/>
  <c r="AU26" i="71"/>
  <c r="AM287" i="110" s="1"/>
  <c r="AU28" i="71"/>
  <c r="AM288" i="110" s="1"/>
  <c r="AU30" i="71"/>
  <c r="AM289" i="110" s="1"/>
  <c r="AU32" i="71"/>
  <c r="AM290" i="110" s="1"/>
  <c r="AU34" i="71"/>
  <c r="AM291" i="110" s="1"/>
  <c r="AU16" i="71"/>
  <c r="AM282" i="110" s="1"/>
  <c r="AU18" i="70"/>
  <c r="AM271" i="110" s="1"/>
  <c r="AU20" i="70"/>
  <c r="AM272" i="110" s="1"/>
  <c r="AU22" i="70"/>
  <c r="AM273" i="110" s="1"/>
  <c r="AU24" i="70"/>
  <c r="AM274" i="110" s="1"/>
  <c r="AU26" i="70"/>
  <c r="AM275" i="110" s="1"/>
  <c r="AU28" i="70"/>
  <c r="AM276" i="110" s="1"/>
  <c r="AU30" i="70"/>
  <c r="AM277" i="110" s="1"/>
  <c r="AU32" i="70"/>
  <c r="AM278" i="110" s="1"/>
  <c r="AU34" i="70"/>
  <c r="AM279" i="110" s="1"/>
  <c r="A315" i="110"/>
  <c r="A326" i="110"/>
  <c r="A304" i="110"/>
  <c r="A293" i="110"/>
  <c r="A282" i="110"/>
  <c r="AO260" i="110"/>
  <c r="AO262" i="110"/>
  <c r="AO263" i="110"/>
  <c r="AO264" i="110"/>
  <c r="AO266" i="110"/>
  <c r="AO267" i="110"/>
  <c r="AO268" i="110"/>
  <c r="AO259" i="110"/>
  <c r="Y268" i="110"/>
  <c r="Y267" i="110"/>
  <c r="Y266" i="110"/>
  <c r="Y265" i="110"/>
  <c r="Y264" i="110"/>
  <c r="Y263" i="110"/>
  <c r="Y262" i="110"/>
  <c r="Y261" i="110"/>
  <c r="Y260" i="110"/>
  <c r="Y259" i="110"/>
  <c r="W260" i="110"/>
  <c r="W261" i="110"/>
  <c r="W262" i="110"/>
  <c r="W263" i="110"/>
  <c r="W264" i="110"/>
  <c r="W265" i="110"/>
  <c r="W266" i="110"/>
  <c r="W267" i="110"/>
  <c r="W268" i="110"/>
  <c r="W259" i="110"/>
  <c r="K260" i="110"/>
  <c r="K261" i="110"/>
  <c r="K262" i="110"/>
  <c r="K263" i="110"/>
  <c r="K264" i="110"/>
  <c r="K265" i="110"/>
  <c r="K266" i="110"/>
  <c r="K267" i="110"/>
  <c r="K268" i="110"/>
  <c r="K259" i="110"/>
  <c r="BT2" i="110"/>
  <c r="BS2" i="110"/>
  <c r="BL2" i="110"/>
  <c r="BK2" i="110"/>
  <c r="AL34" i="110"/>
  <c r="AL96" i="110"/>
  <c r="AL150" i="110"/>
  <c r="AL258" i="110"/>
  <c r="AL269" i="110"/>
  <c r="AL281" i="110"/>
  <c r="AL292" i="110"/>
  <c r="AL303" i="110"/>
  <c r="AL314" i="110"/>
  <c r="AL325" i="110"/>
  <c r="AJ34" i="110"/>
  <c r="AJ96" i="110"/>
  <c r="AJ150" i="110"/>
  <c r="AJ258" i="110"/>
  <c r="AJ269" i="110"/>
  <c r="AJ281" i="110"/>
  <c r="AJ292" i="110"/>
  <c r="AJ303" i="110"/>
  <c r="AJ314" i="110"/>
  <c r="AJ325" i="110"/>
  <c r="AK34" i="110"/>
  <c r="AK96" i="110"/>
  <c r="AK150" i="110"/>
  <c r="AK258" i="110"/>
  <c r="AK269" i="110"/>
  <c r="AK281" i="110"/>
  <c r="AK292" i="110"/>
  <c r="AK303" i="110"/>
  <c r="AK314" i="110"/>
  <c r="AK325" i="110"/>
  <c r="CG2" i="110"/>
  <c r="CF2" i="110"/>
  <c r="CE2" i="110"/>
  <c r="CD2" i="110"/>
  <c r="CC2" i="110"/>
  <c r="CB2" i="110"/>
  <c r="BZ2" i="110"/>
  <c r="BV2" i="110"/>
  <c r="BU2" i="110"/>
  <c r="BR2" i="110"/>
  <c r="BN2" i="110"/>
  <c r="BM2" i="110"/>
  <c r="BJ2" i="110"/>
  <c r="BF2" i="110"/>
  <c r="AU2" i="110"/>
  <c r="AT2" i="110"/>
  <c r="AI36" i="65"/>
  <c r="AI38" i="65"/>
  <c r="AI40" i="65"/>
  <c r="AI42" i="65"/>
  <c r="AI44" i="65"/>
  <c r="T36" i="65"/>
  <c r="T38" i="65"/>
  <c r="T40" i="65"/>
  <c r="T42" i="65"/>
  <c r="T44" i="65"/>
  <c r="AI36" i="64"/>
  <c r="AI38" i="64"/>
  <c r="AI40" i="64"/>
  <c r="AI42" i="64"/>
  <c r="AI44" i="64"/>
  <c r="T36" i="64"/>
  <c r="T38" i="64"/>
  <c r="T40" i="64"/>
  <c r="T42" i="64"/>
  <c r="T44" i="64"/>
  <c r="AX34" i="75"/>
  <c r="AW34" i="75"/>
  <c r="AX32" i="75"/>
  <c r="AW32" i="75"/>
  <c r="E334" i="110" s="1"/>
  <c r="AX30" i="75"/>
  <c r="AW30" i="75"/>
  <c r="E333" i="110" s="1"/>
  <c r="AX28" i="75"/>
  <c r="AW28" i="75"/>
  <c r="E332" i="110" s="1"/>
  <c r="AX26" i="75"/>
  <c r="AW26" i="75"/>
  <c r="E331" i="110" s="1"/>
  <c r="AX24" i="75"/>
  <c r="AX22" i="75"/>
  <c r="AW22" i="75"/>
  <c r="AX20" i="75"/>
  <c r="AW20" i="75"/>
  <c r="E328" i="110" s="1"/>
  <c r="AX18" i="75"/>
  <c r="AW18" i="75"/>
  <c r="AX34" i="74"/>
  <c r="AW34" i="74"/>
  <c r="AX32" i="74"/>
  <c r="AW32" i="74"/>
  <c r="AX30" i="74"/>
  <c r="AW30" i="74"/>
  <c r="E322" i="110" s="1"/>
  <c r="AX28" i="74"/>
  <c r="AX26" i="74"/>
  <c r="AW26" i="74"/>
  <c r="E320" i="110" s="1"/>
  <c r="AX24" i="74"/>
  <c r="AW24" i="74"/>
  <c r="E319" i="110" s="1"/>
  <c r="AX22" i="74"/>
  <c r="AW22" i="74"/>
  <c r="E318" i="110" s="1"/>
  <c r="AX20" i="74"/>
  <c r="AW20" i="74"/>
  <c r="E317" i="110" s="1"/>
  <c r="AX18" i="74"/>
  <c r="AW18" i="74"/>
  <c r="AV16" i="74"/>
  <c r="AU16" i="74" s="1"/>
  <c r="AM315" i="110" s="1"/>
  <c r="AX34" i="73"/>
  <c r="AW34" i="73"/>
  <c r="AX32" i="73"/>
  <c r="AW32" i="73"/>
  <c r="E312" i="110" s="1"/>
  <c r="AX30" i="73"/>
  <c r="AW30" i="73"/>
  <c r="AX28" i="73"/>
  <c r="AW28" i="73"/>
  <c r="E310" i="110" s="1"/>
  <c r="AX26" i="73"/>
  <c r="AW26" i="73"/>
  <c r="AX24" i="73"/>
  <c r="AX22" i="73"/>
  <c r="AW22" i="73"/>
  <c r="E307" i="110" s="1"/>
  <c r="AX20" i="73"/>
  <c r="AW20" i="73"/>
  <c r="E306" i="110" s="1"/>
  <c r="AX18" i="73"/>
  <c r="AW18" i="73"/>
  <c r="E305" i="110" s="1"/>
  <c r="AX34" i="72"/>
  <c r="AW34" i="72"/>
  <c r="E302" i="110" s="1"/>
  <c r="AX32" i="72"/>
  <c r="AW32" i="72"/>
  <c r="E301" i="110" s="1"/>
  <c r="AX30" i="72"/>
  <c r="AW30" i="72"/>
  <c r="E300" i="110" s="1"/>
  <c r="AX28" i="72"/>
  <c r="AX26" i="72"/>
  <c r="AW26" i="72"/>
  <c r="E298" i="110" s="1"/>
  <c r="AX24" i="72"/>
  <c r="AW24" i="72"/>
  <c r="AX22" i="72"/>
  <c r="AW22" i="72"/>
  <c r="E296" i="110" s="1"/>
  <c r="AX20" i="72"/>
  <c r="AW20" i="72"/>
  <c r="E295" i="110" s="1"/>
  <c r="AX18" i="72"/>
  <c r="AW18" i="72"/>
  <c r="AX34" i="71"/>
  <c r="AW34" i="71"/>
  <c r="E291" i="110" s="1"/>
  <c r="AX32" i="71"/>
  <c r="AW32" i="71"/>
  <c r="AX30" i="71"/>
  <c r="AW30" i="71"/>
  <c r="AX28" i="71"/>
  <c r="AW28" i="71"/>
  <c r="AX26" i="71"/>
  <c r="AW26" i="71"/>
  <c r="AX24" i="71"/>
  <c r="AX22" i="71"/>
  <c r="AW22" i="71"/>
  <c r="AX20" i="71"/>
  <c r="AW20" i="71"/>
  <c r="AX18" i="71"/>
  <c r="AW18" i="71"/>
  <c r="AX16" i="71"/>
  <c r="AW16" i="71"/>
  <c r="E282" i="110" s="1"/>
  <c r="AY34" i="70"/>
  <c r="AX34" i="70"/>
  <c r="AW34" i="70"/>
  <c r="AY32" i="70"/>
  <c r="AX32" i="70"/>
  <c r="AW32" i="70"/>
  <c r="AY30" i="70"/>
  <c r="AX30" i="70"/>
  <c r="AY28" i="70"/>
  <c r="AX28" i="70"/>
  <c r="AW28" i="70"/>
  <c r="E276" i="110" s="1"/>
  <c r="AY26" i="70"/>
  <c r="AX26" i="70"/>
  <c r="AW26" i="70"/>
  <c r="AY24" i="70"/>
  <c r="AX24" i="70"/>
  <c r="AW24" i="70"/>
  <c r="E274" i="110" s="1"/>
  <c r="AY22" i="70"/>
  <c r="AX22" i="70"/>
  <c r="AW22" i="70"/>
  <c r="AY20" i="70"/>
  <c r="AX20" i="70"/>
  <c r="AX18" i="70"/>
  <c r="AW18" i="70"/>
  <c r="AY16" i="70"/>
  <c r="AX16" i="70"/>
  <c r="AW16" i="70"/>
  <c r="E270" i="110" s="1"/>
  <c r="AV22" i="73"/>
  <c r="K45" i="109"/>
  <c r="F26" i="51"/>
  <c r="J21" i="51"/>
  <c r="J20" i="51"/>
  <c r="J19" i="51"/>
  <c r="CA2" i="110"/>
  <c r="W202" i="111"/>
  <c r="B202" i="111"/>
  <c r="B201" i="111"/>
  <c r="B200" i="111"/>
  <c r="AU56" i="13"/>
  <c r="AU54" i="13"/>
  <c r="AX56" i="13"/>
  <c r="AX54" i="13"/>
  <c r="AW56" i="13"/>
  <c r="AW54" i="13"/>
  <c r="AV56" i="13"/>
  <c r="AV54" i="13"/>
  <c r="A260" i="110"/>
  <c r="U260" i="110"/>
  <c r="A261" i="110"/>
  <c r="U261" i="110"/>
  <c r="A262" i="110"/>
  <c r="U262" i="110"/>
  <c r="A263" i="110"/>
  <c r="U263" i="110"/>
  <c r="A264" i="110"/>
  <c r="U264" i="110"/>
  <c r="A265" i="110"/>
  <c r="U265" i="110"/>
  <c r="A266" i="110"/>
  <c r="U266" i="110"/>
  <c r="A267" i="110"/>
  <c r="U267" i="110"/>
  <c r="A268" i="110"/>
  <c r="U268" i="110"/>
  <c r="G18" i="81"/>
  <c r="A2" i="110"/>
  <c r="AV2" i="110"/>
  <c r="BG2" i="110"/>
  <c r="DR2" i="110"/>
  <c r="DQ2" i="110"/>
  <c r="DP2" i="110"/>
  <c r="DO2" i="110"/>
  <c r="DN2" i="110"/>
  <c r="DM2" i="110"/>
  <c r="DL2" i="110"/>
  <c r="DK2" i="110"/>
  <c r="DJ2" i="110"/>
  <c r="DI2" i="110"/>
  <c r="DH2" i="110"/>
  <c r="DG2" i="110"/>
  <c r="DF2" i="110"/>
  <c r="DE2" i="110"/>
  <c r="DD2" i="110"/>
  <c r="DC2" i="110"/>
  <c r="DB2" i="110"/>
  <c r="DA2" i="110"/>
  <c r="CZ2" i="110"/>
  <c r="CY2" i="110"/>
  <c r="CR2" i="110"/>
  <c r="CM2" i="110"/>
  <c r="J51" i="78"/>
  <c r="U259" i="110"/>
  <c r="A259" i="110"/>
  <c r="E25" i="3"/>
  <c r="U42" i="81"/>
  <c r="U41" i="81"/>
  <c r="AP28" i="81"/>
  <c r="AI26" i="81"/>
  <c r="AN25" i="81"/>
  <c r="AI25" i="81"/>
  <c r="N24" i="81"/>
  <c r="G45" i="81"/>
  <c r="G44" i="81"/>
  <c r="G43" i="81"/>
  <c r="G42" i="81"/>
  <c r="G41" i="81"/>
  <c r="G40" i="81"/>
  <c r="G39" i="81"/>
  <c r="G38" i="81"/>
  <c r="G35" i="81"/>
  <c r="G19" i="81"/>
  <c r="G17" i="81"/>
  <c r="L16" i="81"/>
  <c r="G16" i="81"/>
  <c r="L15" i="81"/>
  <c r="G15" i="81"/>
  <c r="X6" i="109"/>
  <c r="W6" i="109"/>
  <c r="V6" i="109"/>
  <c r="U6" i="109"/>
  <c r="P6" i="109"/>
  <c r="B72" i="3"/>
  <c r="CW2" i="110"/>
  <c r="L37" i="81"/>
  <c r="W8" i="109"/>
  <c r="B182" i="3"/>
  <c r="B140" i="3"/>
  <c r="B83" i="3"/>
  <c r="B1" i="3"/>
  <c r="N44" i="65"/>
  <c r="N42" i="65"/>
  <c r="N40" i="65"/>
  <c r="N38" i="65"/>
  <c r="N36" i="65"/>
  <c r="N44" i="64"/>
  <c r="N42" i="64"/>
  <c r="N40" i="64"/>
  <c r="N38" i="64"/>
  <c r="N36" i="64"/>
  <c r="W202" i="81"/>
  <c r="B202" i="81"/>
  <c r="B201" i="81"/>
  <c r="B200" i="81"/>
  <c r="W202" i="79"/>
  <c r="B202" i="79"/>
  <c r="B201" i="79"/>
  <c r="B200" i="79"/>
  <c r="W201" i="78"/>
  <c r="B201" i="78"/>
  <c r="B200" i="78"/>
  <c r="W202" i="76"/>
  <c r="B202" i="76"/>
  <c r="B201" i="76"/>
  <c r="B200" i="76"/>
  <c r="W202" i="75"/>
  <c r="B202" i="75"/>
  <c r="B201" i="75"/>
  <c r="B200" i="75"/>
  <c r="W202" i="74"/>
  <c r="B202" i="74"/>
  <c r="B201" i="74"/>
  <c r="B200" i="74"/>
  <c r="W202" i="73"/>
  <c r="B202" i="73"/>
  <c r="B201" i="73"/>
  <c r="B200" i="73"/>
  <c r="W202" i="72"/>
  <c r="B202" i="72"/>
  <c r="B201" i="72"/>
  <c r="B200" i="72"/>
  <c r="W202" i="71"/>
  <c r="B202" i="71"/>
  <c r="B201" i="71"/>
  <c r="B200" i="71"/>
  <c r="W202" i="70"/>
  <c r="B202" i="70"/>
  <c r="B201" i="70"/>
  <c r="B200" i="70"/>
  <c r="W202" i="13"/>
  <c r="B202" i="13"/>
  <c r="B201" i="13"/>
  <c r="B200" i="13"/>
  <c r="W202" i="66"/>
  <c r="B202" i="66"/>
  <c r="B201" i="66"/>
  <c r="B200" i="66"/>
  <c r="W202" i="65"/>
  <c r="B202" i="65"/>
  <c r="B201" i="65"/>
  <c r="B200" i="65"/>
  <c r="W202" i="64"/>
  <c r="B202" i="64"/>
  <c r="B201" i="64"/>
  <c r="B200" i="64"/>
  <c r="W204" i="63"/>
  <c r="B204" i="63"/>
  <c r="B203" i="63"/>
  <c r="B202" i="63"/>
  <c r="W202" i="57"/>
  <c r="B202" i="57"/>
  <c r="B201" i="57"/>
  <c r="B200" i="57"/>
  <c r="W202" i="56"/>
  <c r="B202" i="56"/>
  <c r="B201" i="56"/>
  <c r="B200" i="56"/>
  <c r="W202" i="55"/>
  <c r="B202" i="55"/>
  <c r="B201" i="55"/>
  <c r="B200" i="55"/>
  <c r="W202" i="51"/>
  <c r="B202" i="51"/>
  <c r="B201" i="51"/>
  <c r="B200" i="51"/>
  <c r="W202" i="49"/>
  <c r="B202" i="49"/>
  <c r="B201" i="49"/>
  <c r="B200" i="49"/>
  <c r="W202" i="48"/>
  <c r="B202" i="48"/>
  <c r="B201" i="48"/>
  <c r="B200" i="48"/>
  <c r="AU22" i="73"/>
  <c r="AM307" i="110" s="1"/>
  <c r="AU28" i="13"/>
  <c r="AM265" i="110" s="1"/>
  <c r="AV24" i="13"/>
  <c r="Q263" i="110" s="1"/>
  <c r="AU24" i="13"/>
  <c r="AM263" i="110" s="1"/>
  <c r="J224" i="110"/>
  <c r="Z22" i="81"/>
  <c r="AV28" i="72"/>
  <c r="Q299" i="110" s="1"/>
  <c r="AV18" i="71"/>
  <c r="AV34" i="13"/>
  <c r="AU34" i="13"/>
  <c r="AM268" i="110" s="1"/>
  <c r="CT2" i="110"/>
  <c r="AD30" i="78"/>
  <c r="AD31" i="79"/>
  <c r="U25" i="81"/>
  <c r="CQ2" i="110"/>
  <c r="AU18" i="71"/>
  <c r="AM283" i="110" s="1"/>
  <c r="AU28" i="72"/>
  <c r="AM299" i="110" s="1"/>
  <c r="U19" i="81"/>
  <c r="BA32" i="121"/>
  <c r="AU38" i="121"/>
  <c r="J107" i="110" s="1"/>
  <c r="AD29" i="110"/>
  <c r="AZ36" i="111"/>
  <c r="AD11" i="110"/>
  <c r="AD7" i="110"/>
  <c r="AX50" i="121"/>
  <c r="AG113" i="110" s="1"/>
  <c r="AZ50" i="121"/>
  <c r="W113" i="110"/>
  <c r="BB50" i="121"/>
  <c r="AV50" i="121"/>
  <c r="W101" i="110"/>
  <c r="AD17" i="110"/>
  <c r="AV48" i="111"/>
  <c r="BF48" i="111"/>
  <c r="BA50" i="121"/>
  <c r="BA64" i="121"/>
  <c r="E120" i="110" s="1"/>
  <c r="L262" i="110"/>
  <c r="AE262" i="110"/>
  <c r="O262" i="110"/>
  <c r="M266" i="110"/>
  <c r="O267" i="110"/>
  <c r="AE267" i="110"/>
  <c r="O266" i="110"/>
  <c r="M262" i="110"/>
  <c r="N266" i="110"/>
  <c r="L266" i="110"/>
  <c r="L267" i="110"/>
  <c r="N262" i="110"/>
  <c r="AU42" i="111"/>
  <c r="J14" i="110" s="1"/>
  <c r="S8" i="110"/>
  <c r="BB30" i="111"/>
  <c r="BC30" i="111" s="1"/>
  <c r="BE30" i="111" s="1"/>
  <c r="S43" i="110"/>
  <c r="AD21" i="110"/>
  <c r="BA26" i="121"/>
  <c r="E101" i="110" s="1"/>
  <c r="AY60" i="111"/>
  <c r="AD23" i="110"/>
  <c r="AZ54" i="111"/>
  <c r="BA40" i="121"/>
  <c r="AD35" i="110"/>
  <c r="N267" i="110"/>
  <c r="M295" i="110"/>
  <c r="O308" i="110"/>
  <c r="M265" i="110"/>
  <c r="N295" i="110"/>
  <c r="AD30" i="79"/>
  <c r="BE2" i="110"/>
  <c r="CS2" i="110"/>
  <c r="AD29" i="79"/>
  <c r="U24" i="81"/>
  <c r="AD29" i="78"/>
  <c r="M308" i="110"/>
  <c r="CO2" i="110"/>
  <c r="N265" i="110"/>
  <c r="AE265" i="110"/>
  <c r="AD28" i="78"/>
  <c r="O295" i="110"/>
  <c r="AE295" i="110"/>
  <c r="AE308" i="110"/>
  <c r="N291" i="110"/>
  <c r="M291" i="110"/>
  <c r="G14" i="81"/>
  <c r="O265" i="110"/>
  <c r="L308" i="110"/>
  <c r="M282" i="110"/>
  <c r="M293" i="110"/>
  <c r="L293" i="110"/>
  <c r="N293" i="110"/>
  <c r="N278" i="110"/>
  <c r="O278" i="110"/>
  <c r="AE278" i="110"/>
  <c r="L278" i="110"/>
  <c r="AE293" i="110"/>
  <c r="N298" i="110"/>
  <c r="AU50" i="121"/>
  <c r="J113" i="110" s="1"/>
  <c r="BA38" i="121"/>
  <c r="N62" i="79"/>
  <c r="AY2" i="110"/>
  <c r="E204" i="110"/>
  <c r="BA52" i="121"/>
  <c r="AR200" i="130"/>
  <c r="J295" i="110"/>
  <c r="AV80" i="111"/>
  <c r="J227" i="110"/>
  <c r="J205" i="110"/>
  <c r="Z105" i="110"/>
  <c r="F174" i="110"/>
  <c r="F170" i="110"/>
  <c r="Z170" i="110"/>
  <c r="F166" i="110"/>
  <c r="F162" i="110"/>
  <c r="F154" i="110"/>
  <c r="Z154" i="110"/>
  <c r="F172" i="110"/>
  <c r="AV16" i="73"/>
  <c r="AU16" i="73" s="1"/>
  <c r="AV16" i="75"/>
  <c r="AU16" i="75" s="1"/>
  <c r="AM326" i="110" s="1"/>
  <c r="AU68" i="120"/>
  <c r="J91" i="110" s="1"/>
  <c r="AV18" i="124"/>
  <c r="AV28" i="63"/>
  <c r="N297" i="110"/>
  <c r="AE297" i="110"/>
  <c r="O297" i="110"/>
  <c r="L297" i="110"/>
  <c r="N282" i="110"/>
  <c r="L282" i="110"/>
  <c r="AV18" i="132"/>
  <c r="AV20" i="132"/>
  <c r="AV56" i="121"/>
  <c r="AX32" i="121"/>
  <c r="AG104" i="110" s="1"/>
  <c r="S180" i="110"/>
  <c r="S156" i="110"/>
  <c r="Z103" i="110"/>
  <c r="L299" i="110"/>
  <c r="N299" i="110"/>
  <c r="O299" i="110"/>
  <c r="AE299" i="110"/>
  <c r="M299" i="110"/>
  <c r="BB72" i="111"/>
  <c r="AU60" i="111"/>
  <c r="J23" i="110" s="1"/>
  <c r="BB60" i="111"/>
  <c r="AZ60" i="111"/>
  <c r="S23" i="110"/>
  <c r="AV60" i="111"/>
  <c r="BF60" i="111"/>
  <c r="AX60" i="111"/>
  <c r="AG23" i="110" s="1"/>
  <c r="BB48" i="111"/>
  <c r="AX48" i="111"/>
  <c r="AG17" i="110" s="1"/>
  <c r="AU48" i="111"/>
  <c r="J17" i="110" s="1"/>
  <c r="T179" i="110"/>
  <c r="T171" i="110"/>
  <c r="T167" i="110"/>
  <c r="T155" i="110"/>
  <c r="BA54" i="121"/>
  <c r="L298" i="110"/>
  <c r="M298" i="110"/>
  <c r="O298" i="110"/>
  <c r="AE298" i="110"/>
  <c r="F152" i="110"/>
  <c r="Z152" i="110"/>
  <c r="AY44" i="120"/>
  <c r="AD10" i="110"/>
  <c r="AZ24" i="119"/>
  <c r="AV16" i="72"/>
  <c r="Q293" i="110" s="1"/>
  <c r="L330" i="110"/>
  <c r="N263" i="110"/>
  <c r="AE330" i="110"/>
  <c r="O263" i="110"/>
  <c r="L263" i="110"/>
  <c r="M263" i="110"/>
  <c r="AU24" i="120"/>
  <c r="J69" i="110" s="1"/>
  <c r="AY48" i="120"/>
  <c r="AV44" i="120"/>
  <c r="S79" i="110"/>
  <c r="AU44" i="120"/>
  <c r="J79" i="110" s="1"/>
  <c r="AX68" i="120"/>
  <c r="AG91" i="110" s="1"/>
  <c r="AX44" i="120"/>
  <c r="AG79" i="110" s="1"/>
  <c r="S91" i="110"/>
  <c r="BB44" i="120"/>
  <c r="AZ38" i="121"/>
  <c r="AR200" i="126"/>
  <c r="BB38" i="121"/>
  <c r="N296" i="110"/>
  <c r="O296" i="110"/>
  <c r="M296" i="110"/>
  <c r="L296" i="110"/>
  <c r="AE296" i="110"/>
  <c r="AU16" i="72"/>
  <c r="AM293" i="110" s="1"/>
  <c r="T158" i="110"/>
  <c r="T151" i="110"/>
  <c r="AD22" i="110"/>
  <c r="S17" i="110"/>
  <c r="AY48" i="111"/>
  <c r="AZ48" i="111"/>
  <c r="BB36" i="111"/>
  <c r="BC36" i="111" s="1"/>
  <c r="BE36" i="111" s="1"/>
  <c r="J217" i="110"/>
  <c r="S153" i="110"/>
  <c r="F123" i="110"/>
  <c r="Z123" i="110"/>
  <c r="F117" i="110"/>
  <c r="BB46" i="121"/>
  <c r="F111" i="110"/>
  <c r="F105" i="110"/>
  <c r="BB34" i="121"/>
  <c r="AV34" i="121"/>
  <c r="Z99" i="110"/>
  <c r="T176" i="110"/>
  <c r="AD14" i="110"/>
  <c r="S167" i="110"/>
  <c r="Z155" i="110"/>
  <c r="S175" i="110"/>
  <c r="AZ68" i="120"/>
  <c r="F155" i="110"/>
  <c r="BB68" i="120"/>
  <c r="AY68" i="120"/>
  <c r="Z159" i="110"/>
  <c r="AV68" i="120"/>
  <c r="AQ107" i="110"/>
  <c r="AD32" i="110"/>
  <c r="Z172" i="110"/>
  <c r="AE263" i="110"/>
  <c r="AD28" i="110"/>
  <c r="Z175" i="110"/>
  <c r="F178" i="110"/>
  <c r="F160" i="110"/>
  <c r="Z163" i="110"/>
  <c r="D189" i="3"/>
  <c r="D132" i="3"/>
  <c r="B194" i="3"/>
  <c r="C176" i="3"/>
  <c r="C153" i="3"/>
  <c r="B128" i="3"/>
  <c r="C97" i="3"/>
  <c r="B172" i="3"/>
  <c r="D78" i="3"/>
  <c r="C191" i="3"/>
  <c r="D122" i="3"/>
  <c r="C192" i="3"/>
  <c r="C177" i="3"/>
  <c r="B177" i="3"/>
  <c r="B150" i="3"/>
  <c r="C115" i="3"/>
  <c r="C173" i="3"/>
  <c r="B158" i="3"/>
  <c r="C103" i="3"/>
  <c r="C157" i="3"/>
  <c r="D110" i="3"/>
  <c r="B94" i="3"/>
  <c r="E191" i="3"/>
  <c r="D195" i="3"/>
  <c r="B87" i="3"/>
  <c r="B119" i="3"/>
  <c r="C99" i="3"/>
  <c r="C189" i="3"/>
  <c r="D120" i="3"/>
  <c r="D91" i="3"/>
  <c r="C84" i="3"/>
  <c r="C148" i="3"/>
  <c r="B92" i="3"/>
  <c r="C111" i="3"/>
  <c r="B183" i="3"/>
  <c r="C104" i="3"/>
  <c r="B110" i="3"/>
  <c r="E193" i="3"/>
  <c r="B100" i="3"/>
  <c r="C165" i="3"/>
  <c r="D156" i="3"/>
  <c r="D93" i="3"/>
  <c r="C76" i="3"/>
  <c r="C106" i="3"/>
  <c r="C112" i="3"/>
  <c r="C174" i="3"/>
  <c r="C183" i="3"/>
  <c r="D86" i="3"/>
  <c r="C114" i="3"/>
  <c r="D188" i="3"/>
  <c r="B121" i="3"/>
  <c r="D106" i="3"/>
  <c r="C120" i="3"/>
  <c r="D95" i="3"/>
  <c r="B165" i="3"/>
  <c r="B149" i="3"/>
  <c r="D111" i="3"/>
  <c r="B170" i="3"/>
  <c r="C98" i="3"/>
  <c r="C170" i="3"/>
  <c r="C77" i="3"/>
  <c r="C147" i="3"/>
  <c r="D87" i="3"/>
  <c r="B193" i="3"/>
  <c r="D185" i="3"/>
  <c r="C196" i="3"/>
  <c r="B195" i="3"/>
  <c r="C123" i="3"/>
  <c r="C167" i="3"/>
  <c r="B115" i="3"/>
  <c r="B166" i="3"/>
  <c r="C128" i="3"/>
  <c r="B190" i="3"/>
  <c r="C127" i="3"/>
  <c r="D148" i="3"/>
  <c r="C105" i="3"/>
  <c r="B168" i="3"/>
  <c r="D146" i="3"/>
  <c r="B143" i="3"/>
  <c r="D98" i="3"/>
  <c r="B160" i="3"/>
  <c r="C168" i="3"/>
  <c r="D191" i="3"/>
  <c r="C149" i="3"/>
  <c r="D84" i="3"/>
  <c r="D103" i="3"/>
  <c r="B78" i="3"/>
  <c r="C109" i="3"/>
  <c r="B144" i="3"/>
  <c r="B74" i="3"/>
  <c r="B88" i="3"/>
  <c r="E111" i="3"/>
  <c r="C74" i="3"/>
  <c r="B162" i="3"/>
  <c r="C169" i="3"/>
  <c r="D155" i="3"/>
  <c r="C155" i="3"/>
  <c r="B148" i="3"/>
  <c r="B106" i="3"/>
  <c r="B192" i="3"/>
  <c r="B142" i="3"/>
  <c r="D145" i="3"/>
  <c r="D133" i="3"/>
  <c r="B153" i="3"/>
  <c r="B217" i="3"/>
  <c r="B101" i="3"/>
  <c r="D85" i="3"/>
  <c r="D218" i="3"/>
  <c r="C175" i="3"/>
  <c r="E189" i="3"/>
  <c r="D88" i="3"/>
  <c r="D125" i="3"/>
  <c r="C151" i="3"/>
  <c r="B186" i="3"/>
  <c r="C219" i="3"/>
  <c r="B124" i="3"/>
  <c r="B84" i="3"/>
  <c r="B179" i="3"/>
  <c r="C172" i="3"/>
  <c r="D153" i="3"/>
  <c r="C154" i="3"/>
  <c r="C107" i="3"/>
  <c r="C156" i="3"/>
  <c r="B95" i="3"/>
  <c r="C90" i="3"/>
  <c r="D105" i="3"/>
  <c r="C131" i="3"/>
  <c r="B159" i="3"/>
  <c r="B132" i="3"/>
  <c r="C95" i="3"/>
  <c r="B167" i="3"/>
  <c r="C145" i="3"/>
  <c r="D151" i="3"/>
  <c r="B117" i="3"/>
  <c r="C87" i="3"/>
  <c r="B161" i="3"/>
  <c r="C92" i="3"/>
  <c r="E123" i="3"/>
  <c r="B77" i="3"/>
  <c r="B76" i="3"/>
  <c r="C91" i="3"/>
  <c r="D123" i="3"/>
  <c r="C194" i="3"/>
  <c r="D92" i="3"/>
  <c r="B111" i="3"/>
  <c r="B188" i="3"/>
  <c r="C88" i="3"/>
  <c r="D109" i="3"/>
  <c r="C96" i="3"/>
  <c r="D143" i="3"/>
  <c r="B134" i="3"/>
  <c r="C132" i="3"/>
  <c r="C161" i="3"/>
  <c r="B141" i="3"/>
  <c r="B173" i="3"/>
  <c r="B122" i="3"/>
  <c r="B85" i="3"/>
  <c r="D184" i="3"/>
  <c r="D192" i="3"/>
  <c r="C164" i="3"/>
  <c r="D150" i="3"/>
  <c r="D217" i="3"/>
  <c r="C125" i="3"/>
  <c r="C217" i="3"/>
  <c r="C130" i="3"/>
  <c r="C186" i="3"/>
  <c r="B189" i="3"/>
  <c r="C150" i="3"/>
  <c r="C144" i="3"/>
  <c r="D90" i="3"/>
  <c r="C78" i="3"/>
  <c r="D97" i="3"/>
  <c r="C195" i="3"/>
  <c r="C193" i="3"/>
  <c r="B96" i="3"/>
  <c r="B123" i="3"/>
  <c r="D190" i="3"/>
  <c r="B103" i="3"/>
  <c r="B109" i="3"/>
  <c r="C110" i="3"/>
  <c r="B116" i="3"/>
  <c r="B155" i="3"/>
  <c r="B112" i="3"/>
  <c r="D107" i="3"/>
  <c r="D183" i="3"/>
  <c r="D124" i="3"/>
  <c r="C171" i="3"/>
  <c r="B218" i="3"/>
  <c r="B99" i="3"/>
  <c r="B152" i="3"/>
  <c r="B114" i="3"/>
  <c r="C113" i="3"/>
  <c r="B219" i="3"/>
  <c r="D94" i="3"/>
  <c r="B187" i="3"/>
  <c r="C85" i="3"/>
  <c r="D115" i="3"/>
  <c r="B86" i="3"/>
  <c r="B146" i="3"/>
  <c r="B125" i="3"/>
  <c r="B145" i="3"/>
  <c r="C143" i="3"/>
  <c r="B176" i="3"/>
  <c r="D74" i="3"/>
  <c r="C94" i="3"/>
  <c r="B175" i="3"/>
  <c r="B151" i="3"/>
  <c r="D193" i="3"/>
  <c r="B107" i="3"/>
  <c r="D186" i="3"/>
  <c r="B196" i="3"/>
  <c r="D75" i="3"/>
  <c r="C158" i="3"/>
  <c r="D196" i="3"/>
  <c r="B97" i="3"/>
  <c r="C218" i="3"/>
  <c r="E184" i="3"/>
  <c r="B90" i="3"/>
  <c r="C163" i="3"/>
  <c r="B157" i="3"/>
  <c r="D187" i="3"/>
  <c r="B185" i="3"/>
  <c r="C187" i="3"/>
  <c r="D154" i="3"/>
  <c r="B126" i="3"/>
  <c r="B113" i="3"/>
  <c r="B118" i="3"/>
  <c r="C166" i="3"/>
  <c r="C101" i="3"/>
  <c r="D116" i="3"/>
  <c r="D194" i="3"/>
  <c r="C188" i="3"/>
  <c r="C162" i="3"/>
  <c r="D101" i="3"/>
  <c r="C121" i="3"/>
  <c r="D104" i="3"/>
  <c r="C152" i="3"/>
  <c r="B105" i="3"/>
  <c r="E192" i="3"/>
  <c r="D152" i="3"/>
  <c r="C100" i="3"/>
  <c r="D157" i="3"/>
  <c r="B174" i="3"/>
  <c r="B164" i="3"/>
  <c r="D99" i="3"/>
  <c r="B171" i="3"/>
  <c r="D219" i="3"/>
  <c r="C116" i="3"/>
  <c r="C146" i="3"/>
  <c r="C141" i="3"/>
  <c r="C184" i="3"/>
  <c r="C124" i="3"/>
  <c r="B154" i="3"/>
  <c r="C118" i="3"/>
  <c r="B184" i="3"/>
  <c r="B91" i="3"/>
  <c r="C178" i="3"/>
  <c r="B163" i="3"/>
  <c r="D121" i="3"/>
  <c r="D144" i="3"/>
  <c r="B169" i="3"/>
  <c r="B130" i="3"/>
  <c r="C86" i="3"/>
  <c r="B131" i="3"/>
  <c r="D114" i="3"/>
  <c r="C185" i="3"/>
  <c r="C122" i="3"/>
  <c r="C119" i="3"/>
  <c r="D76" i="3"/>
  <c r="C190" i="3"/>
  <c r="C93" i="3"/>
  <c r="D77" i="3"/>
  <c r="B127" i="3"/>
  <c r="D149" i="3"/>
  <c r="B191" i="3"/>
  <c r="D113" i="3"/>
  <c r="D142" i="3"/>
  <c r="C117" i="3"/>
  <c r="C142" i="3"/>
  <c r="B120" i="3"/>
  <c r="D131" i="3"/>
  <c r="E190" i="3"/>
  <c r="C160" i="3"/>
  <c r="E110" i="3"/>
  <c r="C159" i="3"/>
  <c r="B156" i="3"/>
  <c r="C75" i="3"/>
  <c r="C179" i="3"/>
  <c r="D141" i="3"/>
  <c r="E113" i="3"/>
  <c r="B104" i="3"/>
  <c r="D96" i="3"/>
  <c r="B147" i="3"/>
  <c r="B93" i="3"/>
  <c r="B178" i="3"/>
  <c r="C133" i="3"/>
  <c r="B133" i="3"/>
  <c r="B75" i="3"/>
  <c r="C126" i="3"/>
  <c r="B98" i="3"/>
  <c r="AX26" i="63" l="1"/>
  <c r="AX24" i="63"/>
  <c r="AX22" i="63"/>
  <c r="AX20" i="63"/>
  <c r="AW22" i="122"/>
  <c r="AU13" i="122" a="1"/>
  <c r="AU13" i="122" s="1"/>
  <c r="AO20" i="132"/>
  <c r="AW20" i="132" s="1"/>
  <c r="AV22" i="63"/>
  <c r="BB9" i="63"/>
  <c r="AW18" i="63"/>
  <c r="AX18" i="63"/>
  <c r="J240" i="110"/>
  <c r="AO22" i="132"/>
  <c r="J238" i="110"/>
  <c r="AO18" i="132"/>
  <c r="AV32" i="63"/>
  <c r="AQ189" i="110"/>
  <c r="W28" i="63"/>
  <c r="S48" i="110"/>
  <c r="AW62" i="122"/>
  <c r="BJ58" i="119"/>
  <c r="BJ46" i="119"/>
  <c r="S60" i="110"/>
  <c r="BJ68" i="119"/>
  <c r="S54" i="110"/>
  <c r="BJ56" i="119"/>
  <c r="BJ26" i="119"/>
  <c r="BB22" i="119"/>
  <c r="P290" i="110"/>
  <c r="P276" i="110"/>
  <c r="N276" i="110"/>
  <c r="N321" i="110"/>
  <c r="AK321" i="110" s="1"/>
  <c r="Q290" i="110"/>
  <c r="Q321" i="110"/>
  <c r="O276" i="110"/>
  <c r="O290" i="110"/>
  <c r="M276" i="110"/>
  <c r="Q276" i="110"/>
  <c r="AE321" i="110"/>
  <c r="P321" i="110"/>
  <c r="M321" i="110"/>
  <c r="AJ321" i="110" s="1"/>
  <c r="L290" i="110"/>
  <c r="M290" i="110"/>
  <c r="L321" i="110"/>
  <c r="AI321" i="110" s="1"/>
  <c r="N290" i="110"/>
  <c r="K241" i="110"/>
  <c r="AV18" i="63"/>
  <c r="AW72" i="122"/>
  <c r="AW52" i="122"/>
  <c r="AW40" i="122"/>
  <c r="AF163" i="110" s="1"/>
  <c r="AH163" i="110" s="1"/>
  <c r="AW74" i="122"/>
  <c r="AW64" i="122"/>
  <c r="AF175" i="110" s="1"/>
  <c r="AH175" i="110" s="1"/>
  <c r="AW54" i="122"/>
  <c r="AW42" i="122"/>
  <c r="AF164" i="110" s="1"/>
  <c r="AH164" i="110" s="1"/>
  <c r="AW34" i="122"/>
  <c r="AF160" i="110" s="1"/>
  <c r="AH160" i="110" s="1"/>
  <c r="AW50" i="122"/>
  <c r="AF168" i="110" s="1"/>
  <c r="AH168" i="110" s="1"/>
  <c r="AW38" i="122"/>
  <c r="AW70" i="122"/>
  <c r="AW60" i="122"/>
  <c r="AF173" i="110" s="1"/>
  <c r="AH173" i="110" s="1"/>
  <c r="AW46" i="122"/>
  <c r="AW36" i="122"/>
  <c r="AW68" i="122"/>
  <c r="AF177" i="110" s="1"/>
  <c r="AH177" i="110" s="1"/>
  <c r="AW58" i="122"/>
  <c r="AF172" i="110" s="1"/>
  <c r="AH172" i="110" s="1"/>
  <c r="AW66" i="122"/>
  <c r="AW56" i="122"/>
  <c r="AF171" i="110" s="1"/>
  <c r="AH171" i="110" s="1"/>
  <c r="AW44" i="122"/>
  <c r="AF165" i="110" s="1"/>
  <c r="AH165" i="110" s="1"/>
  <c r="AW70" i="121"/>
  <c r="AY70" i="121"/>
  <c r="AY58" i="121"/>
  <c r="AW58" i="121"/>
  <c r="AY68" i="121"/>
  <c r="AW68" i="121"/>
  <c r="AY56" i="121"/>
  <c r="AW56" i="121"/>
  <c r="AY66" i="121"/>
  <c r="AW66" i="121"/>
  <c r="S160" i="110"/>
  <c r="AW76" i="121"/>
  <c r="AF126" i="110" s="1"/>
  <c r="AH126" i="110" s="1"/>
  <c r="AY76" i="121"/>
  <c r="AY64" i="121"/>
  <c r="AW64" i="121"/>
  <c r="AY74" i="121"/>
  <c r="AW74" i="121"/>
  <c r="AW62" i="121"/>
  <c r="AY62" i="121"/>
  <c r="S164" i="110"/>
  <c r="AY72" i="121"/>
  <c r="AW72" i="121"/>
  <c r="AW60" i="121"/>
  <c r="AY60" i="121"/>
  <c r="BE26" i="121"/>
  <c r="BA16" i="75"/>
  <c r="R321" i="110"/>
  <c r="AX66" i="119"/>
  <c r="AG59" i="110" s="1"/>
  <c r="BE54" i="120"/>
  <c r="BJ54" i="120"/>
  <c r="BH54" i="120" s="1"/>
  <c r="BE30" i="120"/>
  <c r="BJ30" i="120"/>
  <c r="BH30" i="120" s="1"/>
  <c r="BI70" i="111"/>
  <c r="BI52" i="111"/>
  <c r="BE76" i="120"/>
  <c r="BJ76" i="120"/>
  <c r="BE52" i="120"/>
  <c r="BJ52" i="120"/>
  <c r="BE28" i="120"/>
  <c r="BJ28" i="120"/>
  <c r="BI68" i="111"/>
  <c r="O18" i="110"/>
  <c r="BI50" i="111"/>
  <c r="BE74" i="120"/>
  <c r="BJ74" i="120"/>
  <c r="BH74" i="120" s="1"/>
  <c r="BE50" i="120"/>
  <c r="BJ50" i="120"/>
  <c r="BH50" i="120" s="1"/>
  <c r="BE26" i="120"/>
  <c r="BJ26" i="120"/>
  <c r="BH26" i="120" s="1"/>
  <c r="M17" i="110"/>
  <c r="AN17" i="110" s="1"/>
  <c r="BI48" i="111"/>
  <c r="BE72" i="120"/>
  <c r="BJ72" i="120"/>
  <c r="BH72" i="120" s="1"/>
  <c r="BE48" i="120"/>
  <c r="BJ48" i="120"/>
  <c r="BH48" i="120" s="1"/>
  <c r="BI66" i="111"/>
  <c r="BE70" i="120"/>
  <c r="BJ70" i="120"/>
  <c r="BH70" i="120" s="1"/>
  <c r="BE46" i="120"/>
  <c r="BJ46" i="120"/>
  <c r="BE68" i="120"/>
  <c r="BJ68" i="120"/>
  <c r="BH68" i="120" s="1"/>
  <c r="BE44" i="120"/>
  <c r="BJ44" i="120"/>
  <c r="BH44" i="120" s="1"/>
  <c r="BI64" i="111"/>
  <c r="BI44" i="111"/>
  <c r="BE66" i="120"/>
  <c r="BJ66" i="120"/>
  <c r="BH66" i="120" s="1"/>
  <c r="BE42" i="120"/>
  <c r="BJ42" i="120"/>
  <c r="BH42" i="120" s="1"/>
  <c r="BE18" i="120"/>
  <c r="BJ18" i="120"/>
  <c r="BI62" i="111"/>
  <c r="BE64" i="120"/>
  <c r="BJ64" i="120"/>
  <c r="BH64" i="120" s="1"/>
  <c r="BE40" i="120"/>
  <c r="BJ40" i="120"/>
  <c r="BH40" i="120" s="1"/>
  <c r="R33" i="110"/>
  <c r="BI80" i="111"/>
  <c r="Q23" i="110"/>
  <c r="BI60" i="111"/>
  <c r="BE62" i="120"/>
  <c r="BJ62" i="120"/>
  <c r="BH62" i="120" s="1"/>
  <c r="BE38" i="120"/>
  <c r="BJ38" i="120"/>
  <c r="BH38" i="120" s="1"/>
  <c r="AE22" i="110"/>
  <c r="BI58" i="111"/>
  <c r="BI40" i="111"/>
  <c r="BE60" i="120"/>
  <c r="BJ60" i="120"/>
  <c r="BH60" i="120" s="1"/>
  <c r="BE36" i="120"/>
  <c r="BJ36" i="120"/>
  <c r="BH36" i="120" s="1"/>
  <c r="BI76" i="111"/>
  <c r="L21" i="110"/>
  <c r="BI56" i="111"/>
  <c r="BE58" i="120"/>
  <c r="BJ58" i="120"/>
  <c r="BH58" i="120" s="1"/>
  <c r="BE34" i="120"/>
  <c r="BJ34" i="120"/>
  <c r="BI74" i="111"/>
  <c r="R20" i="110"/>
  <c r="BI54" i="111"/>
  <c r="AE11" i="110"/>
  <c r="BI36" i="111"/>
  <c r="BE56" i="120"/>
  <c r="BJ56" i="120"/>
  <c r="BH56" i="120" s="1"/>
  <c r="BE32" i="120"/>
  <c r="BJ32" i="120"/>
  <c r="BH32" i="120" s="1"/>
  <c r="BI72" i="111"/>
  <c r="BC26" i="13"/>
  <c r="AV16" i="13"/>
  <c r="AU16" i="13" s="1"/>
  <c r="AM259" i="110" s="1"/>
  <c r="AU46" i="120"/>
  <c r="J80" i="110" s="1"/>
  <c r="S68" i="110"/>
  <c r="AR200" i="133"/>
  <c r="AR200" i="74"/>
  <c r="AY46" i="120"/>
  <c r="AZ22" i="120"/>
  <c r="AR200" i="134"/>
  <c r="AY66" i="111"/>
  <c r="BE66" i="121"/>
  <c r="BE66" i="111"/>
  <c r="AR200" i="132"/>
  <c r="AZ66" i="111"/>
  <c r="AX66" i="111"/>
  <c r="AG26" i="110" s="1"/>
  <c r="AY72" i="120"/>
  <c r="S26" i="110"/>
  <c r="AX22" i="120"/>
  <c r="AG68" i="110" s="1"/>
  <c r="S92" i="110"/>
  <c r="AZ70" i="120"/>
  <c r="AY22" i="120"/>
  <c r="AV70" i="120"/>
  <c r="BB22" i="120"/>
  <c r="BC22" i="120" s="1"/>
  <c r="BF72" i="119"/>
  <c r="BB46" i="120"/>
  <c r="BC46" i="120" s="1"/>
  <c r="BB70" i="120"/>
  <c r="BA16" i="13"/>
  <c r="AY70" i="120"/>
  <c r="AX46" i="120"/>
  <c r="AG80" i="110" s="1"/>
  <c r="AY60" i="119"/>
  <c r="BE72" i="121"/>
  <c r="BE60" i="121"/>
  <c r="AZ46" i="120"/>
  <c r="AU70" i="120"/>
  <c r="J92" i="110" s="1"/>
  <c r="AX70" i="120"/>
  <c r="AG92" i="110" s="1"/>
  <c r="S80" i="110"/>
  <c r="BE76" i="121"/>
  <c r="BE64" i="121"/>
  <c r="BB74" i="121"/>
  <c r="BE74" i="121"/>
  <c r="BA62" i="121"/>
  <c r="E119" i="110" s="1"/>
  <c r="BE62" i="121"/>
  <c r="BB70" i="121"/>
  <c r="BE70" i="121"/>
  <c r="AV58" i="121"/>
  <c r="BE58" i="121"/>
  <c r="BE68" i="121"/>
  <c r="BE56" i="121"/>
  <c r="M205" i="110" a="1"/>
  <c r="M205" i="110" s="1"/>
  <c r="AN205" i="110" s="1"/>
  <c r="N205" i="110" a="1"/>
  <c r="N205" i="110" s="1"/>
  <c r="AW18" i="65"/>
  <c r="J11" i="65" s="1"/>
  <c r="BA58" i="121"/>
  <c r="E117" i="110" s="1"/>
  <c r="S14" i="110"/>
  <c r="AU70" i="121"/>
  <c r="J123" i="110" s="1"/>
  <c r="W117" i="110"/>
  <c r="BF78" i="111"/>
  <c r="O32" i="110"/>
  <c r="AZ70" i="121"/>
  <c r="O275" i="110"/>
  <c r="AZ62" i="121"/>
  <c r="W119" i="110"/>
  <c r="BA22" i="70"/>
  <c r="W125" i="110"/>
  <c r="AU38" i="120"/>
  <c r="J76" i="110" s="1"/>
  <c r="BA74" i="121"/>
  <c r="E125" i="110" s="1"/>
  <c r="S88" i="110"/>
  <c r="BE68" i="119"/>
  <c r="BE44" i="119"/>
  <c r="Q306" i="110"/>
  <c r="AE334" i="110"/>
  <c r="AE306" i="110"/>
  <c r="L275" i="110"/>
  <c r="AI275" i="110" s="1"/>
  <c r="BC26" i="121"/>
  <c r="BF46" i="119"/>
  <c r="BD22" i="120"/>
  <c r="AG101" i="110"/>
  <c r="AX42" i="111"/>
  <c r="AG14" i="110" s="1"/>
  <c r="S32" i="110"/>
  <c r="R331" i="110"/>
  <c r="BE42" i="111"/>
  <c r="AZ74" i="121"/>
  <c r="BB26" i="121"/>
  <c r="K211" i="110"/>
  <c r="AU26" i="121"/>
  <c r="J101" i="110" s="1"/>
  <c r="AV74" i="121"/>
  <c r="AU74" i="121"/>
  <c r="J125" i="110" s="1"/>
  <c r="AX74" i="121"/>
  <c r="AG125" i="110" s="1"/>
  <c r="BI42" i="111"/>
  <c r="L334" i="110"/>
  <c r="AI334" i="110" s="1"/>
  <c r="M306" i="110"/>
  <c r="AJ306" i="110" s="1"/>
  <c r="N306" i="110"/>
  <c r="AK306" i="110" s="1"/>
  <c r="P275" i="110"/>
  <c r="L306" i="110"/>
  <c r="AI306" i="110" s="1"/>
  <c r="L289" i="110"/>
  <c r="AI289" i="110" s="1"/>
  <c r="N334" i="110"/>
  <c r="AK334" i="110" s="1"/>
  <c r="Q275" i="110"/>
  <c r="P334" i="110"/>
  <c r="M334" i="110"/>
  <c r="AJ334" i="110" s="1"/>
  <c r="R334" i="110"/>
  <c r="AE275" i="110"/>
  <c r="M275" i="110"/>
  <c r="R275" i="110"/>
  <c r="Q334" i="110"/>
  <c r="BC20" i="13"/>
  <c r="J229" i="110"/>
  <c r="AX22" i="124"/>
  <c r="AX18" i="124"/>
  <c r="AX28" i="63"/>
  <c r="AW28" i="63"/>
  <c r="V187" i="110"/>
  <c r="AC187" i="110" s="1"/>
  <c r="BE200" i="137"/>
  <c r="BC18" i="122"/>
  <c r="AY60" i="120"/>
  <c r="C286" i="110"/>
  <c r="B286" i="110" s="1"/>
  <c r="S11" i="110"/>
  <c r="E114" i="110"/>
  <c r="AY36" i="111"/>
  <c r="E108" i="110"/>
  <c r="S74" i="110"/>
  <c r="F116" i="110"/>
  <c r="AU36" i="111"/>
  <c r="J11" i="110" s="1"/>
  <c r="C11" i="110" s="1"/>
  <c r="B11" i="110" s="1"/>
  <c r="AY34" i="120"/>
  <c r="AV58" i="120"/>
  <c r="AZ34" i="120"/>
  <c r="AX34" i="120"/>
  <c r="AG74" i="110" s="1"/>
  <c r="S86" i="110"/>
  <c r="AX58" i="120"/>
  <c r="AG86" i="110" s="1"/>
  <c r="AZ58" i="120"/>
  <c r="E115" i="110"/>
  <c r="E107" i="110"/>
  <c r="AU58" i="120"/>
  <c r="J86" i="110" s="1"/>
  <c r="AY58" i="120"/>
  <c r="BA20" i="121"/>
  <c r="AU34" i="120"/>
  <c r="J74" i="110" s="1"/>
  <c r="BE54" i="111"/>
  <c r="BB58" i="120"/>
  <c r="E104" i="110"/>
  <c r="AX36" i="111"/>
  <c r="AG11" i="110" s="1"/>
  <c r="S20" i="110"/>
  <c r="E113" i="110"/>
  <c r="BB34" i="120"/>
  <c r="BC34" i="120" s="1"/>
  <c r="P308" i="110"/>
  <c r="AZ18" i="75"/>
  <c r="S61" i="110"/>
  <c r="L319" i="110"/>
  <c r="AI319" i="110" s="1"/>
  <c r="O319" i="110"/>
  <c r="N331" i="110"/>
  <c r="AK331" i="110" s="1"/>
  <c r="Q331" i="110"/>
  <c r="P331" i="110"/>
  <c r="M331" i="110"/>
  <c r="AJ331" i="110" s="1"/>
  <c r="P317" i="110"/>
  <c r="Q317" i="110"/>
  <c r="L317" i="110"/>
  <c r="AI317" i="110" s="1"/>
  <c r="N317" i="110"/>
  <c r="Q332" i="110"/>
  <c r="L332" i="110"/>
  <c r="AI332" i="110" s="1"/>
  <c r="M332" i="110"/>
  <c r="N318" i="110"/>
  <c r="AE318" i="110"/>
  <c r="AE319" i="110"/>
  <c r="R319" i="110"/>
  <c r="P319" i="110"/>
  <c r="Q319" i="110"/>
  <c r="M319" i="110"/>
  <c r="AZ56" i="111"/>
  <c r="AM304" i="110"/>
  <c r="BC16" i="73"/>
  <c r="BE78" i="111"/>
  <c r="J326" i="110"/>
  <c r="C326" i="110" s="1"/>
  <c r="B326" i="110" s="1"/>
  <c r="BC16" i="75"/>
  <c r="AV18" i="73"/>
  <c r="AU18" i="73" s="1"/>
  <c r="AM305" i="110" s="1"/>
  <c r="BC16" i="74"/>
  <c r="A72" i="3"/>
  <c r="D83" i="3"/>
  <c r="BA32" i="74"/>
  <c r="R308" i="110"/>
  <c r="AX32" i="63"/>
  <c r="AW32" i="63"/>
  <c r="AX30" i="63"/>
  <c r="J184" i="110"/>
  <c r="W32" i="63"/>
  <c r="J183" i="110"/>
  <c r="U35" i="81"/>
  <c r="R278" i="110"/>
  <c r="M278" i="110"/>
  <c r="AJ278" i="110" s="1"/>
  <c r="P278" i="110"/>
  <c r="P316" i="110"/>
  <c r="M316" i="110"/>
  <c r="Q316" i="110"/>
  <c r="O288" i="110"/>
  <c r="AK288" i="110" s="1"/>
  <c r="O316" i="110"/>
  <c r="AL316" i="110" s="1"/>
  <c r="N316" i="110"/>
  <c r="M288" i="110"/>
  <c r="AE316" i="110"/>
  <c r="R316" i="110"/>
  <c r="L274" i="110"/>
  <c r="AI274" i="110" s="1"/>
  <c r="O274" i="110"/>
  <c r="BD22" i="135"/>
  <c r="M11" i="135" s="1"/>
  <c r="BH62" i="122"/>
  <c r="BJ70" i="121"/>
  <c r="BH70" i="121" s="1"/>
  <c r="BI70" i="121"/>
  <c r="AN70" i="121"/>
  <c r="BJ58" i="121"/>
  <c r="BH58" i="121" s="1"/>
  <c r="BI58" i="121"/>
  <c r="AN58" i="121"/>
  <c r="AU64" i="120"/>
  <c r="J89" i="110" s="1"/>
  <c r="BI64" i="120"/>
  <c r="AN64" i="120"/>
  <c r="AU40" i="120"/>
  <c r="J77" i="110" s="1"/>
  <c r="BI40" i="120"/>
  <c r="AN40" i="120"/>
  <c r="Y5" i="75"/>
  <c r="BH50" i="122"/>
  <c r="O168" i="110"/>
  <c r="BH38" i="122"/>
  <c r="AZ62" i="120"/>
  <c r="BI62" i="120"/>
  <c r="AN62" i="120"/>
  <c r="AX38" i="120"/>
  <c r="AG76" i="110" s="1"/>
  <c r="BI38" i="120"/>
  <c r="AN38" i="120"/>
  <c r="BI78" i="111"/>
  <c r="BA30" i="73"/>
  <c r="BH70" i="122"/>
  <c r="AN68" i="121"/>
  <c r="BJ68" i="121"/>
  <c r="BH68" i="121" s="1"/>
  <c r="BI68" i="121"/>
  <c r="BJ56" i="121"/>
  <c r="BH56" i="121" s="1"/>
  <c r="BI56" i="121"/>
  <c r="AN56" i="121"/>
  <c r="L116" i="110" s="1"/>
  <c r="AN60" i="120"/>
  <c r="BI60" i="120"/>
  <c r="BI36" i="120"/>
  <c r="AN36" i="120"/>
  <c r="L173" i="110"/>
  <c r="BH60" i="122"/>
  <c r="BI58" i="120"/>
  <c r="AN58" i="120"/>
  <c r="BI34" i="120"/>
  <c r="AN34" i="120"/>
  <c r="BH46" i="122"/>
  <c r="N161" i="110"/>
  <c r="BH36" i="122"/>
  <c r="BJ66" i="121"/>
  <c r="BH66" i="121" s="1"/>
  <c r="BI66" i="121"/>
  <c r="AN66" i="121"/>
  <c r="AN56" i="120"/>
  <c r="BI56" i="120"/>
  <c r="AN32" i="120"/>
  <c r="BI32" i="120"/>
  <c r="BH68" i="122"/>
  <c r="BH58" i="122"/>
  <c r="O172" i="110"/>
  <c r="BI54" i="120"/>
  <c r="AN54" i="120"/>
  <c r="BI30" i="120"/>
  <c r="AN30" i="120"/>
  <c r="BH34" i="122"/>
  <c r="N160" i="110"/>
  <c r="AN76" i="121"/>
  <c r="BJ76" i="121"/>
  <c r="BH76" i="121" s="1"/>
  <c r="BI76" i="121"/>
  <c r="BJ64" i="121"/>
  <c r="BH64" i="121" s="1"/>
  <c r="BI64" i="121"/>
  <c r="AN64" i="121"/>
  <c r="BI76" i="120"/>
  <c r="AN76" i="120"/>
  <c r="BH76" i="120"/>
  <c r="BI52" i="120"/>
  <c r="AN52" i="120"/>
  <c r="BH66" i="122"/>
  <c r="O176" i="110"/>
  <c r="BH56" i="122"/>
  <c r="O171" i="110"/>
  <c r="BH44" i="122"/>
  <c r="BH32" i="122"/>
  <c r="O159" i="110"/>
  <c r="BI74" i="120"/>
  <c r="AN74" i="120"/>
  <c r="BI50" i="120"/>
  <c r="AN50" i="120"/>
  <c r="BI26" i="120"/>
  <c r="AN26" i="120"/>
  <c r="BI74" i="121"/>
  <c r="AN74" i="121"/>
  <c r="BJ74" i="121"/>
  <c r="BH74" i="121" s="1"/>
  <c r="BJ62" i="121"/>
  <c r="BH62" i="121" s="1"/>
  <c r="BI62" i="121"/>
  <c r="AN62" i="121"/>
  <c r="BI72" i="120"/>
  <c r="AN72" i="120"/>
  <c r="L93" i="110" s="1"/>
  <c r="BI48" i="120"/>
  <c r="AN48" i="120"/>
  <c r="O81" i="110" s="1"/>
  <c r="O180" i="110"/>
  <c r="BH74" i="122"/>
  <c r="BH64" i="122"/>
  <c r="L175" i="110"/>
  <c r="BH54" i="122"/>
  <c r="BH42" i="122"/>
  <c r="BI70" i="120"/>
  <c r="AN70" i="120"/>
  <c r="BI46" i="120"/>
  <c r="AN46" i="120"/>
  <c r="BH24" i="122"/>
  <c r="BJ72" i="121"/>
  <c r="BH72" i="121" s="1"/>
  <c r="BI72" i="121"/>
  <c r="AN72" i="121"/>
  <c r="BJ60" i="121"/>
  <c r="BH60" i="121" s="1"/>
  <c r="BI60" i="121"/>
  <c r="AN60" i="121"/>
  <c r="BI68" i="120"/>
  <c r="AN68" i="120"/>
  <c r="N91" i="110" s="1"/>
  <c r="AN44" i="120"/>
  <c r="N79" i="110" s="1"/>
  <c r="BI44" i="120"/>
  <c r="BH72" i="122"/>
  <c r="M169" i="110"/>
  <c r="BH52" i="122"/>
  <c r="BH40" i="122"/>
  <c r="N163" i="110"/>
  <c r="BH22" i="122"/>
  <c r="BI66" i="120"/>
  <c r="AN66" i="120"/>
  <c r="BI42" i="120"/>
  <c r="AN42" i="120"/>
  <c r="V186" i="110"/>
  <c r="AD186" i="110" s="1"/>
  <c r="V185" i="110"/>
  <c r="AD185" i="110" s="1"/>
  <c r="AZ46" i="119"/>
  <c r="BF34" i="119"/>
  <c r="N61" i="79"/>
  <c r="F100" i="110"/>
  <c r="O5" i="72"/>
  <c r="BI200" i="137"/>
  <c r="AW28" i="66"/>
  <c r="AW16" i="64"/>
  <c r="AE282" i="110"/>
  <c r="A83" i="3"/>
  <c r="C83" i="3"/>
  <c r="D72" i="3"/>
  <c r="C72" i="3"/>
  <c r="J190" i="110"/>
  <c r="AN190" i="110" s="1"/>
  <c r="AX34" i="63"/>
  <c r="AW34" i="63"/>
  <c r="J189" i="110"/>
  <c r="J188" i="110"/>
  <c r="J187" i="110"/>
  <c r="J186" i="110"/>
  <c r="J185" i="110"/>
  <c r="AW32" i="64"/>
  <c r="M200" i="135"/>
  <c r="M200" i="137"/>
  <c r="AZ56" i="119"/>
  <c r="AX44" i="119"/>
  <c r="AG48" i="110" s="1"/>
  <c r="AR200" i="135"/>
  <c r="AR200" i="137"/>
  <c r="E5" i="72"/>
  <c r="Y1" i="137"/>
  <c r="AR201" i="120"/>
  <c r="AR201" i="137"/>
  <c r="AR266" i="110"/>
  <c r="R282" i="110"/>
  <c r="P282" i="110"/>
  <c r="BI22" i="137"/>
  <c r="BE22" i="137"/>
  <c r="AO22" i="137" s="1"/>
  <c r="BE20" i="137"/>
  <c r="AO20" i="137" s="1"/>
  <c r="BI20" i="137"/>
  <c r="BC22" i="135"/>
  <c r="AD24" i="78"/>
  <c r="U8" i="109"/>
  <c r="K222" i="110"/>
  <c r="K209" i="110"/>
  <c r="K238" i="110"/>
  <c r="R317" i="110"/>
  <c r="N289" i="110"/>
  <c r="AE317" i="110"/>
  <c r="O289" i="110"/>
  <c r="AJ289" i="110" s="1"/>
  <c r="N330" i="110"/>
  <c r="AE289" i="110"/>
  <c r="O330" i="110"/>
  <c r="AJ330" i="110" s="1"/>
  <c r="Q289" i="110"/>
  <c r="R330" i="110"/>
  <c r="N275" i="110"/>
  <c r="O317" i="110"/>
  <c r="AJ317" i="110" s="1"/>
  <c r="R290" i="110"/>
  <c r="R276" i="110"/>
  <c r="Q330" i="110"/>
  <c r="AV20" i="63"/>
  <c r="W18" i="63"/>
  <c r="AV38" i="120"/>
  <c r="V182" i="110"/>
  <c r="AC182" i="110" s="1"/>
  <c r="AY62" i="120"/>
  <c r="AY64" i="120"/>
  <c r="AV40" i="120"/>
  <c r="AY38" i="120"/>
  <c r="AX64" i="120"/>
  <c r="AG89" i="110" s="1"/>
  <c r="BB40" i="120"/>
  <c r="AZ40" i="120"/>
  <c r="BB64" i="120"/>
  <c r="AZ64" i="120"/>
  <c r="AX40" i="120"/>
  <c r="AG77" i="110" s="1"/>
  <c r="S77" i="110"/>
  <c r="AY40" i="120"/>
  <c r="AV64" i="120"/>
  <c r="S89" i="110"/>
  <c r="S18" i="110"/>
  <c r="BE72" i="111"/>
  <c r="S176" i="110"/>
  <c r="S171" i="110"/>
  <c r="S165" i="110"/>
  <c r="T159" i="110"/>
  <c r="BE32" i="119"/>
  <c r="AL26" i="111"/>
  <c r="AY72" i="111"/>
  <c r="K208" i="110"/>
  <c r="F101" i="110"/>
  <c r="J182" i="110"/>
  <c r="AZ72" i="111"/>
  <c r="V190" i="110"/>
  <c r="AC190" i="110" s="1"/>
  <c r="BE56" i="119"/>
  <c r="AU72" i="111"/>
  <c r="J29" i="110" s="1"/>
  <c r="C29" i="110" s="1"/>
  <c r="B29" i="110" s="1"/>
  <c r="Z97" i="110"/>
  <c r="K197" i="110"/>
  <c r="K199" i="110"/>
  <c r="S29" i="110"/>
  <c r="S161" i="110"/>
  <c r="AV72" i="111"/>
  <c r="BF72" i="111"/>
  <c r="AV56" i="120"/>
  <c r="AX72" i="111"/>
  <c r="AG29" i="110" s="1"/>
  <c r="AF129" i="110"/>
  <c r="AH129" i="110" s="1"/>
  <c r="AK18" i="133"/>
  <c r="AK16" i="133"/>
  <c r="BD34" i="120"/>
  <c r="BC22" i="119"/>
  <c r="BE22" i="119" s="1"/>
  <c r="S63" i="110"/>
  <c r="S57" i="110"/>
  <c r="S51" i="110"/>
  <c r="S45" i="110"/>
  <c r="AY22" i="119"/>
  <c r="AJ56" i="120"/>
  <c r="AQ85" i="110" s="1"/>
  <c r="AJ32" i="120"/>
  <c r="AQ73" i="110" s="1"/>
  <c r="AJ54" i="120"/>
  <c r="AQ84" i="110" s="1"/>
  <c r="AJ30" i="120"/>
  <c r="AQ72" i="110" s="1"/>
  <c r="AJ76" i="120"/>
  <c r="AQ95" i="110" s="1"/>
  <c r="AJ74" i="120"/>
  <c r="AQ94" i="110" s="1"/>
  <c r="AJ50" i="120"/>
  <c r="AQ82" i="110" s="1"/>
  <c r="AJ26" i="120"/>
  <c r="AQ70" i="110" s="1"/>
  <c r="AU46" i="119"/>
  <c r="J49" i="110" s="1"/>
  <c r="AJ76" i="121"/>
  <c r="AQ126" i="110" s="1"/>
  <c r="AJ64" i="121"/>
  <c r="AQ120" i="110" s="1"/>
  <c r="AJ72" i="120"/>
  <c r="AQ93" i="110" s="1"/>
  <c r="AJ48" i="120"/>
  <c r="AQ81" i="110" s="1"/>
  <c r="AJ70" i="120"/>
  <c r="AQ92" i="110" s="1"/>
  <c r="AJ40" i="121"/>
  <c r="AQ108" i="110" s="1"/>
  <c r="AJ68" i="120"/>
  <c r="AQ91" i="110" s="1"/>
  <c r="AJ44" i="120"/>
  <c r="AQ79" i="110" s="1"/>
  <c r="AJ42" i="120"/>
  <c r="AQ78" i="110" s="1"/>
  <c r="AJ64" i="120"/>
  <c r="AQ89" i="110" s="1"/>
  <c r="AJ40" i="120"/>
  <c r="AQ77" i="110" s="1"/>
  <c r="S39" i="110"/>
  <c r="AJ60" i="120"/>
  <c r="AQ87" i="110" s="1"/>
  <c r="AJ36" i="120"/>
  <c r="AQ75" i="110" s="1"/>
  <c r="AJ58" i="120"/>
  <c r="AQ86" i="110" s="1"/>
  <c r="AF135" i="110"/>
  <c r="AH135" i="110" s="1"/>
  <c r="AK30" i="133"/>
  <c r="AQ135" i="110" s="1"/>
  <c r="AK26" i="133"/>
  <c r="BC52" i="121"/>
  <c r="BC54" i="121"/>
  <c r="BD46" i="120"/>
  <c r="BF46" i="120" s="1"/>
  <c r="BG36" i="111"/>
  <c r="AJ72" i="121"/>
  <c r="AQ124" i="110" s="1"/>
  <c r="AJ60" i="121"/>
  <c r="AQ118" i="110" s="1"/>
  <c r="AJ48" i="121"/>
  <c r="AQ112" i="110" s="1"/>
  <c r="BA32" i="71"/>
  <c r="AL66" i="119"/>
  <c r="AQ59" i="110" s="1"/>
  <c r="AL54" i="119"/>
  <c r="AQ53" i="110" s="1"/>
  <c r="AJ68" i="121"/>
  <c r="AQ122" i="110" s="1"/>
  <c r="AJ56" i="121"/>
  <c r="AQ116" i="110" s="1"/>
  <c r="AJ28" i="121"/>
  <c r="AQ102" i="110" s="1"/>
  <c r="AJ74" i="121"/>
  <c r="AQ125" i="110" s="1"/>
  <c r="AJ62" i="121"/>
  <c r="AQ119" i="110" s="1"/>
  <c r="AJ50" i="121"/>
  <c r="AQ113" i="110" s="1"/>
  <c r="AJ34" i="121"/>
  <c r="AQ105" i="110" s="1"/>
  <c r="AQ186" i="110"/>
  <c r="AU44" i="121"/>
  <c r="J110" i="110" s="1"/>
  <c r="AX26" i="120"/>
  <c r="AG70" i="110" s="1"/>
  <c r="AZ56" i="121"/>
  <c r="BE26" i="119"/>
  <c r="AU74" i="120"/>
  <c r="J94" i="110" s="1"/>
  <c r="BB68" i="121"/>
  <c r="AL72" i="119"/>
  <c r="AQ62" i="110" s="1"/>
  <c r="AL60" i="119"/>
  <c r="AQ56" i="110" s="1"/>
  <c r="AL48" i="119"/>
  <c r="AQ50" i="110" s="1"/>
  <c r="AL36" i="119"/>
  <c r="AQ44" i="110" s="1"/>
  <c r="AJ66" i="121"/>
  <c r="AQ121" i="110" s="1"/>
  <c r="AL60" i="111"/>
  <c r="AQ23" i="110" s="1"/>
  <c r="AL48" i="111"/>
  <c r="AQ17" i="110" s="1"/>
  <c r="W122" i="110"/>
  <c r="BA56" i="121"/>
  <c r="E116" i="110" s="1"/>
  <c r="W116" i="110"/>
  <c r="BA44" i="121"/>
  <c r="W110" i="110"/>
  <c r="BE62" i="119"/>
  <c r="E212" i="110"/>
  <c r="AV26" i="120"/>
  <c r="BA68" i="121"/>
  <c r="E122" i="110" s="1"/>
  <c r="BA28" i="121"/>
  <c r="C293" i="110"/>
  <c r="B293" i="110" s="1"/>
  <c r="AJ70" i="121"/>
  <c r="AQ123" i="110" s="1"/>
  <c r="AJ58" i="121"/>
  <c r="AQ117" i="110" s="1"/>
  <c r="AJ46" i="121"/>
  <c r="AQ111" i="110" s="1"/>
  <c r="AF131" i="110"/>
  <c r="AH131" i="110" s="1"/>
  <c r="AK22" i="133"/>
  <c r="AN131" i="110" s="1"/>
  <c r="AL78" i="111"/>
  <c r="AQ32" i="110" s="1"/>
  <c r="AL66" i="111"/>
  <c r="AQ26" i="110" s="1"/>
  <c r="AL54" i="111"/>
  <c r="AL76" i="111"/>
  <c r="AQ31" i="110" s="1"/>
  <c r="AL64" i="111"/>
  <c r="AQ25" i="110" s="1"/>
  <c r="AL52" i="111"/>
  <c r="AQ19" i="110" s="1"/>
  <c r="AZ22" i="122"/>
  <c r="AQ154" i="110" s="1"/>
  <c r="AY70" i="111"/>
  <c r="AL70" i="111"/>
  <c r="AQ28" i="110" s="1"/>
  <c r="BE58" i="111"/>
  <c r="AL58" i="111"/>
  <c r="AQ22" i="110" s="1"/>
  <c r="AZ20" i="122"/>
  <c r="AQ153" i="110" s="1"/>
  <c r="AL80" i="111"/>
  <c r="AQ33" i="110" s="1"/>
  <c r="AL68" i="111"/>
  <c r="AQ27" i="110" s="1"/>
  <c r="S21" i="110"/>
  <c r="AL56" i="111"/>
  <c r="AQ21" i="110" s="1"/>
  <c r="AL44" i="111"/>
  <c r="AQ15" i="110" s="1"/>
  <c r="C313" i="110"/>
  <c r="B313" i="110" s="1"/>
  <c r="AL42" i="111"/>
  <c r="AQ14" i="110" s="1"/>
  <c r="AL70" i="119"/>
  <c r="AQ61" i="110" s="1"/>
  <c r="AL58" i="119"/>
  <c r="AQ55" i="110" s="1"/>
  <c r="AL46" i="119"/>
  <c r="AQ49" i="110" s="1"/>
  <c r="AL34" i="119"/>
  <c r="AQ43" i="110" s="1"/>
  <c r="AD5" i="72"/>
  <c r="AL74" i="111"/>
  <c r="AQ30" i="110" s="1"/>
  <c r="AL62" i="111"/>
  <c r="AQ24" i="110" s="1"/>
  <c r="AL50" i="111"/>
  <c r="AQ18" i="110" s="1"/>
  <c r="AD5" i="13"/>
  <c r="AL72" i="111"/>
  <c r="AQ29" i="110" s="1"/>
  <c r="AJ66" i="120"/>
  <c r="AQ90" i="110" s="1"/>
  <c r="AV62" i="120"/>
  <c r="AJ62" i="120"/>
  <c r="AQ88" i="110" s="1"/>
  <c r="BB38" i="120"/>
  <c r="AJ38" i="120"/>
  <c r="AQ76" i="110" s="1"/>
  <c r="AW46" i="120"/>
  <c r="AJ46" i="120" s="1"/>
  <c r="AZ20" i="120"/>
  <c r="AW28" i="64"/>
  <c r="Z106" i="110"/>
  <c r="Z124" i="110"/>
  <c r="Z112" i="110"/>
  <c r="Z118" i="110"/>
  <c r="AL76" i="119"/>
  <c r="AQ64" i="110" s="1"/>
  <c r="AL64" i="119"/>
  <c r="AQ58" i="110" s="1"/>
  <c r="AL52" i="119"/>
  <c r="AQ52" i="110" s="1"/>
  <c r="AL40" i="119"/>
  <c r="AQ46" i="110" s="1"/>
  <c r="AL28" i="119"/>
  <c r="AQ40" i="110" s="1"/>
  <c r="AL74" i="119"/>
  <c r="AQ63" i="110" s="1"/>
  <c r="AL62" i="119"/>
  <c r="AQ57" i="110" s="1"/>
  <c r="AL50" i="119"/>
  <c r="AQ51" i="110" s="1"/>
  <c r="AL26" i="119"/>
  <c r="AQ39" i="110" s="1"/>
  <c r="AL68" i="119"/>
  <c r="AQ60" i="110" s="1"/>
  <c r="AL56" i="119"/>
  <c r="AQ54" i="110" s="1"/>
  <c r="AL44" i="119"/>
  <c r="AQ48" i="110" s="1"/>
  <c r="AL32" i="119"/>
  <c r="AQ42" i="110" s="1"/>
  <c r="AZ80" i="111"/>
  <c r="BF56" i="111"/>
  <c r="BF44" i="111"/>
  <c r="AZ48" i="119"/>
  <c r="AD33" i="110"/>
  <c r="AU32" i="111"/>
  <c r="J9" i="110" s="1"/>
  <c r="AD27" i="110"/>
  <c r="AY44" i="111"/>
  <c r="AV56" i="111"/>
  <c r="AD15" i="110"/>
  <c r="AY68" i="111"/>
  <c r="AU56" i="111"/>
  <c r="J21" i="110" s="1"/>
  <c r="AZ44" i="111"/>
  <c r="AX80" i="111"/>
  <c r="AG33" i="110" s="1"/>
  <c r="AV48" i="121"/>
  <c r="AH331" i="110"/>
  <c r="W123" i="110"/>
  <c r="BE80" i="111"/>
  <c r="AX34" i="121"/>
  <c r="AG105" i="110" s="1"/>
  <c r="AX62" i="120"/>
  <c r="AG88" i="110" s="1"/>
  <c r="AU80" i="111"/>
  <c r="J33" i="110" s="1"/>
  <c r="BA46" i="121"/>
  <c r="AZ38" i="120"/>
  <c r="AV44" i="111"/>
  <c r="AV70" i="121"/>
  <c r="S76" i="110"/>
  <c r="AX70" i="121"/>
  <c r="AG123" i="110" s="1"/>
  <c r="AX58" i="111"/>
  <c r="AG22" i="110" s="1"/>
  <c r="M200" i="134"/>
  <c r="BB62" i="120"/>
  <c r="AU62" i="120"/>
  <c r="J88" i="110" s="1"/>
  <c r="AX44" i="111"/>
  <c r="AG15" i="110" s="1"/>
  <c r="AG99" i="110"/>
  <c r="AZ46" i="121"/>
  <c r="AD25" i="79"/>
  <c r="BB56" i="111"/>
  <c r="BF68" i="111"/>
  <c r="BE56" i="111"/>
  <c r="AX46" i="121"/>
  <c r="AG111" i="110" s="1"/>
  <c r="U7" i="109"/>
  <c r="AZ68" i="111"/>
  <c r="BB68" i="111"/>
  <c r="AU34" i="121"/>
  <c r="J105" i="110" s="1"/>
  <c r="C105" i="110" s="1"/>
  <c r="B105" i="110" s="1"/>
  <c r="AZ32" i="111"/>
  <c r="AV68" i="111"/>
  <c r="BA22" i="121"/>
  <c r="S15" i="110"/>
  <c r="S33" i="110"/>
  <c r="BB80" i="111"/>
  <c r="BA34" i="121"/>
  <c r="S27" i="110"/>
  <c r="AZ58" i="121"/>
  <c r="AX60" i="119"/>
  <c r="AG56" i="110" s="1"/>
  <c r="CU2" i="110"/>
  <c r="M200" i="49"/>
  <c r="AY80" i="111"/>
  <c r="O23" i="126"/>
  <c r="W105" i="110"/>
  <c r="BF80" i="111"/>
  <c r="S9" i="110"/>
  <c r="W99" i="110"/>
  <c r="BE44" i="111"/>
  <c r="AY72" i="119"/>
  <c r="AX68" i="111"/>
  <c r="AG27" i="110" s="1"/>
  <c r="AZ34" i="121"/>
  <c r="BB32" i="111"/>
  <c r="BC32" i="111" s="1"/>
  <c r="BE32" i="111" s="1"/>
  <c r="BA70" i="121"/>
  <c r="E123" i="110" s="1"/>
  <c r="W111" i="110"/>
  <c r="M200" i="121"/>
  <c r="E194" i="110"/>
  <c r="AE328" i="110"/>
  <c r="R328" i="110"/>
  <c r="O273" i="110"/>
  <c r="C328" i="110"/>
  <c r="B328" i="110" s="1"/>
  <c r="C318" i="110"/>
  <c r="B318" i="110" s="1"/>
  <c r="AV74" i="119"/>
  <c r="BF26" i="119"/>
  <c r="BB70" i="111"/>
  <c r="AX46" i="111"/>
  <c r="AG16" i="110" s="1"/>
  <c r="BE64" i="119"/>
  <c r="BE40" i="119"/>
  <c r="AY58" i="111"/>
  <c r="AZ34" i="111"/>
  <c r="AV26" i="119"/>
  <c r="AV70" i="111"/>
  <c r="BB34" i="111"/>
  <c r="BC34" i="111" s="1"/>
  <c r="BE34" i="111" s="1"/>
  <c r="W112" i="110"/>
  <c r="AZ48" i="121"/>
  <c r="AU70" i="111"/>
  <c r="J28" i="110" s="1"/>
  <c r="AV50" i="119"/>
  <c r="AX34" i="111"/>
  <c r="AG10" i="110" s="1"/>
  <c r="AV60" i="121"/>
  <c r="AU24" i="121"/>
  <c r="J100" i="110" s="1"/>
  <c r="W106" i="110"/>
  <c r="BB48" i="121"/>
  <c r="AW56" i="111"/>
  <c r="AF21" i="110" s="1"/>
  <c r="AH21" i="110" s="1"/>
  <c r="AZ58" i="111"/>
  <c r="S163" i="110"/>
  <c r="AW70" i="111"/>
  <c r="AF28" i="110" s="1"/>
  <c r="AH28" i="110" s="1"/>
  <c r="AZ60" i="121"/>
  <c r="AU48" i="121"/>
  <c r="J112" i="110" s="1"/>
  <c r="AX48" i="121"/>
  <c r="AG112" i="110" s="1"/>
  <c r="AU34" i="111"/>
  <c r="J10" i="110" s="1"/>
  <c r="BA72" i="121"/>
  <c r="E124" i="110" s="1"/>
  <c r="AU72" i="121"/>
  <c r="J124" i="110" s="1"/>
  <c r="W100" i="110"/>
  <c r="BA48" i="121"/>
  <c r="S28" i="110"/>
  <c r="BA36" i="121"/>
  <c r="S168" i="110"/>
  <c r="AY34" i="111"/>
  <c r="AI5" i="73"/>
  <c r="AZ46" i="111"/>
  <c r="BB60" i="121"/>
  <c r="AG100" i="110"/>
  <c r="AV72" i="121"/>
  <c r="AX70" i="111"/>
  <c r="AG28" i="110" s="1"/>
  <c r="AV58" i="111"/>
  <c r="AU46" i="111"/>
  <c r="J16" i="110" s="1"/>
  <c r="S10" i="110"/>
  <c r="S22" i="110"/>
  <c r="AU60" i="121"/>
  <c r="J118" i="110" s="1"/>
  <c r="BA60" i="121"/>
  <c r="E118" i="110" s="1"/>
  <c r="W124" i="110"/>
  <c r="AZ72" i="121"/>
  <c r="S154" i="110"/>
  <c r="BB58" i="111"/>
  <c r="BB46" i="111"/>
  <c r="BC46" i="111" s="1"/>
  <c r="BE46" i="111" s="1"/>
  <c r="BB36" i="121"/>
  <c r="BF70" i="111"/>
  <c r="BE70" i="111"/>
  <c r="AZ70" i="111"/>
  <c r="AX60" i="121"/>
  <c r="AG118" i="110" s="1"/>
  <c r="AZ36" i="121"/>
  <c r="W118" i="110"/>
  <c r="BB72" i="121"/>
  <c r="AY62" i="119"/>
  <c r="BF58" i="111"/>
  <c r="BA30" i="70"/>
  <c r="AU58" i="111"/>
  <c r="J22" i="110" s="1"/>
  <c r="AY46" i="111"/>
  <c r="E216" i="110"/>
  <c r="BA24" i="121"/>
  <c r="BB24" i="121" s="1"/>
  <c r="AU36" i="121"/>
  <c r="J106" i="110" s="1"/>
  <c r="AX36" i="121"/>
  <c r="AG106" i="110" s="1"/>
  <c r="AX72" i="121"/>
  <c r="AG124" i="110" s="1"/>
  <c r="S16" i="110"/>
  <c r="BB44" i="121"/>
  <c r="BB32" i="121"/>
  <c r="AU78" i="111"/>
  <c r="J32" i="110" s="1"/>
  <c r="AY54" i="111"/>
  <c r="AZ42" i="111"/>
  <c r="E198" i="110"/>
  <c r="BJ76" i="119"/>
  <c r="BJ64" i="119"/>
  <c r="BJ52" i="119"/>
  <c r="BJ40" i="119"/>
  <c r="BJ28" i="119"/>
  <c r="AW58" i="111"/>
  <c r="AF22" i="110" s="1"/>
  <c r="AH22" i="110" s="1"/>
  <c r="AW34" i="111"/>
  <c r="AF10" i="110" s="1"/>
  <c r="AH10" i="110" s="1"/>
  <c r="BJ74" i="119"/>
  <c r="BJ62" i="119"/>
  <c r="BJ50" i="119"/>
  <c r="BJ38" i="119"/>
  <c r="BJ72" i="119"/>
  <c r="BJ60" i="119"/>
  <c r="BJ48" i="119"/>
  <c r="BJ36" i="119"/>
  <c r="BB60" i="120"/>
  <c r="AZ36" i="120"/>
  <c r="BJ70" i="119"/>
  <c r="S49" i="110"/>
  <c r="BJ34" i="119"/>
  <c r="BJ44" i="119"/>
  <c r="BJ32" i="119"/>
  <c r="S59" i="110"/>
  <c r="BJ66" i="119"/>
  <c r="BJ54" i="119"/>
  <c r="S35" i="110"/>
  <c r="AU28" i="111"/>
  <c r="J7" i="110" s="1"/>
  <c r="E290" i="110"/>
  <c r="C300" i="110"/>
  <c r="B300" i="110" s="1"/>
  <c r="BB56" i="119"/>
  <c r="AU44" i="119"/>
  <c r="J48" i="110" s="1"/>
  <c r="BF76" i="111"/>
  <c r="C299" i="110"/>
  <c r="B299" i="110" s="1"/>
  <c r="AU20" i="120"/>
  <c r="J67" i="110" s="1"/>
  <c r="AX20" i="120"/>
  <c r="AG67" i="110" s="1"/>
  <c r="AY20" i="120"/>
  <c r="S67" i="110"/>
  <c r="AI296" i="110"/>
  <c r="AH297" i="110"/>
  <c r="T5" i="13"/>
  <c r="T5" i="73"/>
  <c r="T5" i="74"/>
  <c r="T5" i="71"/>
  <c r="T5" i="75"/>
  <c r="T5" i="70"/>
  <c r="AU18" i="72"/>
  <c r="AM294" i="110" s="1"/>
  <c r="AV18" i="72"/>
  <c r="H46" i="3" s="1"/>
  <c r="AI297" i="110"/>
  <c r="C294" i="110"/>
  <c r="B294" i="110" s="1"/>
  <c r="AZ18" i="72"/>
  <c r="E207" i="110"/>
  <c r="AZ68" i="119"/>
  <c r="AD5" i="70"/>
  <c r="AV44" i="119"/>
  <c r="AV60" i="120"/>
  <c r="S75" i="110"/>
  <c r="AZ20" i="121"/>
  <c r="BB36" i="120"/>
  <c r="AD5" i="73"/>
  <c r="AZ44" i="121"/>
  <c r="AY30" i="111"/>
  <c r="AZ78" i="111"/>
  <c r="S87" i="110"/>
  <c r="AX44" i="121"/>
  <c r="AG110" i="110" s="1"/>
  <c r="AZ68" i="121"/>
  <c r="AU56" i="119"/>
  <c r="J54" i="110" s="1"/>
  <c r="AX68" i="119"/>
  <c r="AG60" i="110" s="1"/>
  <c r="AU66" i="111"/>
  <c r="J26" i="110" s="1"/>
  <c r="AX30" i="111"/>
  <c r="AG8" i="110" s="1"/>
  <c r="AX78" i="111"/>
  <c r="AG32" i="110" s="1"/>
  <c r="F98" i="110"/>
  <c r="AY36" i="120"/>
  <c r="AD20" i="110"/>
  <c r="AD5" i="71"/>
  <c r="Z110" i="110"/>
  <c r="AU30" i="111"/>
  <c r="AY78" i="111"/>
  <c r="AZ44" i="119"/>
  <c r="AV36" i="120"/>
  <c r="AY44" i="119"/>
  <c r="Z104" i="110"/>
  <c r="F122" i="110"/>
  <c r="AU68" i="119"/>
  <c r="J60" i="110" s="1"/>
  <c r="F110" i="110"/>
  <c r="AU32" i="121"/>
  <c r="J104" i="110" s="1"/>
  <c r="AX56" i="121"/>
  <c r="AG116" i="110" s="1"/>
  <c r="AU68" i="121"/>
  <c r="J122" i="110" s="1"/>
  <c r="AU36" i="120"/>
  <c r="J75" i="110" s="1"/>
  <c r="AZ30" i="111"/>
  <c r="AV54" i="111"/>
  <c r="AV42" i="111"/>
  <c r="BF66" i="111"/>
  <c r="BB54" i="111"/>
  <c r="BF68" i="119"/>
  <c r="E243" i="110"/>
  <c r="AZ32" i="121"/>
  <c r="BB56" i="121"/>
  <c r="Z122" i="110"/>
  <c r="AX56" i="119"/>
  <c r="AG54" i="110" s="1"/>
  <c r="BB66" i="111"/>
  <c r="BF42" i="111"/>
  <c r="AU54" i="111"/>
  <c r="J20" i="110" s="1"/>
  <c r="AZ60" i="120"/>
  <c r="AD8" i="110"/>
  <c r="AU56" i="121"/>
  <c r="J116" i="110" s="1"/>
  <c r="AV68" i="121"/>
  <c r="AD54" i="110"/>
  <c r="BF54" i="111"/>
  <c r="AY42" i="111"/>
  <c r="BB42" i="111"/>
  <c r="C14" i="110" s="1"/>
  <c r="B14" i="110" s="1"/>
  <c r="AV78" i="111"/>
  <c r="AV66" i="111"/>
  <c r="F104" i="110"/>
  <c r="AX68" i="121"/>
  <c r="AG122" i="110" s="1"/>
  <c r="BF56" i="119"/>
  <c r="AX54" i="111"/>
  <c r="AG20" i="110" s="1"/>
  <c r="BB78" i="111"/>
  <c r="AY56" i="119"/>
  <c r="AD5" i="74"/>
  <c r="AU60" i="120"/>
  <c r="J87" i="110" s="1"/>
  <c r="AZ32" i="119"/>
  <c r="AY32" i="119"/>
  <c r="BH46" i="121"/>
  <c r="BH34" i="121"/>
  <c r="AV32" i="120"/>
  <c r="C323" i="110"/>
  <c r="B323" i="110" s="1"/>
  <c r="AU30" i="119"/>
  <c r="J41" i="110" s="1"/>
  <c r="C282" i="110"/>
  <c r="B282" i="110" s="1"/>
  <c r="BH40" i="121"/>
  <c r="BH28" i="121"/>
  <c r="AH311" i="110"/>
  <c r="AH315" i="110"/>
  <c r="BH50" i="121"/>
  <c r="BH38" i="121"/>
  <c r="BH48" i="121"/>
  <c r="AV18" i="13"/>
  <c r="L273" i="110"/>
  <c r="AI273" i="110" s="1"/>
  <c r="N327" i="110"/>
  <c r="AK327" i="110" s="1"/>
  <c r="Q273" i="110"/>
  <c r="M273" i="110"/>
  <c r="N273" i="110"/>
  <c r="AE273" i="110"/>
  <c r="P273" i="110"/>
  <c r="R273" i="110"/>
  <c r="BB18" i="119"/>
  <c r="BC18" i="119" s="1"/>
  <c r="BE18" i="119" s="1"/>
  <c r="AZ18" i="121"/>
  <c r="AR201" i="64"/>
  <c r="S73" i="110"/>
  <c r="Z109" i="110"/>
  <c r="AR204" i="128"/>
  <c r="AU66" i="119"/>
  <c r="J59" i="110" s="1"/>
  <c r="AD31" i="110"/>
  <c r="W22" i="63"/>
  <c r="AU32" i="120"/>
  <c r="J73" i="110" s="1"/>
  <c r="V184" i="110"/>
  <c r="AC184" i="110" s="1"/>
  <c r="Z115" i="110"/>
  <c r="AX18" i="119"/>
  <c r="AG35" i="110" s="1"/>
  <c r="AR201" i="130"/>
  <c r="BB32" i="120"/>
  <c r="Z121" i="110"/>
  <c r="AX32" i="120"/>
  <c r="AG73" i="110" s="1"/>
  <c r="BB54" i="119"/>
  <c r="AY32" i="120"/>
  <c r="AX56" i="120"/>
  <c r="AG85" i="110" s="1"/>
  <c r="AU52" i="111"/>
  <c r="J19" i="110" s="1"/>
  <c r="BF54" i="119"/>
  <c r="AU56" i="120"/>
  <c r="J85" i="110" s="1"/>
  <c r="AZ32" i="120"/>
  <c r="AY56" i="120"/>
  <c r="BB56" i="120"/>
  <c r="AR201" i="119"/>
  <c r="S85" i="110"/>
  <c r="AR201" i="133"/>
  <c r="AX54" i="119"/>
  <c r="AG53" i="110" s="1"/>
  <c r="AR201" i="79"/>
  <c r="AR201" i="121"/>
  <c r="AZ56" i="120"/>
  <c r="AR200" i="78"/>
  <c r="AV54" i="119"/>
  <c r="AY42" i="119"/>
  <c r="AY30" i="119"/>
  <c r="BA20" i="71"/>
  <c r="C276" i="110"/>
  <c r="B276" i="110" s="1"/>
  <c r="C305" i="110"/>
  <c r="B305" i="110" s="1"/>
  <c r="BA22" i="74"/>
  <c r="P332" i="110"/>
  <c r="AE332" i="110"/>
  <c r="O332" i="110"/>
  <c r="AK332" i="110" s="1"/>
  <c r="R332" i="110"/>
  <c r="AW24" i="66"/>
  <c r="O329" i="110"/>
  <c r="L329" i="110"/>
  <c r="AI329" i="110" s="1"/>
  <c r="N329" i="110"/>
  <c r="Q329" i="110"/>
  <c r="R329" i="110"/>
  <c r="R277" i="110"/>
  <c r="P329" i="110"/>
  <c r="AW18" i="66"/>
  <c r="AE329" i="110"/>
  <c r="AW30" i="64"/>
  <c r="BA24" i="73"/>
  <c r="AU18" i="119"/>
  <c r="J35" i="110" s="1"/>
  <c r="AR201" i="134"/>
  <c r="AZ66" i="119"/>
  <c r="BB66" i="119"/>
  <c r="AR201" i="73"/>
  <c r="AR201" i="124"/>
  <c r="BF66" i="119"/>
  <c r="AR201" i="71"/>
  <c r="AR201" i="123"/>
  <c r="AR201" i="125"/>
  <c r="AZ18" i="119"/>
  <c r="AZ30" i="119"/>
  <c r="AR201" i="111"/>
  <c r="AR201" i="13"/>
  <c r="AR201" i="75"/>
  <c r="S41" i="110"/>
  <c r="AR201" i="66"/>
  <c r="AR201" i="70"/>
  <c r="E237" i="110"/>
  <c r="AX30" i="119"/>
  <c r="AG41" i="110" s="1"/>
  <c r="AR201" i="81"/>
  <c r="AR201" i="48"/>
  <c r="BA18" i="70"/>
  <c r="AR201" i="51"/>
  <c r="AR201" i="76"/>
  <c r="AR201" i="65"/>
  <c r="AR201" i="72"/>
  <c r="AR201" i="126"/>
  <c r="AR201" i="49"/>
  <c r="AR201" i="57"/>
  <c r="AR203" i="63"/>
  <c r="AR201" i="74"/>
  <c r="AR201" i="122"/>
  <c r="AR201" i="131"/>
  <c r="AU54" i="119"/>
  <c r="J53" i="110" s="1"/>
  <c r="AR201" i="55"/>
  <c r="AR201" i="56"/>
  <c r="E5" i="71"/>
  <c r="AH298" i="110"/>
  <c r="AH313" i="110"/>
  <c r="AH323" i="110"/>
  <c r="AH333" i="110"/>
  <c r="M307" i="110"/>
  <c r="AJ307" i="110" s="1"/>
  <c r="N279" i="110"/>
  <c r="AW26" i="66"/>
  <c r="O320" i="110"/>
  <c r="AK320" i="110" s="1"/>
  <c r="R320" i="110"/>
  <c r="AE333" i="110"/>
  <c r="Q320" i="110"/>
  <c r="P327" i="110"/>
  <c r="M287" i="110"/>
  <c r="AJ287" i="110" s="1"/>
  <c r="L287" i="110"/>
  <c r="AL287" i="110" s="1"/>
  <c r="R289" i="110"/>
  <c r="N287" i="110"/>
  <c r="AK287" i="110" s="1"/>
  <c r="M313" i="110"/>
  <c r="AJ313" i="110" s="1"/>
  <c r="P287" i="110"/>
  <c r="AE287" i="110"/>
  <c r="R287" i="110"/>
  <c r="M327" i="110"/>
  <c r="AJ327" i="110" s="1"/>
  <c r="N313" i="110"/>
  <c r="AK313" i="110" s="1"/>
  <c r="AE313" i="110"/>
  <c r="Q287" i="110"/>
  <c r="Q313" i="110"/>
  <c r="AW26" i="64"/>
  <c r="L313" i="110"/>
  <c r="AI313" i="110" s="1"/>
  <c r="L327" i="110"/>
  <c r="AL327" i="110" s="1"/>
  <c r="R327" i="110"/>
  <c r="Q327" i="110"/>
  <c r="R313" i="110"/>
  <c r="AE327" i="110"/>
  <c r="AU28" i="119"/>
  <c r="J40" i="110" s="1"/>
  <c r="BD16" i="72"/>
  <c r="BA20" i="75"/>
  <c r="C312" i="110"/>
  <c r="B312" i="110" s="1"/>
  <c r="C265" i="110"/>
  <c r="B265" i="110" s="1"/>
  <c r="BD32" i="13"/>
  <c r="BB54" i="121"/>
  <c r="E293" i="110"/>
  <c r="AU30" i="120"/>
  <c r="J72" i="110" s="1"/>
  <c r="AV30" i="120"/>
  <c r="AZ28" i="119"/>
  <c r="AZ52" i="111"/>
  <c r="S84" i="110"/>
  <c r="AD40" i="110"/>
  <c r="BA42" i="121"/>
  <c r="K200" i="110"/>
  <c r="BB64" i="111"/>
  <c r="AU64" i="111"/>
  <c r="J25" i="110" s="1"/>
  <c r="S7" i="110"/>
  <c r="BF64" i="119"/>
  <c r="S13" i="110"/>
  <c r="BF64" i="111"/>
  <c r="AZ30" i="121"/>
  <c r="AU42" i="121"/>
  <c r="J109" i="110" s="1"/>
  <c r="AU66" i="121"/>
  <c r="J121" i="110" s="1"/>
  <c r="BB28" i="111"/>
  <c r="AX76" i="111"/>
  <c r="AG31" i="110" s="1"/>
  <c r="W109" i="110"/>
  <c r="AX40" i="111"/>
  <c r="AG13" i="110" s="1"/>
  <c r="AV64" i="111"/>
  <c r="BA30" i="121"/>
  <c r="W121" i="110"/>
  <c r="AX18" i="121"/>
  <c r="AG97" i="110" s="1"/>
  <c r="AV28" i="119"/>
  <c r="AX28" i="111"/>
  <c r="AG7" i="110" s="1"/>
  <c r="AZ42" i="121"/>
  <c r="BA66" i="121"/>
  <c r="E121" i="110" s="1"/>
  <c r="AY30" i="120"/>
  <c r="AY40" i="111"/>
  <c r="AV76" i="111"/>
  <c r="AX66" i="121"/>
  <c r="AG121" i="110" s="1"/>
  <c r="BE52" i="111"/>
  <c r="BB30" i="120"/>
  <c r="AX30" i="121"/>
  <c r="AG103" i="110" s="1"/>
  <c r="AZ28" i="111"/>
  <c r="BA16" i="73"/>
  <c r="BA18" i="121"/>
  <c r="BB18" i="121" s="1"/>
  <c r="AZ30" i="120"/>
  <c r="AZ40" i="111"/>
  <c r="AY52" i="111"/>
  <c r="AV54" i="120"/>
  <c r="BB76" i="111"/>
  <c r="BB66" i="121"/>
  <c r="AY52" i="119"/>
  <c r="S157" i="110"/>
  <c r="AV66" i="121"/>
  <c r="AY28" i="111"/>
  <c r="AX30" i="120"/>
  <c r="AG72" i="110" s="1"/>
  <c r="AZ76" i="111"/>
  <c r="AZ54" i="120"/>
  <c r="AU76" i="111"/>
  <c r="J31" i="110" s="1"/>
  <c r="AD58" i="110"/>
  <c r="AZ64" i="111"/>
  <c r="BB40" i="111"/>
  <c r="BC40" i="111" s="1"/>
  <c r="BE40" i="111" s="1"/>
  <c r="AZ22" i="70"/>
  <c r="W103" i="110"/>
  <c r="W115" i="110"/>
  <c r="AU54" i="120"/>
  <c r="J84" i="110" s="1"/>
  <c r="BF52" i="111"/>
  <c r="AD52" i="110"/>
  <c r="BE76" i="111"/>
  <c r="BB30" i="121"/>
  <c r="AX54" i="121"/>
  <c r="AG115" i="110" s="1"/>
  <c r="AZ66" i="121"/>
  <c r="AI299" i="110"/>
  <c r="AX64" i="111"/>
  <c r="AG25" i="110" s="1"/>
  <c r="AU40" i="111"/>
  <c r="J13" i="110" s="1"/>
  <c r="AX52" i="111"/>
  <c r="AG19" i="110" s="1"/>
  <c r="AX54" i="120"/>
  <c r="AG84" i="110" s="1"/>
  <c r="S72" i="110"/>
  <c r="AZ16" i="72"/>
  <c r="AU30" i="121"/>
  <c r="J103" i="110" s="1"/>
  <c r="AV52" i="111"/>
  <c r="V189" i="110"/>
  <c r="AD189" i="110" s="1"/>
  <c r="BB42" i="121"/>
  <c r="AZ54" i="121"/>
  <c r="AY76" i="111"/>
  <c r="AX64" i="119"/>
  <c r="AG58" i="110" s="1"/>
  <c r="AX42" i="121"/>
  <c r="AG109" i="110" s="1"/>
  <c r="AU54" i="121"/>
  <c r="J115" i="110" s="1"/>
  <c r="AU18" i="121"/>
  <c r="J97" i="110" s="1"/>
  <c r="AY64" i="111"/>
  <c r="BB52" i="111"/>
  <c r="AY54" i="120"/>
  <c r="C331" i="110"/>
  <c r="B331" i="110" s="1"/>
  <c r="N274" i="110"/>
  <c r="N328" i="110"/>
  <c r="P328" i="110"/>
  <c r="AE274" i="110"/>
  <c r="L288" i="110"/>
  <c r="AI288" i="110" s="1"/>
  <c r="Q288" i="110"/>
  <c r="P288" i="110"/>
  <c r="P274" i="110"/>
  <c r="R288" i="110"/>
  <c r="AE288" i="110"/>
  <c r="Q328" i="110"/>
  <c r="O328" i="110"/>
  <c r="Q274" i="110"/>
  <c r="AW16" i="66"/>
  <c r="R274" i="110"/>
  <c r="M328" i="110"/>
  <c r="M274" i="110"/>
  <c r="C334" i="110"/>
  <c r="B334" i="110" s="1"/>
  <c r="AH299" i="110"/>
  <c r="E206" i="110"/>
  <c r="K226" i="110"/>
  <c r="E223" i="110"/>
  <c r="K234" i="110"/>
  <c r="AV64" i="119"/>
  <c r="AU52" i="119"/>
  <c r="J52" i="110" s="1"/>
  <c r="BF28" i="119"/>
  <c r="S173" i="110"/>
  <c r="AZ76" i="120"/>
  <c r="AU52" i="120"/>
  <c r="J83" i="110" s="1"/>
  <c r="W126" i="110"/>
  <c r="W120" i="110"/>
  <c r="W114" i="110"/>
  <c r="W102" i="110"/>
  <c r="S94" i="110"/>
  <c r="AU50" i="120"/>
  <c r="J82" i="110" s="1"/>
  <c r="AU26" i="120"/>
  <c r="J70" i="110" s="1"/>
  <c r="R283" i="110"/>
  <c r="S177" i="110"/>
  <c r="S172" i="110"/>
  <c r="AV62" i="121"/>
  <c r="C330" i="110"/>
  <c r="B330" i="110" s="1"/>
  <c r="AX66" i="120"/>
  <c r="AG90" i="110" s="1"/>
  <c r="AW62" i="120"/>
  <c r="AF88" i="110" s="1"/>
  <c r="AH88" i="110" s="1"/>
  <c r="AW38" i="120"/>
  <c r="AF76" i="110" s="1"/>
  <c r="AH76" i="110" s="1"/>
  <c r="AE158" i="110"/>
  <c r="AH284" i="110"/>
  <c r="AW58" i="120"/>
  <c r="AF86" i="110" s="1"/>
  <c r="AH86" i="110" s="1"/>
  <c r="AW34" i="120"/>
  <c r="M200" i="119"/>
  <c r="M200" i="64"/>
  <c r="M200" i="133"/>
  <c r="M200" i="56"/>
  <c r="M200" i="120"/>
  <c r="M200" i="73"/>
  <c r="M200" i="75"/>
  <c r="M200" i="72"/>
  <c r="M200" i="71"/>
  <c r="M200" i="65"/>
  <c r="M200" i="66"/>
  <c r="M200" i="111"/>
  <c r="M200" i="76"/>
  <c r="M200" i="13"/>
  <c r="M200" i="79"/>
  <c r="M200" i="132"/>
  <c r="M200" i="81"/>
  <c r="M200" i="130"/>
  <c r="M200" i="48"/>
  <c r="M200" i="51"/>
  <c r="M200" i="122"/>
  <c r="L283" i="110"/>
  <c r="AI283" i="110" s="1"/>
  <c r="M283" i="110"/>
  <c r="AJ283" i="110" s="1"/>
  <c r="M322" i="110"/>
  <c r="L309" i="110"/>
  <c r="AI309" i="110" s="1"/>
  <c r="N283" i="110"/>
  <c r="AK283" i="110" s="1"/>
  <c r="N322" i="110"/>
  <c r="P309" i="110"/>
  <c r="Q309" i="110"/>
  <c r="P322" i="110"/>
  <c r="R322" i="110"/>
  <c r="L322" i="110"/>
  <c r="AI322" i="110" s="1"/>
  <c r="M335" i="110"/>
  <c r="O335" i="110"/>
  <c r="M309" i="110"/>
  <c r="Q283" i="110"/>
  <c r="AE283" i="110"/>
  <c r="R335" i="110"/>
  <c r="R309" i="110"/>
  <c r="AE309" i="110"/>
  <c r="P335" i="110"/>
  <c r="P283" i="110"/>
  <c r="N335" i="110"/>
  <c r="O322" i="110"/>
  <c r="Q322" i="110"/>
  <c r="L335" i="110"/>
  <c r="AI335" i="110" s="1"/>
  <c r="O309" i="110"/>
  <c r="AK309" i="110" s="1"/>
  <c r="S46" i="110"/>
  <c r="AY28" i="119"/>
  <c r="S40" i="110"/>
  <c r="BB52" i="119"/>
  <c r="AZ28" i="72"/>
  <c r="AV52" i="119"/>
  <c r="AU40" i="119"/>
  <c r="J46" i="110" s="1"/>
  <c r="E273" i="110"/>
  <c r="AX52" i="119"/>
  <c r="AG52" i="110" s="1"/>
  <c r="BB64" i="119"/>
  <c r="AX40" i="119"/>
  <c r="AG46" i="110" s="1"/>
  <c r="Y5" i="72"/>
  <c r="AZ64" i="119"/>
  <c r="BB40" i="119"/>
  <c r="AI328" i="110"/>
  <c r="BE28" i="119"/>
  <c r="AY64" i="119"/>
  <c r="BD24" i="75"/>
  <c r="E195" i="110"/>
  <c r="BF40" i="119"/>
  <c r="AZ52" i="119"/>
  <c r="S58" i="110"/>
  <c r="BF52" i="119"/>
  <c r="K201" i="110"/>
  <c r="S52" i="110"/>
  <c r="AZ40" i="119"/>
  <c r="AV40" i="119"/>
  <c r="BB28" i="119"/>
  <c r="AU64" i="119"/>
  <c r="J58" i="110" s="1"/>
  <c r="AX28" i="119"/>
  <c r="AG40" i="110" s="1"/>
  <c r="AI308" i="110"/>
  <c r="E202" i="110"/>
  <c r="E231" i="110"/>
  <c r="AH335" i="110"/>
  <c r="K196" i="110"/>
  <c r="AZ2" i="110"/>
  <c r="BD24" i="72"/>
  <c r="AZ30" i="73"/>
  <c r="C263" i="110"/>
  <c r="B263" i="110" s="1"/>
  <c r="BA22" i="71"/>
  <c r="BA26" i="72"/>
  <c r="BD32" i="71"/>
  <c r="AY74" i="119"/>
  <c r="AU50" i="119"/>
  <c r="J51" i="110" s="1"/>
  <c r="AU38" i="119"/>
  <c r="J45" i="110" s="1"/>
  <c r="BD28" i="74"/>
  <c r="E271" i="110"/>
  <c r="V5" i="110"/>
  <c r="C335" i="110"/>
  <c r="B335" i="110" s="1"/>
  <c r="BA28" i="74"/>
  <c r="BE74" i="119"/>
  <c r="C302" i="110"/>
  <c r="B302" i="110" s="1"/>
  <c r="BE50" i="119"/>
  <c r="AD5" i="110"/>
  <c r="E217" i="110"/>
  <c r="E221" i="110"/>
  <c r="BA20" i="13"/>
  <c r="AH286" i="110"/>
  <c r="C307" i="110"/>
  <c r="B307" i="110" s="1"/>
  <c r="AX50" i="120"/>
  <c r="AG82" i="110" s="1"/>
  <c r="AZ74" i="120"/>
  <c r="AY26" i="120"/>
  <c r="S82" i="110"/>
  <c r="AY50" i="120"/>
  <c r="BB26" i="120"/>
  <c r="AV50" i="120"/>
  <c r="BB50" i="120"/>
  <c r="S70" i="110"/>
  <c r="BB74" i="120"/>
  <c r="AZ50" i="120"/>
  <c r="V191" i="110"/>
  <c r="AC191" i="110" s="1"/>
  <c r="AX74" i="120"/>
  <c r="AG94" i="110" s="1"/>
  <c r="AY74" i="120"/>
  <c r="AZ26" i="120"/>
  <c r="BE52" i="119"/>
  <c r="BB16" i="72"/>
  <c r="AN293" i="110" s="1"/>
  <c r="AD4" i="110"/>
  <c r="V4" i="110"/>
  <c r="AF124" i="110"/>
  <c r="AH124" i="110" s="1"/>
  <c r="AB4" i="110"/>
  <c r="BA32" i="70"/>
  <c r="BC2" i="110"/>
  <c r="V7" i="109"/>
  <c r="BB2" i="110"/>
  <c r="C291" i="110"/>
  <c r="B291" i="110" s="1"/>
  <c r="N63" i="79"/>
  <c r="U43" i="81"/>
  <c r="BB30" i="73"/>
  <c r="AN311" i="110" s="1"/>
  <c r="AH275" i="110"/>
  <c r="R306" i="110"/>
  <c r="BB34" i="75"/>
  <c r="AN335" i="110" s="1"/>
  <c r="BB22" i="70"/>
  <c r="AN273" i="110" s="1"/>
  <c r="AN202" i="110"/>
  <c r="BB32" i="70"/>
  <c r="AN278" i="110" s="1"/>
  <c r="BB22" i="72"/>
  <c r="AN296" i="110" s="1"/>
  <c r="BB30" i="13"/>
  <c r="AN266" i="110" s="1"/>
  <c r="BB22" i="13"/>
  <c r="AN262" i="110" s="1"/>
  <c r="AN223" i="110"/>
  <c r="BB18" i="75"/>
  <c r="AN327" i="110" s="1"/>
  <c r="BB24" i="72"/>
  <c r="AN297" i="110" s="1"/>
  <c r="AN210" i="110"/>
  <c r="BB34" i="72"/>
  <c r="AN302" i="110" s="1"/>
  <c r="AN96" i="110"/>
  <c r="BB22" i="73"/>
  <c r="AN307" i="110" s="1"/>
  <c r="BB24" i="74"/>
  <c r="AN319" i="110" s="1"/>
  <c r="AN150" i="110"/>
  <c r="BB22" i="75"/>
  <c r="AN329" i="110" s="1"/>
  <c r="AN181" i="110"/>
  <c r="AN203" i="110"/>
  <c r="BB28" i="13"/>
  <c r="AN265" i="110" s="1"/>
  <c r="AN34" i="110"/>
  <c r="M32" i="81"/>
  <c r="BB34" i="74"/>
  <c r="AN324" i="110" s="1"/>
  <c r="BB32" i="73"/>
  <c r="AN312" i="110" s="1"/>
  <c r="BB24" i="70"/>
  <c r="AN274" i="110" s="1"/>
  <c r="BB18" i="70"/>
  <c r="AN271" i="110" s="1"/>
  <c r="BB16" i="73"/>
  <c r="AN304" i="110" s="1"/>
  <c r="AN192" i="110"/>
  <c r="BB16" i="13"/>
  <c r="AN259" i="110" s="1"/>
  <c r="AN252" i="110"/>
  <c r="AN65" i="110"/>
  <c r="AN225" i="110"/>
  <c r="AN226" i="110"/>
  <c r="AN245" i="110"/>
  <c r="BB16" i="74"/>
  <c r="AN315" i="110" s="1"/>
  <c r="AN127" i="110"/>
  <c r="AN214" i="110"/>
  <c r="BB28" i="71"/>
  <c r="AN288" i="110" s="1"/>
  <c r="BB26" i="72"/>
  <c r="AN298" i="110" s="1"/>
  <c r="AN212" i="110"/>
  <c r="BB20" i="71"/>
  <c r="AN284" i="110" s="1"/>
  <c r="BB24" i="73"/>
  <c r="AN308" i="110" s="1"/>
  <c r="BB26" i="75"/>
  <c r="AN331" i="110" s="1"/>
  <c r="AN237" i="110"/>
  <c r="BB20" i="13"/>
  <c r="AN261" i="110" s="1"/>
  <c r="C329" i="110"/>
  <c r="B329" i="110" s="1"/>
  <c r="C287" i="110"/>
  <c r="B287" i="110" s="1"/>
  <c r="AH261" i="110"/>
  <c r="AH326" i="110"/>
  <c r="AH332" i="110"/>
  <c r="C296" i="110"/>
  <c r="B296" i="110" s="1"/>
  <c r="C283" i="110"/>
  <c r="B283" i="110" s="1"/>
  <c r="K240" i="110"/>
  <c r="AN218" i="110"/>
  <c r="AI298" i="110"/>
  <c r="AN216" i="110"/>
  <c r="AN224" i="110"/>
  <c r="K233" i="110"/>
  <c r="F119" i="110"/>
  <c r="BB24" i="75"/>
  <c r="AN330" i="110" s="1"/>
  <c r="BA18" i="13"/>
  <c r="AY38" i="119"/>
  <c r="AY50" i="119"/>
  <c r="BB74" i="119"/>
  <c r="BD34" i="71"/>
  <c r="BA24" i="70"/>
  <c r="AZ62" i="119"/>
  <c r="AR203" i="128"/>
  <c r="AR200" i="66"/>
  <c r="BB38" i="119"/>
  <c r="BB62" i="119"/>
  <c r="C295" i="110"/>
  <c r="B295" i="110" s="1"/>
  <c r="AZ38" i="119"/>
  <c r="AR200" i="121"/>
  <c r="AD45" i="110"/>
  <c r="BF74" i="119"/>
  <c r="AZ24" i="73"/>
  <c r="AI5" i="72"/>
  <c r="AV62" i="119"/>
  <c r="BA34" i="71"/>
  <c r="AU62" i="119"/>
  <c r="J57" i="110" s="1"/>
  <c r="BB34" i="71"/>
  <c r="AN291" i="110" s="1"/>
  <c r="AZ26" i="119"/>
  <c r="AX38" i="119"/>
  <c r="AG45" i="110" s="1"/>
  <c r="BB50" i="119"/>
  <c r="BA34" i="74"/>
  <c r="AX74" i="119"/>
  <c r="AG63" i="110" s="1"/>
  <c r="K245" i="110"/>
  <c r="BD28" i="13"/>
  <c r="BF62" i="119"/>
  <c r="BD24" i="73"/>
  <c r="AU26" i="119"/>
  <c r="J39" i="110" s="1"/>
  <c r="BF50" i="119"/>
  <c r="BB28" i="75"/>
  <c r="AN332" i="110" s="1"/>
  <c r="AR200" i="57"/>
  <c r="AD39" i="110"/>
  <c r="AZ18" i="13"/>
  <c r="AZ28" i="13"/>
  <c r="BD28" i="72"/>
  <c r="AD63" i="110"/>
  <c r="AI263" i="110"/>
  <c r="AY26" i="119"/>
  <c r="AZ50" i="119"/>
  <c r="AR200" i="81"/>
  <c r="AH264" i="110"/>
  <c r="BB20" i="74"/>
  <c r="AN317" i="110" s="1"/>
  <c r="BB18" i="73"/>
  <c r="AN305" i="110" s="1"/>
  <c r="AN233" i="110"/>
  <c r="AX62" i="119"/>
  <c r="AG57" i="110" s="1"/>
  <c r="AU74" i="119"/>
  <c r="J63" i="110" s="1"/>
  <c r="AZ74" i="119"/>
  <c r="BA28" i="13"/>
  <c r="AI5" i="74"/>
  <c r="BB26" i="119"/>
  <c r="AX50" i="119"/>
  <c r="AG51" i="110" s="1"/>
  <c r="AX26" i="119"/>
  <c r="AG39" i="110" s="1"/>
  <c r="AR200" i="79"/>
  <c r="BD18" i="71"/>
  <c r="Q335" i="110"/>
  <c r="AN195" i="110"/>
  <c r="K239" i="110"/>
  <c r="BA28" i="72"/>
  <c r="AR200" i="75"/>
  <c r="BB30" i="71"/>
  <c r="AN289" i="110" s="1"/>
  <c r="AH293" i="110"/>
  <c r="AF112" i="110"/>
  <c r="AH112" i="110" s="1"/>
  <c r="AV56" i="119"/>
  <c r="BF44" i="119"/>
  <c r="BB20" i="119"/>
  <c r="BF60" i="119"/>
  <c r="BF36" i="119"/>
  <c r="AY24" i="119"/>
  <c r="BB34" i="73"/>
  <c r="AN313" i="110" s="1"/>
  <c r="AH327" i="110"/>
  <c r="AH268" i="110"/>
  <c r="C284" i="110"/>
  <c r="B284" i="110" s="1"/>
  <c r="T78" i="79"/>
  <c r="BD24" i="70"/>
  <c r="V8" i="109"/>
  <c r="O24" i="126"/>
  <c r="G37" i="81"/>
  <c r="CV2" i="110"/>
  <c r="BD32" i="75"/>
  <c r="AZ52" i="121"/>
  <c r="BF74" i="111"/>
  <c r="AX50" i="111"/>
  <c r="AG18" i="110" s="1"/>
  <c r="BB38" i="111"/>
  <c r="BC38" i="111" s="1"/>
  <c r="BE38" i="111" s="1"/>
  <c r="AY26" i="111"/>
  <c r="C301" i="110"/>
  <c r="B301" i="110" s="1"/>
  <c r="BD24" i="13"/>
  <c r="C322" i="110"/>
  <c r="B322" i="110" s="1"/>
  <c r="C310" i="110"/>
  <c r="B310" i="110" s="1"/>
  <c r="AN208" i="110"/>
  <c r="AN255" i="110"/>
  <c r="T156" i="110"/>
  <c r="BH26" i="122"/>
  <c r="T165" i="110"/>
  <c r="T160" i="110"/>
  <c r="T154" i="110"/>
  <c r="T166" i="110"/>
  <c r="BH30" i="122"/>
  <c r="BH20" i="122"/>
  <c r="BH28" i="122"/>
  <c r="AK293" i="110"/>
  <c r="P289" i="110"/>
  <c r="AV36" i="119"/>
  <c r="AU72" i="119"/>
  <c r="J62" i="110" s="1"/>
  <c r="BB20" i="70"/>
  <c r="AN272" i="110" s="1"/>
  <c r="AZ16" i="75"/>
  <c r="BF48" i="119"/>
  <c r="AZ72" i="119"/>
  <c r="BA22" i="73"/>
  <c r="S44" i="110"/>
  <c r="AL293" i="110"/>
  <c r="O5" i="70"/>
  <c r="S38" i="110"/>
  <c r="BB30" i="72"/>
  <c r="AN300" i="110" s="1"/>
  <c r="AZ34" i="71"/>
  <c r="AY48" i="119"/>
  <c r="AJ293" i="110"/>
  <c r="O5" i="13"/>
  <c r="AZ30" i="71"/>
  <c r="BD34" i="73"/>
  <c r="BD30" i="74"/>
  <c r="AX48" i="119"/>
  <c r="AG50" i="110" s="1"/>
  <c r="AX74" i="111"/>
  <c r="AG30" i="110" s="1"/>
  <c r="P313" i="110"/>
  <c r="AX24" i="119"/>
  <c r="AG38" i="110" s="1"/>
  <c r="O5" i="71"/>
  <c r="BB32" i="75"/>
  <c r="AN334" i="110" s="1"/>
  <c r="AN200" i="110"/>
  <c r="BA22" i="72"/>
  <c r="AV48" i="119"/>
  <c r="O5" i="74"/>
  <c r="AV72" i="119"/>
  <c r="AH304" i="110"/>
  <c r="BE60" i="119"/>
  <c r="BE36" i="119"/>
  <c r="BA26" i="13"/>
  <c r="AZ28" i="75"/>
  <c r="K242" i="110"/>
  <c r="C277" i="110"/>
  <c r="B277" i="110" s="1"/>
  <c r="AV60" i="119"/>
  <c r="BB30" i="75"/>
  <c r="AN333" i="110" s="1"/>
  <c r="BB26" i="70"/>
  <c r="AN275" i="110" s="1"/>
  <c r="AX72" i="119"/>
  <c r="AG62" i="110" s="1"/>
  <c r="AZ22" i="72"/>
  <c r="AZ24" i="13"/>
  <c r="AU24" i="119"/>
  <c r="J38" i="110" s="1"/>
  <c r="S56" i="110"/>
  <c r="C327" i="110"/>
  <c r="B327" i="110" s="1"/>
  <c r="AZ30" i="70"/>
  <c r="P263" i="110"/>
  <c r="AZ30" i="74"/>
  <c r="BB24" i="13"/>
  <c r="AN263" i="110" s="1"/>
  <c r="BA28" i="75"/>
  <c r="BB24" i="119"/>
  <c r="BD22" i="74"/>
  <c r="BD28" i="70"/>
  <c r="BB72" i="119"/>
  <c r="O5" i="73"/>
  <c r="BA32" i="72"/>
  <c r="BB16" i="75"/>
  <c r="AN326" i="110" s="1"/>
  <c r="S62" i="110"/>
  <c r="BE72" i="119"/>
  <c r="Z120" i="110"/>
  <c r="F120" i="110"/>
  <c r="AD24" i="110"/>
  <c r="BB62" i="111"/>
  <c r="AX62" i="111"/>
  <c r="AG24" i="110" s="1"/>
  <c r="AY62" i="111"/>
  <c r="BF62" i="111"/>
  <c r="AZ28" i="121"/>
  <c r="Z102" i="110"/>
  <c r="BB28" i="121"/>
  <c r="F102" i="110"/>
  <c r="AX28" i="121"/>
  <c r="AG102" i="110" s="1"/>
  <c r="AU13" i="121"/>
  <c r="AV74" i="111"/>
  <c r="W30" i="63"/>
  <c r="V188" i="110"/>
  <c r="AD188" i="110" s="1"/>
  <c r="AU58" i="119"/>
  <c r="J55" i="110" s="1"/>
  <c r="AV58" i="119"/>
  <c r="BB58" i="119"/>
  <c r="AX46" i="119"/>
  <c r="AG49" i="110" s="1"/>
  <c r="AD49" i="110"/>
  <c r="AD43" i="110"/>
  <c r="AD37" i="110"/>
  <c r="AZ74" i="111"/>
  <c r="AV62" i="111"/>
  <c r="AY50" i="111"/>
  <c r="AX38" i="111"/>
  <c r="AG12" i="110" s="1"/>
  <c r="AX26" i="111"/>
  <c r="AG6" i="110" s="1"/>
  <c r="AW28" i="120"/>
  <c r="AF71" i="110" s="1"/>
  <c r="AH71" i="110" s="1"/>
  <c r="AZ28" i="120"/>
  <c r="S71" i="110"/>
  <c r="AX28" i="120"/>
  <c r="AG71" i="110" s="1"/>
  <c r="BB28" i="120"/>
  <c r="AU28" i="120"/>
  <c r="J71" i="110" s="1"/>
  <c r="AZ62" i="111"/>
  <c r="E224" i="110"/>
  <c r="K224" i="110"/>
  <c r="E220" i="110"/>
  <c r="K220" i="110"/>
  <c r="K218" i="110"/>
  <c r="E218" i="110"/>
  <c r="K232" i="110"/>
  <c r="E232" i="110"/>
  <c r="J221" i="110"/>
  <c r="AN221" i="110" s="1"/>
  <c r="AU200" i="66"/>
  <c r="V12" i="66" s="1"/>
  <c r="I38" i="3" s="1"/>
  <c r="AV70" i="119"/>
  <c r="AX58" i="119"/>
  <c r="AG55" i="110" s="1"/>
  <c r="AY34" i="119"/>
  <c r="Z108" i="110"/>
  <c r="F108" i="110"/>
  <c r="V12" i="72"/>
  <c r="I46" i="3" s="1"/>
  <c r="BB32" i="72"/>
  <c r="AN301" i="110" s="1"/>
  <c r="K205" i="110"/>
  <c r="AU40" i="121"/>
  <c r="J108" i="110" s="1"/>
  <c r="AD18" i="110"/>
  <c r="BD2" i="110"/>
  <c r="AB38" i="81"/>
  <c r="AU26" i="111"/>
  <c r="AZ38" i="111"/>
  <c r="S95" i="110"/>
  <c r="AX76" i="120"/>
  <c r="AG95" i="110" s="1"/>
  <c r="AV76" i="120"/>
  <c r="BB76" i="120"/>
  <c r="AZ22" i="13"/>
  <c r="BA22" i="13"/>
  <c r="BD22" i="13"/>
  <c r="BD18" i="74"/>
  <c r="AZ16" i="73"/>
  <c r="AK16" i="73" s="1"/>
  <c r="V12" i="73"/>
  <c r="I47" i="3" s="1"/>
  <c r="J304" i="110"/>
  <c r="C304" i="110" s="1"/>
  <c r="B304" i="110" s="1"/>
  <c r="J268" i="110"/>
  <c r="C268" i="110" s="1"/>
  <c r="B268" i="110" s="1"/>
  <c r="BB34" i="13"/>
  <c r="AN268" i="110" s="1"/>
  <c r="AZ34" i="13"/>
  <c r="AU76" i="121"/>
  <c r="J126" i="110" s="1"/>
  <c r="Z126" i="110"/>
  <c r="AU200" i="124"/>
  <c r="V12" i="124" s="1"/>
  <c r="I39" i="3" s="1"/>
  <c r="E309" i="110"/>
  <c r="AZ26" i="73"/>
  <c r="BA18" i="74"/>
  <c r="E316" i="110"/>
  <c r="BA24" i="75"/>
  <c r="AZ24" i="75"/>
  <c r="P330" i="110"/>
  <c r="P306" i="110"/>
  <c r="BA20" i="73"/>
  <c r="Z12" i="72"/>
  <c r="G46" i="3" s="1"/>
  <c r="BB18" i="72"/>
  <c r="AN294" i="110" s="1"/>
  <c r="BB16" i="71"/>
  <c r="AN282" i="110" s="1"/>
  <c r="AZ16" i="71"/>
  <c r="Z12" i="75"/>
  <c r="G49" i="3" s="1"/>
  <c r="F114" i="110"/>
  <c r="AU52" i="121"/>
  <c r="J114" i="110" s="1"/>
  <c r="Z114" i="110"/>
  <c r="AZ50" i="111"/>
  <c r="AY52" i="120"/>
  <c r="AX52" i="120"/>
  <c r="AG83" i="110" s="1"/>
  <c r="S83" i="110"/>
  <c r="AZ52" i="120"/>
  <c r="AD12" i="110"/>
  <c r="AU38" i="111"/>
  <c r="J12" i="110" s="1"/>
  <c r="J239" i="110"/>
  <c r="AU200" i="132"/>
  <c r="V12" i="132" s="1"/>
  <c r="I40" i="3" s="1"/>
  <c r="AV50" i="111"/>
  <c r="AU76" i="120"/>
  <c r="J95" i="110" s="1"/>
  <c r="AD55" i="110"/>
  <c r="AZ32" i="74"/>
  <c r="BA30" i="71"/>
  <c r="AZ20" i="13"/>
  <c r="AZ22" i="119"/>
  <c r="S24" i="110"/>
  <c r="AZ34" i="119"/>
  <c r="S6" i="110"/>
  <c r="AN199" i="110"/>
  <c r="AX40" i="121"/>
  <c r="AG108" i="110" s="1"/>
  <c r="AZ26" i="72"/>
  <c r="BB28" i="70"/>
  <c r="AN276" i="110" s="1"/>
  <c r="AV74" i="120"/>
  <c r="S12" i="110"/>
  <c r="S30" i="110"/>
  <c r="AU28" i="121"/>
  <c r="J102" i="110" s="1"/>
  <c r="AU50" i="111"/>
  <c r="J18" i="110" s="1"/>
  <c r="BE46" i="119"/>
  <c r="AV46" i="119"/>
  <c r="AY70" i="119"/>
  <c r="BB76" i="121"/>
  <c r="AV34" i="119"/>
  <c r="BB46" i="119"/>
  <c r="AZ64" i="121"/>
  <c r="BA30" i="75"/>
  <c r="BB52" i="121"/>
  <c r="AZ26" i="111"/>
  <c r="AY46" i="119"/>
  <c r="BB70" i="119"/>
  <c r="BB50" i="111"/>
  <c r="AY74" i="111"/>
  <c r="AZ76" i="121"/>
  <c r="S37" i="110"/>
  <c r="BB34" i="119"/>
  <c r="BA76" i="121"/>
  <c r="E126" i="110" s="1"/>
  <c r="AU64" i="121"/>
  <c r="J120" i="110" s="1"/>
  <c r="BB26" i="111"/>
  <c r="BE70" i="119"/>
  <c r="AZ32" i="75"/>
  <c r="AX52" i="121"/>
  <c r="AG114" i="110" s="1"/>
  <c r="AX70" i="119"/>
  <c r="AG61" i="110" s="1"/>
  <c r="AZ70" i="119"/>
  <c r="BF50" i="111"/>
  <c r="BB74" i="111"/>
  <c r="AV76" i="121"/>
  <c r="BB26" i="71"/>
  <c r="AN287" i="110" s="1"/>
  <c r="AX22" i="119"/>
  <c r="AG37" i="110" s="1"/>
  <c r="AU74" i="111"/>
  <c r="J30" i="110" s="1"/>
  <c r="AX76" i="121"/>
  <c r="AG126" i="110" s="1"/>
  <c r="BD18" i="75"/>
  <c r="AH267" i="110"/>
  <c r="BA16" i="72"/>
  <c r="P293" i="110"/>
  <c r="BB32" i="13"/>
  <c r="AN267" i="110" s="1"/>
  <c r="AU62" i="111"/>
  <c r="J24" i="110" s="1"/>
  <c r="AY38" i="111"/>
  <c r="AX34" i="119"/>
  <c r="AG43" i="110" s="1"/>
  <c r="S55" i="110"/>
  <c r="AV28" i="121"/>
  <c r="AY58" i="119"/>
  <c r="AZ40" i="121"/>
  <c r="AH287" i="110"/>
  <c r="AU34" i="119"/>
  <c r="J43" i="110" s="1"/>
  <c r="AZ58" i="119"/>
  <c r="BF58" i="119"/>
  <c r="AV40" i="121"/>
  <c r="AH282" i="110"/>
  <c r="AH288" i="110"/>
  <c r="AH300" i="110"/>
  <c r="AH294" i="110"/>
  <c r="AH305" i="110"/>
  <c r="BE58" i="119"/>
  <c r="BE34" i="119"/>
  <c r="AN201" i="110"/>
  <c r="E297" i="110"/>
  <c r="BD26" i="72"/>
  <c r="E246" i="110"/>
  <c r="AI330" i="110"/>
  <c r="AU22" i="119"/>
  <c r="J37" i="110" s="1"/>
  <c r="C37" i="110" s="1"/>
  <c r="B37" i="110" s="1"/>
  <c r="AZ16" i="74"/>
  <c r="AH262" i="110"/>
  <c r="AH291" i="110"/>
  <c r="AH321" i="110"/>
  <c r="E315" i="110"/>
  <c r="C279" i="110"/>
  <c r="B279" i="110" s="1"/>
  <c r="AH274" i="110"/>
  <c r="H45" i="3"/>
  <c r="H48" i="3"/>
  <c r="AH259" i="110"/>
  <c r="AX42" i="119"/>
  <c r="AG47" i="110" s="1"/>
  <c r="BB30" i="119"/>
  <c r="AY18" i="119"/>
  <c r="BA16" i="74"/>
  <c r="AZ30" i="13"/>
  <c r="C332" i="110"/>
  <c r="B332" i="110" s="1"/>
  <c r="BD26" i="73"/>
  <c r="BD32" i="70"/>
  <c r="BD30" i="13"/>
  <c r="E215" i="110"/>
  <c r="Z12" i="74"/>
  <c r="G48" i="3" s="1"/>
  <c r="BA20" i="70"/>
  <c r="AH265" i="110"/>
  <c r="AZ30" i="72"/>
  <c r="BA30" i="13"/>
  <c r="AZ24" i="74"/>
  <c r="AZ20" i="70"/>
  <c r="AR200" i="65"/>
  <c r="AR200" i="111"/>
  <c r="AR200" i="51"/>
  <c r="AN207" i="110"/>
  <c r="AY68" i="119"/>
  <c r="BA68" i="122"/>
  <c r="AY68" i="122"/>
  <c r="BC68" i="122"/>
  <c r="AX68" i="122"/>
  <c r="AG177" i="110" s="1"/>
  <c r="AU68" i="122"/>
  <c r="AM177" i="110" s="1"/>
  <c r="AV68" i="122"/>
  <c r="AZ68" i="122"/>
  <c r="AQ177" i="110" s="1"/>
  <c r="AK68" i="122"/>
  <c r="J177" i="110" s="1"/>
  <c r="AX58" i="122"/>
  <c r="AG172" i="110" s="1"/>
  <c r="AY58" i="122"/>
  <c r="AZ58" i="122"/>
  <c r="AQ172" i="110" s="1"/>
  <c r="BA58" i="122"/>
  <c r="BC58" i="122"/>
  <c r="AU58" i="122"/>
  <c r="AM172" i="110" s="1"/>
  <c r="AV58" i="122"/>
  <c r="AK58" i="122"/>
  <c r="AI312" i="110"/>
  <c r="BC46" i="122"/>
  <c r="BA46" i="122"/>
  <c r="AU46" i="122"/>
  <c r="AM166" i="110" s="1"/>
  <c r="AV46" i="122"/>
  <c r="AF166" i="110"/>
  <c r="AH166" i="110" s="1"/>
  <c r="AX46" i="122"/>
  <c r="AG166" i="110" s="1"/>
  <c r="AY46" i="122"/>
  <c r="AZ46" i="122"/>
  <c r="AQ166" i="110" s="1"/>
  <c r="AK46" i="122"/>
  <c r="J166" i="110" s="1"/>
  <c r="BA36" i="122"/>
  <c r="BC36" i="122"/>
  <c r="AY36" i="122"/>
  <c r="AU36" i="122"/>
  <c r="AM161" i="110" s="1"/>
  <c r="AV36" i="122"/>
  <c r="AF161" i="110"/>
  <c r="AH161" i="110" s="1"/>
  <c r="AX36" i="122"/>
  <c r="AG161" i="110" s="1"/>
  <c r="AZ36" i="122"/>
  <c r="AQ161" i="110" s="1"/>
  <c r="AK36" i="122"/>
  <c r="AY26" i="122"/>
  <c r="AZ26" i="122"/>
  <c r="AQ156" i="110" s="1"/>
  <c r="BA26" i="122"/>
  <c r="BC26" i="122"/>
  <c r="AV26" i="122"/>
  <c r="AU26" i="122"/>
  <c r="AM156" i="110" s="1"/>
  <c r="AF156" i="110"/>
  <c r="AH156" i="110" s="1"/>
  <c r="AX26" i="122"/>
  <c r="AG156" i="110" s="1"/>
  <c r="AK26" i="122"/>
  <c r="J156" i="110" s="1"/>
  <c r="E327" i="110"/>
  <c r="K235" i="110"/>
  <c r="E272" i="110"/>
  <c r="C266" i="110"/>
  <c r="B266" i="110" s="1"/>
  <c r="BB44" i="119"/>
  <c r="AH279" i="110"/>
  <c r="AH290" i="110"/>
  <c r="AH301" i="110"/>
  <c r="AH295" i="110"/>
  <c r="AH307" i="110"/>
  <c r="AH306" i="110"/>
  <c r="AH317" i="110"/>
  <c r="AZ66" i="122"/>
  <c r="AQ176" i="110" s="1"/>
  <c r="BA66" i="122"/>
  <c r="BC66" i="122"/>
  <c r="AF176" i="110"/>
  <c r="AH176" i="110" s="1"/>
  <c r="AX66" i="122"/>
  <c r="AG176" i="110" s="1"/>
  <c r="AU66" i="122"/>
  <c r="AM176" i="110" s="1"/>
  <c r="AV66" i="122"/>
  <c r="AY66" i="122"/>
  <c r="AK66" i="122"/>
  <c r="J176" i="110" s="1"/>
  <c r="AV56" i="122"/>
  <c r="AX56" i="122"/>
  <c r="AG171" i="110" s="1"/>
  <c r="AY56" i="122"/>
  <c r="AZ56" i="122"/>
  <c r="AQ171" i="110" s="1"/>
  <c r="BA56" i="122"/>
  <c r="BC56" i="122"/>
  <c r="AU56" i="122"/>
  <c r="AM171" i="110" s="1"/>
  <c r="AK56" i="122"/>
  <c r="J171" i="110" s="1"/>
  <c r="AX62" i="121"/>
  <c r="AG119" i="110" s="1"/>
  <c r="AV38" i="121"/>
  <c r="AW36" i="111"/>
  <c r="BE62" i="111"/>
  <c r="AZ34" i="122"/>
  <c r="AQ160" i="110" s="1"/>
  <c r="BA34" i="122"/>
  <c r="BC34" i="122"/>
  <c r="AX34" i="122"/>
  <c r="AG160" i="110" s="1"/>
  <c r="AU34" i="122"/>
  <c r="AM160" i="110" s="1"/>
  <c r="AV34" i="122"/>
  <c r="AY34" i="122"/>
  <c r="AK34" i="122"/>
  <c r="J160" i="110" s="1"/>
  <c r="AX24" i="122"/>
  <c r="AG155" i="110" s="1"/>
  <c r="AV24" i="122"/>
  <c r="AY24" i="122"/>
  <c r="AU24" i="122"/>
  <c r="AM155" i="110" s="1"/>
  <c r="AZ24" i="122"/>
  <c r="AQ155" i="110" s="1"/>
  <c r="BA24" i="122"/>
  <c r="BC24" i="122"/>
  <c r="AF155" i="110"/>
  <c r="AH155" i="110" s="1"/>
  <c r="AK24" i="122"/>
  <c r="J155" i="110" s="1"/>
  <c r="V12" i="75"/>
  <c r="I49" i="3" s="1"/>
  <c r="AR200" i="13"/>
  <c r="W108" i="110"/>
  <c r="AV64" i="121"/>
  <c r="BB40" i="121"/>
  <c r="AV68" i="119"/>
  <c r="BC74" i="122"/>
  <c r="AU74" i="122"/>
  <c r="AM180" i="110" s="1"/>
  <c r="AV74" i="122"/>
  <c r="AF180" i="110"/>
  <c r="AH180" i="110" s="1"/>
  <c r="BA74" i="122"/>
  <c r="AX74" i="122"/>
  <c r="AG180" i="110" s="1"/>
  <c r="AY74" i="122"/>
  <c r="AZ74" i="122"/>
  <c r="AQ180" i="110" s="1"/>
  <c r="AK74" i="122"/>
  <c r="J180" i="110" s="1"/>
  <c r="AY64" i="122"/>
  <c r="AZ64" i="122"/>
  <c r="AQ175" i="110" s="1"/>
  <c r="BA64" i="122"/>
  <c r="BC64" i="122"/>
  <c r="AV64" i="122"/>
  <c r="AU64" i="122"/>
  <c r="AM175" i="110" s="1"/>
  <c r="AX64" i="122"/>
  <c r="AG175" i="110" s="1"/>
  <c r="AK64" i="122"/>
  <c r="J175" i="110" s="1"/>
  <c r="AV54" i="122"/>
  <c r="AF170" i="110"/>
  <c r="AH170" i="110" s="1"/>
  <c r="AX54" i="122"/>
  <c r="AG170" i="110" s="1"/>
  <c r="AY54" i="122"/>
  <c r="AZ54" i="122"/>
  <c r="AQ170" i="110" s="1"/>
  <c r="BA54" i="122"/>
  <c r="BC54" i="122"/>
  <c r="AU54" i="122"/>
  <c r="AM170" i="110" s="1"/>
  <c r="AK54" i="122"/>
  <c r="J170" i="110" s="1"/>
  <c r="BC44" i="122"/>
  <c r="AU44" i="122"/>
  <c r="AM165" i="110" s="1"/>
  <c r="AV44" i="122"/>
  <c r="BA44" i="122"/>
  <c r="AX44" i="122"/>
  <c r="AG165" i="110" s="1"/>
  <c r="AY44" i="122"/>
  <c r="AZ44" i="122"/>
  <c r="AQ165" i="110" s="1"/>
  <c r="AK44" i="122"/>
  <c r="AI290" i="110"/>
  <c r="BA18" i="75"/>
  <c r="BA18" i="71"/>
  <c r="BB30" i="74"/>
  <c r="AN322" i="110" s="1"/>
  <c r="AR200" i="124"/>
  <c r="AR200" i="72"/>
  <c r="AD48" i="110"/>
  <c r="AH302" i="110"/>
  <c r="AH296" i="110"/>
  <c r="AH309" i="110"/>
  <c r="AH320" i="110"/>
  <c r="AH319" i="110"/>
  <c r="AH330" i="110"/>
  <c r="AH329" i="110"/>
  <c r="BB20" i="73"/>
  <c r="AN306" i="110" s="1"/>
  <c r="C289" i="110"/>
  <c r="B289" i="110" s="1"/>
  <c r="AZ32" i="122"/>
  <c r="AQ159" i="110" s="1"/>
  <c r="BA32" i="122"/>
  <c r="BC32" i="122"/>
  <c r="AU32" i="122"/>
  <c r="AM159" i="110" s="1"/>
  <c r="AV32" i="122"/>
  <c r="AY32" i="122"/>
  <c r="AF159" i="110"/>
  <c r="AH159" i="110" s="1"/>
  <c r="AX32" i="122"/>
  <c r="AG159" i="110" s="1"/>
  <c r="AK32" i="122"/>
  <c r="J159" i="110" s="1"/>
  <c r="AX22" i="122"/>
  <c r="AG154" i="110" s="1"/>
  <c r="AU22" i="122"/>
  <c r="AM154" i="110" s="1"/>
  <c r="AY22" i="122"/>
  <c r="BA22" i="122"/>
  <c r="BC22" i="122"/>
  <c r="AV22" i="122"/>
  <c r="AF154" i="110"/>
  <c r="AH154" i="110" s="1"/>
  <c r="AK22" i="122"/>
  <c r="J154" i="110" s="1"/>
  <c r="AZ32" i="73"/>
  <c r="BB28" i="72"/>
  <c r="AN299" i="110" s="1"/>
  <c r="AR200" i="70"/>
  <c r="BB64" i="121"/>
  <c r="Z12" i="73"/>
  <c r="G47" i="3" s="1"/>
  <c r="Z12" i="71"/>
  <c r="G45" i="3" s="1"/>
  <c r="Z12" i="13"/>
  <c r="G43" i="3" s="1"/>
  <c r="AU72" i="122"/>
  <c r="AM179" i="110" s="1"/>
  <c r="AZ72" i="122"/>
  <c r="AQ179" i="110" s="1"/>
  <c r="AV72" i="122"/>
  <c r="AF179" i="110"/>
  <c r="AH179" i="110" s="1"/>
  <c r="BA72" i="122"/>
  <c r="AX72" i="122"/>
  <c r="AG179" i="110" s="1"/>
  <c r="AY72" i="122"/>
  <c r="BC72" i="122"/>
  <c r="AK72" i="122"/>
  <c r="J179" i="110" s="1"/>
  <c r="AU52" i="122"/>
  <c r="AM169" i="110" s="1"/>
  <c r="AV52" i="122"/>
  <c r="AF169" i="110"/>
  <c r="AH169" i="110" s="1"/>
  <c r="AX52" i="122"/>
  <c r="AG169" i="110" s="1"/>
  <c r="AY52" i="122"/>
  <c r="AZ52" i="122"/>
  <c r="BA52" i="122"/>
  <c r="BC52" i="122"/>
  <c r="AK52" i="122"/>
  <c r="J169" i="110" s="1"/>
  <c r="BA42" i="122"/>
  <c r="AU42" i="122"/>
  <c r="AM164" i="110" s="1"/>
  <c r="AV42" i="122"/>
  <c r="BC42" i="122"/>
  <c r="AX42" i="122"/>
  <c r="AG164" i="110" s="1"/>
  <c r="AY42" i="122"/>
  <c r="AZ42" i="122"/>
  <c r="AK42" i="122"/>
  <c r="T153" i="110"/>
  <c r="BA20" i="122"/>
  <c r="BC20" i="122"/>
  <c r="AU20" i="122"/>
  <c r="AM153" i="110" s="1"/>
  <c r="AF153" i="110"/>
  <c r="AH153" i="110" s="1"/>
  <c r="AY20" i="122"/>
  <c r="AV20" i="122"/>
  <c r="AK20" i="122"/>
  <c r="AX20" i="122"/>
  <c r="AG153" i="110" s="1"/>
  <c r="C315" i="110"/>
  <c r="B315" i="110" s="1"/>
  <c r="BD24" i="74"/>
  <c r="BA32" i="73"/>
  <c r="C113" i="110"/>
  <c r="B113" i="110" s="1"/>
  <c r="AR200" i="125"/>
  <c r="AR200" i="49"/>
  <c r="AR200" i="56"/>
  <c r="AR200" i="123"/>
  <c r="AX64" i="121"/>
  <c r="AG120" i="110" s="1"/>
  <c r="AD36" i="110"/>
  <c r="AY62" i="122"/>
  <c r="AZ62" i="122"/>
  <c r="AQ174" i="110" s="1"/>
  <c r="AV62" i="122"/>
  <c r="BA62" i="122"/>
  <c r="AF174" i="110"/>
  <c r="AH174" i="110" s="1"/>
  <c r="BC62" i="122"/>
  <c r="AU62" i="122"/>
  <c r="AM174" i="110" s="1"/>
  <c r="AX62" i="122"/>
  <c r="AG174" i="110" s="1"/>
  <c r="AK62" i="122"/>
  <c r="J174" i="110" s="1"/>
  <c r="BA32" i="75"/>
  <c r="E283" i="110"/>
  <c r="BD28" i="75"/>
  <c r="AR200" i="73"/>
  <c r="AR200" i="76"/>
  <c r="AV32" i="119"/>
  <c r="AU50" i="122"/>
  <c r="AM168" i="110" s="1"/>
  <c r="AV50" i="122"/>
  <c r="AX50" i="122"/>
  <c r="AG168" i="110" s="1"/>
  <c r="AY50" i="122"/>
  <c r="AZ50" i="122"/>
  <c r="AQ168" i="110" s="1"/>
  <c r="BA50" i="122"/>
  <c r="BC50" i="122"/>
  <c r="AK50" i="122"/>
  <c r="J168" i="110" s="1"/>
  <c r="BA40" i="122"/>
  <c r="AU40" i="122"/>
  <c r="AM163" i="110" s="1"/>
  <c r="AZ40" i="122"/>
  <c r="AV40" i="122"/>
  <c r="AX40" i="122"/>
  <c r="AG163" i="110" s="1"/>
  <c r="AY40" i="122"/>
  <c r="BC40" i="122"/>
  <c r="AK40" i="122"/>
  <c r="J163" i="110" s="1"/>
  <c r="AY30" i="122"/>
  <c r="AZ30" i="122"/>
  <c r="AQ158" i="110" s="1"/>
  <c r="BA30" i="122"/>
  <c r="AV30" i="122"/>
  <c r="BC30" i="122"/>
  <c r="AF158" i="110"/>
  <c r="AH158" i="110" s="1"/>
  <c r="AU30" i="122"/>
  <c r="AM158" i="110" s="1"/>
  <c r="AX30" i="122"/>
  <c r="AG158" i="110" s="1"/>
  <c r="AK30" i="122"/>
  <c r="J158" i="110" s="1"/>
  <c r="V12" i="71"/>
  <c r="I45" i="3" s="1"/>
  <c r="AZ18" i="71"/>
  <c r="AI5" i="70"/>
  <c r="BA24" i="71"/>
  <c r="AR202" i="63"/>
  <c r="AR200" i="119"/>
  <c r="BE74" i="111"/>
  <c r="BE50" i="111"/>
  <c r="AN196" i="110"/>
  <c r="BC70" i="122"/>
  <c r="AY70" i="122"/>
  <c r="AZ70" i="122"/>
  <c r="AU70" i="122"/>
  <c r="AM178" i="110" s="1"/>
  <c r="AV70" i="122"/>
  <c r="AF178" i="110"/>
  <c r="AH178" i="110" s="1"/>
  <c r="AX70" i="122"/>
  <c r="AG178" i="110" s="1"/>
  <c r="BA70" i="122"/>
  <c r="AK70" i="122"/>
  <c r="J178" i="110" s="1"/>
  <c r="AI5" i="71"/>
  <c r="AR200" i="71"/>
  <c r="AR200" i="122"/>
  <c r="C324" i="110"/>
  <c r="B324" i="110" s="1"/>
  <c r="C298" i="110"/>
  <c r="B298" i="110" s="1"/>
  <c r="AX60" i="122"/>
  <c r="AG173" i="110" s="1"/>
  <c r="AY60" i="122"/>
  <c r="AZ60" i="122"/>
  <c r="BA60" i="122"/>
  <c r="AV60" i="122"/>
  <c r="BC60" i="122"/>
  <c r="AU60" i="122"/>
  <c r="AM173" i="110" s="1"/>
  <c r="AK60" i="122"/>
  <c r="AF167" i="110"/>
  <c r="AH167" i="110" s="1"/>
  <c r="AX48" i="122"/>
  <c r="AG167" i="110" s="1"/>
  <c r="AY48" i="122"/>
  <c r="BA48" i="122"/>
  <c r="AK48" i="122"/>
  <c r="J167" i="110" s="1"/>
  <c r="BC38" i="122"/>
  <c r="AZ38" i="122"/>
  <c r="AQ162" i="110" s="1"/>
  <c r="AY38" i="122"/>
  <c r="AU38" i="122"/>
  <c r="AM162" i="110" s="1"/>
  <c r="AV38" i="122"/>
  <c r="AF162" i="110"/>
  <c r="AH162" i="110" s="1"/>
  <c r="AX38" i="122"/>
  <c r="AG162" i="110" s="1"/>
  <c r="BA38" i="122"/>
  <c r="AK38" i="122"/>
  <c r="BA24" i="74"/>
  <c r="AI5" i="75"/>
  <c r="AR200" i="55"/>
  <c r="BB68" i="119"/>
  <c r="AR200" i="64"/>
  <c r="AR200" i="48"/>
  <c r="AR200" i="120"/>
  <c r="AI265" i="110"/>
  <c r="AY28" i="122"/>
  <c r="BA28" i="122"/>
  <c r="BC28" i="122"/>
  <c r="AF157" i="110"/>
  <c r="AH157" i="110" s="1"/>
  <c r="AX28" i="122"/>
  <c r="AG157" i="110" s="1"/>
  <c r="AK28" i="122"/>
  <c r="AN246" i="110"/>
  <c r="AN243" i="110"/>
  <c r="U38" i="81"/>
  <c r="AD25" i="78"/>
  <c r="N64" i="79"/>
  <c r="AN209" i="110"/>
  <c r="X7" i="109"/>
  <c r="X8" i="109"/>
  <c r="CX2" i="110"/>
  <c r="AN206" i="110"/>
  <c r="AN253" i="110"/>
  <c r="AN211" i="110"/>
  <c r="AX18" i="120"/>
  <c r="AG66" i="110" s="1"/>
  <c r="AF152" i="110"/>
  <c r="AH152" i="110" s="1"/>
  <c r="AK18" i="122"/>
  <c r="AU18" i="122" s="1"/>
  <c r="AM152" i="110" s="1"/>
  <c r="AG152" i="110"/>
  <c r="AK16" i="122"/>
  <c r="AG151" i="110"/>
  <c r="F161" i="110"/>
  <c r="Z169" i="110"/>
  <c r="F169" i="110"/>
  <c r="AU13" i="132"/>
  <c r="AD5" i="65" s="1"/>
  <c r="AN194" i="110"/>
  <c r="AV72" i="120"/>
  <c r="AU48" i="120"/>
  <c r="J81" i="110" s="1"/>
  <c r="AX72" i="120"/>
  <c r="AG93" i="110" s="1"/>
  <c r="AV48" i="120"/>
  <c r="S69" i="110"/>
  <c r="AX48" i="120"/>
  <c r="AG81" i="110" s="1"/>
  <c r="AZ48" i="120"/>
  <c r="S81" i="110"/>
  <c r="BB24" i="120"/>
  <c r="S93" i="110"/>
  <c r="AU72" i="120"/>
  <c r="J93" i="110" s="1"/>
  <c r="BB48" i="120"/>
  <c r="AY24" i="120"/>
  <c r="AX24" i="120"/>
  <c r="AG69" i="110" s="1"/>
  <c r="AZ24" i="120"/>
  <c r="BB72" i="120"/>
  <c r="AZ72" i="120"/>
  <c r="AN215" i="110"/>
  <c r="BA26" i="74"/>
  <c r="AZ18" i="73"/>
  <c r="E311" i="110"/>
  <c r="BA16" i="71"/>
  <c r="M200" i="123"/>
  <c r="P267" i="110"/>
  <c r="AY66" i="119"/>
  <c r="AH260" i="110"/>
  <c r="AX38" i="121"/>
  <c r="AG107" i="110" s="1"/>
  <c r="Q312" i="110"/>
  <c r="P286" i="110"/>
  <c r="AD47" i="110"/>
  <c r="Z107" i="110"/>
  <c r="E284" i="110"/>
  <c r="C107" i="110"/>
  <c r="B107" i="110" s="1"/>
  <c r="BD20" i="75"/>
  <c r="BB22" i="74"/>
  <c r="AN318" i="110" s="1"/>
  <c r="Z165" i="110"/>
  <c r="AZ26" i="75"/>
  <c r="BA26" i="75"/>
  <c r="BD22" i="70"/>
  <c r="BA18" i="72"/>
  <c r="AH263" i="110"/>
  <c r="F125" i="110"/>
  <c r="Z153" i="110"/>
  <c r="AZ20" i="71"/>
  <c r="BA28" i="70"/>
  <c r="BD30" i="71"/>
  <c r="BA24" i="72"/>
  <c r="K228" i="110"/>
  <c r="J306" i="110"/>
  <c r="C306" i="110" s="1"/>
  <c r="B306" i="110" s="1"/>
  <c r="Q333" i="110"/>
  <c r="Z119" i="110"/>
  <c r="AZ24" i="72"/>
  <c r="BD16" i="71"/>
  <c r="BA18" i="73"/>
  <c r="AZ54" i="119"/>
  <c r="AV66" i="119"/>
  <c r="F113" i="110"/>
  <c r="AF123" i="110"/>
  <c r="AH123" i="110" s="1"/>
  <c r="AW34" i="64"/>
  <c r="R318" i="110"/>
  <c r="P291" i="110"/>
  <c r="AU62" i="121"/>
  <c r="J119" i="110" s="1"/>
  <c r="F173" i="110"/>
  <c r="Y1" i="135"/>
  <c r="BB62" i="121"/>
  <c r="AR201" i="132"/>
  <c r="AR201" i="135"/>
  <c r="AF107" i="110"/>
  <c r="AH107" i="110" s="1"/>
  <c r="F107" i="110"/>
  <c r="Z101" i="110"/>
  <c r="F157" i="110"/>
  <c r="Z177" i="110"/>
  <c r="E323" i="110"/>
  <c r="BD26" i="75"/>
  <c r="AZ22" i="74"/>
  <c r="S178" i="110"/>
  <c r="S174" i="110"/>
  <c r="S170" i="110"/>
  <c r="S166" i="110"/>
  <c r="S162" i="110"/>
  <c r="AL265" i="110"/>
  <c r="L320" i="110"/>
  <c r="AI320" i="110" s="1"/>
  <c r="R272" i="110"/>
  <c r="N272" i="110"/>
  <c r="L279" i="110"/>
  <c r="AI279" i="110" s="1"/>
  <c r="M333" i="110"/>
  <c r="AJ333" i="110" s="1"/>
  <c r="R333" i="110"/>
  <c r="Q279" i="110"/>
  <c r="M272" i="110"/>
  <c r="AE320" i="110"/>
  <c r="M279" i="110"/>
  <c r="AE279" i="110"/>
  <c r="L307" i="110"/>
  <c r="AL307" i="110" s="1"/>
  <c r="N333" i="110"/>
  <c r="AK333" i="110" s="1"/>
  <c r="R279" i="110"/>
  <c r="M320" i="110"/>
  <c r="L333" i="110"/>
  <c r="AI333" i="110" s="1"/>
  <c r="O279" i="110"/>
  <c r="BD24" i="71"/>
  <c r="N307" i="110"/>
  <c r="AK307" i="110" s="1"/>
  <c r="P279" i="110"/>
  <c r="BE28" i="13"/>
  <c r="R307" i="110"/>
  <c r="Q307" i="110"/>
  <c r="P320" i="110"/>
  <c r="AE307" i="110"/>
  <c r="O312" i="110"/>
  <c r="AL312" i="110" s="1"/>
  <c r="M286" i="110"/>
  <c r="AE272" i="110"/>
  <c r="L331" i="110"/>
  <c r="AL331" i="110" s="1"/>
  <c r="L291" i="110"/>
  <c r="AI291" i="110" s="1"/>
  <c r="L272" i="110"/>
  <c r="AI272" i="110" s="1"/>
  <c r="AE331" i="110"/>
  <c r="O291" i="110"/>
  <c r="O272" i="110"/>
  <c r="N286" i="110"/>
  <c r="R291" i="110"/>
  <c r="Q318" i="110"/>
  <c r="P318" i="110"/>
  <c r="BD32" i="73"/>
  <c r="R286" i="110"/>
  <c r="M312" i="110"/>
  <c r="BD20" i="70"/>
  <c r="P277" i="110"/>
  <c r="Q272" i="110"/>
  <c r="R312" i="110"/>
  <c r="L286" i="110"/>
  <c r="AI286" i="110" s="1"/>
  <c r="P312" i="110"/>
  <c r="O277" i="110"/>
  <c r="AK277" i="110" s="1"/>
  <c r="AE277" i="110"/>
  <c r="AE291" i="110"/>
  <c r="AW22" i="66"/>
  <c r="AE286" i="110"/>
  <c r="N312" i="110"/>
  <c r="M277" i="110"/>
  <c r="O318" i="110"/>
  <c r="AJ318" i="110" s="1"/>
  <c r="BD30" i="70"/>
  <c r="L318" i="110"/>
  <c r="AI318" i="110" s="1"/>
  <c r="Q286" i="110"/>
  <c r="AW24" i="64"/>
  <c r="O286" i="110"/>
  <c r="AE312" i="110"/>
  <c r="Q291" i="110"/>
  <c r="P272" i="110"/>
  <c r="AR267" i="110"/>
  <c r="F151" i="110"/>
  <c r="AJ297" i="110"/>
  <c r="AN136" i="110"/>
  <c r="AI267" i="110"/>
  <c r="AI293" i="110"/>
  <c r="K210" i="110"/>
  <c r="AH278" i="110"/>
  <c r="AH289" i="110"/>
  <c r="AH318" i="110"/>
  <c r="AH316" i="110"/>
  <c r="AH328" i="110"/>
  <c r="AN232" i="110"/>
  <c r="AN198" i="110"/>
  <c r="AN219" i="110"/>
  <c r="AN251" i="110"/>
  <c r="AN241" i="110"/>
  <c r="K227" i="110"/>
  <c r="AN204" i="110"/>
  <c r="K244" i="110"/>
  <c r="E193" i="110"/>
  <c r="AN231" i="110"/>
  <c r="E213" i="110"/>
  <c r="AH280" i="110"/>
  <c r="K230" i="110"/>
  <c r="AV16" i="124"/>
  <c r="AU42" i="120"/>
  <c r="J78" i="110" s="1"/>
  <c r="AU13" i="65"/>
  <c r="O5" i="132" s="1"/>
  <c r="Z12" i="64"/>
  <c r="G36" i="3" s="1"/>
  <c r="AU13" i="66"/>
  <c r="T5" i="132" s="1"/>
  <c r="AU13" i="64"/>
  <c r="J5" i="64" s="1"/>
  <c r="AU13" i="124"/>
  <c r="S90" i="110"/>
  <c r="W26" i="63"/>
  <c r="AZ66" i="120"/>
  <c r="AW42" i="120"/>
  <c r="AF78" i="110" s="1"/>
  <c r="AH78" i="110" s="1"/>
  <c r="AY66" i="120"/>
  <c r="S66" i="110"/>
  <c r="AW18" i="120"/>
  <c r="AF66" i="110" s="1"/>
  <c r="AH66" i="110" s="1"/>
  <c r="Z12" i="132"/>
  <c r="G40" i="3" s="1"/>
  <c r="AZ18" i="120"/>
  <c r="BB18" i="120"/>
  <c r="BB42" i="120"/>
  <c r="AU13" i="120"/>
  <c r="AZ42" i="120"/>
  <c r="S78" i="110"/>
  <c r="AV42" i="120"/>
  <c r="V183" i="110"/>
  <c r="AD183" i="110" s="1"/>
  <c r="C91" i="110"/>
  <c r="B91" i="110" s="1"/>
  <c r="AU66" i="120"/>
  <c r="J90" i="110" s="1"/>
  <c r="AU18" i="120"/>
  <c r="J66" i="110" s="1"/>
  <c r="AV200" i="132"/>
  <c r="H40" i="3" s="1"/>
  <c r="BB66" i="120"/>
  <c r="AX42" i="120"/>
  <c r="AG78" i="110" s="1"/>
  <c r="AY18" i="120"/>
  <c r="AV66" i="120"/>
  <c r="AY42" i="120"/>
  <c r="AV200" i="64"/>
  <c r="H36" i="3" s="1"/>
  <c r="AN217" i="110"/>
  <c r="BB54" i="120"/>
  <c r="AW76" i="120"/>
  <c r="AF95" i="110" s="1"/>
  <c r="AH95" i="110" s="1"/>
  <c r="AY28" i="120"/>
  <c r="C79" i="110"/>
  <c r="B79" i="110" s="1"/>
  <c r="BA30" i="72"/>
  <c r="AZ32" i="70"/>
  <c r="C17" i="110"/>
  <c r="B17" i="110" s="1"/>
  <c r="E285" i="110"/>
  <c r="AI262" i="110"/>
  <c r="AV200" i="65"/>
  <c r="H37" i="3" s="1"/>
  <c r="AH266" i="110"/>
  <c r="C259" i="110"/>
  <c r="B259" i="110" s="1"/>
  <c r="H49" i="3"/>
  <c r="C275" i="110"/>
  <c r="B275" i="110" s="1"/>
  <c r="AZ34" i="72"/>
  <c r="BA34" i="72"/>
  <c r="Z12" i="70"/>
  <c r="G44" i="3" s="1"/>
  <c r="BD20" i="74"/>
  <c r="AH273" i="110"/>
  <c r="W97" i="110"/>
  <c r="AI295" i="110"/>
  <c r="AH276" i="110"/>
  <c r="C278" i="110"/>
  <c r="B278" i="110" s="1"/>
  <c r="AW66" i="111"/>
  <c r="AF26" i="110" s="1"/>
  <c r="AH26" i="110" s="1"/>
  <c r="AE271" i="110"/>
  <c r="AR271" i="110"/>
  <c r="L277" i="110"/>
  <c r="AI277" i="110" s="1"/>
  <c r="AR277" i="110"/>
  <c r="L276" i="110"/>
  <c r="AI276" i="110" s="1"/>
  <c r="AR276" i="110"/>
  <c r="AI280" i="110"/>
  <c r="AH270" i="110"/>
  <c r="AV16" i="70"/>
  <c r="AU16" i="70" s="1"/>
  <c r="AM270" i="110" s="1"/>
  <c r="BA16" i="70"/>
  <c r="Y1" i="123"/>
  <c r="Y1" i="128"/>
  <c r="Y1" i="120"/>
  <c r="J5" i="73"/>
  <c r="Y1" i="121"/>
  <c r="Y1" i="76"/>
  <c r="Y1" i="66"/>
  <c r="Y1" i="65"/>
  <c r="Y1" i="70"/>
  <c r="AZ16" i="70"/>
  <c r="Y1" i="72"/>
  <c r="Y1" i="49"/>
  <c r="J5" i="75"/>
  <c r="Y1" i="73"/>
  <c r="BB16" i="70"/>
  <c r="AN270" i="110" s="1"/>
  <c r="Y1" i="122"/>
  <c r="J5" i="13"/>
  <c r="V12" i="70"/>
  <c r="I44" i="3" s="1"/>
  <c r="Y1" i="13"/>
  <c r="Y1" i="74"/>
  <c r="Y1" i="130"/>
  <c r="Y1" i="132"/>
  <c r="Y1" i="75"/>
  <c r="Y1" i="79"/>
  <c r="Y1" i="125"/>
  <c r="Y1" i="63"/>
  <c r="Y1" i="55"/>
  <c r="J5" i="71"/>
  <c r="J5" i="74"/>
  <c r="Y1" i="56"/>
  <c r="Y1" i="119"/>
  <c r="Y1" i="111"/>
  <c r="Y1" i="124"/>
  <c r="Y1" i="51"/>
  <c r="Y1" i="48"/>
  <c r="Y1" i="8"/>
  <c r="Y1" i="64"/>
  <c r="Y1" i="71"/>
  <c r="J5" i="70"/>
  <c r="AF128" i="110"/>
  <c r="AH128" i="110" s="1"/>
  <c r="AN134" i="110"/>
  <c r="AU202" i="63"/>
  <c r="V12" i="63" s="1"/>
  <c r="I35" i="3" s="1"/>
  <c r="P310" i="110"/>
  <c r="AL295" i="110"/>
  <c r="P323" i="110"/>
  <c r="AQ188" i="110"/>
  <c r="AJ266" i="110"/>
  <c r="BB30" i="70"/>
  <c r="AN277" i="110" s="1"/>
  <c r="AK296" i="110"/>
  <c r="AN257" i="110"/>
  <c r="M284" i="110"/>
  <c r="N284" i="110"/>
  <c r="BD20" i="71"/>
  <c r="AK308" i="110"/>
  <c r="AL262" i="110"/>
  <c r="M310" i="110"/>
  <c r="M37" i="3"/>
  <c r="AK262" i="110"/>
  <c r="AK299" i="110"/>
  <c r="AN256" i="110"/>
  <c r="AL282" i="110"/>
  <c r="AK282" i="110"/>
  <c r="C267" i="110"/>
  <c r="B267" i="110" s="1"/>
  <c r="AW26" i="120"/>
  <c r="AF70" i="110" s="1"/>
  <c r="AH70" i="110" s="1"/>
  <c r="AR296" i="110"/>
  <c r="AW74" i="120"/>
  <c r="AF94" i="110" s="1"/>
  <c r="AH94" i="110" s="1"/>
  <c r="AH308" i="110"/>
  <c r="AH283" i="110"/>
  <c r="AN228" i="110"/>
  <c r="E278" i="110"/>
  <c r="C68" i="110"/>
  <c r="B68" i="110" s="1"/>
  <c r="AZ22" i="71"/>
  <c r="BA26" i="73"/>
  <c r="C274" i="110"/>
  <c r="B274" i="110" s="1"/>
  <c r="BD20" i="73"/>
  <c r="E294" i="110"/>
  <c r="AI137" i="110"/>
  <c r="AF114" i="110"/>
  <c r="AH114" i="110" s="1"/>
  <c r="AF102" i="110"/>
  <c r="AH102" i="110" s="1"/>
  <c r="AW74" i="111"/>
  <c r="AF30" i="110" s="1"/>
  <c r="AH30" i="110" s="1"/>
  <c r="AW50" i="111"/>
  <c r="AF18" i="110" s="1"/>
  <c r="AH18" i="110" s="1"/>
  <c r="AW26" i="111"/>
  <c r="AF6" i="110" s="1"/>
  <c r="AH6" i="110" s="1"/>
  <c r="AZ28" i="70"/>
  <c r="AN254" i="110"/>
  <c r="AF110" i="110"/>
  <c r="AH110" i="110" s="1"/>
  <c r="AX20" i="121"/>
  <c r="AG98" i="110" s="1"/>
  <c r="AW78" i="111"/>
  <c r="AF32" i="110" s="1"/>
  <c r="AH32" i="110" s="1"/>
  <c r="AW54" i="111"/>
  <c r="AF20" i="110" s="1"/>
  <c r="AH20" i="110" s="1"/>
  <c r="AW42" i="111"/>
  <c r="AF14" i="110" s="1"/>
  <c r="AH14" i="110" s="1"/>
  <c r="AW30" i="111"/>
  <c r="AN242" i="110"/>
  <c r="AI132" i="110"/>
  <c r="C261" i="110"/>
  <c r="B261" i="110" s="1"/>
  <c r="C23" i="110"/>
  <c r="B23" i="110" s="1"/>
  <c r="AW34" i="66"/>
  <c r="L37" i="3"/>
  <c r="AU200" i="64"/>
  <c r="V12" i="64" s="1"/>
  <c r="I36" i="3" s="1"/>
  <c r="BA34" i="13"/>
  <c r="AW60" i="120"/>
  <c r="AF87" i="110" s="1"/>
  <c r="AH87" i="110" s="1"/>
  <c r="AW64" i="119"/>
  <c r="AF58" i="110" s="1"/>
  <c r="AH58" i="110" s="1"/>
  <c r="AW76" i="111"/>
  <c r="AF31" i="110" s="1"/>
  <c r="AH31" i="110" s="1"/>
  <c r="AW64" i="111"/>
  <c r="AF25" i="110" s="1"/>
  <c r="AH25" i="110" s="1"/>
  <c r="AW52" i="111"/>
  <c r="AF19" i="110" s="1"/>
  <c r="AH19" i="110" s="1"/>
  <c r="AW40" i="111"/>
  <c r="AF13" i="110" s="1"/>
  <c r="AH13" i="110" s="1"/>
  <c r="AW28" i="111"/>
  <c r="AF7" i="110" s="1"/>
  <c r="AH7" i="110" s="1"/>
  <c r="AN249" i="110"/>
  <c r="AN250" i="110"/>
  <c r="AI266" i="110"/>
  <c r="AN244" i="110"/>
  <c r="AI136" i="110"/>
  <c r="AI129" i="110"/>
  <c r="AF113" i="110"/>
  <c r="AH113" i="110" s="1"/>
  <c r="AF101" i="110"/>
  <c r="AH101" i="110" s="1"/>
  <c r="C272" i="110"/>
  <c r="B272" i="110" s="1"/>
  <c r="BD30" i="75"/>
  <c r="AX60" i="120"/>
  <c r="AG87" i="110" s="1"/>
  <c r="AX36" i="120"/>
  <c r="AG75" i="110" s="1"/>
  <c r="AW36" i="120"/>
  <c r="AF75" i="110" s="1"/>
  <c r="AH75" i="110" s="1"/>
  <c r="AI135" i="110"/>
  <c r="S155" i="110"/>
  <c r="AU20" i="121"/>
  <c r="J98" i="110" s="1"/>
  <c r="AB5" i="110"/>
  <c r="BA32" i="13"/>
  <c r="S159" i="110"/>
  <c r="AW32" i="120"/>
  <c r="AF73" i="110" s="1"/>
  <c r="AH73" i="110" s="1"/>
  <c r="AW80" i="111"/>
  <c r="AF33" i="110" s="1"/>
  <c r="AH33" i="110" s="1"/>
  <c r="M41" i="3"/>
  <c r="M38" i="3"/>
  <c r="L302" i="110"/>
  <c r="AI302" i="110" s="1"/>
  <c r="Q302" i="110"/>
  <c r="AW22" i="64"/>
  <c r="AR302" i="110"/>
  <c r="O302" i="110"/>
  <c r="AL297" i="110"/>
  <c r="AK297" i="110"/>
  <c r="K37" i="3"/>
  <c r="M302" i="110"/>
  <c r="AE302" i="110"/>
  <c r="AW18" i="134"/>
  <c r="BD34" i="72"/>
  <c r="R302" i="110"/>
  <c r="P302" i="110"/>
  <c r="AC71" i="78"/>
  <c r="W74" i="123"/>
  <c r="H20" i="123" s="1"/>
  <c r="H24" i="111" s="1"/>
  <c r="X5" i="110" s="1"/>
  <c r="AN213" i="110"/>
  <c r="AI130" i="110"/>
  <c r="R324" i="110"/>
  <c r="AR298" i="110"/>
  <c r="AN234" i="110"/>
  <c r="AW30" i="66"/>
  <c r="AW18" i="64"/>
  <c r="R323" i="110"/>
  <c r="AH322" i="110"/>
  <c r="S169" i="110"/>
  <c r="X30" i="51"/>
  <c r="AH16" i="51" s="1"/>
  <c r="AH324" i="110"/>
  <c r="AH334" i="110"/>
  <c r="AZ24" i="70"/>
  <c r="AI316" i="110"/>
  <c r="C308" i="110"/>
  <c r="B308" i="110" s="1"/>
  <c r="AW72" i="120"/>
  <c r="AF93" i="110" s="1"/>
  <c r="AH93" i="110" s="1"/>
  <c r="AW60" i="111"/>
  <c r="AF23" i="110" s="1"/>
  <c r="AH23" i="110" s="1"/>
  <c r="AW48" i="111"/>
  <c r="AF17" i="110" s="1"/>
  <c r="AH17" i="110" s="1"/>
  <c r="AN220" i="110"/>
  <c r="BB32" i="74"/>
  <c r="AN323" i="110" s="1"/>
  <c r="AN197" i="110"/>
  <c r="AZ32" i="71"/>
  <c r="BB34" i="70"/>
  <c r="AN279" i="110" s="1"/>
  <c r="AQ191" i="110"/>
  <c r="AH136" i="110"/>
  <c r="BA30" i="74"/>
  <c r="AZ20" i="75"/>
  <c r="AW24" i="120"/>
  <c r="AF69" i="110" s="1"/>
  <c r="AH69" i="110" s="1"/>
  <c r="AW46" i="111"/>
  <c r="AF16" i="110" s="1"/>
  <c r="AH16" i="110" s="1"/>
  <c r="AI134" i="110"/>
  <c r="BB20" i="120"/>
  <c r="AW72" i="111"/>
  <c r="AF29" i="110" s="1"/>
  <c r="AH29" i="110" s="1"/>
  <c r="AF122" i="110"/>
  <c r="AH122" i="110" s="1"/>
  <c r="AW50" i="120"/>
  <c r="AF82" i="110" s="1"/>
  <c r="AH82" i="110" s="1"/>
  <c r="AW48" i="120"/>
  <c r="AF81" i="110" s="1"/>
  <c r="AH81" i="110" s="1"/>
  <c r="AW52" i="119"/>
  <c r="AF52" i="110" s="1"/>
  <c r="AH52" i="110" s="1"/>
  <c r="AW28" i="119"/>
  <c r="AF40" i="110" s="1"/>
  <c r="AH40" i="110" s="1"/>
  <c r="AZ22" i="73"/>
  <c r="BB18" i="71"/>
  <c r="AN283" i="110" s="1"/>
  <c r="AH271" i="110"/>
  <c r="AH310" i="110"/>
  <c r="BB22" i="71"/>
  <c r="AN285" i="110" s="1"/>
  <c r="AJ262" i="110"/>
  <c r="AK280" i="110"/>
  <c r="AL299" i="110"/>
  <c r="AK265" i="110"/>
  <c r="AL263" i="110"/>
  <c r="AL266" i="110"/>
  <c r="AJ296" i="110"/>
  <c r="AJ299" i="110"/>
  <c r="AK295" i="110"/>
  <c r="AR297" i="110"/>
  <c r="AL280" i="110"/>
  <c r="AK263" i="110"/>
  <c r="AJ263" i="110"/>
  <c r="AE285" i="110"/>
  <c r="AJ265" i="110"/>
  <c r="AJ280" i="110"/>
  <c r="K41" i="3"/>
  <c r="K45" i="3"/>
  <c r="AL278" i="110"/>
  <c r="AK278" i="110"/>
  <c r="O311" i="110"/>
  <c r="AK311" i="110" s="1"/>
  <c r="AK267" i="110"/>
  <c r="AE311" i="110"/>
  <c r="Q285" i="110"/>
  <c r="K38" i="3"/>
  <c r="N268" i="110"/>
  <c r="K36" i="3"/>
  <c r="L38" i="3"/>
  <c r="AL267" i="110"/>
  <c r="AJ267" i="110"/>
  <c r="AW32" i="66"/>
  <c r="R285" i="110"/>
  <c r="L285" i="110"/>
  <c r="AI285" i="110" s="1"/>
  <c r="P324" i="110"/>
  <c r="Q284" i="110"/>
  <c r="O310" i="110"/>
  <c r="AJ295" i="110"/>
  <c r="Q323" i="110"/>
  <c r="BD18" i="70"/>
  <c r="P268" i="110"/>
  <c r="R271" i="110"/>
  <c r="Q271" i="110"/>
  <c r="P285" i="110"/>
  <c r="AE324" i="110"/>
  <c r="AL308" i="110"/>
  <c r="BD30" i="73"/>
  <c r="L284" i="110"/>
  <c r="AI284" i="110" s="1"/>
  <c r="AE310" i="110"/>
  <c r="AE300" i="110"/>
  <c r="N271" i="110"/>
  <c r="L300" i="110"/>
  <c r="AI300" i="110" s="1"/>
  <c r="L41" i="3"/>
  <c r="M45" i="3"/>
  <c r="AW20" i="124"/>
  <c r="AE268" i="110"/>
  <c r="O268" i="110"/>
  <c r="AL268" i="110" s="1"/>
  <c r="BD34" i="13"/>
  <c r="BD22" i="71"/>
  <c r="BD34" i="74"/>
  <c r="BD32" i="74"/>
  <c r="N285" i="110"/>
  <c r="R284" i="110"/>
  <c r="L310" i="110"/>
  <c r="AI310" i="110" s="1"/>
  <c r="N323" i="110"/>
  <c r="M300" i="110"/>
  <c r="AR268" i="110"/>
  <c r="L45" i="3"/>
  <c r="M268" i="110"/>
  <c r="L324" i="110"/>
  <c r="AI324" i="110" s="1"/>
  <c r="Q310" i="110"/>
  <c r="L311" i="110"/>
  <c r="AI311" i="110" s="1"/>
  <c r="O300" i="110"/>
  <c r="P300" i="110"/>
  <c r="R300" i="110"/>
  <c r="O284" i="110"/>
  <c r="AW26" i="134"/>
  <c r="L36" i="3"/>
  <c r="Q268" i="110"/>
  <c r="BD30" i="72"/>
  <c r="L271" i="110"/>
  <c r="AI271" i="110" s="1"/>
  <c r="O324" i="110"/>
  <c r="R310" i="110"/>
  <c r="AJ282" i="110"/>
  <c r="AR301" i="110"/>
  <c r="L301" i="110"/>
  <c r="AI301" i="110" s="1"/>
  <c r="P271" i="110"/>
  <c r="Q324" i="110"/>
  <c r="L323" i="110"/>
  <c r="AI323" i="110" s="1"/>
  <c r="AR300" i="110"/>
  <c r="R311" i="110"/>
  <c r="O271" i="110"/>
  <c r="N324" i="110"/>
  <c r="AE301" i="110"/>
  <c r="M323" i="110"/>
  <c r="O285" i="110"/>
  <c r="M311" i="110"/>
  <c r="M271" i="110"/>
  <c r="M324" i="110"/>
  <c r="N301" i="110"/>
  <c r="AK301" i="110" s="1"/>
  <c r="M301" i="110"/>
  <c r="AJ301" i="110" s="1"/>
  <c r="O323" i="110"/>
  <c r="Q301" i="110"/>
  <c r="M36" i="3"/>
  <c r="P311" i="110"/>
  <c r="P301" i="110"/>
  <c r="BD32" i="72"/>
  <c r="R301" i="110"/>
  <c r="P284" i="110"/>
  <c r="AE323" i="110"/>
  <c r="AJ308" i="110"/>
  <c r="Q311" i="110"/>
  <c r="Q300" i="110"/>
  <c r="AW16" i="134"/>
  <c r="AK266" i="110"/>
  <c r="AW20" i="64"/>
  <c r="E275" i="110"/>
  <c r="AZ26" i="70"/>
  <c r="BD26" i="70"/>
  <c r="AU76" i="119"/>
  <c r="J64" i="110" s="1"/>
  <c r="AX76" i="119"/>
  <c r="AG64" i="110" s="1"/>
  <c r="AZ76" i="119"/>
  <c r="AV76" i="119"/>
  <c r="S64" i="110"/>
  <c r="BF76" i="119"/>
  <c r="BB76" i="119"/>
  <c r="AY76" i="119"/>
  <c r="BA34" i="70"/>
  <c r="E279" i="110"/>
  <c r="AN222" i="110"/>
  <c r="Z12" i="66"/>
  <c r="G38" i="3" s="1"/>
  <c r="J320" i="110"/>
  <c r="C320" i="110" s="1"/>
  <c r="B320" i="110" s="1"/>
  <c r="BD26" i="74"/>
  <c r="BB26" i="74"/>
  <c r="AN320" i="110" s="1"/>
  <c r="AZ26" i="74"/>
  <c r="C271" i="110"/>
  <c r="B271" i="110" s="1"/>
  <c r="BA26" i="71"/>
  <c r="BD26" i="71"/>
  <c r="AZ26" i="71"/>
  <c r="J264" i="110"/>
  <c r="C264" i="110" s="1"/>
  <c r="B264" i="110" s="1"/>
  <c r="BB26" i="13"/>
  <c r="AN264" i="110" s="1"/>
  <c r="V12" i="13"/>
  <c r="I43" i="3" s="1"/>
  <c r="AZ26" i="13"/>
  <c r="E287" i="110"/>
  <c r="AQ20" i="110"/>
  <c r="BA26" i="70"/>
  <c r="BE76" i="119"/>
  <c r="AI268" i="110"/>
  <c r="AZ34" i="75"/>
  <c r="E335" i="110"/>
  <c r="BA34" i="75"/>
  <c r="BD34" i="75"/>
  <c r="AK298" i="110"/>
  <c r="AL298" i="110"/>
  <c r="AJ298" i="110"/>
  <c r="BD22" i="75"/>
  <c r="BA22" i="75"/>
  <c r="AZ22" i="75"/>
  <c r="AZ28" i="73"/>
  <c r="BA28" i="73"/>
  <c r="BB28" i="73"/>
  <c r="AN310" i="110" s="1"/>
  <c r="BD28" i="73"/>
  <c r="E329" i="110"/>
  <c r="P333" i="110"/>
  <c r="AZ30" i="75"/>
  <c r="M202" i="63"/>
  <c r="M200" i="125"/>
  <c r="M200" i="70"/>
  <c r="M200" i="124"/>
  <c r="M200" i="55"/>
  <c r="BB18" i="74"/>
  <c r="AN316" i="110" s="1"/>
  <c r="J316" i="110"/>
  <c r="C316" i="110" s="1"/>
  <c r="B316" i="110" s="1"/>
  <c r="J260" i="110"/>
  <c r="C260" i="110" s="1"/>
  <c r="B260" i="110" s="1"/>
  <c r="BB18" i="13"/>
  <c r="AN260" i="110" s="1"/>
  <c r="AW36" i="119"/>
  <c r="AF44" i="110" s="1"/>
  <c r="AH44" i="110" s="1"/>
  <c r="BB36" i="119"/>
  <c r="AD44" i="110"/>
  <c r="AZ18" i="70"/>
  <c r="AZ34" i="70"/>
  <c r="M200" i="57"/>
  <c r="BB20" i="72"/>
  <c r="AN295" i="110" s="1"/>
  <c r="AZ34" i="74"/>
  <c r="E324" i="110"/>
  <c r="AZ20" i="73"/>
  <c r="AD61" i="110"/>
  <c r="AU70" i="119"/>
  <c r="J61" i="110" s="1"/>
  <c r="BF70" i="119"/>
  <c r="BB60" i="119"/>
  <c r="AZ60" i="119"/>
  <c r="AU60" i="119"/>
  <c r="J56" i="110" s="1"/>
  <c r="AU48" i="119"/>
  <c r="J50" i="110" s="1"/>
  <c r="S50" i="110"/>
  <c r="BB48" i="119"/>
  <c r="AU13" i="119"/>
  <c r="Y5" i="71"/>
  <c r="M200" i="131"/>
  <c r="M203" i="128"/>
  <c r="M200" i="74"/>
  <c r="AX36" i="119"/>
  <c r="AG44" i="110" s="1"/>
  <c r="P307" i="110"/>
  <c r="BB20" i="75"/>
  <c r="AN328" i="110" s="1"/>
  <c r="AZ24" i="71"/>
  <c r="BB24" i="71"/>
  <c r="AN286" i="110" s="1"/>
  <c r="E5" i="74"/>
  <c r="E5" i="73"/>
  <c r="E5" i="13"/>
  <c r="E5" i="70"/>
  <c r="E5" i="75"/>
  <c r="Y1" i="126"/>
  <c r="Y1" i="57"/>
  <c r="BD20" i="72"/>
  <c r="BD22" i="73"/>
  <c r="Y5" i="13"/>
  <c r="BA20" i="74"/>
  <c r="AQ137" i="110"/>
  <c r="AN137" i="110"/>
  <c r="Y5" i="74"/>
  <c r="Y5" i="73"/>
  <c r="J290" i="110"/>
  <c r="C290" i="110" s="1"/>
  <c r="B290" i="110" s="1"/>
  <c r="AL296" i="110"/>
  <c r="Y1" i="133"/>
  <c r="Y1" i="81"/>
  <c r="Y1" i="131"/>
  <c r="AZ18" i="74"/>
  <c r="E229" i="110"/>
  <c r="AZ20" i="74"/>
  <c r="AZ20" i="72"/>
  <c r="AU36" i="119"/>
  <c r="J44" i="110" s="1"/>
  <c r="M200" i="126"/>
  <c r="AY36" i="119"/>
  <c r="S42" i="110"/>
  <c r="AU32" i="119"/>
  <c r="J42" i="110" s="1"/>
  <c r="AX32" i="119"/>
  <c r="AG42" i="110" s="1"/>
  <c r="AW32" i="119"/>
  <c r="AF42" i="110" s="1"/>
  <c r="AH42" i="110" s="1"/>
  <c r="BF32" i="119"/>
  <c r="BB32" i="119"/>
  <c r="AU20" i="119"/>
  <c r="J36" i="110" s="1"/>
  <c r="S36" i="110"/>
  <c r="AZ20" i="119"/>
  <c r="AY20" i="119"/>
  <c r="BD22" i="72"/>
  <c r="AI282" i="110"/>
  <c r="Y1" i="134"/>
  <c r="Y1" i="78"/>
  <c r="AZ32" i="13"/>
  <c r="BA24" i="13"/>
  <c r="V12" i="74"/>
  <c r="I48" i="3" s="1"/>
  <c r="BB32" i="71"/>
  <c r="AN290" i="110" s="1"/>
  <c r="BA20" i="72"/>
  <c r="C262" i="110"/>
  <c r="B262" i="110" s="1"/>
  <c r="AZ36" i="119"/>
  <c r="J309" i="110"/>
  <c r="C309" i="110" s="1"/>
  <c r="B309" i="110" s="1"/>
  <c r="BB26" i="73"/>
  <c r="AN309" i="110" s="1"/>
  <c r="BB58" i="121"/>
  <c r="Z117" i="110"/>
  <c r="AX58" i="121"/>
  <c r="AG117" i="110" s="1"/>
  <c r="AF117" i="110"/>
  <c r="AH117" i="110" s="1"/>
  <c r="AU58" i="121"/>
  <c r="J117" i="110" s="1"/>
  <c r="AV46" i="121"/>
  <c r="AF111" i="110"/>
  <c r="AH111" i="110" s="1"/>
  <c r="Z111" i="110"/>
  <c r="AU46" i="121"/>
  <c r="J111" i="110" s="1"/>
  <c r="C111" i="110" s="1"/>
  <c r="B111" i="110" s="1"/>
  <c r="AF105" i="110"/>
  <c r="AH105" i="110" s="1"/>
  <c r="F99" i="110"/>
  <c r="AU22" i="121"/>
  <c r="AW64" i="120"/>
  <c r="AF89" i="110" s="1"/>
  <c r="AH89" i="110" s="1"/>
  <c r="AW40" i="120"/>
  <c r="AF77" i="110" s="1"/>
  <c r="AH77" i="110" s="1"/>
  <c r="AU68" i="111"/>
  <c r="J27" i="110" s="1"/>
  <c r="AW68" i="111"/>
  <c r="AF27" i="110" s="1"/>
  <c r="AH27" i="110" s="1"/>
  <c r="AX56" i="111"/>
  <c r="AG21" i="110" s="1"/>
  <c r="AY56" i="111"/>
  <c r="BB44" i="111"/>
  <c r="AU44" i="111"/>
  <c r="J15" i="110" s="1"/>
  <c r="AW44" i="111"/>
  <c r="AF15" i="110" s="1"/>
  <c r="AH15" i="110" s="1"/>
  <c r="AY32" i="111"/>
  <c r="AW32" i="111"/>
  <c r="AF9" i="110" s="1"/>
  <c r="AH9" i="110" s="1"/>
  <c r="AD9" i="110"/>
  <c r="AX32" i="111"/>
  <c r="AG9" i="110" s="1"/>
  <c r="C270" i="110"/>
  <c r="B270" i="110" s="1"/>
  <c r="E289" i="110"/>
  <c r="BB28" i="74"/>
  <c r="AN321" i="110" s="1"/>
  <c r="J321" i="110"/>
  <c r="C321" i="110" s="1"/>
  <c r="B321" i="110" s="1"/>
  <c r="AZ28" i="74"/>
  <c r="BE54" i="119"/>
  <c r="S53" i="110"/>
  <c r="AY54" i="119"/>
  <c r="S47" i="110"/>
  <c r="BB42" i="119"/>
  <c r="AZ42" i="119"/>
  <c r="AU42" i="119"/>
  <c r="J47" i="110" s="1"/>
  <c r="AW60" i="119"/>
  <c r="AF56" i="110" s="1"/>
  <c r="AH56" i="110" s="1"/>
  <c r="AW48" i="119"/>
  <c r="AF50" i="110" s="1"/>
  <c r="AH50" i="110" s="1"/>
  <c r="AU13" i="134"/>
  <c r="S31" i="110"/>
  <c r="AH312" i="110"/>
  <c r="AY76" i="120"/>
  <c r="BE48" i="119"/>
  <c r="T161" i="110"/>
  <c r="AY40" i="119"/>
  <c r="AN130" i="110"/>
  <c r="AW56" i="120"/>
  <c r="AF85" i="110" s="1"/>
  <c r="AH85" i="110" s="1"/>
  <c r="AR263" i="110"/>
  <c r="Z12" i="65"/>
  <c r="G37" i="3" s="1"/>
  <c r="S25" i="110"/>
  <c r="AH272" i="110"/>
  <c r="AH285" i="110"/>
  <c r="BB52" i="120"/>
  <c r="BE66" i="119"/>
  <c r="C288" i="110"/>
  <c r="B288" i="110" s="1"/>
  <c r="AD30" i="110"/>
  <c r="T157" i="110"/>
  <c r="AF119" i="110"/>
  <c r="AH119" i="110" s="1"/>
  <c r="AW52" i="120"/>
  <c r="AF83" i="110" s="1"/>
  <c r="AH83" i="110" s="1"/>
  <c r="AW68" i="119"/>
  <c r="AF60" i="110" s="1"/>
  <c r="AH60" i="110" s="1"/>
  <c r="BE64" i="111"/>
  <c r="AF118" i="110"/>
  <c r="AH118" i="110" s="1"/>
  <c r="AW22" i="120"/>
  <c r="AF68" i="110" s="1"/>
  <c r="AH68" i="110" s="1"/>
  <c r="AW44" i="119"/>
  <c r="AF48" i="110" s="1"/>
  <c r="AH48" i="110" s="1"/>
  <c r="AI128" i="110"/>
  <c r="AH137" i="110"/>
  <c r="R12" i="134"/>
  <c r="AW76" i="119"/>
  <c r="AF64" i="110" s="1"/>
  <c r="AH64" i="110" s="1"/>
  <c r="AW20" i="119"/>
  <c r="AF36" i="110" s="1"/>
  <c r="AH36" i="110" s="1"/>
  <c r="AU11" i="133"/>
  <c r="AH134" i="110"/>
  <c r="AI131" i="110"/>
  <c r="R12" i="65"/>
  <c r="P37" i="3" s="1"/>
  <c r="C311" i="110"/>
  <c r="B311" i="110" s="1"/>
  <c r="AI278" i="110"/>
  <c r="AH277" i="110"/>
  <c r="C285" i="110"/>
  <c r="B285" i="110" s="1"/>
  <c r="C319" i="110"/>
  <c r="B319" i="110" s="1"/>
  <c r="C297" i="110"/>
  <c r="B297" i="110" s="1"/>
  <c r="AN230" i="110"/>
  <c r="AW70" i="120"/>
  <c r="AF92" i="110" s="1"/>
  <c r="AH92" i="110" s="1"/>
  <c r="AW40" i="119"/>
  <c r="AF46" i="110" s="1"/>
  <c r="AH46" i="110" s="1"/>
  <c r="W47" i="123"/>
  <c r="H18" i="123" s="1"/>
  <c r="H22" i="111" s="1"/>
  <c r="X4" i="110" s="1"/>
  <c r="AH132" i="110"/>
  <c r="AW66" i="120"/>
  <c r="AF90" i="110" s="1"/>
  <c r="AH90" i="110" s="1"/>
  <c r="AN132" i="110"/>
  <c r="AZ16" i="13"/>
  <c r="AN193" i="110"/>
  <c r="S19" i="110"/>
  <c r="AW72" i="119"/>
  <c r="AF62" i="110" s="1"/>
  <c r="AH62" i="110" s="1"/>
  <c r="AI133" i="110"/>
  <c r="R12" i="64"/>
  <c r="J36" i="3" s="1"/>
  <c r="R12" i="71"/>
  <c r="P45" i="3" s="1"/>
  <c r="C333" i="110"/>
  <c r="B333" i="110" s="1"/>
  <c r="AD6" i="110"/>
  <c r="AZ32" i="72"/>
  <c r="T177" i="110"/>
  <c r="W20" i="63"/>
  <c r="AF125" i="110"/>
  <c r="AH125" i="110" s="1"/>
  <c r="AF106" i="110"/>
  <c r="AH106" i="110" s="1"/>
  <c r="AQ187" i="110"/>
  <c r="AQ190" i="110"/>
  <c r="W24" i="63"/>
  <c r="AQ182" i="110"/>
  <c r="AN191" i="110"/>
  <c r="AQ184" i="110"/>
  <c r="AQ183" i="110"/>
  <c r="E5" i="63"/>
  <c r="AQ185" i="110"/>
  <c r="E5" i="65"/>
  <c r="E5" i="124"/>
  <c r="E5" i="64"/>
  <c r="E5" i="66"/>
  <c r="E5" i="132"/>
  <c r="E5" i="134"/>
  <c r="C140" i="3"/>
  <c r="C216" i="3"/>
  <c r="A140" i="3"/>
  <c r="D140" i="3"/>
  <c r="AV200" i="66"/>
  <c r="H38" i="3" s="1"/>
  <c r="AN235" i="110"/>
  <c r="Z12" i="124"/>
  <c r="G39" i="3" s="1"/>
  <c r="F31" i="3"/>
  <c r="AF133" i="110"/>
  <c r="AH133" i="110" s="1"/>
  <c r="BA28" i="71"/>
  <c r="BD28" i="71"/>
  <c r="AZ28" i="71"/>
  <c r="E288" i="110"/>
  <c r="E313" i="110"/>
  <c r="AZ34" i="73"/>
  <c r="BA34" i="73"/>
  <c r="C317" i="110"/>
  <c r="B317" i="110" s="1"/>
  <c r="AD26" i="79"/>
  <c r="N37" i="81"/>
  <c r="U24" i="126"/>
  <c r="J248" i="110"/>
  <c r="AN248" i="110" s="1"/>
  <c r="AU200" i="134"/>
  <c r="V12" i="134" s="1"/>
  <c r="I41" i="3" s="1"/>
  <c r="E219" i="110"/>
  <c r="K219" i="110"/>
  <c r="C273" i="110"/>
  <c r="B273" i="110" s="1"/>
  <c r="BD34" i="70"/>
  <c r="AW54" i="119"/>
  <c r="AF53" i="110" s="1"/>
  <c r="AH53" i="110" s="1"/>
  <c r="AW22" i="119"/>
  <c r="AF37" i="110" s="1"/>
  <c r="AH37" i="110" s="1"/>
  <c r="AV200" i="134"/>
  <c r="H41" i="3" s="1"/>
  <c r="AW74" i="119"/>
  <c r="AF63" i="110" s="1"/>
  <c r="AH63" i="110" s="1"/>
  <c r="AW42" i="119"/>
  <c r="AF47" i="110" s="1"/>
  <c r="AH47" i="110" s="1"/>
  <c r="AY200" i="134"/>
  <c r="AX200" i="134"/>
  <c r="N41" i="3" s="1"/>
  <c r="AW62" i="119"/>
  <c r="AF57" i="110" s="1"/>
  <c r="AH57" i="110" s="1"/>
  <c r="AW30" i="119"/>
  <c r="AF41" i="110" s="1"/>
  <c r="AH41" i="110" s="1"/>
  <c r="Z12" i="134"/>
  <c r="G41" i="3" s="1"/>
  <c r="AF130" i="110"/>
  <c r="AH130" i="110" s="1"/>
  <c r="AW200" i="133"/>
  <c r="AW50" i="119"/>
  <c r="AF51" i="110" s="1"/>
  <c r="AH51" i="110" s="1"/>
  <c r="AW18" i="119"/>
  <c r="AL18" i="119" s="1"/>
  <c r="AU200" i="65"/>
  <c r="V12" i="65" s="1"/>
  <c r="I37" i="3" s="1"/>
  <c r="AU200" i="133"/>
  <c r="V12" i="133" s="1"/>
  <c r="I31" i="3" s="1"/>
  <c r="AX200" i="133"/>
  <c r="R12" i="66"/>
  <c r="AW70" i="119"/>
  <c r="AF61" i="110" s="1"/>
  <c r="AH61" i="110" s="1"/>
  <c r="AW38" i="119"/>
  <c r="AF45" i="110" s="1"/>
  <c r="AH45" i="110" s="1"/>
  <c r="AW58" i="119"/>
  <c r="AF55" i="110" s="1"/>
  <c r="AH55" i="110" s="1"/>
  <c r="AW26" i="119"/>
  <c r="AF39" i="110" s="1"/>
  <c r="AH39" i="110" s="1"/>
  <c r="AW22" i="134"/>
  <c r="AW56" i="119"/>
  <c r="AF54" i="110" s="1"/>
  <c r="AH54" i="110" s="1"/>
  <c r="AW24" i="119"/>
  <c r="AF38" i="110" s="1"/>
  <c r="AH38" i="110" s="1"/>
  <c r="V129" i="110"/>
  <c r="AF121" i="110"/>
  <c r="AH121" i="110" s="1"/>
  <c r="AF115" i="110"/>
  <c r="AH115" i="110" s="1"/>
  <c r="AF109" i="110"/>
  <c r="AH109" i="110" s="1"/>
  <c r="AF103" i="110"/>
  <c r="AH103" i="110" s="1"/>
  <c r="AJ18" i="121"/>
  <c r="AW54" i="120"/>
  <c r="AF84" i="110" s="1"/>
  <c r="AH84" i="110" s="1"/>
  <c r="AW30" i="120"/>
  <c r="AF72" i="110" s="1"/>
  <c r="AH72" i="110" s="1"/>
  <c r="Q41" i="3"/>
  <c r="AW46" i="119"/>
  <c r="AF49" i="110" s="1"/>
  <c r="AH49" i="110" s="1"/>
  <c r="AW66" i="119"/>
  <c r="AF59" i="110" s="1"/>
  <c r="AH59" i="110" s="1"/>
  <c r="AW34" i="119"/>
  <c r="AF43" i="110" s="1"/>
  <c r="AH43" i="110" s="1"/>
  <c r="AW62" i="111"/>
  <c r="AF24" i="110" s="1"/>
  <c r="AH24" i="110" s="1"/>
  <c r="AW38" i="111"/>
  <c r="AF12" i="110" s="1"/>
  <c r="AH12" i="110" s="1"/>
  <c r="BB20" i="121"/>
  <c r="AF120" i="110"/>
  <c r="AH120" i="110" s="1"/>
  <c r="AF108" i="110"/>
  <c r="AH108" i="110" s="1"/>
  <c r="AF116" i="110"/>
  <c r="AH116" i="110" s="1"/>
  <c r="AF104" i="110"/>
  <c r="AH104" i="110" s="1"/>
  <c r="AW68" i="120"/>
  <c r="AF91" i="110" s="1"/>
  <c r="AH91" i="110" s="1"/>
  <c r="AW44" i="120"/>
  <c r="AF79" i="110" s="1"/>
  <c r="AH79" i="110" s="1"/>
  <c r="AW20" i="120"/>
  <c r="AJ20" i="120" s="1"/>
  <c r="AZ200" i="134"/>
  <c r="J41" i="3" s="1"/>
  <c r="AL290" i="110" l="1"/>
  <c r="AJ276" i="110"/>
  <c r="C123" i="110"/>
  <c r="B123" i="110" s="1"/>
  <c r="N239" i="110" a="1"/>
  <c r="N239" i="110" s="1"/>
  <c r="M239" i="110" a="1"/>
  <c r="M239" i="110" s="1"/>
  <c r="AN239" i="110" s="1"/>
  <c r="AJ290" i="110"/>
  <c r="AK276" i="110"/>
  <c r="K40" i="3"/>
  <c r="Z12" i="63"/>
  <c r="G35" i="3" s="1"/>
  <c r="R12" i="132"/>
  <c r="J40" i="3" s="1"/>
  <c r="M40" i="3"/>
  <c r="L40" i="3"/>
  <c r="M240" i="110" a="1"/>
  <c r="M240" i="110" s="1"/>
  <c r="AN240" i="110" s="1"/>
  <c r="N240" i="110" a="1"/>
  <c r="N240" i="110" s="1"/>
  <c r="AW22" i="132"/>
  <c r="N238" i="110" a="1"/>
  <c r="N238" i="110" s="1"/>
  <c r="M238" i="110" a="1"/>
  <c r="M238" i="110" s="1"/>
  <c r="AN238" i="110" s="1"/>
  <c r="AW18" i="132"/>
  <c r="BE24" i="120"/>
  <c r="BE20" i="120"/>
  <c r="AL321" i="110"/>
  <c r="AK290" i="110"/>
  <c r="C92" i="110"/>
  <c r="B92" i="110" s="1"/>
  <c r="H43" i="3"/>
  <c r="AX200" i="124"/>
  <c r="N39" i="3" s="1"/>
  <c r="AF100" i="110"/>
  <c r="AH100" i="110" s="1"/>
  <c r="BE24" i="121"/>
  <c r="AF99" i="110"/>
  <c r="AH99" i="110" s="1"/>
  <c r="BE22" i="121"/>
  <c r="AF98" i="110"/>
  <c r="AH98" i="110" s="1"/>
  <c r="BE20" i="121"/>
  <c r="M39" i="3"/>
  <c r="C76" i="110"/>
  <c r="B76" i="110" s="1"/>
  <c r="AL334" i="110"/>
  <c r="BG26" i="13"/>
  <c r="BE26" i="13" s="1"/>
  <c r="AK26" i="13"/>
  <c r="R264" i="110" s="1"/>
  <c r="AU18" i="13"/>
  <c r="AM260" i="110" s="1"/>
  <c r="BC16" i="13"/>
  <c r="BG16" i="13" s="1"/>
  <c r="BE16" i="13" s="1"/>
  <c r="C80" i="110"/>
  <c r="B80" i="110" s="1"/>
  <c r="AD187" i="110"/>
  <c r="AC185" i="110"/>
  <c r="C125" i="110"/>
  <c r="B125" i="110" s="1"/>
  <c r="H47" i="3"/>
  <c r="T5" i="137"/>
  <c r="T5" i="133"/>
  <c r="T5" i="119"/>
  <c r="T5" i="121"/>
  <c r="T5" i="122"/>
  <c r="T5" i="135"/>
  <c r="T5" i="111"/>
  <c r="T5" i="120"/>
  <c r="O5" i="133"/>
  <c r="O5" i="119"/>
  <c r="O5" i="122"/>
  <c r="O5" i="137"/>
  <c r="O5" i="135"/>
  <c r="O5" i="111"/>
  <c r="O5" i="121"/>
  <c r="O5" i="120"/>
  <c r="AD5" i="121"/>
  <c r="AD5" i="111"/>
  <c r="AD5" i="120"/>
  <c r="AD5" i="119"/>
  <c r="AD5" i="122"/>
  <c r="AD5" i="133"/>
  <c r="AD5" i="137"/>
  <c r="AD5" i="135"/>
  <c r="Y5" i="137"/>
  <c r="Y5" i="119"/>
  <c r="Y5" i="135"/>
  <c r="Y5" i="120"/>
  <c r="Y5" i="122"/>
  <c r="Y5" i="133"/>
  <c r="Y5" i="121"/>
  <c r="Y5" i="111"/>
  <c r="J5" i="133"/>
  <c r="J5" i="119"/>
  <c r="J5" i="122"/>
  <c r="J5" i="135"/>
  <c r="J5" i="111"/>
  <c r="J5" i="137"/>
  <c r="J5" i="120"/>
  <c r="J5" i="121"/>
  <c r="BE22" i="120"/>
  <c r="AL275" i="110"/>
  <c r="AJ275" i="110"/>
  <c r="AK275" i="110"/>
  <c r="BF22" i="120"/>
  <c r="C36" i="110"/>
  <c r="B36" i="110" s="1"/>
  <c r="AO18" i="133"/>
  <c r="AY18" i="133" s="1"/>
  <c r="BA18" i="133"/>
  <c r="AZ200" i="124"/>
  <c r="J39" i="3" s="1"/>
  <c r="AL306" i="110"/>
  <c r="R18" i="110"/>
  <c r="Q39" i="3"/>
  <c r="C86" i="110"/>
  <c r="B86" i="110" s="1"/>
  <c r="E100" i="110"/>
  <c r="BC24" i="121"/>
  <c r="BD24" i="121" s="1"/>
  <c r="BF24" i="121" s="1"/>
  <c r="K39" i="3"/>
  <c r="AJ26" i="121"/>
  <c r="AQ101" i="110" s="1"/>
  <c r="BD26" i="121"/>
  <c r="BF26" i="121" s="1"/>
  <c r="AJ24" i="121"/>
  <c r="C101" i="110"/>
  <c r="B101" i="110" s="1"/>
  <c r="AJ22" i="120"/>
  <c r="BJ22" i="120"/>
  <c r="C74" i="110"/>
  <c r="B74" i="110" s="1"/>
  <c r="R12" i="124"/>
  <c r="L39" i="3"/>
  <c r="C31" i="110"/>
  <c r="B31" i="110" s="1"/>
  <c r="AK20" i="13"/>
  <c r="BE20" i="13"/>
  <c r="M227" i="110" a="1"/>
  <c r="M227" i="110" s="1"/>
  <c r="AN227" i="110" s="1"/>
  <c r="N227" i="110" a="1"/>
  <c r="N227" i="110" s="1"/>
  <c r="AW18" i="124"/>
  <c r="M229" i="110" a="1"/>
  <c r="M229" i="110" s="1"/>
  <c r="AN229" i="110" s="1"/>
  <c r="N229" i="110" a="1"/>
  <c r="N229" i="110" s="1"/>
  <c r="AW22" i="124"/>
  <c r="N187" i="110" a="1"/>
  <c r="N187" i="110" s="1"/>
  <c r="M187" i="110" a="1"/>
  <c r="M187" i="110" s="1"/>
  <c r="AN187" i="110" s="1"/>
  <c r="BH18" i="122"/>
  <c r="M152" i="110"/>
  <c r="AQ97" i="110"/>
  <c r="AV18" i="121"/>
  <c r="BC22" i="121"/>
  <c r="BB22" i="121"/>
  <c r="E98" i="110"/>
  <c r="BC20" i="121"/>
  <c r="BD20" i="121" s="1"/>
  <c r="BF20" i="121" s="1"/>
  <c r="AJ20" i="121"/>
  <c r="E97" i="110"/>
  <c r="BC18" i="121"/>
  <c r="BD18" i="121" s="1"/>
  <c r="BF18" i="121" s="1"/>
  <c r="BC28" i="120"/>
  <c r="BD28" i="120" s="1"/>
  <c r="BF28" i="120" s="1"/>
  <c r="AJ28" i="120"/>
  <c r="BD38" i="111"/>
  <c r="BG38" i="111" s="1"/>
  <c r="AL32" i="111"/>
  <c r="AQ9" i="110" s="1"/>
  <c r="BF38" i="111"/>
  <c r="AL38" i="111"/>
  <c r="AL319" i="110"/>
  <c r="AK319" i="110"/>
  <c r="E112" i="110"/>
  <c r="E105" i="110"/>
  <c r="E103" i="110"/>
  <c r="E99" i="110"/>
  <c r="E111" i="110"/>
  <c r="E102" i="110"/>
  <c r="E106" i="110"/>
  <c r="AJ22" i="121"/>
  <c r="AJ319" i="110"/>
  <c r="C61" i="110"/>
  <c r="B61" i="110" s="1"/>
  <c r="AK16" i="75"/>
  <c r="BC18" i="73"/>
  <c r="AK18" i="73" s="1"/>
  <c r="R12" i="73" s="1"/>
  <c r="L304" i="110"/>
  <c r="AI304" i="110" s="1"/>
  <c r="N304" i="110"/>
  <c r="P304" i="110"/>
  <c r="M304" i="110"/>
  <c r="Q304" i="110"/>
  <c r="O304" i="110"/>
  <c r="R304" i="110"/>
  <c r="AE304" i="110"/>
  <c r="BD16" i="73"/>
  <c r="AK16" i="74"/>
  <c r="AJ316" i="110"/>
  <c r="AK316" i="110"/>
  <c r="C89" i="110"/>
  <c r="B89" i="110" s="1"/>
  <c r="AJ18" i="120"/>
  <c r="C77" i="110"/>
  <c r="B77" i="110" s="1"/>
  <c r="P20" i="110"/>
  <c r="AK16" i="13"/>
  <c r="AW24" i="63"/>
  <c r="M185" i="110" a="1"/>
  <c r="M185" i="110" s="1"/>
  <c r="AN185" i="110" s="1"/>
  <c r="N185" i="110" a="1"/>
  <c r="N185" i="110" s="1"/>
  <c r="AW22" i="63"/>
  <c r="N184" i="110" a="1"/>
  <c r="N184" i="110" s="1"/>
  <c r="M184" i="110" a="1"/>
  <c r="M184" i="110" s="1"/>
  <c r="AN184" i="110" s="1"/>
  <c r="M182" i="110" a="1"/>
  <c r="M182" i="110" s="1"/>
  <c r="AN182" i="110" s="1"/>
  <c r="N182" i="110" a="1"/>
  <c r="N182" i="110" s="1"/>
  <c r="AW26" i="63"/>
  <c r="M186" i="110" a="1"/>
  <c r="M186" i="110" s="1"/>
  <c r="AN186" i="110" s="1"/>
  <c r="N186" i="110" a="1"/>
  <c r="N186" i="110" s="1"/>
  <c r="AW30" i="63"/>
  <c r="M188" i="110" a="1"/>
  <c r="M188" i="110" s="1"/>
  <c r="AN188" i="110" s="1"/>
  <c r="N188" i="110" a="1"/>
  <c r="N188" i="110" s="1"/>
  <c r="AW20" i="63"/>
  <c r="M183" i="110" a="1"/>
  <c r="M183" i="110" s="1"/>
  <c r="AN183" i="110" s="1"/>
  <c r="N183" i="110" a="1"/>
  <c r="N183" i="110" s="1"/>
  <c r="M189" i="110" a="1"/>
  <c r="M189" i="110" s="1"/>
  <c r="AN189" i="110" s="1"/>
  <c r="N189" i="110" a="1"/>
  <c r="N189" i="110" s="1"/>
  <c r="M11" i="137"/>
  <c r="L33" i="3"/>
  <c r="R12" i="137"/>
  <c r="P33" i="3" s="1"/>
  <c r="AJ288" i="110"/>
  <c r="O116" i="110"/>
  <c r="AL116" i="110" s="1"/>
  <c r="Q116" i="110"/>
  <c r="AE116" i="110"/>
  <c r="M116" i="110"/>
  <c r="AN116" i="110" s="1"/>
  <c r="K35" i="3"/>
  <c r="N116" i="110"/>
  <c r="AL274" i="110"/>
  <c r="N81" i="110"/>
  <c r="AK81" i="110" s="1"/>
  <c r="M18" i="110"/>
  <c r="AN18" i="110" s="1"/>
  <c r="M32" i="110"/>
  <c r="AN32" i="110" s="1"/>
  <c r="N32" i="110"/>
  <c r="AK32" i="110" s="1"/>
  <c r="Q18" i="110"/>
  <c r="AE18" i="110"/>
  <c r="AE32" i="110"/>
  <c r="R32" i="110"/>
  <c r="Q32" i="110"/>
  <c r="L32" i="110"/>
  <c r="AI32" i="110" s="1"/>
  <c r="AK274" i="110"/>
  <c r="AJ274" i="110"/>
  <c r="Q29" i="110"/>
  <c r="R12" i="135"/>
  <c r="L160" i="110"/>
  <c r="AI160" i="110" s="1"/>
  <c r="O160" i="110"/>
  <c r="AK160" i="110" s="1"/>
  <c r="AE160" i="110"/>
  <c r="AC186" i="110"/>
  <c r="AV202" i="63"/>
  <c r="H35" i="3" s="1"/>
  <c r="C122" i="110"/>
  <c r="B122" i="110" s="1"/>
  <c r="P168" i="110"/>
  <c r="P32" i="110"/>
  <c r="AD190" i="110"/>
  <c r="L32" i="3"/>
  <c r="P18" i="110"/>
  <c r="AV32" i="111"/>
  <c r="BF32" i="111"/>
  <c r="BD32" i="111"/>
  <c r="AL289" i="110"/>
  <c r="AX202" i="63"/>
  <c r="N35" i="3" s="1"/>
  <c r="M35" i="3"/>
  <c r="BF24" i="119"/>
  <c r="AL24" i="119"/>
  <c r="AL20" i="119"/>
  <c r="BC24" i="119"/>
  <c r="BE24" i="119" s="1"/>
  <c r="C49" i="110"/>
  <c r="B49" i="110" s="1"/>
  <c r="Q35" i="3"/>
  <c r="AZ202" i="63"/>
  <c r="J35" i="3" s="1"/>
  <c r="L35" i="3"/>
  <c r="R12" i="63"/>
  <c r="AD182" i="110"/>
  <c r="AD184" i="110"/>
  <c r="AK328" i="110"/>
  <c r="U1" i="137"/>
  <c r="AK289" i="110"/>
  <c r="AL317" i="110"/>
  <c r="AK317" i="110"/>
  <c r="P116" i="110"/>
  <c r="AL330" i="110"/>
  <c r="AK330" i="110"/>
  <c r="AC189" i="110"/>
  <c r="AC188" i="110"/>
  <c r="C26" i="110"/>
  <c r="B26" i="110" s="1"/>
  <c r="C100" i="110"/>
  <c r="B100" i="110" s="1"/>
  <c r="E109" i="110"/>
  <c r="BC42" i="121"/>
  <c r="AI116" i="110"/>
  <c r="BF34" i="120"/>
  <c r="AV18" i="133"/>
  <c r="AQ129" i="110"/>
  <c r="AJ42" i="121"/>
  <c r="BD42" i="121"/>
  <c r="BF42" i="121" s="1"/>
  <c r="BD32" i="121"/>
  <c r="BF32" i="121" s="1"/>
  <c r="AJ32" i="121"/>
  <c r="AF74" i="110"/>
  <c r="AH74" i="110" s="1"/>
  <c r="AJ34" i="120"/>
  <c r="AL38" i="119"/>
  <c r="P45" i="110" s="1"/>
  <c r="BF38" i="119"/>
  <c r="BC38" i="119"/>
  <c r="BE38" i="119" s="1"/>
  <c r="BD38" i="119"/>
  <c r="BG38" i="119" s="1"/>
  <c r="BD22" i="119"/>
  <c r="BG22" i="119" s="1"/>
  <c r="AL34" i="111"/>
  <c r="BF34" i="111"/>
  <c r="BD34" i="111"/>
  <c r="AF8" i="110"/>
  <c r="AH8" i="110" s="1"/>
  <c r="BF30" i="111"/>
  <c r="AL30" i="111"/>
  <c r="J8" i="110"/>
  <c r="C8" i="110" s="1"/>
  <c r="BG30" i="111"/>
  <c r="BF30" i="121"/>
  <c r="BD30" i="121"/>
  <c r="AJ30" i="121"/>
  <c r="AL22" i="119"/>
  <c r="BF22" i="119"/>
  <c r="C48" i="110"/>
  <c r="B48" i="110" s="1"/>
  <c r="C116" i="110"/>
  <c r="B116" i="110" s="1"/>
  <c r="C109" i="110"/>
  <c r="B109" i="110" s="1"/>
  <c r="C94" i="110"/>
  <c r="B94" i="110" s="1"/>
  <c r="AL40" i="111"/>
  <c r="P13" i="110" s="1"/>
  <c r="AZ28" i="122"/>
  <c r="BE28" i="122" s="1"/>
  <c r="BF28" i="122" s="1"/>
  <c r="AN133" i="110"/>
  <c r="AV26" i="133"/>
  <c r="BA26" i="133"/>
  <c r="AQ133" i="110"/>
  <c r="AV30" i="133"/>
  <c r="BA30" i="133"/>
  <c r="AN135" i="110"/>
  <c r="E110" i="110"/>
  <c r="BC44" i="121"/>
  <c r="AJ54" i="121"/>
  <c r="BD52" i="121"/>
  <c r="BF52" i="121" s="1"/>
  <c r="AJ52" i="121"/>
  <c r="C110" i="110"/>
  <c r="B110" i="110" s="1"/>
  <c r="BD44" i="121"/>
  <c r="BF44" i="121" s="1"/>
  <c r="AJ44" i="121"/>
  <c r="BD54" i="121"/>
  <c r="BF54" i="121" s="1"/>
  <c r="BC52" i="120"/>
  <c r="BD52" i="120" s="1"/>
  <c r="AQ80" i="110"/>
  <c r="AV46" i="120"/>
  <c r="AF80" i="110"/>
  <c r="AH80" i="110" s="1"/>
  <c r="BH46" i="120"/>
  <c r="AJ52" i="120"/>
  <c r="AL30" i="119"/>
  <c r="BD18" i="119"/>
  <c r="BG18" i="119" s="1"/>
  <c r="BC30" i="119"/>
  <c r="BE30" i="119" s="1"/>
  <c r="BD30" i="119"/>
  <c r="BG30" i="119" s="1"/>
  <c r="BF30" i="119"/>
  <c r="BF40" i="111"/>
  <c r="BD40" i="111"/>
  <c r="BG40" i="111" s="1"/>
  <c r="AF11" i="110"/>
  <c r="AH11" i="110" s="1"/>
  <c r="BF36" i="111"/>
  <c r="AL36" i="111"/>
  <c r="P11" i="110" s="1"/>
  <c r="AK273" i="110"/>
  <c r="C10" i="110"/>
  <c r="B10" i="110" s="1"/>
  <c r="AL28" i="111"/>
  <c r="P29" i="110"/>
  <c r="AL288" i="110"/>
  <c r="Q22" i="110"/>
  <c r="N22" i="110"/>
  <c r="M22" i="110"/>
  <c r="AN22" i="110" s="1"/>
  <c r="R22" i="110"/>
  <c r="L22" i="110"/>
  <c r="O22" i="110"/>
  <c r="C115" i="110"/>
  <c r="B115" i="110" s="1"/>
  <c r="AJ273" i="110"/>
  <c r="C97" i="110"/>
  <c r="B97" i="110" s="1"/>
  <c r="C35" i="110"/>
  <c r="B35" i="110" s="1"/>
  <c r="C53" i="110"/>
  <c r="B53" i="110" s="1"/>
  <c r="P33" i="110"/>
  <c r="C9" i="110"/>
  <c r="B9" i="110" s="1"/>
  <c r="Q27" i="110"/>
  <c r="C16" i="110"/>
  <c r="B16" i="110" s="1"/>
  <c r="BF42" i="119"/>
  <c r="BD42" i="119"/>
  <c r="BG42" i="119" s="1"/>
  <c r="BC42" i="119"/>
  <c r="BE42" i="119" s="1"/>
  <c r="AL42" i="119"/>
  <c r="Q33" i="110"/>
  <c r="N33" i="110"/>
  <c r="O33" i="110"/>
  <c r="M33" i="110"/>
  <c r="AN33" i="110" s="1"/>
  <c r="L33" i="110"/>
  <c r="AI33" i="110" s="1"/>
  <c r="AY22" i="133"/>
  <c r="BA22" i="133"/>
  <c r="AV22" i="133"/>
  <c r="AQ131" i="110"/>
  <c r="BD36" i="121"/>
  <c r="BF36" i="121" s="1"/>
  <c r="C69" i="110"/>
  <c r="B69" i="110" s="1"/>
  <c r="BC24" i="120"/>
  <c r="BD24" i="120" s="1"/>
  <c r="BF24" i="120" s="1"/>
  <c r="AJ24" i="120"/>
  <c r="BF46" i="111"/>
  <c r="AL46" i="111"/>
  <c r="BD46" i="111"/>
  <c r="BG46" i="111" s="1"/>
  <c r="C33" i="110"/>
  <c r="B33" i="110" s="1"/>
  <c r="AL335" i="110"/>
  <c r="C21" i="110"/>
  <c r="B21" i="110" s="1"/>
  <c r="C87" i="110"/>
  <c r="B87" i="110" s="1"/>
  <c r="AI287" i="110"/>
  <c r="AL283" i="110"/>
  <c r="AL332" i="110"/>
  <c r="AJ332" i="110"/>
  <c r="P81" i="110"/>
  <c r="Q81" i="110"/>
  <c r="C106" i="110"/>
  <c r="B106" i="110" s="1"/>
  <c r="C112" i="110"/>
  <c r="B112" i="110" s="1"/>
  <c r="C104" i="110"/>
  <c r="B104" i="110" s="1"/>
  <c r="C88" i="110"/>
  <c r="B88" i="110" s="1"/>
  <c r="AD191" i="110"/>
  <c r="AL273" i="110"/>
  <c r="AE81" i="110"/>
  <c r="Q25" i="110"/>
  <c r="L81" i="110"/>
  <c r="AL81" i="110" s="1"/>
  <c r="Q30" i="110"/>
  <c r="R81" i="110"/>
  <c r="M81" i="110"/>
  <c r="AJ81" i="110" s="1"/>
  <c r="Q26" i="110"/>
  <c r="C22" i="110"/>
  <c r="B22" i="110" s="1"/>
  <c r="Q31" i="110"/>
  <c r="C28" i="110"/>
  <c r="B28" i="110" s="1"/>
  <c r="C32" i="110"/>
  <c r="B32" i="110" s="1"/>
  <c r="N93" i="110"/>
  <c r="Q93" i="110"/>
  <c r="AE93" i="110"/>
  <c r="M93" i="110"/>
  <c r="AN93" i="110" s="1"/>
  <c r="O93" i="110"/>
  <c r="AL93" i="110" s="1"/>
  <c r="C20" i="110"/>
  <c r="B20" i="110" s="1"/>
  <c r="C19" i="110"/>
  <c r="B19" i="110" s="1"/>
  <c r="P28" i="110"/>
  <c r="M180" i="110"/>
  <c r="AJ180" i="110" s="1"/>
  <c r="AE180" i="110"/>
  <c r="Q28" i="110"/>
  <c r="C124" i="110"/>
  <c r="B124" i="110" s="1"/>
  <c r="P22" i="110"/>
  <c r="C118" i="110"/>
  <c r="B118" i="110" s="1"/>
  <c r="C75" i="110"/>
  <c r="B75" i="110" s="1"/>
  <c r="C54" i="110"/>
  <c r="B54" i="110" s="1"/>
  <c r="C60" i="110"/>
  <c r="B60" i="110" s="1"/>
  <c r="C46" i="110"/>
  <c r="B46" i="110" s="1"/>
  <c r="AL329" i="110"/>
  <c r="C85" i="110"/>
  <c r="B85" i="110" s="1"/>
  <c r="C59" i="110"/>
  <c r="B59" i="110" s="1"/>
  <c r="BF20" i="119"/>
  <c r="BC20" i="119"/>
  <c r="BE20" i="119" s="1"/>
  <c r="C41" i="110"/>
  <c r="B41" i="110" s="1"/>
  <c r="AK329" i="110"/>
  <c r="AJ329" i="110"/>
  <c r="Q19" i="110"/>
  <c r="BC18" i="72"/>
  <c r="AJ320" i="110"/>
  <c r="C73" i="110"/>
  <c r="B73" i="110" s="1"/>
  <c r="R179" i="110"/>
  <c r="AI331" i="110"/>
  <c r="C52" i="110"/>
  <c r="B52" i="110" s="1"/>
  <c r="C40" i="110"/>
  <c r="B40" i="110" s="1"/>
  <c r="C25" i="110"/>
  <c r="B25" i="110" s="1"/>
  <c r="C121" i="110"/>
  <c r="B121" i="110" s="1"/>
  <c r="C70" i="110"/>
  <c r="B70" i="110" s="1"/>
  <c r="AI327" i="110"/>
  <c r="C114" i="110"/>
  <c r="B114" i="110" s="1"/>
  <c r="Q164" i="110"/>
  <c r="C24" i="110"/>
  <c r="B24" i="110" s="1"/>
  <c r="C13" i="110"/>
  <c r="B13" i="110" s="1"/>
  <c r="N18" i="110"/>
  <c r="AK18" i="110" s="1"/>
  <c r="L18" i="110"/>
  <c r="AL18" i="110" s="1"/>
  <c r="R168" i="110"/>
  <c r="O169" i="110"/>
  <c r="AJ169" i="110" s="1"/>
  <c r="C84" i="110"/>
  <c r="B84" i="110" s="1"/>
  <c r="C67" i="110"/>
  <c r="B67" i="110" s="1"/>
  <c r="BC20" i="120"/>
  <c r="BD20" i="120" s="1"/>
  <c r="AF67" i="110"/>
  <c r="AH67" i="110" s="1"/>
  <c r="AL313" i="110"/>
  <c r="C7" i="110"/>
  <c r="B7" i="110" s="1"/>
  <c r="BC28" i="111"/>
  <c r="BE28" i="111" s="1"/>
  <c r="BF28" i="111"/>
  <c r="AE171" i="110"/>
  <c r="AL309" i="110"/>
  <c r="AJ309" i="110"/>
  <c r="P171" i="110"/>
  <c r="C72" i="110"/>
  <c r="B72" i="110" s="1"/>
  <c r="C83" i="110"/>
  <c r="B83" i="110" s="1"/>
  <c r="O161" i="110"/>
  <c r="AK161" i="110" s="1"/>
  <c r="AR163" i="110"/>
  <c r="M163" i="110"/>
  <c r="L163" i="110"/>
  <c r="AI163" i="110" s="1"/>
  <c r="O163" i="110"/>
  <c r="AK163" i="110" s="1"/>
  <c r="BE26" i="111"/>
  <c r="O17" i="110"/>
  <c r="AJ17" i="110" s="1"/>
  <c r="AE161" i="110"/>
  <c r="P176" i="110"/>
  <c r="O11" i="110"/>
  <c r="L17" i="110"/>
  <c r="AI17" i="110" s="1"/>
  <c r="AJ328" i="110"/>
  <c r="Q21" i="110"/>
  <c r="AL328" i="110"/>
  <c r="R17" i="110"/>
  <c r="M21" i="110"/>
  <c r="AN21" i="110" s="1"/>
  <c r="R21" i="110"/>
  <c r="N21" i="110"/>
  <c r="P21" i="110"/>
  <c r="P17" i="110"/>
  <c r="AE21" i="110"/>
  <c r="O21" i="110"/>
  <c r="AL21" i="110" s="1"/>
  <c r="N17" i="110"/>
  <c r="Q17" i="110"/>
  <c r="C12" i="110"/>
  <c r="B12" i="110" s="1"/>
  <c r="AE33" i="110"/>
  <c r="Q176" i="110"/>
  <c r="C103" i="110"/>
  <c r="B103" i="110" s="1"/>
  <c r="R93" i="110"/>
  <c r="Q172" i="110"/>
  <c r="AE172" i="110"/>
  <c r="M172" i="110"/>
  <c r="AJ172" i="110" s="1"/>
  <c r="R172" i="110"/>
  <c r="L172" i="110"/>
  <c r="AI172" i="110" s="1"/>
  <c r="N172" i="110"/>
  <c r="AK172" i="110" s="1"/>
  <c r="C82" i="110"/>
  <c r="B82" i="110" s="1"/>
  <c r="Q169" i="110"/>
  <c r="R11" i="110"/>
  <c r="R171" i="110"/>
  <c r="AE17" i="110"/>
  <c r="AD5" i="132"/>
  <c r="AK335" i="110"/>
  <c r="AI93" i="110"/>
  <c r="AJ335" i="110"/>
  <c r="AK322" i="110"/>
  <c r="AL322" i="110"/>
  <c r="AJ322" i="110"/>
  <c r="BD26" i="111"/>
  <c r="C102" i="110"/>
  <c r="B102" i="110" s="1"/>
  <c r="C58" i="110"/>
  <c r="B58" i="110" s="1"/>
  <c r="C178" i="110"/>
  <c r="B178" i="110" s="1"/>
  <c r="C57" i="110"/>
  <c r="B57" i="110" s="1"/>
  <c r="BB68" i="122"/>
  <c r="AN177" i="110" s="1"/>
  <c r="C63" i="110"/>
  <c r="B63" i="110" s="1"/>
  <c r="C168" i="110"/>
  <c r="B168" i="110" s="1"/>
  <c r="C45" i="110"/>
  <c r="B45" i="110" s="1"/>
  <c r="C18" i="110"/>
  <c r="B18" i="110" s="1"/>
  <c r="C62" i="110"/>
  <c r="B62" i="110" s="1"/>
  <c r="BF26" i="111"/>
  <c r="J6" i="110"/>
  <c r="C6" i="110" s="1"/>
  <c r="B6" i="110" s="1"/>
  <c r="BF18" i="119"/>
  <c r="C51" i="110"/>
  <c r="B51" i="110" s="1"/>
  <c r="Q163" i="110"/>
  <c r="C176" i="110"/>
  <c r="B176" i="110" s="1"/>
  <c r="C98" i="110"/>
  <c r="B98" i="110" s="1"/>
  <c r="O158" i="110"/>
  <c r="M158" i="110"/>
  <c r="C126" i="110"/>
  <c r="B126" i="110" s="1"/>
  <c r="AC183" i="110"/>
  <c r="C108" i="110"/>
  <c r="B108" i="110" s="1"/>
  <c r="N158" i="110"/>
  <c r="L158" i="110"/>
  <c r="AI158" i="110" s="1"/>
  <c r="C95" i="110"/>
  <c r="B95" i="110" s="1"/>
  <c r="C158" i="110"/>
  <c r="B158" i="110" s="1"/>
  <c r="C71" i="110"/>
  <c r="B71" i="110" s="1"/>
  <c r="P175" i="110"/>
  <c r="P93" i="110"/>
  <c r="R153" i="110"/>
  <c r="AL333" i="110"/>
  <c r="Q153" i="110"/>
  <c r="BB66" i="122"/>
  <c r="AN176" i="110" s="1"/>
  <c r="Q159" i="110"/>
  <c r="R160" i="110"/>
  <c r="Q160" i="110"/>
  <c r="Q156" i="110"/>
  <c r="AK318" i="110"/>
  <c r="BE58" i="122"/>
  <c r="BF58" i="122" s="1"/>
  <c r="C55" i="110"/>
  <c r="B55" i="110" s="1"/>
  <c r="C39" i="110"/>
  <c r="B39" i="110" s="1"/>
  <c r="C30" i="110"/>
  <c r="B30" i="110" s="1"/>
  <c r="P159" i="110"/>
  <c r="C120" i="110"/>
  <c r="B120" i="110" s="1"/>
  <c r="C171" i="110"/>
  <c r="B171" i="110" s="1"/>
  <c r="BB22" i="122"/>
  <c r="AN154" i="110" s="1"/>
  <c r="R163" i="110"/>
  <c r="C159" i="110"/>
  <c r="B159" i="110" s="1"/>
  <c r="R158" i="110"/>
  <c r="P164" i="110"/>
  <c r="R159" i="110"/>
  <c r="BB36" i="122"/>
  <c r="AN161" i="110" s="1"/>
  <c r="BB32" i="122"/>
  <c r="AN159" i="110" s="1"/>
  <c r="BB72" i="122"/>
  <c r="AN179" i="110" s="1"/>
  <c r="BB62" i="122"/>
  <c r="AN174" i="110" s="1"/>
  <c r="C169" i="110"/>
  <c r="B169" i="110" s="1"/>
  <c r="C93" i="110"/>
  <c r="B93" i="110" s="1"/>
  <c r="BE68" i="122"/>
  <c r="BF68" i="122" s="1"/>
  <c r="BB64" i="122"/>
  <c r="AN175" i="110" s="1"/>
  <c r="R20" i="123"/>
  <c r="R24" i="111" s="1"/>
  <c r="Y5" i="110" s="1"/>
  <c r="P180" i="110"/>
  <c r="BB20" i="122"/>
  <c r="AN153" i="110" s="1"/>
  <c r="BB74" i="122"/>
  <c r="AN180" i="110" s="1"/>
  <c r="BE70" i="122"/>
  <c r="BF70" i="122" s="1"/>
  <c r="Q162" i="110"/>
  <c r="C43" i="110"/>
  <c r="B43" i="110" s="1"/>
  <c r="Q154" i="110"/>
  <c r="AQ164" i="110"/>
  <c r="C163" i="110"/>
  <c r="B163" i="110" s="1"/>
  <c r="BB24" i="122"/>
  <c r="AN155" i="110" s="1"/>
  <c r="BB26" i="122"/>
  <c r="AN156" i="110" s="1"/>
  <c r="BE32" i="122"/>
  <c r="BF32" i="122" s="1"/>
  <c r="C167" i="110"/>
  <c r="B167" i="110" s="1"/>
  <c r="AZ48" i="122"/>
  <c r="BB48" i="122" s="1"/>
  <c r="AN167" i="110" s="1"/>
  <c r="AD5" i="124"/>
  <c r="AD5" i="134"/>
  <c r="AK284" i="110"/>
  <c r="AJ272" i="110"/>
  <c r="C166" i="110"/>
  <c r="B166" i="110" s="1"/>
  <c r="AQ178" i="110"/>
  <c r="C154" i="110"/>
  <c r="B154" i="110" s="1"/>
  <c r="C180" i="110"/>
  <c r="B180" i="110" s="1"/>
  <c r="C160" i="110"/>
  <c r="B160" i="110" s="1"/>
  <c r="AF20" i="123"/>
  <c r="AH24" i="111" s="1"/>
  <c r="BC24" i="111" s="1"/>
  <c r="C179" i="110"/>
  <c r="B179" i="110" s="1"/>
  <c r="C174" i="110"/>
  <c r="B174" i="110" s="1"/>
  <c r="BB38" i="122"/>
  <c r="AN162" i="110" s="1"/>
  <c r="Z12" i="133"/>
  <c r="G31" i="3" s="1"/>
  <c r="J172" i="110"/>
  <c r="C172" i="110" s="1"/>
  <c r="B172" i="110" s="1"/>
  <c r="BE20" i="122"/>
  <c r="BF20" i="122" s="1"/>
  <c r="BE74" i="122"/>
  <c r="BF74" i="122" s="1"/>
  <c r="BB58" i="122"/>
  <c r="AN172" i="110" s="1"/>
  <c r="AD5" i="66"/>
  <c r="J162" i="110"/>
  <c r="C162" i="110" s="1"/>
  <c r="B162" i="110" s="1"/>
  <c r="BB30" i="122"/>
  <c r="AN158" i="110" s="1"/>
  <c r="BE54" i="122"/>
  <c r="BF54" i="122" s="1"/>
  <c r="AD5" i="64"/>
  <c r="BB34" i="122"/>
  <c r="AN160" i="110" s="1"/>
  <c r="BE60" i="122"/>
  <c r="BF60" i="122" s="1"/>
  <c r="BE40" i="122"/>
  <c r="BF40" i="122" s="1"/>
  <c r="BE42" i="122"/>
  <c r="BF42" i="122" s="1"/>
  <c r="BE44" i="122"/>
  <c r="BF44" i="122" s="1"/>
  <c r="P160" i="110"/>
  <c r="BB46" i="122"/>
  <c r="AN166" i="110" s="1"/>
  <c r="P174" i="110"/>
  <c r="BB56" i="122"/>
  <c r="AN171" i="110" s="1"/>
  <c r="BE34" i="122"/>
  <c r="BF34" i="122" s="1"/>
  <c r="BE56" i="122"/>
  <c r="BF56" i="122" s="1"/>
  <c r="M20" i="123"/>
  <c r="U20" i="123"/>
  <c r="U24" i="111" s="1"/>
  <c r="Y20" i="123"/>
  <c r="Y24" i="111" s="1"/>
  <c r="T5" i="110" s="1"/>
  <c r="AD20" i="123"/>
  <c r="AD24" i="111" s="1"/>
  <c r="F5" i="110" s="1"/>
  <c r="AH20" i="123"/>
  <c r="BC20" i="123" s="1"/>
  <c r="BB40" i="122"/>
  <c r="AN163" i="110" s="1"/>
  <c r="AA20" i="123"/>
  <c r="AA24" i="111" s="1"/>
  <c r="G5" i="110" s="1"/>
  <c r="BE66" i="122"/>
  <c r="BF66" i="122" s="1"/>
  <c r="C175" i="110"/>
  <c r="B175" i="110" s="1"/>
  <c r="C170" i="110"/>
  <c r="B170" i="110" s="1"/>
  <c r="BB54" i="122"/>
  <c r="AN170" i="110" s="1"/>
  <c r="K20" i="123"/>
  <c r="K24" i="111" s="1"/>
  <c r="AO5" i="110" s="1"/>
  <c r="BB52" i="122"/>
  <c r="AN169" i="110" s="1"/>
  <c r="AD5" i="63"/>
  <c r="AL286" i="110"/>
  <c r="BE38" i="122"/>
  <c r="BF38" i="122" s="1"/>
  <c r="BE72" i="122"/>
  <c r="BF72" i="122" s="1"/>
  <c r="BE64" i="122"/>
  <c r="BF64" i="122" s="1"/>
  <c r="BE46" i="122"/>
  <c r="BF46" i="122" s="1"/>
  <c r="AQ163" i="110"/>
  <c r="P163" i="110"/>
  <c r="BB70" i="122"/>
  <c r="AN178" i="110" s="1"/>
  <c r="BE50" i="122"/>
  <c r="BF50" i="122" s="1"/>
  <c r="P169" i="110"/>
  <c r="C155" i="110"/>
  <c r="B155" i="110" s="1"/>
  <c r="BE30" i="122"/>
  <c r="BF30" i="122" s="1"/>
  <c r="AQ169" i="110"/>
  <c r="J164" i="110"/>
  <c r="C164" i="110" s="1"/>
  <c r="B164" i="110" s="1"/>
  <c r="BE36" i="122"/>
  <c r="BF36" i="122" s="1"/>
  <c r="BB60" i="122"/>
  <c r="AN173" i="110" s="1"/>
  <c r="BE62" i="122"/>
  <c r="BF62" i="122" s="1"/>
  <c r="BE26" i="122"/>
  <c r="BF26" i="122" s="1"/>
  <c r="BB44" i="122"/>
  <c r="AN165" i="110" s="1"/>
  <c r="BE52" i="122"/>
  <c r="BF52" i="122" s="1"/>
  <c r="BB42" i="122"/>
  <c r="AN164" i="110" s="1"/>
  <c r="BE22" i="122"/>
  <c r="BF22" i="122" s="1"/>
  <c r="BE24" i="122"/>
  <c r="BF24" i="122" s="1"/>
  <c r="BB50" i="122"/>
  <c r="AN168" i="110" s="1"/>
  <c r="BE18" i="122"/>
  <c r="BB18" i="122"/>
  <c r="AN152" i="110" s="1"/>
  <c r="AU16" i="122"/>
  <c r="BC16" i="122" s="1"/>
  <c r="AI175" i="110"/>
  <c r="AK286" i="110"/>
  <c r="AI307" i="110"/>
  <c r="AL291" i="110"/>
  <c r="O5" i="64"/>
  <c r="O5" i="65"/>
  <c r="O5" i="63"/>
  <c r="O5" i="134"/>
  <c r="O5" i="124"/>
  <c r="AJ279" i="110"/>
  <c r="AK312" i="110"/>
  <c r="AJ286" i="110"/>
  <c r="C156" i="110"/>
  <c r="B156" i="110" s="1"/>
  <c r="Y5" i="134"/>
  <c r="U1" i="63"/>
  <c r="J152" i="110"/>
  <c r="C152" i="110" s="1"/>
  <c r="B152" i="110" s="1"/>
  <c r="L169" i="110"/>
  <c r="AI169" i="110" s="1"/>
  <c r="L176" i="110"/>
  <c r="AI176" i="110" s="1"/>
  <c r="J173" i="110"/>
  <c r="C173" i="110" s="1"/>
  <c r="B173" i="110" s="1"/>
  <c r="J157" i="110"/>
  <c r="C157" i="110" s="1"/>
  <c r="B157" i="110" s="1"/>
  <c r="J161" i="110"/>
  <c r="C161" i="110" s="1"/>
  <c r="B161" i="110" s="1"/>
  <c r="J153" i="110"/>
  <c r="C153" i="110" s="1"/>
  <c r="B153" i="110" s="1"/>
  <c r="J151" i="110"/>
  <c r="C151" i="110" s="1"/>
  <c r="B151" i="110" s="1"/>
  <c r="BE16" i="122"/>
  <c r="BB16" i="122"/>
  <c r="C81" i="110"/>
  <c r="B81" i="110" s="1"/>
  <c r="AI173" i="110"/>
  <c r="Q173" i="110"/>
  <c r="AF151" i="110"/>
  <c r="AH151" i="110" s="1"/>
  <c r="P158" i="110"/>
  <c r="M173" i="110"/>
  <c r="V12" i="122"/>
  <c r="I30" i="3" s="1"/>
  <c r="R173" i="110"/>
  <c r="O173" i="110"/>
  <c r="AL173" i="110" s="1"/>
  <c r="N173" i="110"/>
  <c r="AE173" i="110"/>
  <c r="F30" i="3"/>
  <c r="F53" i="3" s="1"/>
  <c r="N175" i="110"/>
  <c r="AE175" i="110"/>
  <c r="O175" i="110"/>
  <c r="AL175" i="110" s="1"/>
  <c r="M175" i="110"/>
  <c r="Q177" i="110"/>
  <c r="AE163" i="110"/>
  <c r="M160" i="110"/>
  <c r="P173" i="110"/>
  <c r="Q175" i="110"/>
  <c r="AQ173" i="110"/>
  <c r="N169" i="110"/>
  <c r="R156" i="110"/>
  <c r="N156" i="110"/>
  <c r="N164" i="110"/>
  <c r="M164" i="110"/>
  <c r="L164" i="110"/>
  <c r="AI164" i="110" s="1"/>
  <c r="R176" i="110"/>
  <c r="M176" i="110"/>
  <c r="AJ176" i="110" s="1"/>
  <c r="AE176" i="110"/>
  <c r="N176" i="110"/>
  <c r="AK176" i="110" s="1"/>
  <c r="P172" i="110"/>
  <c r="P179" i="110"/>
  <c r="R169" i="110"/>
  <c r="R164" i="110"/>
  <c r="AE164" i="110"/>
  <c r="J165" i="110"/>
  <c r="C165" i="110" s="1"/>
  <c r="B165" i="110" s="1"/>
  <c r="R175" i="110"/>
  <c r="O164" i="110"/>
  <c r="O5" i="66"/>
  <c r="N11" i="110"/>
  <c r="M11" i="110"/>
  <c r="AN11" i="110" s="1"/>
  <c r="L11" i="110"/>
  <c r="AI11" i="110" s="1"/>
  <c r="C90" i="110"/>
  <c r="B90" i="110" s="1"/>
  <c r="R116" i="110"/>
  <c r="T5" i="66"/>
  <c r="M20" i="110"/>
  <c r="AN20" i="110" s="1"/>
  <c r="T5" i="124"/>
  <c r="R29" i="110"/>
  <c r="O20" i="110"/>
  <c r="M161" i="110"/>
  <c r="AL320" i="110"/>
  <c r="U1" i="128"/>
  <c r="L30" i="110"/>
  <c r="AI30" i="110" s="1"/>
  <c r="AE20" i="110"/>
  <c r="L161" i="110"/>
  <c r="AI161" i="110" s="1"/>
  <c r="O30" i="110"/>
  <c r="AE30" i="110"/>
  <c r="R161" i="110"/>
  <c r="L20" i="110"/>
  <c r="AI20" i="110" s="1"/>
  <c r="J5" i="65"/>
  <c r="Q161" i="110"/>
  <c r="C119" i="110"/>
  <c r="B119" i="110" s="1"/>
  <c r="T5" i="64"/>
  <c r="AJ310" i="110"/>
  <c r="N20" i="110"/>
  <c r="AK291" i="110"/>
  <c r="N159" i="110"/>
  <c r="AK159" i="110" s="1"/>
  <c r="M159" i="110"/>
  <c r="AJ159" i="110" s="1"/>
  <c r="AE159" i="110"/>
  <c r="L159" i="110"/>
  <c r="AI159" i="110" s="1"/>
  <c r="M30" i="110"/>
  <c r="AN30" i="110" s="1"/>
  <c r="Q20" i="110"/>
  <c r="AL279" i="110"/>
  <c r="T5" i="63"/>
  <c r="AJ277" i="110"/>
  <c r="P30" i="110"/>
  <c r="M29" i="110"/>
  <c r="AN29" i="110" s="1"/>
  <c r="Q158" i="110"/>
  <c r="U1" i="123"/>
  <c r="R30" i="110"/>
  <c r="N30" i="110"/>
  <c r="P161" i="110"/>
  <c r="T5" i="134"/>
  <c r="N29" i="110"/>
  <c r="O29" i="110"/>
  <c r="AJ291" i="110"/>
  <c r="L171" i="110"/>
  <c r="AI171" i="110" s="1"/>
  <c r="M171" i="110"/>
  <c r="AJ171" i="110" s="1"/>
  <c r="N171" i="110"/>
  <c r="AK171" i="110" s="1"/>
  <c r="Q171" i="110"/>
  <c r="J5" i="134"/>
  <c r="T5" i="65"/>
  <c r="J5" i="63"/>
  <c r="AK279" i="110"/>
  <c r="AW16" i="124"/>
  <c r="AL318" i="110"/>
  <c r="L91" i="110"/>
  <c r="AI91" i="110" s="1"/>
  <c r="AR160" i="110"/>
  <c r="AJ312" i="110"/>
  <c r="M79" i="110"/>
  <c r="AN79" i="110" s="1"/>
  <c r="P79" i="110"/>
  <c r="AK272" i="110"/>
  <c r="AL272" i="110"/>
  <c r="R79" i="110"/>
  <c r="O79" i="110"/>
  <c r="J11" i="64"/>
  <c r="AE91" i="110"/>
  <c r="P91" i="110"/>
  <c r="C66" i="110"/>
  <c r="B66" i="110" s="1"/>
  <c r="L79" i="110"/>
  <c r="AI79" i="110" s="1"/>
  <c r="AU200" i="120"/>
  <c r="V12" i="120" s="1"/>
  <c r="I28" i="3" s="1"/>
  <c r="J5" i="132"/>
  <c r="J5" i="124"/>
  <c r="C78" i="110"/>
  <c r="B78" i="110" s="1"/>
  <c r="Y5" i="64"/>
  <c r="Y5" i="66"/>
  <c r="Y5" i="63"/>
  <c r="Y5" i="124"/>
  <c r="Y5" i="132"/>
  <c r="Y5" i="65"/>
  <c r="J5" i="66"/>
  <c r="Q79" i="110"/>
  <c r="R91" i="110"/>
  <c r="Q91" i="110"/>
  <c r="AE79" i="110"/>
  <c r="O91" i="110"/>
  <c r="U1" i="135"/>
  <c r="M91" i="110"/>
  <c r="AN91" i="110" s="1"/>
  <c r="AL276" i="110"/>
  <c r="AR174" i="110"/>
  <c r="AL277" i="110"/>
  <c r="H44" i="3"/>
  <c r="BC16" i="70"/>
  <c r="AR175" i="110"/>
  <c r="AV16" i="133"/>
  <c r="AQ128" i="110"/>
  <c r="C177" i="110"/>
  <c r="B177" i="110" s="1"/>
  <c r="AI21" i="110"/>
  <c r="M18" i="123"/>
  <c r="AE157" i="110"/>
  <c r="N157" i="110"/>
  <c r="L157" i="110"/>
  <c r="AI157" i="110" s="1"/>
  <c r="R157" i="110"/>
  <c r="M157" i="110"/>
  <c r="AR164" i="110"/>
  <c r="O157" i="110"/>
  <c r="U18" i="123"/>
  <c r="U22" i="111" s="1"/>
  <c r="AD18" i="123"/>
  <c r="AD22" i="111" s="1"/>
  <c r="F4" i="110" s="1"/>
  <c r="AR157" i="110"/>
  <c r="AH18" i="123"/>
  <c r="Y18" i="123"/>
  <c r="Y22" i="111" s="1"/>
  <c r="T4" i="110" s="1"/>
  <c r="J11" i="66"/>
  <c r="AA18" i="123"/>
  <c r="AA22" i="111" s="1"/>
  <c r="G4" i="110" s="1"/>
  <c r="K18" i="123"/>
  <c r="K22" i="111" s="1"/>
  <c r="AO4" i="110" s="1"/>
  <c r="AI5" i="66"/>
  <c r="U1" i="49"/>
  <c r="AE169" i="110"/>
  <c r="O156" i="110"/>
  <c r="U1" i="57"/>
  <c r="AF18" i="123"/>
  <c r="AH22" i="111" s="1"/>
  <c r="M168" i="110"/>
  <c r="AJ168" i="110" s="1"/>
  <c r="AR170" i="110"/>
  <c r="Q168" i="110"/>
  <c r="U1" i="74"/>
  <c r="U1" i="65"/>
  <c r="M170" i="110"/>
  <c r="N168" i="110"/>
  <c r="AK168" i="110" s="1"/>
  <c r="U1" i="121"/>
  <c r="AE170" i="110"/>
  <c r="C117" i="110"/>
  <c r="B117" i="110" s="1"/>
  <c r="AE168" i="110"/>
  <c r="Q174" i="110"/>
  <c r="AI5" i="132"/>
  <c r="N170" i="110"/>
  <c r="AL324" i="110"/>
  <c r="U1" i="78"/>
  <c r="AR158" i="110"/>
  <c r="M156" i="110"/>
  <c r="AL302" i="110"/>
  <c r="AK302" i="110"/>
  <c r="AJ302" i="110"/>
  <c r="AE156" i="110"/>
  <c r="J11" i="134"/>
  <c r="R165" i="110"/>
  <c r="AR176" i="110"/>
  <c r="AR162" i="110"/>
  <c r="AI5" i="124"/>
  <c r="R18" i="123"/>
  <c r="R22" i="111" s="1"/>
  <c r="Y4" i="110" s="1"/>
  <c r="U1" i="13"/>
  <c r="U1" i="8"/>
  <c r="AR169" i="110"/>
  <c r="L23" i="110"/>
  <c r="AI23" i="110" s="1"/>
  <c r="R23" i="110"/>
  <c r="AE23" i="110"/>
  <c r="N23" i="110"/>
  <c r="O23" i="110"/>
  <c r="M23" i="110"/>
  <c r="AN23" i="110" s="1"/>
  <c r="P23" i="110"/>
  <c r="M27" i="110"/>
  <c r="AN27" i="110" s="1"/>
  <c r="N27" i="110"/>
  <c r="O27" i="110"/>
  <c r="L27" i="110"/>
  <c r="AI27" i="110" s="1"/>
  <c r="P27" i="110"/>
  <c r="AE27" i="110"/>
  <c r="R27" i="110"/>
  <c r="L29" i="110"/>
  <c r="AI29" i="110" s="1"/>
  <c r="AE29" i="110"/>
  <c r="U1" i="70"/>
  <c r="U1" i="126"/>
  <c r="U1" i="131"/>
  <c r="O19" i="110"/>
  <c r="L19" i="110"/>
  <c r="AI19" i="110" s="1"/>
  <c r="M19" i="110"/>
  <c r="AN19" i="110" s="1"/>
  <c r="R19" i="110"/>
  <c r="N19" i="110"/>
  <c r="AE19" i="110"/>
  <c r="P19" i="110"/>
  <c r="O153" i="110"/>
  <c r="AE153" i="110"/>
  <c r="L153" i="110"/>
  <c r="AI153" i="110" s="1"/>
  <c r="AR153" i="110"/>
  <c r="M153" i="110"/>
  <c r="N153" i="110"/>
  <c r="P153" i="110"/>
  <c r="U1" i="66"/>
  <c r="U1" i="124"/>
  <c r="U1" i="73"/>
  <c r="AE31" i="110"/>
  <c r="L31" i="110"/>
  <c r="AI31" i="110" s="1"/>
  <c r="R31" i="110"/>
  <c r="N31" i="110"/>
  <c r="M31" i="110"/>
  <c r="AN31" i="110" s="1"/>
  <c r="O31" i="110"/>
  <c r="L165" i="110"/>
  <c r="AI165" i="110" s="1"/>
  <c r="O165" i="110"/>
  <c r="M165" i="110"/>
  <c r="AR165" i="110"/>
  <c r="AE165" i="110"/>
  <c r="P165" i="110"/>
  <c r="N165" i="110"/>
  <c r="N155" i="110"/>
  <c r="AR155" i="110"/>
  <c r="L155" i="110"/>
  <c r="AI155" i="110" s="1"/>
  <c r="M155" i="110"/>
  <c r="AE155" i="110"/>
  <c r="O155" i="110"/>
  <c r="P155" i="110"/>
  <c r="AR171" i="110"/>
  <c r="O177" i="110"/>
  <c r="R177" i="110"/>
  <c r="AR177" i="110"/>
  <c r="AE177" i="110"/>
  <c r="M177" i="110"/>
  <c r="L177" i="110"/>
  <c r="AI177" i="110" s="1"/>
  <c r="P177" i="110"/>
  <c r="N177" i="110"/>
  <c r="AR173" i="110"/>
  <c r="M14" i="110"/>
  <c r="AN14" i="110" s="1"/>
  <c r="R14" i="110"/>
  <c r="L14" i="110"/>
  <c r="AI14" i="110" s="1"/>
  <c r="N14" i="110"/>
  <c r="Q14" i="110"/>
  <c r="O14" i="110"/>
  <c r="AE14" i="110"/>
  <c r="P14" i="110"/>
  <c r="L179" i="110"/>
  <c r="O179" i="110"/>
  <c r="N179" i="110"/>
  <c r="Q179" i="110"/>
  <c r="AE179" i="110"/>
  <c r="AR179" i="110"/>
  <c r="M179" i="110"/>
  <c r="R155" i="110"/>
  <c r="Q155" i="110"/>
  <c r="N26" i="110"/>
  <c r="M26" i="110"/>
  <c r="AN26" i="110" s="1"/>
  <c r="AE26" i="110"/>
  <c r="R26" i="110"/>
  <c r="L26" i="110"/>
  <c r="AI26" i="110" s="1"/>
  <c r="O26" i="110"/>
  <c r="P26" i="110"/>
  <c r="AJ311" i="110"/>
  <c r="R24" i="110"/>
  <c r="M24" i="110"/>
  <c r="AN24" i="110" s="1"/>
  <c r="N24" i="110"/>
  <c r="Q24" i="110"/>
  <c r="AE24" i="110"/>
  <c r="L24" i="110"/>
  <c r="AI24" i="110" s="1"/>
  <c r="P24" i="110"/>
  <c r="O24" i="110"/>
  <c r="L28" i="110"/>
  <c r="AI28" i="110" s="1"/>
  <c r="N28" i="110"/>
  <c r="O28" i="110"/>
  <c r="AE28" i="110"/>
  <c r="M28" i="110"/>
  <c r="AN28" i="110" s="1"/>
  <c r="R28" i="110"/>
  <c r="AR159" i="110"/>
  <c r="AR172" i="110"/>
  <c r="U1" i="134"/>
  <c r="U1" i="55"/>
  <c r="C56" i="110"/>
  <c r="B56" i="110" s="1"/>
  <c r="AR154" i="110"/>
  <c r="O154" i="110"/>
  <c r="R154" i="110"/>
  <c r="AE154" i="110"/>
  <c r="L154" i="110"/>
  <c r="P154" i="110"/>
  <c r="M154" i="110"/>
  <c r="N154" i="110"/>
  <c r="O166" i="110"/>
  <c r="AR166" i="110"/>
  <c r="Q166" i="110"/>
  <c r="L166" i="110"/>
  <c r="AI166" i="110" s="1"/>
  <c r="M166" i="110"/>
  <c r="R166" i="110"/>
  <c r="AE166" i="110"/>
  <c r="N166" i="110"/>
  <c r="AR156" i="110"/>
  <c r="L156" i="110"/>
  <c r="AI156" i="110" s="1"/>
  <c r="P156" i="110"/>
  <c r="P166" i="110"/>
  <c r="O162" i="110"/>
  <c r="AE162" i="110"/>
  <c r="M162" i="110"/>
  <c r="N162" i="110"/>
  <c r="R162" i="110"/>
  <c r="L162" i="110"/>
  <c r="AI162" i="110" s="1"/>
  <c r="AE13" i="110"/>
  <c r="M13" i="110"/>
  <c r="AN13" i="110" s="1"/>
  <c r="O13" i="110"/>
  <c r="R13" i="110"/>
  <c r="N13" i="110"/>
  <c r="L13" i="110"/>
  <c r="AI13" i="110" s="1"/>
  <c r="AR178" i="110"/>
  <c r="O178" i="110"/>
  <c r="Q178" i="110"/>
  <c r="P178" i="110"/>
  <c r="AE178" i="110"/>
  <c r="M178" i="110"/>
  <c r="R178" i="110"/>
  <c r="N178" i="110"/>
  <c r="L178" i="110"/>
  <c r="AI178" i="110" s="1"/>
  <c r="L168" i="110"/>
  <c r="AI168" i="110" s="1"/>
  <c r="AR168" i="110"/>
  <c r="AR161" i="110"/>
  <c r="U1" i="119"/>
  <c r="L170" i="110"/>
  <c r="AI170" i="110" s="1"/>
  <c r="Q170" i="110"/>
  <c r="O170" i="110"/>
  <c r="R170" i="110"/>
  <c r="P170" i="110"/>
  <c r="O174" i="110"/>
  <c r="M174" i="110"/>
  <c r="AE174" i="110"/>
  <c r="N174" i="110"/>
  <c r="R174" i="110"/>
  <c r="L174" i="110"/>
  <c r="AI174" i="110" s="1"/>
  <c r="Q165" i="110"/>
  <c r="R25" i="110"/>
  <c r="AE25" i="110"/>
  <c r="N25" i="110"/>
  <c r="M25" i="110"/>
  <c r="AN25" i="110" s="1"/>
  <c r="L25" i="110"/>
  <c r="AI25" i="110" s="1"/>
  <c r="O25" i="110"/>
  <c r="P25" i="110"/>
  <c r="R15" i="110"/>
  <c r="M15" i="110"/>
  <c r="AN15" i="110" s="1"/>
  <c r="N15" i="110"/>
  <c r="L15" i="110"/>
  <c r="AI15" i="110" s="1"/>
  <c r="AE15" i="110"/>
  <c r="O15" i="110"/>
  <c r="P15" i="110"/>
  <c r="Q102" i="110"/>
  <c r="R102" i="110"/>
  <c r="M102" i="110"/>
  <c r="AN102" i="110" s="1"/>
  <c r="L102" i="110"/>
  <c r="AI102" i="110" s="1"/>
  <c r="N102" i="110"/>
  <c r="O102" i="110"/>
  <c r="P102" i="110"/>
  <c r="AE102" i="110"/>
  <c r="L180" i="110"/>
  <c r="AI180" i="110" s="1"/>
  <c r="Q180" i="110"/>
  <c r="AR180" i="110"/>
  <c r="N180" i="110"/>
  <c r="AK180" i="110" s="1"/>
  <c r="R180" i="110"/>
  <c r="Q15" i="110"/>
  <c r="P162" i="110"/>
  <c r="P31" i="110"/>
  <c r="P36" i="3"/>
  <c r="AL311" i="110"/>
  <c r="AL310" i="110"/>
  <c r="AK310" i="110"/>
  <c r="J37" i="3"/>
  <c r="AL284" i="110"/>
  <c r="J11" i="71"/>
  <c r="AL285" i="110"/>
  <c r="AJ284" i="110"/>
  <c r="AK324" i="110"/>
  <c r="AJ324" i="110"/>
  <c r="AK271" i="110"/>
  <c r="AJ271" i="110"/>
  <c r="AL271" i="110"/>
  <c r="AJ300" i="110"/>
  <c r="AK323" i="110"/>
  <c r="AK268" i="110"/>
  <c r="AJ268" i="110"/>
  <c r="AJ285" i="110"/>
  <c r="AL323" i="110"/>
  <c r="AJ323" i="110"/>
  <c r="AL300" i="110"/>
  <c r="AK300" i="110"/>
  <c r="AL301" i="110"/>
  <c r="AK285" i="110"/>
  <c r="M44" i="110"/>
  <c r="AN44" i="110" s="1"/>
  <c r="L44" i="110"/>
  <c r="AI44" i="110" s="1"/>
  <c r="R44" i="110"/>
  <c r="O44" i="110"/>
  <c r="Q44" i="110"/>
  <c r="AE44" i="110"/>
  <c r="P44" i="110"/>
  <c r="N44" i="110"/>
  <c r="AI5" i="134"/>
  <c r="U1" i="132"/>
  <c r="U1" i="111"/>
  <c r="C64" i="110"/>
  <c r="B64" i="110" s="1"/>
  <c r="O112" i="110"/>
  <c r="N112" i="110"/>
  <c r="L112" i="110"/>
  <c r="AI112" i="110" s="1"/>
  <c r="R112" i="110"/>
  <c r="AE112" i="110"/>
  <c r="M112" i="110"/>
  <c r="AN112" i="110" s="1"/>
  <c r="P112" i="110"/>
  <c r="Q112" i="110"/>
  <c r="AI5" i="65"/>
  <c r="AI5" i="63"/>
  <c r="AI5" i="64"/>
  <c r="O107" i="110"/>
  <c r="Q107" i="110"/>
  <c r="M107" i="110"/>
  <c r="AN107" i="110" s="1"/>
  <c r="R107" i="110"/>
  <c r="AE107" i="110"/>
  <c r="L107" i="110"/>
  <c r="AI107" i="110" s="1"/>
  <c r="P107" i="110"/>
  <c r="N107" i="110"/>
  <c r="AE89" i="110"/>
  <c r="O89" i="110"/>
  <c r="N89" i="110"/>
  <c r="M89" i="110"/>
  <c r="AN89" i="110" s="1"/>
  <c r="R89" i="110"/>
  <c r="L89" i="110"/>
  <c r="AI89" i="110" s="1"/>
  <c r="Q89" i="110"/>
  <c r="P89" i="110"/>
  <c r="U1" i="120"/>
  <c r="U1" i="130"/>
  <c r="L124" i="110"/>
  <c r="AI124" i="110" s="1"/>
  <c r="N124" i="110"/>
  <c r="Q124" i="110"/>
  <c r="O124" i="110"/>
  <c r="M124" i="110"/>
  <c r="AN124" i="110" s="1"/>
  <c r="P124" i="110"/>
  <c r="AE124" i="110"/>
  <c r="R124" i="110"/>
  <c r="C15" i="110"/>
  <c r="B15" i="110" s="1"/>
  <c r="C42" i="110"/>
  <c r="B42" i="110" s="1"/>
  <c r="AU200" i="121"/>
  <c r="V12" i="121" s="1"/>
  <c r="I29" i="3" s="1"/>
  <c r="J99" i="110"/>
  <c r="U1" i="56"/>
  <c r="U1" i="48"/>
  <c r="U1" i="75"/>
  <c r="R105" i="110"/>
  <c r="M105" i="110"/>
  <c r="AN105" i="110" s="1"/>
  <c r="O105" i="110"/>
  <c r="L105" i="110"/>
  <c r="AI105" i="110" s="1"/>
  <c r="Q105" i="110"/>
  <c r="AE105" i="110"/>
  <c r="N105" i="110"/>
  <c r="P105" i="110"/>
  <c r="C47" i="110"/>
  <c r="B47" i="110" s="1"/>
  <c r="C50" i="110"/>
  <c r="B50" i="110" s="1"/>
  <c r="J45" i="3"/>
  <c r="U1" i="81"/>
  <c r="U1" i="133"/>
  <c r="U1" i="71"/>
  <c r="Q1" i="123"/>
  <c r="Q119" i="110"/>
  <c r="O119" i="110"/>
  <c r="L119" i="110"/>
  <c r="AI119" i="110" s="1"/>
  <c r="M119" i="110"/>
  <c r="AN119" i="110" s="1"/>
  <c r="AE119" i="110"/>
  <c r="P119" i="110"/>
  <c r="R119" i="110"/>
  <c r="N119" i="110"/>
  <c r="AU200" i="119"/>
  <c r="V12" i="119" s="1"/>
  <c r="I27" i="3" s="1"/>
  <c r="U1" i="122"/>
  <c r="M42" i="110"/>
  <c r="AN42" i="110" s="1"/>
  <c r="AE42" i="110"/>
  <c r="Q42" i="110"/>
  <c r="R42" i="110"/>
  <c r="N42" i="110"/>
  <c r="P42" i="110"/>
  <c r="L42" i="110"/>
  <c r="AI42" i="110" s="1"/>
  <c r="O42" i="110"/>
  <c r="O117" i="110"/>
  <c r="P117" i="110"/>
  <c r="Q117" i="110"/>
  <c r="AE117" i="110"/>
  <c r="M117" i="110"/>
  <c r="AN117" i="110" s="1"/>
  <c r="L117" i="110"/>
  <c r="AI117" i="110" s="1"/>
  <c r="R117" i="110"/>
  <c r="N117" i="110"/>
  <c r="C27" i="110"/>
  <c r="B27" i="110" s="1"/>
  <c r="C44" i="110"/>
  <c r="B44" i="110" s="1"/>
  <c r="U1" i="76"/>
  <c r="U1" i="51"/>
  <c r="U1" i="72"/>
  <c r="AE92" i="110"/>
  <c r="M92" i="110"/>
  <c r="AN92" i="110" s="1"/>
  <c r="O92" i="110"/>
  <c r="Q92" i="110"/>
  <c r="P92" i="110"/>
  <c r="N92" i="110"/>
  <c r="R92" i="110"/>
  <c r="L92" i="110"/>
  <c r="AI92" i="110" s="1"/>
  <c r="U1" i="125"/>
  <c r="U1" i="79"/>
  <c r="Q77" i="110"/>
  <c r="N77" i="110"/>
  <c r="M77" i="110"/>
  <c r="AN77" i="110" s="1"/>
  <c r="O77" i="110"/>
  <c r="R77" i="110"/>
  <c r="L77" i="110"/>
  <c r="AI77" i="110" s="1"/>
  <c r="AE77" i="110"/>
  <c r="P77" i="110"/>
  <c r="R64" i="110"/>
  <c r="M64" i="110"/>
  <c r="AN64" i="110" s="1"/>
  <c r="Q64" i="110"/>
  <c r="AE64" i="110"/>
  <c r="N64" i="110"/>
  <c r="P64" i="110"/>
  <c r="L64" i="110"/>
  <c r="AI64" i="110" s="1"/>
  <c r="O64" i="110"/>
  <c r="O60" i="110"/>
  <c r="P60" i="110"/>
  <c r="Q60" i="110"/>
  <c r="L60" i="110"/>
  <c r="AI60" i="110" s="1"/>
  <c r="R60" i="110"/>
  <c r="M60" i="110"/>
  <c r="AN60" i="110" s="1"/>
  <c r="AE60" i="110"/>
  <c r="N60" i="110"/>
  <c r="N94" i="110"/>
  <c r="P94" i="110"/>
  <c r="M94" i="110"/>
  <c r="AN94" i="110" s="1"/>
  <c r="Q94" i="110"/>
  <c r="O94" i="110"/>
  <c r="R94" i="110"/>
  <c r="L94" i="110"/>
  <c r="AI94" i="110" s="1"/>
  <c r="AE94" i="110"/>
  <c r="N54" i="110"/>
  <c r="Q54" i="110"/>
  <c r="L54" i="110"/>
  <c r="AI54" i="110" s="1"/>
  <c r="O54" i="110"/>
  <c r="AE54" i="110"/>
  <c r="M54" i="110"/>
  <c r="AN54" i="110" s="1"/>
  <c r="R54" i="110"/>
  <c r="P54" i="110"/>
  <c r="N84" i="110"/>
  <c r="M84" i="110"/>
  <c r="AN84" i="110" s="1"/>
  <c r="O84" i="110"/>
  <c r="Q84" i="110"/>
  <c r="P84" i="110"/>
  <c r="AE84" i="110"/>
  <c r="L84" i="110"/>
  <c r="AI84" i="110" s="1"/>
  <c r="R84" i="110"/>
  <c r="M45" i="110"/>
  <c r="AN45" i="110" s="1"/>
  <c r="L45" i="110"/>
  <c r="AI45" i="110" s="1"/>
  <c r="R45" i="110"/>
  <c r="AE45" i="110"/>
  <c r="O56" i="110"/>
  <c r="AE56" i="110"/>
  <c r="Q56" i="110"/>
  <c r="M56" i="110"/>
  <c r="AN56" i="110" s="1"/>
  <c r="R56" i="110"/>
  <c r="P56" i="110"/>
  <c r="L56" i="110"/>
  <c r="AI56" i="110" s="1"/>
  <c r="N56" i="110"/>
  <c r="M40" i="110"/>
  <c r="AN40" i="110" s="1"/>
  <c r="L40" i="110"/>
  <c r="AI40" i="110" s="1"/>
  <c r="N40" i="110"/>
  <c r="R40" i="110"/>
  <c r="O40" i="110"/>
  <c r="P40" i="110"/>
  <c r="Q40" i="110"/>
  <c r="AE40" i="110"/>
  <c r="N82" i="110"/>
  <c r="R82" i="110"/>
  <c r="Q82" i="110"/>
  <c r="AE82" i="110"/>
  <c r="L82" i="110"/>
  <c r="AI82" i="110" s="1"/>
  <c r="P82" i="110"/>
  <c r="M82" i="110"/>
  <c r="AN82" i="110" s="1"/>
  <c r="O82" i="110"/>
  <c r="Q75" i="110"/>
  <c r="O75" i="110"/>
  <c r="AE75" i="110"/>
  <c r="N75" i="110"/>
  <c r="P75" i="110"/>
  <c r="M75" i="110"/>
  <c r="AN75" i="110" s="1"/>
  <c r="R75" i="110"/>
  <c r="L75" i="110"/>
  <c r="AI75" i="110" s="1"/>
  <c r="L57" i="110"/>
  <c r="AI57" i="110" s="1"/>
  <c r="AE57" i="110"/>
  <c r="R57" i="110"/>
  <c r="M57" i="110"/>
  <c r="AN57" i="110" s="1"/>
  <c r="Q57" i="110"/>
  <c r="O57" i="110"/>
  <c r="P57" i="110"/>
  <c r="N57" i="110"/>
  <c r="P41" i="3"/>
  <c r="O41" i="3"/>
  <c r="L50" i="110"/>
  <c r="AI50" i="110" s="1"/>
  <c r="O50" i="110"/>
  <c r="P50" i="110"/>
  <c r="Q50" i="110"/>
  <c r="M50" i="110"/>
  <c r="AN50" i="110" s="1"/>
  <c r="AE50" i="110"/>
  <c r="R50" i="110"/>
  <c r="N50" i="110"/>
  <c r="R95" i="110"/>
  <c r="Q95" i="110"/>
  <c r="O95" i="110"/>
  <c r="AE95" i="110"/>
  <c r="L95" i="110"/>
  <c r="AI95" i="110" s="1"/>
  <c r="M95" i="110"/>
  <c r="AN95" i="110" s="1"/>
  <c r="P95" i="110"/>
  <c r="N95" i="110"/>
  <c r="F28" i="3"/>
  <c r="AE62" i="110"/>
  <c r="R62" i="110"/>
  <c r="P62" i="110"/>
  <c r="M62" i="110"/>
  <c r="AN62" i="110" s="1"/>
  <c r="O62" i="110"/>
  <c r="Q62" i="110"/>
  <c r="L62" i="110"/>
  <c r="AI62" i="110" s="1"/>
  <c r="N62" i="110"/>
  <c r="Q78" i="110"/>
  <c r="P78" i="110"/>
  <c r="R78" i="110"/>
  <c r="L78" i="110"/>
  <c r="AI78" i="110" s="1"/>
  <c r="O78" i="110"/>
  <c r="AE78" i="110"/>
  <c r="N78" i="110"/>
  <c r="M78" i="110"/>
  <c r="AN78" i="110" s="1"/>
  <c r="R126" i="110"/>
  <c r="O126" i="110"/>
  <c r="M126" i="110"/>
  <c r="AN126" i="110" s="1"/>
  <c r="N126" i="110"/>
  <c r="Q126" i="110"/>
  <c r="AE126" i="110"/>
  <c r="L126" i="110"/>
  <c r="AI126" i="110" s="1"/>
  <c r="P126" i="110"/>
  <c r="U16" i="81"/>
  <c r="K20" i="76"/>
  <c r="O52" i="110"/>
  <c r="N52" i="110"/>
  <c r="P52" i="110"/>
  <c r="L52" i="110"/>
  <c r="AI52" i="110" s="1"/>
  <c r="Q52" i="110"/>
  <c r="R52" i="110"/>
  <c r="M52" i="110"/>
  <c r="AN52" i="110" s="1"/>
  <c r="AE52" i="110"/>
  <c r="M59" i="110"/>
  <c r="AN59" i="110" s="1"/>
  <c r="L59" i="110"/>
  <c r="AI59" i="110" s="1"/>
  <c r="Q59" i="110"/>
  <c r="O59" i="110"/>
  <c r="AE59" i="110"/>
  <c r="R59" i="110"/>
  <c r="P59" i="110"/>
  <c r="N59" i="110"/>
  <c r="L61" i="110"/>
  <c r="AI61" i="110" s="1"/>
  <c r="AE61" i="110"/>
  <c r="M61" i="110"/>
  <c r="AN61" i="110" s="1"/>
  <c r="R61" i="110"/>
  <c r="O61" i="110"/>
  <c r="Q61" i="110"/>
  <c r="N61" i="110"/>
  <c r="P61" i="110"/>
  <c r="M122" i="110"/>
  <c r="AN122" i="110" s="1"/>
  <c r="Q122" i="110"/>
  <c r="N122" i="110"/>
  <c r="AE122" i="110"/>
  <c r="L122" i="110"/>
  <c r="AI122" i="110" s="1"/>
  <c r="R122" i="110"/>
  <c r="P122" i="110"/>
  <c r="O122" i="110"/>
  <c r="F29" i="3"/>
  <c r="AF97" i="110"/>
  <c r="AH97" i="110" s="1"/>
  <c r="J38" i="3"/>
  <c r="P38" i="3"/>
  <c r="R108" i="110"/>
  <c r="M108" i="110"/>
  <c r="AN108" i="110" s="1"/>
  <c r="O108" i="110"/>
  <c r="L108" i="110"/>
  <c r="AI108" i="110" s="1"/>
  <c r="AE108" i="110"/>
  <c r="P108" i="110"/>
  <c r="N108" i="110"/>
  <c r="Q108" i="110"/>
  <c r="AE120" i="110"/>
  <c r="Q120" i="110"/>
  <c r="N120" i="110"/>
  <c r="R120" i="110"/>
  <c r="M120" i="110"/>
  <c r="AN120" i="110" s="1"/>
  <c r="L120" i="110"/>
  <c r="AI120" i="110" s="1"/>
  <c r="P120" i="110"/>
  <c r="O120" i="110"/>
  <c r="O111" i="110"/>
  <c r="Q111" i="110"/>
  <c r="M111" i="110"/>
  <c r="AN111" i="110" s="1"/>
  <c r="R111" i="110"/>
  <c r="AE111" i="110"/>
  <c r="N111" i="110"/>
  <c r="L111" i="110"/>
  <c r="AI111" i="110" s="1"/>
  <c r="P111" i="110"/>
  <c r="L118" i="110"/>
  <c r="AI118" i="110" s="1"/>
  <c r="M118" i="110"/>
  <c r="AN118" i="110" s="1"/>
  <c r="AE118" i="110"/>
  <c r="O118" i="110"/>
  <c r="R118" i="110"/>
  <c r="N118" i="110"/>
  <c r="Q118" i="110"/>
  <c r="P118" i="110"/>
  <c r="N58" i="110"/>
  <c r="M58" i="110"/>
  <c r="AN58" i="110" s="1"/>
  <c r="L58" i="110"/>
  <c r="AI58" i="110" s="1"/>
  <c r="R58" i="110"/>
  <c r="Q58" i="110"/>
  <c r="P58" i="110"/>
  <c r="AE58" i="110"/>
  <c r="O58" i="110"/>
  <c r="Q73" i="110"/>
  <c r="L73" i="110"/>
  <c r="AI73" i="110" s="1"/>
  <c r="M73" i="110"/>
  <c r="AN73" i="110" s="1"/>
  <c r="N73" i="110"/>
  <c r="O73" i="110"/>
  <c r="AE73" i="110"/>
  <c r="R73" i="110"/>
  <c r="P73" i="110"/>
  <c r="M123" i="110"/>
  <c r="AN123" i="110" s="1"/>
  <c r="AE123" i="110"/>
  <c r="L123" i="110"/>
  <c r="AI123" i="110" s="1"/>
  <c r="O123" i="110"/>
  <c r="R123" i="110"/>
  <c r="N123" i="110"/>
  <c r="Q123" i="110"/>
  <c r="P123" i="110"/>
  <c r="Q125" i="110"/>
  <c r="O125" i="110"/>
  <c r="N125" i="110"/>
  <c r="M125" i="110"/>
  <c r="AN125" i="110" s="1"/>
  <c r="R125" i="110"/>
  <c r="AE125" i="110"/>
  <c r="P125" i="110"/>
  <c r="L125" i="110"/>
  <c r="AI125" i="110" s="1"/>
  <c r="Q39" i="110"/>
  <c r="R39" i="110"/>
  <c r="O39" i="110"/>
  <c r="M39" i="110"/>
  <c r="AN39" i="110" s="1"/>
  <c r="N39" i="110"/>
  <c r="L39" i="110"/>
  <c r="AI39" i="110" s="1"/>
  <c r="AE39" i="110"/>
  <c r="P39" i="110"/>
  <c r="L46" i="110"/>
  <c r="AI46" i="110" s="1"/>
  <c r="N46" i="110"/>
  <c r="O46" i="110"/>
  <c r="P46" i="110"/>
  <c r="Q46" i="110"/>
  <c r="R46" i="110"/>
  <c r="M46" i="110"/>
  <c r="AN46" i="110" s="1"/>
  <c r="AE46" i="110"/>
  <c r="L85" i="110"/>
  <c r="AI85" i="110" s="1"/>
  <c r="Q85" i="110"/>
  <c r="P85" i="110"/>
  <c r="M85" i="110"/>
  <c r="AN85" i="110" s="1"/>
  <c r="R85" i="110"/>
  <c r="N85" i="110"/>
  <c r="AE85" i="110"/>
  <c r="O85" i="110"/>
  <c r="N76" i="110"/>
  <c r="L76" i="110"/>
  <c r="AI76" i="110" s="1"/>
  <c r="Q76" i="110"/>
  <c r="M76" i="110"/>
  <c r="AN76" i="110" s="1"/>
  <c r="AE76" i="110"/>
  <c r="P76" i="110"/>
  <c r="R76" i="110"/>
  <c r="O76" i="110"/>
  <c r="M72" i="110"/>
  <c r="AN72" i="110" s="1"/>
  <c r="AE72" i="110"/>
  <c r="P72" i="110"/>
  <c r="O72" i="110"/>
  <c r="R72" i="110"/>
  <c r="N72" i="110"/>
  <c r="Q72" i="110"/>
  <c r="L72" i="110"/>
  <c r="AI72" i="110" s="1"/>
  <c r="O121" i="110"/>
  <c r="AE121" i="110"/>
  <c r="R121" i="110"/>
  <c r="Q121" i="110"/>
  <c r="P121" i="110"/>
  <c r="N121" i="110"/>
  <c r="M121" i="110"/>
  <c r="AN121" i="110" s="1"/>
  <c r="L121" i="110"/>
  <c r="AI121" i="110" s="1"/>
  <c r="C38" i="110"/>
  <c r="B38" i="110" s="1"/>
  <c r="K18" i="76"/>
  <c r="U15" i="81"/>
  <c r="Q55" i="110"/>
  <c r="N55" i="110"/>
  <c r="O55" i="110"/>
  <c r="AE55" i="110"/>
  <c r="M55" i="110"/>
  <c r="AN55" i="110" s="1"/>
  <c r="R55" i="110"/>
  <c r="P55" i="110"/>
  <c r="L55" i="110"/>
  <c r="AI55" i="110" s="1"/>
  <c r="L87" i="110"/>
  <c r="AI87" i="110" s="1"/>
  <c r="N87" i="110"/>
  <c r="Q87" i="110"/>
  <c r="M87" i="110"/>
  <c r="AN87" i="110" s="1"/>
  <c r="AE87" i="110"/>
  <c r="O87" i="110"/>
  <c r="R87" i="110"/>
  <c r="P87" i="110"/>
  <c r="R90" i="110"/>
  <c r="Q90" i="110"/>
  <c r="O90" i="110"/>
  <c r="L90" i="110"/>
  <c r="AI90" i="110" s="1"/>
  <c r="AE90" i="110"/>
  <c r="M90" i="110"/>
  <c r="AN90" i="110" s="1"/>
  <c r="N90" i="110"/>
  <c r="P90" i="110"/>
  <c r="AE86" i="110"/>
  <c r="L86" i="110"/>
  <c r="AI86" i="110" s="1"/>
  <c r="N86" i="110"/>
  <c r="R86" i="110"/>
  <c r="O86" i="110"/>
  <c r="P86" i="110"/>
  <c r="M86" i="110"/>
  <c r="AN86" i="110" s="1"/>
  <c r="Q86" i="110"/>
  <c r="AE88" i="110"/>
  <c r="O88" i="110"/>
  <c r="M88" i="110"/>
  <c r="AN88" i="110" s="1"/>
  <c r="L88" i="110"/>
  <c r="AI88" i="110" s="1"/>
  <c r="R88" i="110"/>
  <c r="N88" i="110"/>
  <c r="Q88" i="110"/>
  <c r="P88" i="110"/>
  <c r="F27" i="3"/>
  <c r="AF35" i="110"/>
  <c r="AH35" i="110" s="1"/>
  <c r="R63" i="110"/>
  <c r="N63" i="110"/>
  <c r="Q63" i="110"/>
  <c r="M63" i="110"/>
  <c r="AN63" i="110" s="1"/>
  <c r="AE63" i="110"/>
  <c r="L63" i="110"/>
  <c r="AI63" i="110" s="1"/>
  <c r="O63" i="110"/>
  <c r="P63" i="110"/>
  <c r="N53" i="110"/>
  <c r="AE53" i="110"/>
  <c r="L53" i="110"/>
  <c r="AI53" i="110" s="1"/>
  <c r="R53" i="110"/>
  <c r="Q53" i="110"/>
  <c r="O53" i="110"/>
  <c r="M53" i="110"/>
  <c r="AN53" i="110" s="1"/>
  <c r="P53" i="110"/>
  <c r="R113" i="110"/>
  <c r="Q113" i="110"/>
  <c r="N113" i="110"/>
  <c r="AE113" i="110"/>
  <c r="L113" i="110"/>
  <c r="AI113" i="110" s="1"/>
  <c r="M113" i="110"/>
  <c r="AN113" i="110" s="1"/>
  <c r="O113" i="110"/>
  <c r="P113" i="110"/>
  <c r="R70" i="110"/>
  <c r="Q70" i="110"/>
  <c r="N70" i="110"/>
  <c r="M70" i="110"/>
  <c r="AN70" i="110" s="1"/>
  <c r="L70" i="110"/>
  <c r="AI70" i="110" s="1"/>
  <c r="P70" i="110"/>
  <c r="O70" i="110"/>
  <c r="AE70" i="110"/>
  <c r="P48" i="110"/>
  <c r="L48" i="110"/>
  <c r="AI48" i="110" s="1"/>
  <c r="R48" i="110"/>
  <c r="M48" i="110"/>
  <c r="AN48" i="110" s="1"/>
  <c r="O48" i="110"/>
  <c r="N48" i="110"/>
  <c r="AE48" i="110"/>
  <c r="Q48" i="110"/>
  <c r="Q43" i="110"/>
  <c r="AE43" i="110"/>
  <c r="R43" i="110"/>
  <c r="L43" i="110"/>
  <c r="AI43" i="110" s="1"/>
  <c r="N43" i="110"/>
  <c r="M43" i="110"/>
  <c r="AN43" i="110" s="1"/>
  <c r="P43" i="110"/>
  <c r="O43" i="110"/>
  <c r="M49" i="110"/>
  <c r="AN49" i="110" s="1"/>
  <c r="O49" i="110"/>
  <c r="AE49" i="110"/>
  <c r="P49" i="110"/>
  <c r="Q49" i="110"/>
  <c r="N49" i="110"/>
  <c r="L49" i="110"/>
  <c r="AI49" i="110" s="1"/>
  <c r="R49" i="110"/>
  <c r="R51" i="110"/>
  <c r="L51" i="110"/>
  <c r="AI51" i="110" s="1"/>
  <c r="O51" i="110"/>
  <c r="Q51" i="110"/>
  <c r="AE51" i="110"/>
  <c r="M51" i="110"/>
  <c r="AN51" i="110" s="1"/>
  <c r="N51" i="110"/>
  <c r="P51" i="110"/>
  <c r="U14" i="81"/>
  <c r="K15" i="76"/>
  <c r="P40" i="3" l="1"/>
  <c r="J11" i="132"/>
  <c r="BJ24" i="120"/>
  <c r="BH24" i="120" s="1"/>
  <c r="AN24" i="120"/>
  <c r="BJ20" i="120"/>
  <c r="BH20" i="120" s="1"/>
  <c r="AN20" i="120"/>
  <c r="R259" i="110"/>
  <c r="AV26" i="121"/>
  <c r="P264" i="110"/>
  <c r="N264" i="110"/>
  <c r="L264" i="110"/>
  <c r="AI264" i="110" s="1"/>
  <c r="O264" i="110"/>
  <c r="M264" i="110"/>
  <c r="AE264" i="110"/>
  <c r="BD26" i="13"/>
  <c r="Q264" i="110"/>
  <c r="AR264" i="110"/>
  <c r="BC18" i="13"/>
  <c r="BG18" i="13" s="1"/>
  <c r="M129" i="110" a="1"/>
  <c r="M129" i="110" s="1"/>
  <c r="AN129" i="110" s="1"/>
  <c r="N129" i="110" a="1"/>
  <c r="N129" i="110" s="1"/>
  <c r="C99" i="110"/>
  <c r="B99" i="110" s="1"/>
  <c r="BJ26" i="121"/>
  <c r="BH26" i="121" s="1"/>
  <c r="AN26" i="121"/>
  <c r="BJ24" i="121"/>
  <c r="BH24" i="121" s="1"/>
  <c r="AN24" i="121"/>
  <c r="AQ100" i="110"/>
  <c r="AV24" i="121"/>
  <c r="BH22" i="120"/>
  <c r="AN22" i="120"/>
  <c r="AQ68" i="110"/>
  <c r="AV22" i="120"/>
  <c r="BI34" i="111"/>
  <c r="J11" i="124"/>
  <c r="N152" i="110"/>
  <c r="L152" i="110"/>
  <c r="AI152" i="110" s="1"/>
  <c r="BF18" i="122"/>
  <c r="K30" i="3"/>
  <c r="R152" i="110"/>
  <c r="AE152" i="110"/>
  <c r="P152" i="110"/>
  <c r="AR152" i="110"/>
  <c r="O152" i="110"/>
  <c r="AJ152" i="110" s="1"/>
  <c r="Q152" i="110"/>
  <c r="BD22" i="121"/>
  <c r="BF22" i="121" s="1"/>
  <c r="J11" i="121" s="1"/>
  <c r="O261" i="110"/>
  <c r="M261" i="110"/>
  <c r="AR261" i="110"/>
  <c r="AE261" i="110"/>
  <c r="L261" i="110"/>
  <c r="AI261" i="110" s="1"/>
  <c r="N261" i="110"/>
  <c r="P261" i="110"/>
  <c r="Q261" i="110"/>
  <c r="BD20" i="13"/>
  <c r="R261" i="110"/>
  <c r="AQ98" i="110"/>
  <c r="AV20" i="121"/>
  <c r="BJ20" i="121"/>
  <c r="BH20" i="121" s="1"/>
  <c r="AN20" i="121"/>
  <c r="BJ18" i="121"/>
  <c r="BH18" i="121" s="1"/>
  <c r="AN18" i="121"/>
  <c r="BH28" i="120"/>
  <c r="AN28" i="120"/>
  <c r="AQ71" i="110"/>
  <c r="AV28" i="120"/>
  <c r="BI32" i="111"/>
  <c r="L9" i="110"/>
  <c r="AI9" i="110" s="1"/>
  <c r="BI38" i="111"/>
  <c r="AQ12" i="110"/>
  <c r="AV38" i="111"/>
  <c r="AQ99" i="110"/>
  <c r="AV22" i="121"/>
  <c r="K47" i="3"/>
  <c r="M47" i="3"/>
  <c r="AJ304" i="110"/>
  <c r="P326" i="110"/>
  <c r="R12" i="75"/>
  <c r="K49" i="3"/>
  <c r="M326" i="110"/>
  <c r="R326" i="110"/>
  <c r="M49" i="3"/>
  <c r="L49" i="3"/>
  <c r="N326" i="110"/>
  <c r="L326" i="110"/>
  <c r="AI326" i="110" s="1"/>
  <c r="BD16" i="75"/>
  <c r="J11" i="75" s="1"/>
  <c r="AE326" i="110"/>
  <c r="Q326" i="110"/>
  <c r="O326" i="110"/>
  <c r="J47" i="3"/>
  <c r="P47" i="3"/>
  <c r="L47" i="3"/>
  <c r="AK304" i="110"/>
  <c r="N305" i="110"/>
  <c r="AE305" i="110"/>
  <c r="L305" i="110"/>
  <c r="AI305" i="110" s="1"/>
  <c r="O305" i="110"/>
  <c r="BD18" i="73"/>
  <c r="J11" i="73" s="1"/>
  <c r="M305" i="110"/>
  <c r="Q305" i="110"/>
  <c r="P305" i="110"/>
  <c r="R305" i="110"/>
  <c r="AL304" i="110"/>
  <c r="M315" i="110"/>
  <c r="P315" i="110"/>
  <c r="K48" i="3"/>
  <c r="L315" i="110"/>
  <c r="AI315" i="110" s="1"/>
  <c r="R12" i="74"/>
  <c r="R315" i="110"/>
  <c r="Q315" i="110"/>
  <c r="O315" i="110"/>
  <c r="N315" i="110"/>
  <c r="M48" i="3"/>
  <c r="AE315" i="110"/>
  <c r="L48" i="3"/>
  <c r="BD16" i="74"/>
  <c r="J11" i="74" s="1"/>
  <c r="M259" i="110"/>
  <c r="P259" i="110"/>
  <c r="L259" i="110"/>
  <c r="AI259" i="110" s="1"/>
  <c r="BD16" i="13"/>
  <c r="O259" i="110"/>
  <c r="AE259" i="110"/>
  <c r="N259" i="110"/>
  <c r="Q259" i="110"/>
  <c r="AR259" i="110"/>
  <c r="AJ18" i="110"/>
  <c r="R141" i="110"/>
  <c r="P32" i="3"/>
  <c r="J32" i="3"/>
  <c r="J11" i="63"/>
  <c r="N128" i="110" a="1"/>
  <c r="N128" i="110" s="1"/>
  <c r="M128" i="110" a="1"/>
  <c r="M128" i="110" s="1"/>
  <c r="AN128" i="110" s="1"/>
  <c r="AK116" i="110"/>
  <c r="AJ116" i="110"/>
  <c r="AJ32" i="110"/>
  <c r="AJ160" i="110"/>
  <c r="AL160" i="110"/>
  <c r="AL32" i="110"/>
  <c r="M32" i="3"/>
  <c r="Q141" i="110"/>
  <c r="K32" i="3"/>
  <c r="M141" i="110"/>
  <c r="AN141" i="110" s="1"/>
  <c r="P141" i="110"/>
  <c r="N141" i="110"/>
  <c r="O141" i="110"/>
  <c r="P143" i="110"/>
  <c r="Q143" i="110"/>
  <c r="O143" i="110"/>
  <c r="N143" i="110"/>
  <c r="R143" i="110"/>
  <c r="M143" i="110"/>
  <c r="AN143" i="110" s="1"/>
  <c r="J33" i="3"/>
  <c r="K33" i="3"/>
  <c r="BG32" i="111"/>
  <c r="BI30" i="111"/>
  <c r="AE8" i="110"/>
  <c r="BD24" i="119"/>
  <c r="BG24" i="119" s="1"/>
  <c r="AV24" i="119"/>
  <c r="AQ38" i="110"/>
  <c r="P37" i="110"/>
  <c r="BD20" i="119"/>
  <c r="BG20" i="119" s="1"/>
  <c r="I55" i="3"/>
  <c r="F55" i="3"/>
  <c r="B8" i="110"/>
  <c r="AI141" i="110"/>
  <c r="P157" i="110"/>
  <c r="BH42" i="121"/>
  <c r="AQ109" i="110"/>
  <c r="AV42" i="121"/>
  <c r="AQ104" i="110"/>
  <c r="AV32" i="121"/>
  <c r="BH32" i="121"/>
  <c r="AQ74" i="110"/>
  <c r="AV34" i="120"/>
  <c r="BH34" i="120"/>
  <c r="AQ45" i="110"/>
  <c r="AV38" i="119"/>
  <c r="AQ10" i="110"/>
  <c r="AV34" i="111"/>
  <c r="BG34" i="111"/>
  <c r="AQ8" i="110"/>
  <c r="AV30" i="111"/>
  <c r="AQ103" i="110"/>
  <c r="AV30" i="121"/>
  <c r="BH30" i="121"/>
  <c r="BJ22" i="119"/>
  <c r="AQ37" i="110"/>
  <c r="AV22" i="119"/>
  <c r="BB28" i="122"/>
  <c r="AN157" i="110" s="1"/>
  <c r="BJ30" i="119"/>
  <c r="AQ13" i="110"/>
  <c r="AV40" i="111"/>
  <c r="Q13" i="110" s="1"/>
  <c r="AQ157" i="110"/>
  <c r="AV28" i="122"/>
  <c r="Q157" i="110" s="1"/>
  <c r="AQ110" i="110"/>
  <c r="AV44" i="121"/>
  <c r="AQ114" i="110"/>
  <c r="AV52" i="121"/>
  <c r="BH44" i="121"/>
  <c r="AV54" i="121"/>
  <c r="AQ115" i="110"/>
  <c r="BH54" i="121"/>
  <c r="BH52" i="121"/>
  <c r="BF52" i="120"/>
  <c r="BH52" i="120"/>
  <c r="AV52" i="120"/>
  <c r="AQ83" i="110"/>
  <c r="AQ41" i="110"/>
  <c r="AV30" i="119"/>
  <c r="AQ11" i="110"/>
  <c r="AV36" i="111"/>
  <c r="Q11" i="110" s="1"/>
  <c r="AK22" i="110"/>
  <c r="AJ22" i="110"/>
  <c r="AL22" i="110"/>
  <c r="AI22" i="110"/>
  <c r="AL33" i="110"/>
  <c r="AK33" i="110"/>
  <c r="AJ33" i="110"/>
  <c r="AQ47" i="110"/>
  <c r="AV42" i="119"/>
  <c r="BJ42" i="119"/>
  <c r="AQ69" i="110"/>
  <c r="AV24" i="120"/>
  <c r="AQ16" i="110"/>
  <c r="AV46" i="111"/>
  <c r="BI46" i="111"/>
  <c r="AN81" i="110"/>
  <c r="AL20" i="123"/>
  <c r="AL24" i="111" s="1"/>
  <c r="AQ5" i="110" s="1"/>
  <c r="AI81" i="110"/>
  <c r="AI18" i="110"/>
  <c r="AJ93" i="110"/>
  <c r="AK93" i="110"/>
  <c r="Z12" i="119"/>
  <c r="G27" i="3" s="1"/>
  <c r="AQ36" i="110"/>
  <c r="AV20" i="119"/>
  <c r="BF20" i="120"/>
  <c r="BG18" i="72"/>
  <c r="Z12" i="120"/>
  <c r="G28" i="3" s="1"/>
  <c r="AK169" i="110"/>
  <c r="AJ161" i="110"/>
  <c r="AV20" i="120"/>
  <c r="AQ67" i="110"/>
  <c r="BD28" i="111"/>
  <c r="AQ7" i="110"/>
  <c r="AV28" i="111"/>
  <c r="M24" i="111"/>
  <c r="S5" i="110" s="1"/>
  <c r="AL163" i="110"/>
  <c r="AJ163" i="110"/>
  <c r="AK11" i="110"/>
  <c r="M22" i="111"/>
  <c r="S4" i="110" s="1"/>
  <c r="AL17" i="110"/>
  <c r="AK17" i="110"/>
  <c r="AK21" i="110"/>
  <c r="AL172" i="110"/>
  <c r="AJ21" i="110"/>
  <c r="AJ20" i="123"/>
  <c r="AO20" i="123"/>
  <c r="AO24" i="111" s="1"/>
  <c r="BD20" i="123"/>
  <c r="AJ22" i="111"/>
  <c r="I4" i="110" s="1"/>
  <c r="AK158" i="110"/>
  <c r="BI26" i="111"/>
  <c r="BG26" i="111"/>
  <c r="AQ6" i="110"/>
  <c r="AV26" i="111"/>
  <c r="AL158" i="110"/>
  <c r="AQ35" i="110"/>
  <c r="AV18" i="119"/>
  <c r="AJ158" i="110"/>
  <c r="AW20" i="123"/>
  <c r="AW24" i="111" s="1"/>
  <c r="AF5" i="110" s="1"/>
  <c r="AH5" i="110" s="1"/>
  <c r="AV20" i="123"/>
  <c r="AV24" i="111" s="1"/>
  <c r="AZ20" i="123"/>
  <c r="AZ24" i="111" s="1"/>
  <c r="AY20" i="123"/>
  <c r="AY24" i="111" s="1"/>
  <c r="BB20" i="123"/>
  <c r="BB24" i="111" s="1"/>
  <c r="AX20" i="123"/>
  <c r="AX24" i="111" s="1"/>
  <c r="AG5" i="110" s="1"/>
  <c r="AU13" i="111"/>
  <c r="AU20" i="123"/>
  <c r="AU24" i="111" s="1"/>
  <c r="J5" i="110" s="1"/>
  <c r="AJ24" i="111"/>
  <c r="I5" i="110" s="1"/>
  <c r="BE20" i="123"/>
  <c r="BF24" i="111" s="1"/>
  <c r="BE48" i="122"/>
  <c r="AQ167" i="110"/>
  <c r="AV48" i="122"/>
  <c r="AU48" i="122" s="1"/>
  <c r="BH16" i="122"/>
  <c r="AL169" i="110"/>
  <c r="AJ11" i="110"/>
  <c r="AJ30" i="110"/>
  <c r="AJ29" i="110"/>
  <c r="AL176" i="110"/>
  <c r="AL11" i="110"/>
  <c r="AJ173" i="110"/>
  <c r="AK173" i="110"/>
  <c r="AJ175" i="110"/>
  <c r="AK164" i="110"/>
  <c r="AK156" i="110"/>
  <c r="AK175" i="110"/>
  <c r="AL159" i="110"/>
  <c r="AL164" i="110"/>
  <c r="AJ164" i="110"/>
  <c r="AL171" i="110"/>
  <c r="AK30" i="110"/>
  <c r="AJ79" i="110"/>
  <c r="AK29" i="110"/>
  <c r="AL30" i="110"/>
  <c r="AJ20" i="110"/>
  <c r="AL20" i="110"/>
  <c r="AL161" i="110"/>
  <c r="AK20" i="110"/>
  <c r="AL91" i="110"/>
  <c r="AK79" i="110"/>
  <c r="AQ66" i="110"/>
  <c r="AV18" i="120"/>
  <c r="AK91" i="110"/>
  <c r="AL79" i="110"/>
  <c r="AJ91" i="110"/>
  <c r="AK16" i="70"/>
  <c r="BG16" i="70"/>
  <c r="BG200" i="70" s="1"/>
  <c r="J44" i="3" s="1"/>
  <c r="BA16" i="133"/>
  <c r="BC200" i="133"/>
  <c r="J31" i="3" s="1"/>
  <c r="AV200" i="133"/>
  <c r="H31" i="3" s="1"/>
  <c r="AY16" i="133"/>
  <c r="AL157" i="110"/>
  <c r="AJ156" i="110"/>
  <c r="AK157" i="110"/>
  <c r="AJ157" i="110"/>
  <c r="AL180" i="110"/>
  <c r="BB18" i="123"/>
  <c r="BC18" i="123" s="1"/>
  <c r="AX18" i="123"/>
  <c r="AX22" i="111" s="1"/>
  <c r="AG4" i="110" s="1"/>
  <c r="AZ18" i="123"/>
  <c r="AZ22" i="111" s="1"/>
  <c r="AY18" i="123"/>
  <c r="AY22" i="111" s="1"/>
  <c r="AU18" i="123"/>
  <c r="AW18" i="123"/>
  <c r="AW22" i="111" s="1"/>
  <c r="AK155" i="110"/>
  <c r="AK26" i="110"/>
  <c r="AL156" i="110"/>
  <c r="AJ165" i="110"/>
  <c r="AL170" i="110"/>
  <c r="AK24" i="110"/>
  <c r="AL24" i="110"/>
  <c r="AJ24" i="110"/>
  <c r="AJ179" i="110"/>
  <c r="AK27" i="110"/>
  <c r="AL27" i="110"/>
  <c r="AJ27" i="110"/>
  <c r="AL154" i="110"/>
  <c r="AI154" i="110"/>
  <c r="AL179" i="110"/>
  <c r="AI179" i="110"/>
  <c r="AJ19" i="110"/>
  <c r="AL19" i="110"/>
  <c r="AK19" i="110"/>
  <c r="AJ15" i="110"/>
  <c r="AK15" i="110"/>
  <c r="AL15" i="110"/>
  <c r="AL168" i="110"/>
  <c r="AJ178" i="110"/>
  <c r="AL178" i="110"/>
  <c r="AK178" i="110"/>
  <c r="AJ14" i="110"/>
  <c r="AL14" i="110"/>
  <c r="AK14" i="110"/>
  <c r="AJ177" i="110"/>
  <c r="AL177" i="110"/>
  <c r="AL29" i="110"/>
  <c r="AK23" i="110"/>
  <c r="AL23" i="110"/>
  <c r="AJ23" i="110"/>
  <c r="AL162" i="110"/>
  <c r="AK162" i="110"/>
  <c r="AJ162" i="110"/>
  <c r="AJ170" i="110"/>
  <c r="AK153" i="110"/>
  <c r="AL153" i="110"/>
  <c r="AJ153" i="110"/>
  <c r="AJ102" i="110"/>
  <c r="AL102" i="110"/>
  <c r="AK102" i="110"/>
  <c r="AL25" i="110"/>
  <c r="AK25" i="110"/>
  <c r="AJ25" i="110"/>
  <c r="AL174" i="110"/>
  <c r="AK174" i="110"/>
  <c r="AJ174" i="110"/>
  <c r="AK166" i="110"/>
  <c r="AL166" i="110"/>
  <c r="AJ166" i="110"/>
  <c r="AK28" i="110"/>
  <c r="AJ28" i="110"/>
  <c r="AL28" i="110"/>
  <c r="AK170" i="110"/>
  <c r="AK177" i="110"/>
  <c r="AK165" i="110"/>
  <c r="AL165" i="110"/>
  <c r="AL13" i="110"/>
  <c r="AJ13" i="110"/>
  <c r="AK13" i="110"/>
  <c r="AK154" i="110"/>
  <c r="AJ155" i="110"/>
  <c r="AL155" i="110"/>
  <c r="AJ154" i="110"/>
  <c r="AL26" i="110"/>
  <c r="AJ26" i="110"/>
  <c r="AK179" i="110"/>
  <c r="AL31" i="110"/>
  <c r="AK31" i="110"/>
  <c r="AJ31" i="110"/>
  <c r="AJ64" i="110"/>
  <c r="AL64" i="110"/>
  <c r="AK64" i="110"/>
  <c r="AL77" i="110"/>
  <c r="AJ77" i="110"/>
  <c r="AK77" i="110"/>
  <c r="AJ105" i="110"/>
  <c r="AK105" i="110"/>
  <c r="AL105" i="110"/>
  <c r="AJ112" i="110"/>
  <c r="AK112" i="110"/>
  <c r="AL112" i="110"/>
  <c r="AK117" i="110"/>
  <c r="AL117" i="110"/>
  <c r="AJ117" i="110"/>
  <c r="AJ42" i="110"/>
  <c r="AL42" i="110"/>
  <c r="AK42" i="110"/>
  <c r="AK107" i="110"/>
  <c r="AJ107" i="110"/>
  <c r="AL107" i="110"/>
  <c r="AL124" i="110"/>
  <c r="AK124" i="110"/>
  <c r="AJ124" i="110"/>
  <c r="AL92" i="110"/>
  <c r="AK92" i="110"/>
  <c r="AJ92" i="110"/>
  <c r="AL119" i="110"/>
  <c r="AK119" i="110"/>
  <c r="AJ119" i="110"/>
  <c r="AK89" i="110"/>
  <c r="AL89" i="110"/>
  <c r="AJ89" i="110"/>
  <c r="AJ44" i="110"/>
  <c r="AK44" i="110"/>
  <c r="AL44" i="110"/>
  <c r="BD24" i="111"/>
  <c r="AK62" i="110"/>
  <c r="AJ62" i="110"/>
  <c r="AL62" i="110"/>
  <c r="AJ57" i="110"/>
  <c r="AK57" i="110"/>
  <c r="AL57" i="110"/>
  <c r="AJ113" i="110"/>
  <c r="AL113" i="110"/>
  <c r="AK113" i="110"/>
  <c r="AJ87" i="110"/>
  <c r="AK87" i="110"/>
  <c r="AL87" i="110"/>
  <c r="AL72" i="110"/>
  <c r="AK72" i="110"/>
  <c r="AJ72" i="110"/>
  <c r="AK63" i="110"/>
  <c r="AL63" i="110"/>
  <c r="AJ63" i="110"/>
  <c r="AJ55" i="110"/>
  <c r="AK55" i="110"/>
  <c r="AL55" i="110"/>
  <c r="AK39" i="110"/>
  <c r="AL39" i="110"/>
  <c r="AJ39" i="110"/>
  <c r="AK118" i="110"/>
  <c r="AJ118" i="110"/>
  <c r="AL118" i="110"/>
  <c r="AL122" i="110"/>
  <c r="AJ122" i="110"/>
  <c r="AK122" i="110"/>
  <c r="AK76" i="110"/>
  <c r="AJ76" i="110"/>
  <c r="AL76" i="110"/>
  <c r="AL123" i="110"/>
  <c r="AK123" i="110"/>
  <c r="AJ123" i="110"/>
  <c r="AK53" i="110"/>
  <c r="AJ53" i="110"/>
  <c r="AL53" i="110"/>
  <c r="H5" i="110"/>
  <c r="AL78" i="110"/>
  <c r="AK78" i="110"/>
  <c r="AJ78" i="110"/>
  <c r="AL50" i="110"/>
  <c r="AJ50" i="110"/>
  <c r="AK50" i="110"/>
  <c r="AK75" i="110"/>
  <c r="AL75" i="110"/>
  <c r="AJ75" i="110"/>
  <c r="AL88" i="110"/>
  <c r="AJ88" i="110"/>
  <c r="AK88" i="110"/>
  <c r="AJ120" i="110"/>
  <c r="AL120" i="110"/>
  <c r="AK120" i="110"/>
  <c r="AL95" i="110"/>
  <c r="AK95" i="110"/>
  <c r="AJ95" i="110"/>
  <c r="AL94" i="110"/>
  <c r="AJ94" i="110"/>
  <c r="AK94" i="110"/>
  <c r="AL58" i="110"/>
  <c r="AK58" i="110"/>
  <c r="AJ58" i="110"/>
  <c r="AK111" i="110"/>
  <c r="AJ111" i="110"/>
  <c r="AL111" i="110"/>
  <c r="AL70" i="110"/>
  <c r="AJ70" i="110"/>
  <c r="AK70" i="110"/>
  <c r="AL85" i="110"/>
  <c r="AK85" i="110"/>
  <c r="AJ85" i="110"/>
  <c r="AL108" i="110"/>
  <c r="AJ108" i="110"/>
  <c r="AK108" i="110"/>
  <c r="AK82" i="110"/>
  <c r="AL82" i="110"/>
  <c r="AJ82" i="110"/>
  <c r="AK40" i="110"/>
  <c r="AJ40" i="110"/>
  <c r="AL40" i="110"/>
  <c r="AJ84" i="110"/>
  <c r="AK84" i="110"/>
  <c r="AL84" i="110"/>
  <c r="AJ49" i="110"/>
  <c r="AK49" i="110"/>
  <c r="AL49" i="110"/>
  <c r="AL90" i="110"/>
  <c r="AJ90" i="110"/>
  <c r="AK90" i="110"/>
  <c r="AK56" i="110"/>
  <c r="AL56" i="110"/>
  <c r="AJ56" i="110"/>
  <c r="AJ126" i="110"/>
  <c r="AK126" i="110"/>
  <c r="AL126" i="110"/>
  <c r="AK60" i="110"/>
  <c r="AL60" i="110"/>
  <c r="AJ60" i="110"/>
  <c r="AK73" i="110"/>
  <c r="AL73" i="110"/>
  <c r="AJ73" i="110"/>
  <c r="AK59" i="110"/>
  <c r="AJ59" i="110"/>
  <c r="AL59" i="110"/>
  <c r="AK43" i="110"/>
  <c r="AJ43" i="110"/>
  <c r="AL43" i="110"/>
  <c r="AL48" i="110"/>
  <c r="AK48" i="110"/>
  <c r="AJ48" i="110"/>
  <c r="AK86" i="110"/>
  <c r="AJ86" i="110"/>
  <c r="AL86" i="110"/>
  <c r="AK52" i="110"/>
  <c r="AJ52" i="110"/>
  <c r="AL52" i="110"/>
  <c r="AK54" i="110"/>
  <c r="AL54" i="110"/>
  <c r="AJ54" i="110"/>
  <c r="H4" i="110"/>
  <c r="AL46" i="110"/>
  <c r="AJ46" i="110"/>
  <c r="AK46" i="110"/>
  <c r="AK125" i="110"/>
  <c r="AJ125" i="110"/>
  <c r="AL125" i="110"/>
  <c r="AK51" i="110"/>
  <c r="AJ51" i="110"/>
  <c r="AL51" i="110"/>
  <c r="AK121" i="110"/>
  <c r="AJ121" i="110"/>
  <c r="AL121" i="110"/>
  <c r="AJ61" i="110"/>
  <c r="AL61" i="110"/>
  <c r="AK61" i="110"/>
  <c r="N38" i="110" l="1"/>
  <c r="BJ24" i="119"/>
  <c r="AK18" i="13"/>
  <c r="P260" i="110" s="1"/>
  <c r="AK264" i="110"/>
  <c r="AL264" i="110"/>
  <c r="AJ264" i="110"/>
  <c r="E5" i="121"/>
  <c r="E5" i="133"/>
  <c r="E5" i="120"/>
  <c r="E5" i="119"/>
  <c r="E5" i="137"/>
  <c r="E5" i="122"/>
  <c r="E5" i="135"/>
  <c r="E5" i="111"/>
  <c r="BJ20" i="119"/>
  <c r="AK152" i="110"/>
  <c r="P101" i="110"/>
  <c r="M101" i="110"/>
  <c r="AN101" i="110" s="1"/>
  <c r="N101" i="110"/>
  <c r="AE101" i="110"/>
  <c r="L101" i="110"/>
  <c r="AI101" i="110" s="1"/>
  <c r="R101" i="110"/>
  <c r="Q101" i="110"/>
  <c r="N100" i="110"/>
  <c r="L100" i="110"/>
  <c r="AI100" i="110" s="1"/>
  <c r="AE100" i="110"/>
  <c r="R100" i="110"/>
  <c r="P100" i="110"/>
  <c r="M100" i="110"/>
  <c r="AN100" i="110" s="1"/>
  <c r="Q100" i="110"/>
  <c r="AN22" i="121"/>
  <c r="P99" i="110" s="1"/>
  <c r="BJ22" i="121"/>
  <c r="BH22" i="121" s="1"/>
  <c r="Q68" i="110"/>
  <c r="AE68" i="110"/>
  <c r="N68" i="110"/>
  <c r="M68" i="110"/>
  <c r="AN68" i="110" s="1"/>
  <c r="R68" i="110"/>
  <c r="L68" i="110"/>
  <c r="AI68" i="110" s="1"/>
  <c r="P68" i="110"/>
  <c r="AL152" i="110"/>
  <c r="AK261" i="110"/>
  <c r="AL261" i="110"/>
  <c r="AJ261" i="110"/>
  <c r="M97" i="110"/>
  <c r="AN97" i="110" s="1"/>
  <c r="R97" i="110"/>
  <c r="P97" i="110"/>
  <c r="L97" i="110"/>
  <c r="AI97" i="110" s="1"/>
  <c r="AE97" i="110"/>
  <c r="Q97" i="110"/>
  <c r="N97" i="110"/>
  <c r="R98" i="110"/>
  <c r="M98" i="110"/>
  <c r="AN98" i="110" s="1"/>
  <c r="P98" i="110"/>
  <c r="AE98" i="110"/>
  <c r="Q98" i="110"/>
  <c r="N98" i="110"/>
  <c r="L98" i="110"/>
  <c r="AI98" i="110" s="1"/>
  <c r="Q71" i="110"/>
  <c r="AE71" i="110"/>
  <c r="L71" i="110"/>
  <c r="AI71" i="110" s="1"/>
  <c r="M71" i="110"/>
  <c r="AN71" i="110" s="1"/>
  <c r="N71" i="110"/>
  <c r="P71" i="110"/>
  <c r="R71" i="110"/>
  <c r="Q12" i="110"/>
  <c r="N12" i="110"/>
  <c r="R12" i="110"/>
  <c r="M12" i="110"/>
  <c r="AN12" i="110" s="1"/>
  <c r="L12" i="110"/>
  <c r="AI12" i="110" s="1"/>
  <c r="AE12" i="110"/>
  <c r="P12" i="110"/>
  <c r="P49" i="3"/>
  <c r="J49" i="3"/>
  <c r="AJ326" i="110"/>
  <c r="AK326" i="110"/>
  <c r="AL326" i="110"/>
  <c r="AK305" i="110"/>
  <c r="AJ305" i="110"/>
  <c r="AL305" i="110"/>
  <c r="AL315" i="110"/>
  <c r="AJ315" i="110"/>
  <c r="AK315" i="110"/>
  <c r="P48" i="3"/>
  <c r="J48" i="3"/>
  <c r="AK259" i="110"/>
  <c r="AJ259" i="110"/>
  <c r="AL259" i="110"/>
  <c r="AJ141" i="110"/>
  <c r="R37" i="110"/>
  <c r="J11" i="119"/>
  <c r="Q1" i="120"/>
  <c r="Q1" i="134"/>
  <c r="Q1" i="79"/>
  <c r="U1" i="64"/>
  <c r="Q1" i="81"/>
  <c r="Q1" i="73"/>
  <c r="Q1" i="49"/>
  <c r="Q1" i="125"/>
  <c r="Q1" i="48"/>
  <c r="Q1" i="66"/>
  <c r="Q1" i="72"/>
  <c r="Q1" i="130"/>
  <c r="Q1" i="132"/>
  <c r="Q1" i="137"/>
  <c r="Q1" i="51"/>
  <c r="Q1" i="119"/>
  <c r="Q1" i="111"/>
  <c r="Q1" i="63"/>
  <c r="Q1" i="124"/>
  <c r="Q1" i="135"/>
  <c r="Q1" i="76"/>
  <c r="Q1" i="56"/>
  <c r="Q1" i="71"/>
  <c r="Q1" i="13"/>
  <c r="Q1" i="131"/>
  <c r="Q1" i="65"/>
  <c r="Q1" i="126"/>
  <c r="Q1" i="75"/>
  <c r="Q1" i="70"/>
  <c r="Q1" i="8"/>
  <c r="Q1" i="55"/>
  <c r="Q1" i="122"/>
  <c r="Q1" i="64"/>
  <c r="Q1" i="121"/>
  <c r="Q1" i="78"/>
  <c r="Q1" i="57"/>
  <c r="Q1" i="133"/>
  <c r="Q1" i="74"/>
  <c r="AL143" i="110"/>
  <c r="AK143" i="110"/>
  <c r="AJ143" i="110"/>
  <c r="R9" i="110"/>
  <c r="Q9" i="110"/>
  <c r="N9" i="110"/>
  <c r="M9" i="110"/>
  <c r="AN9" i="110" s="1"/>
  <c r="P9" i="110"/>
  <c r="AE9" i="110"/>
  <c r="BI28" i="111"/>
  <c r="M37" i="110"/>
  <c r="AN37" i="110" s="1"/>
  <c r="L37" i="110"/>
  <c r="AI37" i="110" s="1"/>
  <c r="AE37" i="110"/>
  <c r="Q36" i="110"/>
  <c r="Q37" i="110"/>
  <c r="N37" i="110"/>
  <c r="Q45" i="110"/>
  <c r="N45" i="110"/>
  <c r="R109" i="110"/>
  <c r="P109" i="110"/>
  <c r="N109" i="110"/>
  <c r="Q109" i="110"/>
  <c r="AE109" i="110"/>
  <c r="L109" i="110"/>
  <c r="AI109" i="110" s="1"/>
  <c r="M109" i="110"/>
  <c r="AN109" i="110" s="1"/>
  <c r="M104" i="110"/>
  <c r="AN104" i="110" s="1"/>
  <c r="Q104" i="110"/>
  <c r="N104" i="110"/>
  <c r="AE104" i="110"/>
  <c r="L104" i="110"/>
  <c r="AI104" i="110" s="1"/>
  <c r="P104" i="110"/>
  <c r="R104" i="110"/>
  <c r="L74" i="110"/>
  <c r="AI74" i="110" s="1"/>
  <c r="N74" i="110"/>
  <c r="Q74" i="110"/>
  <c r="P74" i="110"/>
  <c r="R74" i="110"/>
  <c r="M74" i="110"/>
  <c r="AN74" i="110" s="1"/>
  <c r="AE74" i="110"/>
  <c r="Q10" i="110"/>
  <c r="L10" i="110"/>
  <c r="AI10" i="110" s="1"/>
  <c r="N10" i="110"/>
  <c r="M10" i="110"/>
  <c r="AN10" i="110" s="1"/>
  <c r="R10" i="110"/>
  <c r="AE10" i="110"/>
  <c r="P10" i="110"/>
  <c r="R8" i="110"/>
  <c r="Q8" i="110"/>
  <c r="N8" i="110"/>
  <c r="P8" i="110"/>
  <c r="L8" i="110"/>
  <c r="AI8" i="110" s="1"/>
  <c r="M8" i="110"/>
  <c r="AN8" i="110" s="1"/>
  <c r="R103" i="110"/>
  <c r="AE103" i="110"/>
  <c r="N103" i="110"/>
  <c r="L103" i="110"/>
  <c r="AI103" i="110" s="1"/>
  <c r="M103" i="110"/>
  <c r="AN103" i="110" s="1"/>
  <c r="Q103" i="110"/>
  <c r="P103" i="110"/>
  <c r="AE41" i="110"/>
  <c r="L41" i="110"/>
  <c r="AI41" i="110" s="1"/>
  <c r="M41" i="110"/>
  <c r="AN41" i="110" s="1"/>
  <c r="R41" i="110"/>
  <c r="P41" i="110"/>
  <c r="Q41" i="110"/>
  <c r="N41" i="110"/>
  <c r="AU28" i="122"/>
  <c r="AM157" i="110" s="1"/>
  <c r="M47" i="110"/>
  <c r="AN47" i="110" s="1"/>
  <c r="AE47" i="110"/>
  <c r="L47" i="110"/>
  <c r="AI47" i="110" s="1"/>
  <c r="N47" i="110"/>
  <c r="Q47" i="110"/>
  <c r="R47" i="110"/>
  <c r="P47" i="110"/>
  <c r="R106" i="110"/>
  <c r="P106" i="110"/>
  <c r="AE106" i="110"/>
  <c r="Q106" i="110"/>
  <c r="L106" i="110"/>
  <c r="AI106" i="110" s="1"/>
  <c r="BH36" i="121"/>
  <c r="N69" i="110"/>
  <c r="R69" i="110"/>
  <c r="AE69" i="110"/>
  <c r="Q69" i="110"/>
  <c r="P69" i="110"/>
  <c r="M69" i="110"/>
  <c r="AN69" i="110" s="1"/>
  <c r="L69" i="110"/>
  <c r="AI69" i="110" s="1"/>
  <c r="M16" i="110"/>
  <c r="AN16" i="110" s="1"/>
  <c r="R16" i="110"/>
  <c r="P16" i="110"/>
  <c r="N16" i="110"/>
  <c r="L16" i="110"/>
  <c r="AI16" i="110" s="1"/>
  <c r="AE16" i="110"/>
  <c r="Q16" i="110"/>
  <c r="AL18" i="123"/>
  <c r="AV200" i="119"/>
  <c r="H27" i="3" s="1"/>
  <c r="AR294" i="110"/>
  <c r="BE18" i="72"/>
  <c r="BG200" i="72"/>
  <c r="J46" i="3" s="1"/>
  <c r="AE294" i="110"/>
  <c r="L294" i="110"/>
  <c r="AI294" i="110" s="1"/>
  <c r="M294" i="110"/>
  <c r="N294" i="110"/>
  <c r="O294" i="110"/>
  <c r="K46" i="3"/>
  <c r="P294" i="110"/>
  <c r="L46" i="3"/>
  <c r="R12" i="72"/>
  <c r="M46" i="3"/>
  <c r="BD18" i="72"/>
  <c r="J11" i="72" s="1"/>
  <c r="Q294" i="110"/>
  <c r="R294" i="110"/>
  <c r="K43" i="3"/>
  <c r="M43" i="3"/>
  <c r="Q43" i="3"/>
  <c r="BE18" i="13"/>
  <c r="BG200" i="13"/>
  <c r="J43" i="3" s="1"/>
  <c r="AV200" i="120"/>
  <c r="H28" i="3" s="1"/>
  <c r="BG28" i="111"/>
  <c r="L7" i="110"/>
  <c r="AI7" i="110" s="1"/>
  <c r="AE7" i="110"/>
  <c r="M7" i="110"/>
  <c r="AN7" i="110" s="1"/>
  <c r="R7" i="110"/>
  <c r="N7" i="110"/>
  <c r="P7" i="110"/>
  <c r="Q7" i="110"/>
  <c r="AU200" i="123"/>
  <c r="BK24" i="111"/>
  <c r="BI24" i="111" s="1"/>
  <c r="Q5" i="110"/>
  <c r="BJ24" i="111"/>
  <c r="BF20" i="123"/>
  <c r="BG24" i="111"/>
  <c r="AE6" i="110"/>
  <c r="N6" i="110"/>
  <c r="Q6" i="110"/>
  <c r="M6" i="110"/>
  <c r="AN6" i="110" s="1"/>
  <c r="P6" i="110"/>
  <c r="R6" i="110"/>
  <c r="L6" i="110"/>
  <c r="AI6" i="110" s="1"/>
  <c r="BJ18" i="119"/>
  <c r="N35" i="110"/>
  <c r="R35" i="110"/>
  <c r="M35" i="110"/>
  <c r="AN35" i="110" s="1"/>
  <c r="Q35" i="110"/>
  <c r="P35" i="110"/>
  <c r="AE35" i="110"/>
  <c r="L35" i="110"/>
  <c r="AI35" i="110" s="1"/>
  <c r="AI42" i="81"/>
  <c r="F26" i="3"/>
  <c r="C5" i="110"/>
  <c r="B5" i="110" s="1"/>
  <c r="Q1" i="128"/>
  <c r="AM167" i="110"/>
  <c r="BC48" i="122"/>
  <c r="Q44" i="3"/>
  <c r="AR270" i="110"/>
  <c r="BE16" i="70"/>
  <c r="BE200" i="70" s="1"/>
  <c r="N44" i="3" s="1"/>
  <c r="M270" i="110"/>
  <c r="L270" i="110"/>
  <c r="AI270" i="110" s="1"/>
  <c r="R12" i="70"/>
  <c r="P270" i="110"/>
  <c r="R270" i="110"/>
  <c r="BD16" i="70"/>
  <c r="J11" i="70" s="1"/>
  <c r="L44" i="3"/>
  <c r="AE270" i="110"/>
  <c r="N270" i="110"/>
  <c r="M44" i="3"/>
  <c r="Q270" i="110"/>
  <c r="O270" i="110"/>
  <c r="K44" i="3"/>
  <c r="BA200" i="133"/>
  <c r="N31" i="3" s="1"/>
  <c r="P5" i="110"/>
  <c r="BE18" i="123"/>
  <c r="BB22" i="111"/>
  <c r="BC22" i="111" s="1"/>
  <c r="AJ18" i="123"/>
  <c r="AU22" i="111"/>
  <c r="J4" i="110" s="1"/>
  <c r="AF4" i="110"/>
  <c r="AH4" i="110" s="1"/>
  <c r="R5" i="110"/>
  <c r="O5" i="110"/>
  <c r="M5" i="110"/>
  <c r="AN5" i="110" s="1"/>
  <c r="N5" i="110"/>
  <c r="L5" i="110"/>
  <c r="AI5" i="110" s="1"/>
  <c r="AE5" i="110"/>
  <c r="AI41" i="81"/>
  <c r="P38" i="110" l="1"/>
  <c r="R38" i="110"/>
  <c r="Q38" i="110"/>
  <c r="M38" i="110"/>
  <c r="AN38" i="110" s="1"/>
  <c r="L38" i="110"/>
  <c r="AI38" i="110" s="1"/>
  <c r="AE38" i="110"/>
  <c r="M260" i="110"/>
  <c r="AE260" i="110"/>
  <c r="O260" i="110"/>
  <c r="L43" i="3"/>
  <c r="N260" i="110"/>
  <c r="R260" i="110"/>
  <c r="Q260" i="110"/>
  <c r="BD18" i="13"/>
  <c r="J11" i="13" s="1"/>
  <c r="L260" i="110"/>
  <c r="AI260" i="110" s="1"/>
  <c r="R12" i="13"/>
  <c r="AR260" i="110"/>
  <c r="L99" i="110"/>
  <c r="AI99" i="110" s="1"/>
  <c r="N99" i="110"/>
  <c r="AE99" i="110"/>
  <c r="R99" i="110"/>
  <c r="Q99" i="110"/>
  <c r="M99" i="110"/>
  <c r="AN99" i="110" s="1"/>
  <c r="BJ200" i="121"/>
  <c r="J29" i="3" s="1"/>
  <c r="BJ200" i="119"/>
  <c r="N27" i="3" s="1"/>
  <c r="BL200" i="119"/>
  <c r="J27" i="3" s="1"/>
  <c r="Q27" i="3"/>
  <c r="K27" i="3"/>
  <c r="R36" i="110"/>
  <c r="L27" i="3"/>
  <c r="M36" i="110"/>
  <c r="AN36" i="110" s="1"/>
  <c r="P36" i="110"/>
  <c r="L36" i="110"/>
  <c r="AI36" i="110" s="1"/>
  <c r="R12" i="119"/>
  <c r="AE36" i="110"/>
  <c r="N36" i="110"/>
  <c r="M27" i="3"/>
  <c r="F52" i="3"/>
  <c r="F51" i="3"/>
  <c r="F54" i="3"/>
  <c r="F56" i="3"/>
  <c r="BH200" i="121"/>
  <c r="N29" i="3" s="1"/>
  <c r="AK294" i="110"/>
  <c r="AJ294" i="110"/>
  <c r="AL294" i="110"/>
  <c r="BE200" i="72"/>
  <c r="N46" i="3" s="1"/>
  <c r="Q46" i="3"/>
  <c r="BE200" i="13"/>
  <c r="N43" i="3" s="1"/>
  <c r="BH48" i="122"/>
  <c r="P44" i="3"/>
  <c r="AJ270" i="110"/>
  <c r="AK270" i="110"/>
  <c r="AL270" i="110"/>
  <c r="BF22" i="111"/>
  <c r="BD18" i="123"/>
  <c r="AO18" i="123" s="1"/>
  <c r="AO22" i="111" s="1"/>
  <c r="BD22" i="111"/>
  <c r="BG22" i="111" s="1"/>
  <c r="J11" i="111" s="1"/>
  <c r="AU200" i="111"/>
  <c r="V12" i="111" s="1"/>
  <c r="I26" i="3" s="1"/>
  <c r="AI44" i="81"/>
  <c r="AJ5" i="110"/>
  <c r="AK5" i="110"/>
  <c r="AL5" i="110"/>
  <c r="C4" i="110"/>
  <c r="B4" i="110" s="1"/>
  <c r="AI43" i="81"/>
  <c r="AJ260" i="110" l="1"/>
  <c r="AK260" i="110"/>
  <c r="AL260" i="110"/>
  <c r="I52" i="3"/>
  <c r="W41" i="78" s="1"/>
  <c r="AQ106" i="110"/>
  <c r="Z12" i="121"/>
  <c r="G29" i="3" s="1"/>
  <c r="G55" i="3" s="1"/>
  <c r="M106" i="110"/>
  <c r="AN106" i="110" s="1"/>
  <c r="L167" i="110"/>
  <c r="AI167" i="110" s="1"/>
  <c r="AE167" i="110"/>
  <c r="N167" i="110"/>
  <c r="M167" i="110"/>
  <c r="O167" i="110"/>
  <c r="R167" i="110"/>
  <c r="P167" i="110"/>
  <c r="Q167" i="110"/>
  <c r="BF48" i="122"/>
  <c r="BK22" i="111"/>
  <c r="BF18" i="123"/>
  <c r="I10" i="123" s="1"/>
  <c r="AV200" i="121" l="1"/>
  <c r="H29" i="3" s="1"/>
  <c r="H55" i="3" s="1"/>
  <c r="N106" i="110"/>
  <c r="AK167" i="110"/>
  <c r="AL167" i="110"/>
  <c r="AJ167" i="110"/>
  <c r="L4" i="110"/>
  <c r="M26" i="3"/>
  <c r="R4" i="110"/>
  <c r="R12" i="111"/>
  <c r="AE4" i="110"/>
  <c r="Q26" i="3"/>
  <c r="BK200" i="111"/>
  <c r="J26" i="3" s="1"/>
  <c r="BI22" i="111"/>
  <c r="AL22" i="111"/>
  <c r="AV18" i="123"/>
  <c r="W42" i="79"/>
  <c r="M4" i="110" l="1"/>
  <c r="Z12" i="111"/>
  <c r="G26" i="3" s="1"/>
  <c r="K26" i="3"/>
  <c r="BI200" i="111"/>
  <c r="N26" i="3" s="1"/>
  <c r="AI4" i="110"/>
  <c r="AV200" i="123"/>
  <c r="AV22" i="111"/>
  <c r="AQ4" i="110"/>
  <c r="P4" i="110"/>
  <c r="AN4" i="110" l="1"/>
  <c r="G52" i="3"/>
  <c r="G51" i="3"/>
  <c r="L26" i="3"/>
  <c r="N4" i="110"/>
  <c r="AV200" i="111"/>
  <c r="H26" i="3" s="1"/>
  <c r="Q4" i="110"/>
  <c r="H52" i="3" l="1"/>
  <c r="H51" i="3"/>
  <c r="BF16" i="70"/>
  <c r="BF200" i="70" s="1"/>
  <c r="O44" i="3" s="1"/>
  <c r="AV200" i="122" l="1"/>
  <c r="H30" i="3" s="1"/>
  <c r="Z12" i="122"/>
  <c r="G30" i="3" s="1"/>
  <c r="AM151" i="110"/>
  <c r="AQ151" i="110"/>
  <c r="AN151" i="110"/>
  <c r="H53" i="3" l="1"/>
  <c r="H56" i="3"/>
  <c r="H54" i="3"/>
  <c r="G53" i="3"/>
  <c r="G56" i="3"/>
  <c r="F1" i="3" s="1"/>
  <c r="G54" i="3"/>
  <c r="J59" i="126" l="1"/>
  <c r="T64" i="126" s="1"/>
  <c r="AE69" i="126" s="1"/>
  <c r="Z38" i="126"/>
  <c r="AD30" i="126"/>
  <c r="AU13" i="128" s="1"/>
  <c r="AV13" i="128" s="1"/>
  <c r="AW13" i="128" s="1"/>
  <c r="AX13" i="128" s="1"/>
  <c r="AY13" i="128" s="1"/>
  <c r="D27" i="128"/>
  <c r="BF16" i="122" l="1"/>
  <c r="J11" i="122" s="1"/>
  <c r="M30" i="3"/>
  <c r="V69" i="126"/>
  <c r="M69" i="126"/>
  <c r="BJ200" i="122"/>
  <c r="J30" i="3" s="1"/>
  <c r="R151" i="110"/>
  <c r="P151" i="110"/>
  <c r="N151" i="110"/>
  <c r="L30" i="3"/>
  <c r="Q30" i="3"/>
  <c r="L151" i="110"/>
  <c r="AE151" i="110"/>
  <c r="R12" i="122"/>
  <c r="M151" i="110"/>
  <c r="Q151" i="110"/>
  <c r="O151" i="110"/>
  <c r="J53" i="3" l="1"/>
  <c r="J54" i="3"/>
  <c r="Q53" i="3"/>
  <c r="Q54" i="3"/>
  <c r="K54" i="3"/>
  <c r="K53" i="3"/>
  <c r="L53" i="3"/>
  <c r="L54" i="3"/>
  <c r="BH200" i="122"/>
  <c r="N30" i="3" s="1"/>
  <c r="AI151" i="110"/>
  <c r="C211" i="3"/>
  <c r="AJ151" i="110"/>
  <c r="AL151" i="110"/>
  <c r="AK151" i="110"/>
  <c r="AR167" i="110" l="1"/>
  <c r="AR151" i="110" l="1"/>
  <c r="O6" i="110" l="1"/>
  <c r="AK6" i="110" l="1"/>
  <c r="AJ6" i="110"/>
  <c r="AL6" i="110"/>
  <c r="BC18" i="120" l="1"/>
  <c r="BD18" i="120" s="1"/>
  <c r="AN18" i="120" l="1"/>
  <c r="BF18" i="120"/>
  <c r="J11" i="120" s="1"/>
  <c r="L66" i="110" l="1"/>
  <c r="M66" i="110"/>
  <c r="N66" i="110"/>
  <c r="P66" i="110"/>
  <c r="Q66" i="110"/>
  <c r="R66" i="110"/>
  <c r="AE66" i="110"/>
  <c r="BH18" i="120"/>
  <c r="BJ200" i="120"/>
  <c r="J28" i="3" s="1"/>
  <c r="J55" i="3" l="1"/>
  <c r="J52" i="3"/>
  <c r="J56" i="3"/>
  <c r="J51" i="3"/>
  <c r="C209" i="3"/>
  <c r="C208" i="3" s="1"/>
  <c r="BH200" i="120"/>
  <c r="N28" i="3" s="1"/>
  <c r="N56" i="3" s="1"/>
  <c r="AN66" i="110"/>
  <c r="AI66" i="110"/>
  <c r="F3" i="3" l="1"/>
  <c r="D29" i="76" s="1"/>
  <c r="F6" i="3"/>
  <c r="AD42" i="79"/>
  <c r="AD41" i="78"/>
  <c r="O244" i="110" l="1" a="1"/>
  <c r="O244" i="110" s="1"/>
  <c r="O239" i="110" a="1"/>
  <c r="O239" i="110" s="1"/>
  <c r="O240" i="110" a="1"/>
  <c r="O240" i="110" s="1"/>
  <c r="O242" i="110" a="1"/>
  <c r="O242" i="110" s="1"/>
  <c r="O129" i="110" a="1"/>
  <c r="O129" i="110" s="1"/>
  <c r="O238" i="110" a="1"/>
  <c r="O238" i="110" s="1"/>
  <c r="O38" i="110"/>
  <c r="AJ38" i="110" s="1"/>
  <c r="O184" i="110"/>
  <c r="O205" i="110" a="1"/>
  <c r="O205" i="110" s="1"/>
  <c r="O189" i="110"/>
  <c r="O188" i="110"/>
  <c r="O186" i="110"/>
  <c r="O100" i="110"/>
  <c r="AL100" i="110" s="1"/>
  <c r="O101" i="110"/>
  <c r="O185" i="110"/>
  <c r="O68" i="110"/>
  <c r="O227" i="110" a="1"/>
  <c r="O227" i="110" s="1"/>
  <c r="O229" i="110" a="1"/>
  <c r="O229" i="110" s="1"/>
  <c r="O128" i="110" a="1"/>
  <c r="O128" i="110" s="1"/>
  <c r="O187" i="110"/>
  <c r="O9" i="110"/>
  <c r="AJ9" i="110" s="1"/>
  <c r="O71" i="110"/>
  <c r="AL71" i="110" s="1"/>
  <c r="O99" i="110"/>
  <c r="O98" i="110"/>
  <c r="O97" i="110"/>
  <c r="O183" i="110"/>
  <c r="O12" i="110"/>
  <c r="D205" i="3"/>
  <c r="C205" i="3"/>
  <c r="C182" i="3" s="1"/>
  <c r="O182" i="110"/>
  <c r="C20" i="57"/>
  <c r="BF18" i="72"/>
  <c r="BF200" i="72" s="1"/>
  <c r="O46" i="3" s="1"/>
  <c r="AK38" i="110" l="1"/>
  <c r="AL38" i="110"/>
  <c r="AK100" i="110"/>
  <c r="AJ101" i="110"/>
  <c r="AK101" i="110"/>
  <c r="AL101" i="110"/>
  <c r="AJ100" i="110"/>
  <c r="AJ68" i="110"/>
  <c r="AK68" i="110"/>
  <c r="AL68" i="110"/>
  <c r="AL9" i="110"/>
  <c r="AK9" i="110"/>
  <c r="AJ71" i="110"/>
  <c r="AK71" i="110"/>
  <c r="AJ97" i="110"/>
  <c r="AL97" i="110"/>
  <c r="AK97" i="110"/>
  <c r="AL98" i="110"/>
  <c r="AJ98" i="110"/>
  <c r="AK98" i="110"/>
  <c r="AJ99" i="110"/>
  <c r="AK99" i="110"/>
  <c r="AL99" i="110"/>
  <c r="AK12" i="110"/>
  <c r="AJ12" i="110"/>
  <c r="AL12" i="110"/>
  <c r="A182" i="3"/>
  <c r="D182" i="3"/>
  <c r="P46" i="3"/>
  <c r="AK141" i="110"/>
  <c r="AL141" i="110"/>
  <c r="F4" i="3" l="1"/>
  <c r="AD38" i="55"/>
  <c r="K22" i="76"/>
  <c r="U17" i="81"/>
  <c r="P43" i="79"/>
  <c r="P42" i="78"/>
  <c r="AI35" i="81" l="1"/>
  <c r="O45" i="110"/>
  <c r="AL2" i="137"/>
  <c r="AD43" i="79"/>
  <c r="AD42" i="78"/>
  <c r="D211" i="3"/>
  <c r="D209" i="3"/>
  <c r="AH2" i="137" l="1"/>
  <c r="O9" i="119"/>
  <c r="AL45" i="110"/>
  <c r="AK45" i="110"/>
  <c r="AJ45" i="110"/>
  <c r="O35" i="110"/>
  <c r="O41" i="110"/>
  <c r="O106" i="110"/>
  <c r="AK106" i="110" s="1"/>
  <c r="O47" i="110"/>
  <c r="O16" i="110"/>
  <c r="AJ16" i="110" s="1"/>
  <c r="O69" i="110"/>
  <c r="O36" i="110"/>
  <c r="AJ36" i="110" s="1"/>
  <c r="O7" i="110"/>
  <c r="AJ7" i="110" s="1"/>
  <c r="O66" i="110"/>
  <c r="A208" i="3"/>
  <c r="D208" i="3"/>
  <c r="AK36" i="110" l="1"/>
  <c r="AK35" i="110"/>
  <c r="AL35" i="110"/>
  <c r="AJ35" i="110"/>
  <c r="AK41" i="110"/>
  <c r="AL41" i="110"/>
  <c r="AJ41" i="110"/>
  <c r="AL106" i="110"/>
  <c r="AJ106" i="110"/>
  <c r="AJ47" i="110"/>
  <c r="AK47" i="110"/>
  <c r="AL47" i="110"/>
  <c r="AL16" i="110"/>
  <c r="AK16" i="110"/>
  <c r="AJ69" i="110"/>
  <c r="AK69" i="110"/>
  <c r="AL69" i="110"/>
  <c r="AL36" i="110"/>
  <c r="AK7" i="110"/>
  <c r="AL7" i="110"/>
  <c r="AJ66" i="110"/>
  <c r="AK66" i="110"/>
  <c r="AL66" i="110"/>
  <c r="F5" i="3"/>
  <c r="AQ2" i="137" s="1"/>
  <c r="U18" i="81"/>
  <c r="K24" i="76"/>
  <c r="AQ2" i="122" l="1"/>
  <c r="AQ2" i="135"/>
  <c r="AQ2" i="65"/>
  <c r="AQ2" i="134"/>
  <c r="AQ2" i="70"/>
  <c r="AQ2" i="8"/>
  <c r="AQ2" i="51"/>
  <c r="AQ2" i="57"/>
  <c r="AQ2" i="48"/>
  <c r="AQ2" i="130"/>
  <c r="AQ2" i="131"/>
  <c r="AQ2" i="120"/>
  <c r="AQ2" i="49"/>
  <c r="AQ2" i="55"/>
  <c r="AQ2" i="111"/>
  <c r="AQ2" i="121"/>
  <c r="AQ2" i="133"/>
  <c r="AQ2" i="125"/>
  <c r="AQ2" i="56"/>
  <c r="AQ2" i="132"/>
  <c r="AQ2" i="74"/>
  <c r="AQ2" i="81"/>
  <c r="AQ2" i="63"/>
  <c r="AQ2" i="128"/>
  <c r="AQ2" i="76"/>
  <c r="AQ2" i="79"/>
  <c r="AQ2" i="64"/>
  <c r="AQ2" i="13"/>
  <c r="AQ2" i="71"/>
  <c r="AQ2" i="73"/>
  <c r="AQ2" i="78"/>
  <c r="AQ2" i="126"/>
  <c r="AQ2" i="66"/>
  <c r="AQ2" i="123"/>
  <c r="AQ2" i="119"/>
  <c r="AQ2" i="124"/>
  <c r="AQ2" i="72"/>
  <c r="AQ2" i="75"/>
  <c r="M80" i="110" l="1"/>
  <c r="L83" i="110"/>
  <c r="Q83" i="110" l="1"/>
  <c r="AE80" i="110"/>
  <c r="L80" i="110"/>
  <c r="AI80" i="110" s="1"/>
  <c r="AI83" i="110"/>
  <c r="AN80" i="110"/>
  <c r="AE83" i="110"/>
  <c r="R83" i="110"/>
  <c r="P83" i="110"/>
  <c r="R80" i="110"/>
  <c r="O83" i="110"/>
  <c r="Q80" i="110"/>
  <c r="N83" i="110"/>
  <c r="P80" i="110"/>
  <c r="M83" i="110"/>
  <c r="AN83" i="110" s="1"/>
  <c r="O80" i="110"/>
  <c r="N80" i="110"/>
  <c r="AJ83" i="110" l="1"/>
  <c r="AK83" i="110"/>
  <c r="AL83" i="110"/>
  <c r="AK80" i="110"/>
  <c r="AL80" i="110"/>
  <c r="AJ80" i="110"/>
  <c r="Q110" i="110"/>
  <c r="O114" i="110"/>
  <c r="M115" i="110"/>
  <c r="AN115" i="110" s="1"/>
  <c r="K29" i="3"/>
  <c r="L29" i="3"/>
  <c r="M29" i="3"/>
  <c r="Q29" i="3"/>
  <c r="M114" i="110" l="1"/>
  <c r="AN114" i="110" s="1"/>
  <c r="P110" i="110"/>
  <c r="O110" i="110"/>
  <c r="N114" i="110"/>
  <c r="AK114" i="110" s="1"/>
  <c r="L115" i="110"/>
  <c r="AI115" i="110" s="1"/>
  <c r="L114" i="110"/>
  <c r="AI114" i="110" s="1"/>
  <c r="N110" i="110"/>
  <c r="M110" i="110"/>
  <c r="L110" i="110"/>
  <c r="AE115" i="110"/>
  <c r="R115" i="110"/>
  <c r="Q115" i="110"/>
  <c r="AE114" i="110"/>
  <c r="R12" i="121"/>
  <c r="P115" i="110"/>
  <c r="R114" i="110"/>
  <c r="O115" i="110"/>
  <c r="Q114" i="110"/>
  <c r="AE110" i="110"/>
  <c r="N115" i="110"/>
  <c r="P114" i="110"/>
  <c r="R110" i="110"/>
  <c r="AJ114" i="110" l="1"/>
  <c r="AL110" i="110"/>
  <c r="AN110" i="110"/>
  <c r="AL114" i="110"/>
  <c r="AK110" i="110"/>
  <c r="AJ110" i="110"/>
  <c r="AJ115" i="110"/>
  <c r="AK115" i="110"/>
  <c r="AL115" i="110"/>
  <c r="AI110" i="110"/>
  <c r="AY26" i="133"/>
  <c r="R12" i="133" l="1"/>
  <c r="AY30" i="133"/>
  <c r="J11" i="133" s="1"/>
  <c r="K31" i="3"/>
  <c r="L31" i="3"/>
  <c r="M31" i="3"/>
  <c r="Q31" i="3"/>
  <c r="L67" i="110" l="1"/>
  <c r="AI38" i="81" s="1"/>
  <c r="M67" i="110"/>
  <c r="AI36" i="81" s="1"/>
  <c r="N67" i="110"/>
  <c r="AI37" i="81" s="1"/>
  <c r="P67" i="110"/>
  <c r="AI39" i="81" s="1"/>
  <c r="Q67" i="110"/>
  <c r="AI40" i="81" s="1"/>
  <c r="R67" i="110"/>
  <c r="AE67" i="110"/>
  <c r="R12" i="120"/>
  <c r="K28" i="3"/>
  <c r="L28" i="3"/>
  <c r="L52" i="3" s="1"/>
  <c r="M28" i="3"/>
  <c r="Q28" i="3"/>
  <c r="Q55" i="3" s="1"/>
  <c r="AI67" i="110" l="1"/>
  <c r="K55" i="3"/>
  <c r="K52" i="3"/>
  <c r="P41" i="78" s="1"/>
  <c r="P45" i="78" s="1"/>
  <c r="K51" i="3"/>
  <c r="K56" i="3"/>
  <c r="Q56" i="3"/>
  <c r="O56" i="3" s="1"/>
  <c r="O58" i="3" s="1"/>
  <c r="Q51" i="3"/>
  <c r="Q52" i="3"/>
  <c r="L55" i="3"/>
  <c r="M52" i="3"/>
  <c r="L51" i="3"/>
  <c r="L56" i="3"/>
  <c r="M55" i="3"/>
  <c r="AN67" i="110"/>
  <c r="AY20" i="63" l="1"/>
  <c r="AY28" i="63"/>
  <c r="AY30" i="63"/>
  <c r="AY22" i="63"/>
  <c r="AY24" i="63"/>
  <c r="AY26" i="63"/>
  <c r="BI24" i="120"/>
  <c r="BF26" i="13"/>
  <c r="BI20" i="120"/>
  <c r="BI26" i="121"/>
  <c r="BB18" i="133"/>
  <c r="BJ22" i="111"/>
  <c r="BI22" i="120"/>
  <c r="BI24" i="121"/>
  <c r="BF20" i="13"/>
  <c r="BB16" i="133"/>
  <c r="BI200" i="122"/>
  <c r="BI28" i="120"/>
  <c r="BI22" i="121"/>
  <c r="BI20" i="121"/>
  <c r="BI18" i="121"/>
  <c r="BI18" i="120"/>
  <c r="BF18" i="13"/>
  <c r="BF16" i="13"/>
  <c r="S52" i="3"/>
  <c r="P42" i="79"/>
  <c r="P46" i="79" s="1"/>
  <c r="R52" i="3"/>
  <c r="BB200" i="133" l="1"/>
  <c r="O31" i="3" s="1"/>
  <c r="BI200" i="120"/>
  <c r="P28" i="3" s="1"/>
  <c r="AY200" i="124"/>
  <c r="O30" i="3"/>
  <c r="P30" i="3"/>
  <c r="BI200" i="121"/>
  <c r="P29" i="3" s="1"/>
  <c r="BF200" i="13"/>
  <c r="BK200" i="119"/>
  <c r="P27" i="3" s="1"/>
  <c r="BJ200" i="111"/>
  <c r="P26" i="3" s="1"/>
  <c r="AY202" i="63"/>
  <c r="P35" i="3" s="1"/>
  <c r="AV10" i="72"/>
  <c r="AX10" i="137"/>
  <c r="AV8" i="74"/>
  <c r="AX8" i="137"/>
  <c r="AV10" i="13"/>
  <c r="AV10" i="122"/>
  <c r="AV10" i="73"/>
  <c r="AV10" i="70"/>
  <c r="AV10" i="75"/>
  <c r="AV10" i="74"/>
  <c r="AV10" i="71"/>
  <c r="AX10" i="135"/>
  <c r="AV8" i="70"/>
  <c r="AV8" i="75"/>
  <c r="AV8" i="71"/>
  <c r="AX8" i="135"/>
  <c r="AV8" i="13"/>
  <c r="AV8" i="122"/>
  <c r="AV8" i="73"/>
  <c r="AV8" i="72"/>
  <c r="P31" i="3" l="1"/>
  <c r="P51" i="3" s="1"/>
  <c r="O28" i="3"/>
  <c r="P39" i="3"/>
  <c r="O39" i="3"/>
  <c r="O29" i="3"/>
  <c r="O43" i="3"/>
  <c r="P43" i="3"/>
  <c r="P53" i="3" s="1"/>
  <c r="O27" i="3"/>
  <c r="O26" i="3"/>
  <c r="O35" i="3"/>
  <c r="P52" i="3" l="1"/>
  <c r="P55" i="3"/>
  <c r="P56" i="3"/>
  <c r="P54" i="3"/>
  <c r="O57" i="3"/>
  <c r="AD46" i="79"/>
  <c r="AD45" i="78"/>
  <c r="O109" i="110" l="1"/>
  <c r="O4" i="110"/>
  <c r="O104" i="110"/>
  <c r="O74" i="110"/>
  <c r="O8" i="110"/>
  <c r="O10" i="110"/>
  <c r="O37" i="110"/>
  <c r="O103" i="110"/>
  <c r="AL2" i="131"/>
  <c r="AL2" i="135"/>
  <c r="AL2" i="65"/>
  <c r="AL2" i="63"/>
  <c r="AL2" i="125"/>
  <c r="AL2" i="120"/>
  <c r="AL2" i="126"/>
  <c r="AL2" i="49"/>
  <c r="AL2" i="128"/>
  <c r="AL2" i="79"/>
  <c r="AL2" i="122"/>
  <c r="AL2" i="111"/>
  <c r="AL2" i="72"/>
  <c r="AL2" i="55"/>
  <c r="AL2" i="76"/>
  <c r="AL2" i="66"/>
  <c r="AL2" i="134"/>
  <c r="AL2" i="124"/>
  <c r="AL2" i="8"/>
  <c r="AL2" i="56"/>
  <c r="AL2" i="64"/>
  <c r="AL2" i="75"/>
  <c r="AL2" i="51"/>
  <c r="AL2" i="123"/>
  <c r="AL2" i="13"/>
  <c r="AL2" i="70"/>
  <c r="AL2" i="57"/>
  <c r="AL2" i="133"/>
  <c r="AL2" i="71"/>
  <c r="AL2" i="119"/>
  <c r="AL2" i="132"/>
  <c r="AL2" i="73"/>
  <c r="AL2" i="74"/>
  <c r="AL2" i="48"/>
  <c r="AL2" i="121"/>
  <c r="AL2" i="130"/>
  <c r="AL2" i="81"/>
  <c r="AL2" i="78"/>
  <c r="O9" i="71"/>
  <c r="O9" i="75"/>
  <c r="AH2" i="8"/>
  <c r="AH2" i="135"/>
  <c r="O9" i="111"/>
  <c r="O9" i="64"/>
  <c r="AH2" i="51"/>
  <c r="AH2" i="128"/>
  <c r="D23" i="128"/>
  <c r="O9" i="133"/>
  <c r="AH2" i="119"/>
  <c r="AH2" i="76"/>
  <c r="AH2" i="66"/>
  <c r="AH2" i="79"/>
  <c r="O9" i="132"/>
  <c r="AH2" i="49"/>
  <c r="AH2" i="78"/>
  <c r="O9" i="66"/>
  <c r="AH2" i="55"/>
  <c r="AH2" i="130"/>
  <c r="O9" i="134"/>
  <c r="AH2" i="121"/>
  <c r="AH2" i="122"/>
  <c r="O9" i="73"/>
  <c r="AH2" i="132"/>
  <c r="AH2" i="131"/>
  <c r="O9" i="72"/>
  <c r="AH2" i="56"/>
  <c r="AH2" i="75"/>
  <c r="J15" i="79"/>
  <c r="O9" i="121"/>
  <c r="AH2" i="123"/>
  <c r="K38" i="126"/>
  <c r="J42" i="126"/>
  <c r="AH2" i="73"/>
  <c r="AH2" i="74"/>
  <c r="J14" i="78"/>
  <c r="AH2" i="81"/>
  <c r="AH2" i="70"/>
  <c r="O9" i="122"/>
  <c r="AH2" i="57"/>
  <c r="O9" i="65"/>
  <c r="AH2" i="134"/>
  <c r="O9" i="120"/>
  <c r="O9" i="74"/>
  <c r="AH2" i="111"/>
  <c r="O9" i="124"/>
  <c r="AH2" i="124"/>
  <c r="AH2" i="126"/>
  <c r="AH2" i="72"/>
  <c r="AH2" i="64"/>
  <c r="AH2" i="63"/>
  <c r="AH2" i="13"/>
  <c r="AH2" i="125"/>
  <c r="O9" i="70"/>
  <c r="AH2" i="120"/>
  <c r="AH2" i="65"/>
  <c r="K68" i="79"/>
  <c r="O9" i="13"/>
  <c r="AH2" i="133"/>
  <c r="AH2" i="48"/>
  <c r="O9" i="63"/>
  <c r="AH2" i="71"/>
  <c r="AR252" i="110"/>
  <c r="AR26" i="110"/>
  <c r="AR113" i="110"/>
  <c r="AR89" i="110"/>
  <c r="AR227" i="110"/>
  <c r="AR116" i="110"/>
  <c r="AR44" i="110"/>
  <c r="AR253" i="110"/>
  <c r="AR131" i="110"/>
  <c r="AR82" i="110"/>
  <c r="AR35" i="110"/>
  <c r="AR84" i="110"/>
  <c r="AR66" i="110"/>
  <c r="AR128" i="110"/>
  <c r="AR39" i="110"/>
  <c r="AR230" i="110"/>
  <c r="AR125" i="110"/>
  <c r="AR102" i="110"/>
  <c r="AR256" i="110"/>
  <c r="AR129" i="110"/>
  <c r="AR56" i="110"/>
  <c r="AR94" i="110"/>
  <c r="AR47" i="110"/>
  <c r="AR97" i="110"/>
  <c r="AR250" i="110"/>
  <c r="AR37" i="110"/>
  <c r="AR50" i="110"/>
  <c r="AR51" i="110"/>
  <c r="AR132" i="110"/>
  <c r="AR126" i="110"/>
  <c r="AR5" i="110"/>
  <c r="AR251" i="110"/>
  <c r="AR188" i="110"/>
  <c r="AR68" i="110"/>
  <c r="AR8" i="110"/>
  <c r="AR190" i="110"/>
  <c r="AR107" i="110"/>
  <c r="AR59" i="110"/>
  <c r="AR109" i="110"/>
  <c r="AR85" i="110"/>
  <c r="AR74" i="110"/>
  <c r="AR63" i="110"/>
  <c r="AR254" i="110"/>
  <c r="AR17" i="110"/>
  <c r="AR92" i="110"/>
  <c r="AR20" i="110"/>
  <c r="AR119" i="110"/>
  <c r="AR71" i="110"/>
  <c r="AR121" i="110"/>
  <c r="AR98" i="110"/>
  <c r="AR86" i="110"/>
  <c r="AR75" i="110"/>
  <c r="AR15" i="110"/>
  <c r="AR186" i="110"/>
  <c r="AR29" i="110"/>
  <c r="AR6" i="110"/>
  <c r="AR105" i="110"/>
  <c r="AR32" i="110"/>
  <c r="AR248" i="110"/>
  <c r="AR95" i="110"/>
  <c r="AR182" i="110"/>
  <c r="AR111" i="110"/>
  <c r="AR87" i="110"/>
  <c r="AR27" i="110"/>
  <c r="AR191" i="110"/>
  <c r="AR42" i="110"/>
  <c r="AR18" i="110"/>
  <c r="AR117" i="110"/>
  <c r="AR45" i="110"/>
  <c r="AR185" i="110"/>
  <c r="AR108" i="110"/>
  <c r="AR123" i="110"/>
  <c r="AR100" i="110"/>
  <c r="AR40" i="110"/>
  <c r="AR4" i="110"/>
  <c r="AR232" i="110"/>
  <c r="AR54" i="110"/>
  <c r="AR30" i="110"/>
  <c r="AR57" i="110"/>
  <c r="AR9" i="110"/>
  <c r="AR120" i="110"/>
  <c r="AR11" i="110"/>
  <c r="AR187" i="110"/>
  <c r="AR130" i="110"/>
  <c r="AR112" i="110"/>
  <c r="AR52" i="110"/>
  <c r="AR16" i="110"/>
  <c r="AR78" i="110"/>
  <c r="AR43" i="110"/>
  <c r="AR234" i="110"/>
  <c r="AR136" i="110"/>
  <c r="AR69" i="110"/>
  <c r="AR21" i="110"/>
  <c r="AR231" i="110"/>
  <c r="AR23" i="110"/>
  <c r="AR124" i="110"/>
  <c r="AR64" i="110"/>
  <c r="AR28" i="110"/>
  <c r="AR90" i="110"/>
  <c r="AR55" i="110"/>
  <c r="AR183" i="110"/>
  <c r="AR81" i="110"/>
  <c r="AR33" i="110"/>
  <c r="AR36" i="110"/>
  <c r="AR233" i="110"/>
  <c r="AR257" i="110"/>
  <c r="AR235" i="110"/>
  <c r="AR76" i="110"/>
  <c r="AR41" i="110"/>
  <c r="AR103" i="110"/>
  <c r="AR79" i="110"/>
  <c r="AR7" i="110"/>
  <c r="AR93" i="110"/>
  <c r="AR46" i="110"/>
  <c r="AR255" i="110"/>
  <c r="AR226" i="110"/>
  <c r="AR48" i="110"/>
  <c r="AR137" i="110"/>
  <c r="AR88" i="110"/>
  <c r="AR53" i="110"/>
  <c r="AR134" i="110"/>
  <c r="AR91" i="110"/>
  <c r="AR19" i="110"/>
  <c r="AR229" i="110"/>
  <c r="AR106" i="110"/>
  <c r="AR58" i="110"/>
  <c r="AR10" i="110"/>
  <c r="AR60" i="110"/>
  <c r="AR14" i="110"/>
  <c r="AR184" i="110"/>
  <c r="AR101" i="110"/>
  <c r="AR77" i="110"/>
  <c r="AR104" i="110"/>
  <c r="AR31" i="110"/>
  <c r="AR118" i="110"/>
  <c r="AR70" i="110"/>
  <c r="AR22" i="110"/>
  <c r="AR72" i="110"/>
  <c r="AR249" i="110"/>
  <c r="AR49" i="110"/>
  <c r="AR25" i="110"/>
  <c r="AR189" i="110"/>
  <c r="AR13" i="110"/>
  <c r="AR122" i="110"/>
  <c r="AR24" i="110"/>
  <c r="AR62" i="110"/>
  <c r="AR73" i="110"/>
  <c r="AR228" i="110"/>
  <c r="AR12" i="110"/>
  <c r="AR61" i="110"/>
  <c r="AR38" i="110"/>
  <c r="AR99" i="110"/>
  <c r="AR83" i="110"/>
  <c r="AR80" i="110"/>
  <c r="AR110" i="110"/>
  <c r="AR115" i="110"/>
  <c r="AR114" i="110"/>
  <c r="AR133" i="110"/>
  <c r="AR135" i="110"/>
  <c r="O67" i="110"/>
  <c r="AR67" i="110"/>
  <c r="AL10" i="110" l="1"/>
  <c r="AK10" i="110"/>
  <c r="AJ10" i="110"/>
  <c r="AK8" i="110"/>
  <c r="AJ8" i="110"/>
  <c r="AL8" i="110"/>
  <c r="AL74" i="110"/>
  <c r="AK74" i="110"/>
  <c r="AJ74" i="110"/>
  <c r="AK104" i="110"/>
  <c r="AJ104" i="110"/>
  <c r="AL104" i="110"/>
  <c r="AL4" i="110"/>
  <c r="AJ4" i="110"/>
  <c r="AK4" i="110"/>
  <c r="AL109" i="110"/>
  <c r="AJ109" i="110"/>
  <c r="AK109" i="110"/>
  <c r="AJ103" i="110"/>
  <c r="AL103" i="110"/>
  <c r="AK103" i="110"/>
  <c r="AL37" i="110"/>
  <c r="AJ37" i="110"/>
  <c r="AK37" i="110"/>
  <c r="C199" i="110"/>
  <c r="B199" i="110" s="1"/>
  <c r="AJ199" i="110"/>
  <c r="AK199" i="110"/>
  <c r="AL199" i="110"/>
  <c r="C252" i="110"/>
  <c r="B252" i="110" s="1"/>
  <c r="AJ252" i="110"/>
  <c r="AK252" i="110"/>
  <c r="AL252" i="110"/>
  <c r="C193" i="110"/>
  <c r="B193" i="110" s="1"/>
  <c r="AJ193" i="110"/>
  <c r="AK193" i="110"/>
  <c r="AL193" i="110"/>
  <c r="C215" i="110"/>
  <c r="B215" i="110" s="1"/>
  <c r="AJ215" i="110"/>
  <c r="AK215" i="110"/>
  <c r="AL215" i="110"/>
  <c r="AJ218" i="110"/>
  <c r="AL218" i="110"/>
  <c r="C218" i="110"/>
  <c r="B218" i="110" s="1"/>
  <c r="AK218" i="110"/>
  <c r="AK185" i="110"/>
  <c r="AL185" i="110"/>
  <c r="C185" i="110"/>
  <c r="B185" i="110" s="1"/>
  <c r="AJ185" i="110"/>
  <c r="C129" i="110"/>
  <c r="B129" i="110" s="1"/>
  <c r="AJ129" i="110"/>
  <c r="AK129" i="110"/>
  <c r="AL129" i="110"/>
  <c r="AK250" i="110"/>
  <c r="AL250" i="110"/>
  <c r="C250" i="110"/>
  <c r="B250" i="110" s="1"/>
  <c r="AJ250" i="110"/>
  <c r="AK137" i="110"/>
  <c r="AL137" i="110"/>
  <c r="C137" i="110"/>
  <c r="B137" i="110" s="1"/>
  <c r="AJ137" i="110"/>
  <c r="C255" i="110"/>
  <c r="B255" i="110" s="1"/>
  <c r="AJ255" i="110"/>
  <c r="AK255" i="110"/>
  <c r="AL255" i="110"/>
  <c r="C240" i="110"/>
  <c r="B240" i="110" s="1"/>
  <c r="AK240" i="110"/>
  <c r="AL240" i="110"/>
  <c r="AJ240" i="110"/>
  <c r="AL188" i="110"/>
  <c r="C188" i="110"/>
  <c r="B188" i="110" s="1"/>
  <c r="AJ188" i="110"/>
  <c r="AK188" i="110"/>
  <c r="C245" i="110"/>
  <c r="B245" i="110" s="1"/>
  <c r="AJ245" i="110"/>
  <c r="AK245" i="110"/>
  <c r="AL245" i="110"/>
  <c r="C204" i="110"/>
  <c r="B204" i="110" s="1"/>
  <c r="AJ204" i="110"/>
  <c r="AK204" i="110"/>
  <c r="AL204" i="110"/>
  <c r="AL130" i="110"/>
  <c r="C130" i="110"/>
  <c r="B130" i="110" s="1"/>
  <c r="AJ130" i="110"/>
  <c r="AK130" i="110"/>
  <c r="C231" i="110"/>
  <c r="B231" i="110" s="1"/>
  <c r="AJ231" i="110"/>
  <c r="AK231" i="110"/>
  <c r="AL231" i="110"/>
  <c r="C208" i="110"/>
  <c r="B208" i="110" s="1"/>
  <c r="AJ208" i="110"/>
  <c r="AK208" i="110"/>
  <c r="AL208" i="110"/>
  <c r="AJ216" i="110"/>
  <c r="AK216" i="110"/>
  <c r="C216" i="110"/>
  <c r="B216" i="110" s="1"/>
  <c r="AL216" i="110"/>
  <c r="C205" i="110"/>
  <c r="B205" i="110" s="1"/>
  <c r="AJ205" i="110"/>
  <c r="AK205" i="110"/>
  <c r="AL205" i="110"/>
  <c r="C223" i="110"/>
  <c r="B223" i="110" s="1"/>
  <c r="AJ223" i="110"/>
  <c r="AK223" i="110"/>
  <c r="AL223" i="110"/>
  <c r="AJ131" i="110"/>
  <c r="C131" i="110"/>
  <c r="B131" i="110" s="1"/>
  <c r="AK131" i="110"/>
  <c r="AL131" i="110"/>
  <c r="AJ198" i="110"/>
  <c r="AK198" i="110"/>
  <c r="C198" i="110"/>
  <c r="B198" i="110" s="1"/>
  <c r="AL198" i="110"/>
  <c r="AJ67" i="110"/>
  <c r="AK67" i="110"/>
  <c r="AL67" i="110"/>
  <c r="AJ224" i="110"/>
  <c r="C224" i="110"/>
  <c r="B224" i="110" s="1"/>
  <c r="AK224" i="110"/>
  <c r="AL224" i="110"/>
  <c r="AL202" i="110"/>
  <c r="AK202" i="110"/>
  <c r="AJ202" i="110"/>
  <c r="C202" i="110"/>
  <c r="B202" i="110" s="1"/>
  <c r="AK197" i="110"/>
  <c r="C197" i="110"/>
  <c r="B197" i="110" s="1"/>
  <c r="AJ197" i="110"/>
  <c r="AL197" i="110"/>
  <c r="C136" i="110"/>
  <c r="B136" i="110" s="1"/>
  <c r="AJ136" i="110"/>
  <c r="AK136" i="110"/>
  <c r="AL136" i="110"/>
  <c r="C253" i="110"/>
  <c r="B253" i="110" s="1"/>
  <c r="AJ253" i="110"/>
  <c r="AK253" i="110"/>
  <c r="AL253" i="110"/>
  <c r="C213" i="110"/>
  <c r="B213" i="110" s="1"/>
  <c r="AL213" i="110"/>
  <c r="AK213" i="110"/>
  <c r="AJ213" i="110"/>
  <c r="C238" i="110"/>
  <c r="B238" i="110" s="1"/>
  <c r="AK238" i="110"/>
  <c r="AL238" i="110"/>
  <c r="AJ238" i="110"/>
  <c r="AK187" i="110"/>
  <c r="AL187" i="110"/>
  <c r="C187" i="110"/>
  <c r="B187" i="110" s="1"/>
  <c r="AJ187" i="110"/>
  <c r="AK249" i="110"/>
  <c r="AJ249" i="110"/>
  <c r="AL249" i="110"/>
  <c r="C249" i="110"/>
  <c r="B249" i="110" s="1"/>
  <c r="C239" i="110"/>
  <c r="B239" i="110" s="1"/>
  <c r="AK239" i="110"/>
  <c r="AL239" i="110"/>
  <c r="AJ239" i="110"/>
  <c r="C246" i="110"/>
  <c r="B246" i="110" s="1"/>
  <c r="AK246" i="110"/>
  <c r="AL246" i="110"/>
  <c r="AJ246" i="110"/>
  <c r="C217" i="110"/>
  <c r="B217" i="110" s="1"/>
  <c r="AJ217" i="110"/>
  <c r="AK217" i="110"/>
  <c r="AL217" i="110"/>
  <c r="C243" i="110"/>
  <c r="B243" i="110" s="1"/>
  <c r="AJ243" i="110"/>
  <c r="AK243" i="110"/>
  <c r="AL243" i="110"/>
  <c r="C221" i="110"/>
  <c r="B221" i="110" s="1"/>
  <c r="AJ221" i="110"/>
  <c r="AK221" i="110"/>
  <c r="AL221" i="110"/>
  <c r="C242" i="110"/>
  <c r="B242" i="110" s="1"/>
  <c r="AK242" i="110"/>
  <c r="AL242" i="110"/>
  <c r="AJ242" i="110"/>
  <c r="C135" i="110"/>
  <c r="B135" i="110" s="1"/>
  <c r="AJ135" i="110"/>
  <c r="AK135" i="110"/>
  <c r="AL135" i="110"/>
  <c r="C232" i="110"/>
  <c r="B232" i="110" s="1"/>
  <c r="AK232" i="110"/>
  <c r="AL232" i="110"/>
  <c r="AJ232" i="110"/>
  <c r="C206" i="110"/>
  <c r="B206" i="110" s="1"/>
  <c r="AJ206" i="110"/>
  <c r="AK206" i="110"/>
  <c r="AL206" i="110"/>
  <c r="C201" i="110"/>
  <c r="B201" i="110" s="1"/>
  <c r="AJ201" i="110"/>
  <c r="AK201" i="110"/>
  <c r="AL201" i="110"/>
  <c r="AL189" i="110"/>
  <c r="C189" i="110"/>
  <c r="B189" i="110" s="1"/>
  <c r="AJ189" i="110"/>
  <c r="AK189" i="110"/>
  <c r="C190" i="110"/>
  <c r="B190" i="110" s="1"/>
  <c r="AJ190" i="110"/>
  <c r="AK190" i="110"/>
  <c r="AL190" i="110"/>
  <c r="AL195" i="110"/>
  <c r="C195" i="110"/>
  <c r="B195" i="110" s="1"/>
  <c r="AJ195" i="110"/>
  <c r="AK195" i="110"/>
  <c r="C212" i="110"/>
  <c r="B212" i="110" s="1"/>
  <c r="AJ212" i="110"/>
  <c r="AK212" i="110"/>
  <c r="AL212" i="110"/>
  <c r="AJ227" i="110"/>
  <c r="AK227" i="110"/>
  <c r="AL227" i="110"/>
  <c r="C227" i="110"/>
  <c r="B227" i="110" s="1"/>
  <c r="C184" i="110"/>
  <c r="B184" i="110" s="1"/>
  <c r="AK184" i="110"/>
  <c r="AJ184" i="110"/>
  <c r="AL184" i="110"/>
  <c r="AL196" i="110"/>
  <c r="C196" i="110"/>
  <c r="B196" i="110" s="1"/>
  <c r="AJ196" i="110"/>
  <c r="AK196" i="110"/>
  <c r="AJ228" i="110"/>
  <c r="AK228" i="110"/>
  <c r="AL228" i="110"/>
  <c r="C228" i="110"/>
  <c r="B228" i="110" s="1"/>
  <c r="AJ256" i="110"/>
  <c r="AK256" i="110"/>
  <c r="C256" i="110"/>
  <c r="B256" i="110" s="1"/>
  <c r="AL256" i="110"/>
  <c r="AK194" i="110"/>
  <c r="C194" i="110"/>
  <c r="B194" i="110" s="1"/>
  <c r="AL194" i="110"/>
  <c r="AJ194" i="110"/>
  <c r="AJ233" i="110"/>
  <c r="AK233" i="110"/>
  <c r="AL233" i="110"/>
  <c r="C233" i="110"/>
  <c r="B233" i="110" s="1"/>
  <c r="AK230" i="110"/>
  <c r="C230" i="110"/>
  <c r="B230" i="110" s="1"/>
  <c r="AL230" i="110"/>
  <c r="AJ230" i="110"/>
  <c r="AL235" i="110"/>
  <c r="C235" i="110"/>
  <c r="B235" i="110" s="1"/>
  <c r="AJ235" i="110"/>
  <c r="AK235" i="110"/>
  <c r="AK134" i="110"/>
  <c r="C134" i="110"/>
  <c r="B134" i="110" s="1"/>
  <c r="AJ134" i="110"/>
  <c r="AL134" i="110"/>
  <c r="AK254" i="110"/>
  <c r="AL254" i="110"/>
  <c r="C254" i="110"/>
  <c r="B254" i="110" s="1"/>
  <c r="AJ254" i="110"/>
  <c r="AL132" i="110"/>
  <c r="C132" i="110"/>
  <c r="B132" i="110" s="1"/>
  <c r="AJ132" i="110"/>
  <c r="AK132" i="110"/>
  <c r="C182" i="110"/>
  <c r="B182" i="110" s="1"/>
  <c r="AJ182" i="110"/>
  <c r="AK182" i="110"/>
  <c r="AL182" i="110"/>
  <c r="AJ209" i="110"/>
  <c r="AK209" i="110"/>
  <c r="AL209" i="110"/>
  <c r="C209" i="110"/>
  <c r="B209" i="110" s="1"/>
  <c r="AL200" i="110"/>
  <c r="AJ200" i="110"/>
  <c r="AK200" i="110"/>
  <c r="C200" i="110"/>
  <c r="B200" i="110" s="1"/>
  <c r="C211" i="110"/>
  <c r="B211" i="110" s="1"/>
  <c r="AJ211" i="110"/>
  <c r="AL211" i="110"/>
  <c r="AK211" i="110"/>
  <c r="C251" i="110"/>
  <c r="B251" i="110" s="1"/>
  <c r="AJ251" i="110"/>
  <c r="AL251" i="110"/>
  <c r="AK251" i="110"/>
  <c r="C241" i="110"/>
  <c r="B241" i="110" s="1"/>
  <c r="AJ241" i="110"/>
  <c r="AK241" i="110"/>
  <c r="AL241" i="110"/>
  <c r="AJ207" i="110"/>
  <c r="C207" i="110"/>
  <c r="B207" i="110" s="1"/>
  <c r="AK207" i="110"/>
  <c r="AL207" i="110"/>
  <c r="C237" i="110"/>
  <c r="B237" i="110" s="1"/>
  <c r="AJ237" i="110"/>
  <c r="AK237" i="110"/>
  <c r="AL237" i="110"/>
  <c r="AJ128" i="110"/>
  <c r="AK128" i="110"/>
  <c r="AL128" i="110"/>
  <c r="C128" i="110"/>
  <c r="B128" i="110" s="1"/>
  <c r="AJ257" i="110"/>
  <c r="C257" i="110"/>
  <c r="B257" i="110" s="1"/>
  <c r="AK257" i="110"/>
  <c r="AL257" i="110"/>
  <c r="AJ248" i="110"/>
  <c r="AK248" i="110"/>
  <c r="AL248" i="110"/>
  <c r="C248" i="110"/>
  <c r="B248" i="110" s="1"/>
  <c r="C133" i="110"/>
  <c r="B133" i="110" s="1"/>
  <c r="AJ133" i="110"/>
  <c r="AK133" i="110"/>
  <c r="AL133" i="110"/>
  <c r="AJ186" i="110"/>
  <c r="AL186" i="110"/>
  <c r="C186" i="110"/>
  <c r="B186" i="110" s="1"/>
  <c r="AK186" i="110"/>
  <c r="AJ220" i="110"/>
  <c r="C220" i="110"/>
  <c r="B220" i="110" s="1"/>
  <c r="AK220" i="110"/>
  <c r="AL220" i="110"/>
  <c r="AK210" i="110"/>
  <c r="AL210" i="110"/>
  <c r="C210" i="110"/>
  <c r="B210" i="110" s="1"/>
  <c r="AJ210" i="110"/>
  <c r="AJ222" i="110"/>
  <c r="AK222" i="110"/>
  <c r="C222" i="110"/>
  <c r="B222" i="110" s="1"/>
  <c r="AL222" i="110"/>
  <c r="AJ191" i="110"/>
  <c r="AK191" i="110"/>
  <c r="AL191" i="110"/>
  <c r="C191" i="110"/>
  <c r="B191" i="110" s="1"/>
  <c r="AL226" i="110"/>
  <c r="C226" i="110"/>
  <c r="B226" i="110" s="1"/>
  <c r="AJ226" i="110"/>
  <c r="AK226" i="110"/>
  <c r="AJ183" i="110"/>
  <c r="AK183" i="110"/>
  <c r="AL183" i="110"/>
  <c r="C183" i="110"/>
  <c r="B183" i="110" s="1"/>
  <c r="AK219" i="110"/>
  <c r="AJ219" i="110"/>
  <c r="C219" i="110"/>
  <c r="B219" i="110" s="1"/>
  <c r="AL219" i="110"/>
  <c r="C244" i="110"/>
  <c r="B244" i="110" s="1"/>
  <c r="AK244" i="110"/>
  <c r="AL244" i="110"/>
  <c r="AJ244" i="110"/>
  <c r="C234" i="110"/>
  <c r="B234" i="110" s="1"/>
  <c r="AK234" i="110"/>
  <c r="AL234" i="110"/>
  <c r="AJ234" i="110"/>
  <c r="AK229" i="110"/>
  <c r="AL229" i="110"/>
  <c r="C229" i="110"/>
  <c r="B229" i="110" s="1"/>
  <c r="AJ229" i="110"/>
  <c r="V12" i="137"/>
  <c r="M33" i="3" l="1"/>
  <c r="M54" i="3" s="1"/>
  <c r="I33" i="3"/>
  <c r="M56" i="3" l="1"/>
  <c r="M51" i="3"/>
  <c r="M53" i="3"/>
  <c r="I56" i="3"/>
  <c r="I53" i="3"/>
  <c r="I54" i="3"/>
  <c r="I51" i="3"/>
  <c r="W43" i="79" l="1"/>
  <c r="W46" i="79" s="1"/>
  <c r="W42" i="78"/>
  <c r="W45" i="78" s="1"/>
  <c r="S53" i="3"/>
  <c r="R53" i="3"/>
  <c r="O46" i="126"/>
  <c r="D15" i="128"/>
  <c r="R56" i="3"/>
  <c r="S56" i="3"/>
  <c r="D19" i="128"/>
  <c r="X46" i="126"/>
  <c r="AV12" i="128" l="1"/>
  <c r="AW12" i="128"/>
  <c r="AY12" i="128"/>
  <c r="X48" i="126"/>
  <c r="D31" i="128"/>
  <c r="AX12" i="128"/>
  <c r="X50" i="126"/>
  <c r="D36" i="128"/>
  <c r="AU12" i="128"/>
  <c r="AY8" i="137"/>
  <c r="AW8" i="71"/>
  <c r="AW8" i="73"/>
  <c r="AW8" i="122"/>
  <c r="AW8" i="70"/>
  <c r="AW8" i="72"/>
  <c r="AW8" i="75"/>
  <c r="AW8" i="74"/>
  <c r="AW8" i="13"/>
  <c r="AY8" i="135"/>
  <c r="AZ8" i="137"/>
  <c r="AX8" i="13"/>
  <c r="AX8" i="72"/>
  <c r="AX8" i="73"/>
  <c r="AZ8" i="135"/>
  <c r="AX8" i="75"/>
  <c r="AX8" i="71"/>
  <c r="AX8" i="74"/>
  <c r="AX8" i="122"/>
  <c r="AX8" i="70"/>
  <c r="J81" i="126"/>
  <c r="O48" i="126"/>
  <c r="O50" i="126"/>
  <c r="AZ10" i="137"/>
  <c r="AX10" i="13"/>
  <c r="AX10" i="73"/>
  <c r="AZ10" i="135"/>
  <c r="AX10" i="74"/>
  <c r="AX10" i="70"/>
  <c r="AX10" i="71"/>
  <c r="AX10" i="122"/>
  <c r="AX10" i="75"/>
  <c r="AX10" i="72"/>
  <c r="AY10" i="137"/>
  <c r="AW10" i="70"/>
  <c r="AW10" i="75"/>
  <c r="AW10" i="74"/>
  <c r="AY10" i="135"/>
  <c r="AW10" i="13"/>
  <c r="AW10" i="71"/>
  <c r="AW10" i="122"/>
  <c r="AW10" i="72"/>
  <c r="AW10" i="73"/>
  <c r="J84" i="126" l="1"/>
  <c r="AD84" i="126" s="1"/>
  <c r="T84" i="1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<sst xmlns="http://schemas.openxmlformats.org/spreadsheetml/2006/main" count="7999" uniqueCount="2484">
  <si>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</si>
  <si>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</si>
  <si>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</si>
  <si>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</si>
  <si>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</si>
  <si>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</si>
  <si>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</si>
  <si>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</si>
  <si>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</si>
  <si>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</si>
  <si>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</si>
  <si>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</si>
  <si>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</si>
  <si>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</si>
  <si>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</si>
  <si>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</si>
  <si>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</si>
  <si>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</si>
  <si>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</si>
  <si>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</si>
  <si>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</si>
  <si>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</si>
  <si>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</si>
  <si>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</si>
  <si>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</si>
  <si>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</si>
  <si>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</si>
  <si>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</si>
  <si>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</si>
  <si>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</si>
  <si>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</si>
  <si>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</si>
  <si>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</si>
  <si>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</si>
  <si>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</si>
  <si>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</si>
  <si>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</si>
  <si>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</si>
  <si>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</si>
  <si>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</si>
  <si>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</si>
  <si>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</si>
  <si>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</si>
  <si>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</si>
  <si>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</si>
  <si>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</si>
  <si>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</si>
  <si>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</si>
  <si>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</si>
  <si>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</si>
  <si>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</si>
  <si>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</si>
  <si>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</si>
  <si>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</si>
  <si>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</si>
  <si>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</si>
  <si>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</si>
  <si>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</si>
  <si>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</si>
  <si>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</si>
  <si>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</si>
  <si>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</si>
  <si>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</si>
  <si>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</si>
  <si>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</si>
  <si>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</si>
  <si>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</si>
  <si>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</si>
  <si>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</si>
  <si>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</si>
  <si>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</si>
  <si>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</si>
  <si>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</si>
  <si>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Payment Information</t>
  </si>
  <si>
    <t>Project Summary</t>
  </si>
  <si>
    <t>Application Expiration Date:</t>
  </si>
  <si>
    <t>Company and Site Information</t>
  </si>
  <si>
    <t>Title</t>
  </si>
  <si>
    <t>Secondary Phone</t>
  </si>
  <si>
    <t>City</t>
  </si>
  <si>
    <t>State</t>
  </si>
  <si>
    <t>Year Built</t>
  </si>
  <si>
    <t>Square Footage</t>
  </si>
  <si>
    <t># of Floors</t>
  </si>
  <si>
    <t>Payee Company</t>
  </si>
  <si>
    <t>Inefficient Lighting</t>
  </si>
  <si>
    <t>Quantity</t>
  </si>
  <si>
    <t>Total Measure Incentive</t>
  </si>
  <si>
    <t>Estimated kWh Savings</t>
  </si>
  <si>
    <t>Location</t>
  </si>
  <si>
    <t>Unit of Measure</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</si>
  <si>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</si>
  <si>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</si>
  <si>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</si>
  <si>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</si>
  <si>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</si>
  <si>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</si>
  <si>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</si>
  <si>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</si>
  <si>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</si>
  <si>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</si>
  <si>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</si>
  <si>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</si>
  <si>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</si>
  <si>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</si>
  <si>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</si>
  <si>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</si>
  <si>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Offer Form</t>
  </si>
  <si>
    <t>Completion Form</t>
  </si>
  <si>
    <t>Signature</t>
  </si>
  <si>
    <t>Submit Application</t>
  </si>
  <si>
    <t>Incentive Offer</t>
  </si>
  <si>
    <t>Applicant Information</t>
  </si>
  <si>
    <t>Contact</t>
  </si>
  <si>
    <t>Zip</t>
  </si>
  <si>
    <t>Site Information</t>
  </si>
  <si>
    <t>Trade Ally/Vendor Information</t>
  </si>
  <si>
    <t>Company</t>
  </si>
  <si>
    <t>Incentive</t>
  </si>
  <si>
    <t>Total</t>
  </si>
  <si>
    <t>Date</t>
  </si>
  <si>
    <t>Page 1 of 1</t>
  </si>
  <si>
    <t>Itemized project invoices (including equipment and labor costs)</t>
  </si>
  <si>
    <t>Payee Email</t>
  </si>
  <si>
    <t>Payee Phone</t>
  </si>
  <si>
    <t>Measure Number</t>
  </si>
  <si>
    <t>Energy Type</t>
  </si>
  <si>
    <t>Measure Group</t>
  </si>
  <si>
    <t>Eff Equip Descr</t>
  </si>
  <si>
    <t>Base Equip Descr</t>
  </si>
  <si>
    <t>Unit</t>
  </si>
  <si>
    <t>Inc Rate Unit</t>
  </si>
  <si>
    <t>Measure Life</t>
  </si>
  <si>
    <t>EUL</t>
  </si>
  <si>
    <t>Savings per Unit kWh</t>
  </si>
  <si>
    <t>SUTO</t>
  </si>
  <si>
    <t>Source</t>
  </si>
  <si>
    <t>Electric</t>
  </si>
  <si>
    <t>Lighting</t>
  </si>
  <si>
    <t>LED</t>
  </si>
  <si>
    <t>O</t>
  </si>
  <si>
    <t>Fixture</t>
  </si>
  <si>
    <t>T5</t>
  </si>
  <si>
    <t>T8</t>
  </si>
  <si>
    <t>HVAC</t>
  </si>
  <si>
    <t>Heat Pump</t>
  </si>
  <si>
    <t>Refrigeration</t>
  </si>
  <si>
    <t>Other</t>
  </si>
  <si>
    <t>Compressed Air</t>
  </si>
  <si>
    <t>3 Pan</t>
  </si>
  <si>
    <t>4 Pan</t>
  </si>
  <si>
    <t>5 Pan</t>
  </si>
  <si>
    <t>6 Pan</t>
  </si>
  <si>
    <t>No Controls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</si>
  <si>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</si>
  <si>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</si>
  <si>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</si>
  <si>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</si>
  <si>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</si>
  <si>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</si>
  <si>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</si>
  <si>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</si>
  <si>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</si>
  <si>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</si>
  <si>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</si>
  <si>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</si>
  <si>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</si>
  <si>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</si>
  <si>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</si>
  <si>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</si>
  <si>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</si>
  <si>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</si>
  <si>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</si>
  <si>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</si>
  <si>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</si>
  <si>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</si>
  <si>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</si>
  <si>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</si>
  <si>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</si>
  <si>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</si>
  <si>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</si>
  <si>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</si>
  <si>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</si>
  <si>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</si>
  <si>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</si>
  <si>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</si>
  <si>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</si>
  <si>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</si>
  <si>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</si>
  <si>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</si>
  <si>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</si>
  <si>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</si>
  <si>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</si>
  <si>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Efficient kWh</t>
  </si>
  <si>
    <t>Year</t>
  </si>
  <si>
    <t>Avoided Capacity Cost $/kW</t>
  </si>
  <si>
    <t>Avoided T&amp;D $/kW</t>
  </si>
  <si>
    <t>Cost Benefit Data</t>
  </si>
  <si>
    <t>Electric and Gas Avoided Cost</t>
  </si>
  <si>
    <t>Electricity Losses</t>
  </si>
  <si>
    <t>AT&amp;D Factor</t>
  </si>
  <si>
    <t>Elec. AEC Factor</t>
  </si>
  <si>
    <t>Elec. ACC Factor</t>
  </si>
  <si>
    <t>Year Number</t>
  </si>
  <si>
    <t>Electricity Discount Rate</t>
  </si>
  <si>
    <t>NPV AEC $/kWh</t>
  </si>
  <si>
    <t>NPV ACC+T&amp;D $/kW</t>
  </si>
  <si>
    <t>Existing kWh</t>
  </si>
  <si>
    <t>CB Ratio</t>
  </si>
  <si>
    <t>Base Watt 2</t>
  </si>
  <si>
    <t>RCx</t>
  </si>
  <si>
    <t>Process</t>
  </si>
  <si>
    <t>Custom</t>
  </si>
  <si>
    <t>Water Heating</t>
  </si>
  <si>
    <t>New Equipment Detail</t>
  </si>
  <si>
    <t>Terms and Conditions for Payment of Incentive</t>
  </si>
  <si>
    <t>Inspection Form</t>
  </si>
  <si>
    <t>Email</t>
  </si>
  <si>
    <t>Company Address</t>
  </si>
  <si>
    <t>M02S02F01</t>
  </si>
  <si>
    <t>Total Prescriptive Gas</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</si>
  <si>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</si>
  <si>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</si>
  <si>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</si>
  <si>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</si>
  <si>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</si>
  <si>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</si>
  <si>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</si>
  <si>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</si>
  <si>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</si>
  <si>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</si>
  <si>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</si>
  <si>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</si>
  <si>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</si>
  <si>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</si>
  <si>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</si>
  <si>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</si>
  <si>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</si>
  <si>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</si>
  <si>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</si>
  <si>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</si>
  <si>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</si>
  <si>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</si>
  <si>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</si>
  <si>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</si>
  <si>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</si>
  <si>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</si>
  <si>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</si>
  <si>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</si>
  <si>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</si>
  <si>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</si>
  <si>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</si>
  <si>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</si>
  <si>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</si>
  <si>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</si>
  <si>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</si>
  <si>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</si>
  <si>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</si>
  <si>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</si>
  <si>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</si>
  <si>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</si>
  <si>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</si>
  <si>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</si>
  <si>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</si>
  <si>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</si>
  <si>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</si>
  <si>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</si>
  <si>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</si>
  <si>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</si>
  <si>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</si>
  <si>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</si>
  <si>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</si>
  <si>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</si>
  <si>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</si>
  <si>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</si>
  <si>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</si>
  <si>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</si>
  <si>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</si>
  <si>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</si>
  <si>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</si>
  <si>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</si>
  <si>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</si>
  <si>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</si>
  <si>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</si>
  <si>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</si>
  <si>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</si>
  <si>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</si>
  <si>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</si>
  <si>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</si>
  <si>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</si>
  <si>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</si>
  <si>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</si>
  <si>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</si>
  <si>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</si>
  <si>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</si>
  <si>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</si>
  <si>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</si>
  <si>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</si>
  <si>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</si>
  <si>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</si>
  <si>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</si>
  <si>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</si>
  <si>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</si>
  <si>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</si>
  <si>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</si>
  <si>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</si>
  <si>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</si>
  <si>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</si>
  <si>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</si>
  <si>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</si>
  <si>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</si>
  <si>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</si>
  <si>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</si>
  <si>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</si>
  <si>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</si>
  <si>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</si>
  <si>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</si>
  <si>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</si>
  <si>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</si>
  <si>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</si>
  <si>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</si>
  <si>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</si>
  <si>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</si>
  <si>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</si>
  <si>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</si>
  <si>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</si>
  <si>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</si>
  <si>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</si>
  <si>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</si>
  <si>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</si>
  <si>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</si>
  <si>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</si>
  <si>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</si>
  <si>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</si>
  <si>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</si>
  <si>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</si>
  <si>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</si>
  <si>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</si>
  <si>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</si>
  <si>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</si>
  <si>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</si>
  <si>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</si>
  <si>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</si>
  <si>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</si>
  <si>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</si>
  <si>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</si>
  <si>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</si>
  <si>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</si>
  <si>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</si>
  <si>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</si>
  <si>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</si>
  <si>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</si>
  <si>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</si>
  <si>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</si>
  <si>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</si>
  <si>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</si>
  <si>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</si>
  <si>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</si>
  <si>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</si>
  <si>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</si>
  <si>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</si>
  <si>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</si>
  <si>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</si>
  <si>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</si>
  <si>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</si>
  <si>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</si>
  <si>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</si>
  <si>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</si>
  <si>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</si>
  <si>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</si>
  <si>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</si>
  <si>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</si>
  <si>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</si>
  <si>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</si>
  <si>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</si>
  <si>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</si>
  <si>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</si>
  <si>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</si>
  <si>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</si>
  <si>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</si>
  <si>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</si>
  <si>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</si>
  <si>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</si>
  <si>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</si>
  <si>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</si>
  <si>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</si>
  <si>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</si>
  <si>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</si>
  <si>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</si>
  <si>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</si>
  <si>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</si>
  <si>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</si>
  <si>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</si>
  <si>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</si>
  <si>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</si>
  <si>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</si>
  <si>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</si>
  <si>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</si>
  <si>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</si>
  <si>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</si>
  <si>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</si>
  <si>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</si>
  <si>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</si>
  <si>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</si>
  <si>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</si>
  <si>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</si>
  <si>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</si>
  <si>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</si>
  <si>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</si>
  <si>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</si>
  <si>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</si>
  <si>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</si>
  <si>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</si>
  <si>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</si>
  <si>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</si>
  <si>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</si>
  <si>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</si>
  <si>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</si>
  <si>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</si>
  <si>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</si>
  <si>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Contractor-Installed</t>
  </si>
  <si>
    <t>Self-Installed</t>
  </si>
  <si>
    <t>Installer</t>
  </si>
  <si>
    <t>Phone</t>
  </si>
  <si>
    <t>First</t>
  </si>
  <si>
    <t>Last</t>
  </si>
  <si>
    <t>Site</t>
  </si>
  <si>
    <t>Terms</t>
  </si>
  <si>
    <t>Payment to</t>
  </si>
  <si>
    <t>Tax Entity</t>
  </si>
  <si>
    <t>-</t>
  </si>
  <si>
    <t>M02S04F12.1</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</si>
  <si>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</si>
  <si>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</si>
  <si>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</si>
  <si>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</si>
  <si>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</si>
  <si>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</si>
  <si>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</si>
  <si>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</si>
  <si>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</si>
  <si>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</si>
  <si>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</si>
  <si>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</si>
  <si>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</si>
  <si>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</si>
  <si>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</si>
  <si>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</si>
  <si>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Total Incentive</t>
  </si>
  <si>
    <t>Project Status</t>
  </si>
  <si>
    <t>Therm Status</t>
  </si>
  <si>
    <t>Progress</t>
  </si>
  <si>
    <t>M02S03F13</t>
  </si>
  <si>
    <t>M02S03F14</t>
  </si>
  <si>
    <t>M02S03F15</t>
  </si>
  <si>
    <t>M02S03F16</t>
  </si>
  <si>
    <t>M02S03F17</t>
  </si>
  <si>
    <t>Required</t>
  </si>
  <si>
    <t>Measure Data</t>
  </si>
  <si>
    <t>M03S01-M03S05</t>
  </si>
  <si>
    <t>M03S06-M03S08</t>
  </si>
  <si>
    <t>M04S01-M04S02</t>
  </si>
  <si>
    <t>M04S04</t>
  </si>
  <si>
    <t>Progress Status</t>
  </si>
  <si>
    <t>M05S02F01</t>
  </si>
  <si>
    <t>M05S02F02</t>
  </si>
  <si>
    <t>M05S02F03</t>
  </si>
  <si>
    <t>M02S04TB1</t>
  </si>
  <si>
    <t>M02S01TB1</t>
  </si>
  <si>
    <t>Payment Agreement Checkbox 1*</t>
  </si>
  <si>
    <t>App Version</t>
  </si>
  <si>
    <t>Incentive Total</t>
  </si>
  <si>
    <t>Engineer</t>
  </si>
  <si>
    <t>Status</t>
  </si>
  <si>
    <t>Review Date</t>
  </si>
  <si>
    <t>Savings kWh</t>
  </si>
  <si>
    <t>Trade Ally Contact / Contractor Contact</t>
  </si>
  <si>
    <t>Application Info</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</si>
  <si>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</si>
  <si>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</si>
  <si>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</si>
  <si>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</si>
  <si>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</si>
  <si>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</si>
  <si>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</si>
  <si>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</si>
  <si>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</si>
  <si>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</si>
  <si>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</si>
  <si>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</si>
  <si>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</si>
  <si>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</si>
  <si>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</si>
  <si>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</si>
  <si>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</si>
  <si>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</si>
  <si>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</si>
  <si>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ProjectID</t>
  </si>
  <si>
    <t>MeasureCode</t>
  </si>
  <si>
    <t>UploadID</t>
  </si>
  <si>
    <t>CostBenefit</t>
  </si>
  <si>
    <t>InitialEst.CompletionForm</t>
  </si>
  <si>
    <t>PayeeCompany</t>
  </si>
  <si>
    <t>PayeeAttnTo</t>
  </si>
  <si>
    <t>PayeeAddress1</t>
  </si>
  <si>
    <t>PayeeAddress2</t>
  </si>
  <si>
    <t>PayeeCity</t>
  </si>
  <si>
    <t>PayeeState</t>
  </si>
  <si>
    <t>PayeeZipCode</t>
  </si>
  <si>
    <t>PayeePhone</t>
  </si>
  <si>
    <t>LineNumber</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</si>
  <si>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</si>
  <si>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</si>
  <si>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</si>
  <si>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</si>
  <si>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</si>
  <si>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</si>
  <si>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</si>
  <si>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</si>
  <si>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</si>
  <si>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</si>
  <si>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</si>
  <si>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</si>
  <si>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</si>
  <si>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</si>
  <si>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</si>
  <si>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</si>
  <si>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</si>
  <si>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</si>
  <si>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</si>
  <si>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</si>
  <si>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</si>
  <si>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</si>
  <si>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</si>
  <si>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</si>
  <si>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</si>
  <si>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</si>
  <si>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</si>
  <si>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</si>
  <si>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</si>
  <si>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</si>
  <si>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</si>
  <si>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</si>
  <si>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</si>
  <si>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</si>
  <si>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</si>
  <si>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</si>
  <si>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</si>
  <si>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</si>
  <si>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</si>
  <si>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</si>
  <si>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</si>
  <si>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</si>
  <si>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</si>
  <si>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</si>
  <si>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</si>
  <si>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</si>
  <si>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End Use to Coincident Peak Demand Factors</t>
  </si>
  <si>
    <t>Factor</t>
  </si>
  <si>
    <t>End Use Factor</t>
  </si>
  <si>
    <t>Interior</t>
  </si>
  <si>
    <t>Payback</t>
  </si>
  <si>
    <t xml:space="preserve">Deemed kW </t>
  </si>
  <si>
    <t>Avoid Energy Cost $/MWh</t>
  </si>
  <si>
    <t>Peak T&amp;D Adj Factor</t>
  </si>
  <si>
    <t>Capacity Reserve Margin</t>
  </si>
  <si>
    <t>Equation</t>
  </si>
  <si>
    <t>(1+ELOSS)*PEAKTD*(1+CAPRESERVE)*((KWH*NPVAEC)+(KW*NPVACCTD))/PROJCOST</t>
  </si>
  <si>
    <t>For Ameren Missouri's Commercial &amp; Industrial Electric Customers</t>
  </si>
  <si>
    <t>Welcome</t>
  </si>
  <si>
    <t>Motor / VFD / Pump</t>
  </si>
  <si>
    <t>2 ft</t>
  </si>
  <si>
    <t>Measure Subgroup 1</t>
  </si>
  <si>
    <t>Measure Subgroup 2</t>
  </si>
  <si>
    <t>1 Lamp</t>
  </si>
  <si>
    <t>T12 VHO - 8 ft - 4 Lamp</t>
  </si>
  <si>
    <t>Fixture Quantity</t>
  </si>
  <si>
    <t>Pulse Start MH - 200 Watt</t>
  </si>
  <si>
    <t>Order</t>
  </si>
  <si>
    <t>11</t>
  </si>
  <si>
    <t>12</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</si>
  <si>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</si>
  <si>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</si>
  <si>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</si>
  <si>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</si>
  <si>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</si>
  <si>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</si>
  <si>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</si>
  <si>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</si>
  <si>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</si>
  <si>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</si>
  <si>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</si>
  <si>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</si>
  <si>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</si>
  <si>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</si>
  <si>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</si>
  <si>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</si>
  <si>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</si>
  <si>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</si>
  <si>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</si>
  <si>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</si>
  <si>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</si>
  <si>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</si>
  <si>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</si>
  <si>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</si>
  <si>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</si>
  <si>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</si>
  <si>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</si>
  <si>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</si>
  <si>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</si>
  <si>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</si>
  <si>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</si>
  <si>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</si>
  <si>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</si>
  <si>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</si>
  <si>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</si>
  <si>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</si>
  <si>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</si>
  <si>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</si>
  <si>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</si>
  <si>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</si>
  <si>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</si>
  <si>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</si>
  <si>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</si>
  <si>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</si>
  <si>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</si>
  <si>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</si>
  <si>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</si>
  <si>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</si>
  <si>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</si>
  <si>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</si>
  <si>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</si>
  <si>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</si>
  <si>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</si>
  <si>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</si>
  <si>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</si>
  <si>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</si>
  <si>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</si>
  <si>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</si>
  <si>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</si>
  <si>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</si>
  <si>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</si>
  <si>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</si>
  <si>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</si>
  <si>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</si>
  <si>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</si>
  <si>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</si>
  <si>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</si>
  <si>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</si>
  <si>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</si>
  <si>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</si>
  <si>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</si>
  <si>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</si>
  <si>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</si>
  <si>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</si>
  <si>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</si>
  <si>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</si>
  <si>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</si>
  <si>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</si>
  <si>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</si>
  <si>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</si>
  <si>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</si>
  <si>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</si>
  <si>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</si>
  <si>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</si>
  <si>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</si>
  <si>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</si>
  <si>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</si>
  <si>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</si>
  <si>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</si>
  <si>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</si>
  <si>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</si>
  <si>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</si>
  <si>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</si>
  <si>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</si>
  <si>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</si>
  <si>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</si>
  <si>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</si>
  <si>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</si>
  <si>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</si>
  <si>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</si>
  <si>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</si>
  <si>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</si>
  <si>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</si>
  <si>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</si>
  <si>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</si>
  <si>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</si>
  <si>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</si>
  <si>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</si>
  <si>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</si>
  <si>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</si>
  <si>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</si>
  <si>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</si>
  <si>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</si>
  <si>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</si>
  <si>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</si>
  <si>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</si>
  <si>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</si>
  <si>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</si>
  <si>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</si>
  <si>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</si>
  <si>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</si>
  <si>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</si>
  <si>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</si>
  <si>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</si>
  <si>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</si>
  <si>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</si>
  <si>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</si>
  <si>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</si>
  <si>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</si>
  <si>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</si>
  <si>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</si>
  <si>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</si>
  <si>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</si>
  <si>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</si>
  <si>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</si>
  <si>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</si>
  <si>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</si>
  <si>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</si>
  <si>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</si>
  <si>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</si>
  <si>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</si>
  <si>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</si>
  <si>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</si>
  <si>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</si>
  <si>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</si>
  <si>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</si>
  <si>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</si>
  <si>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</si>
  <si>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</si>
  <si>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</si>
  <si>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</si>
  <si>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</si>
  <si>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</si>
  <si>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</si>
  <si>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</si>
  <si>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</si>
  <si>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</si>
  <si>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</si>
  <si>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</si>
  <si>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</si>
  <si>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</si>
  <si>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</si>
  <si>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</si>
  <si>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</si>
  <si>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</si>
  <si>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</si>
  <si>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</si>
  <si>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</si>
  <si>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</si>
  <si>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</si>
  <si>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</si>
  <si>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</si>
  <si>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</si>
  <si>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</si>
  <si>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</si>
  <si>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</si>
  <si>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</si>
  <si>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</si>
  <si>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</si>
  <si>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</si>
  <si>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</si>
  <si>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</si>
  <si>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</si>
  <si>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</si>
  <si>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</si>
  <si>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</si>
  <si>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</si>
  <si>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</si>
  <si>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</si>
  <si>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</si>
  <si>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</si>
  <si>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</si>
  <si>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</si>
  <si>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</si>
  <si>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</si>
  <si>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</si>
  <si>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</si>
  <si>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</si>
  <si>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</si>
  <si>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</si>
  <si>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</si>
  <si>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</si>
  <si>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</si>
  <si>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</si>
  <si>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</si>
  <si>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</si>
  <si>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</si>
  <si>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</si>
  <si>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</si>
  <si>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</si>
  <si>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</si>
  <si>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</si>
  <si>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</si>
  <si>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</si>
  <si>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</si>
  <si>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</si>
  <si>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</si>
  <si>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</si>
  <si>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</si>
  <si>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</si>
  <si>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</si>
  <si>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</si>
  <si>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</si>
  <si>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</si>
  <si>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</si>
  <si>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</si>
  <si>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</si>
  <si>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</si>
  <si>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</si>
  <si>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</si>
  <si>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</si>
  <si>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</si>
  <si>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</si>
  <si>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</si>
  <si>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</si>
  <si>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</si>
  <si>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</si>
  <si>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</si>
  <si>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</si>
  <si>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</si>
  <si>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</si>
  <si>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</si>
  <si>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Location Type</t>
  </si>
  <si>
    <t>LED - Linear Tube LED Fixture</t>
  </si>
  <si>
    <t>LED - Non Linear LED Fixture</t>
  </si>
  <si>
    <t>Base Equipment Detail</t>
  </si>
  <si>
    <t>Base kWh</t>
  </si>
  <si>
    <t>Incremental</t>
  </si>
  <si>
    <t>Application Status</t>
  </si>
  <si>
    <t>Measure Type</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</si>
  <si>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</si>
  <si>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</si>
  <si>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</si>
  <si>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</si>
  <si>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</si>
  <si>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</si>
  <si>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</si>
  <si>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</si>
  <si>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</si>
  <si>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</si>
  <si>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</si>
  <si>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</si>
  <si>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</si>
  <si>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</si>
  <si>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</si>
  <si>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</si>
  <si>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</si>
  <si>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</si>
  <si>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</si>
  <si>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</si>
  <si>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r>
      <t>Project Description</t>
    </r>
    <r>
      <rPr>
        <sz val="11"/>
        <color rgb="FFFF0000"/>
        <rFont val="Arial"/>
        <family val="2"/>
      </rPr>
      <t>*</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</si>
  <si>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</si>
  <si>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</si>
  <si>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</si>
  <si>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</si>
  <si>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</si>
  <si>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</si>
  <si>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</si>
  <si>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</si>
  <si>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</si>
  <si>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</si>
  <si>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</si>
  <si>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</si>
  <si>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</si>
  <si>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</si>
  <si>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</si>
  <si>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Incentive Process</t>
  </si>
  <si>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</si>
  <si>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</si>
  <si>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</si>
  <si>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</si>
  <si>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</si>
  <si>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</si>
  <si>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</si>
  <si>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</si>
  <si>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</si>
  <si>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</si>
  <si>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</si>
  <si>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</si>
  <si>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</si>
  <si>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</si>
  <si>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</si>
  <si>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Friday</t>
  </si>
  <si>
    <t>Labor Day</t>
  </si>
  <si>
    <t>Saturday</t>
  </si>
  <si>
    <t>Sunday</t>
  </si>
  <si>
    <t>Veterans Day</t>
  </si>
  <si>
    <t>WEEKLY HOURS</t>
  </si>
  <si>
    <t>Thanksgiving Day</t>
  </si>
  <si>
    <t xml:space="preserve">24/7 hours of operation all year = 8,760  (52.14 weeks per year)
</t>
  </si>
  <si>
    <t>Christmas Eve</t>
  </si>
  <si>
    <t>Christmas Day</t>
  </si>
  <si>
    <t>TOTAL HOLIDAY  HOURS</t>
  </si>
  <si>
    <t>Not Applicable</t>
  </si>
  <si>
    <t>Eff Watt 22</t>
  </si>
  <si>
    <t>Non-ENERGY STAR Unit</t>
  </si>
  <si>
    <t>Full Size</t>
  </si>
  <si>
    <t>No Anti-Sweat Heater Control</t>
  </si>
  <si>
    <t>less than 15ft3</t>
  </si>
  <si>
    <t>15 to 30 ft3</t>
  </si>
  <si>
    <t>30 to 50ft3</t>
  </si>
  <si>
    <t>more than 50ft3</t>
  </si>
  <si>
    <t>Company Information</t>
  </si>
  <si>
    <r>
      <t>Diverse Business Type</t>
    </r>
    <r>
      <rPr>
        <sz val="11"/>
        <color rgb="FFFF0000"/>
        <rFont val="Arial"/>
        <family val="2"/>
      </rPr>
      <t>*</t>
    </r>
  </si>
  <si>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</si>
  <si>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</si>
  <si>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</si>
  <si>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</si>
  <si>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</si>
  <si>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T5 - 4 ft - 1 Lamp</t>
  </si>
  <si>
    <t>T5 - 4 ft - 2 Lamp</t>
  </si>
  <si>
    <t>T5 - 4 ft - 4 Lamp</t>
  </si>
  <si>
    <t>T5 - 4 ft - 6 Lamp</t>
  </si>
  <si>
    <t>Others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</si>
  <si>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</si>
  <si>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</si>
  <si>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</si>
  <si>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</si>
  <si>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</si>
  <si>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</si>
  <si>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</si>
  <si>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</si>
  <si>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</si>
  <si>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</si>
  <si>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</si>
  <si>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</si>
  <si>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</si>
  <si>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</si>
  <si>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</si>
  <si>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</si>
  <si>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</si>
  <si>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</si>
  <si>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</si>
  <si>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</si>
  <si>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</si>
  <si>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</si>
  <si>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</si>
  <si>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</si>
  <si>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</si>
  <si>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</si>
  <si>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</si>
  <si>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</si>
  <si>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</si>
  <si>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</si>
  <si>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</si>
  <si>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</si>
  <si>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</si>
  <si>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</si>
  <si>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</si>
  <si>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</si>
  <si>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</si>
  <si>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</si>
  <si>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</si>
  <si>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</si>
  <si>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</si>
  <si>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</si>
  <si>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</si>
  <si>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</si>
  <si>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</si>
  <si>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</si>
  <si>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</si>
  <si>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</si>
  <si>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</si>
  <si>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</si>
  <si>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</si>
  <si>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</si>
  <si>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</si>
  <si>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</si>
  <si>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</si>
  <si>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</si>
  <si>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</si>
  <si>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</si>
  <si>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</si>
  <si>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</si>
  <si>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</si>
  <si>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</si>
  <si>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</si>
  <si>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</si>
  <si>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</si>
  <si>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</si>
  <si>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</si>
  <si>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</si>
  <si>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</si>
  <si>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</si>
  <si>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</si>
  <si>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</si>
  <si>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</si>
  <si>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</si>
  <si>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</si>
  <si>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</si>
  <si>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</si>
  <si>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CFL</t>
  </si>
  <si>
    <t>New Efficient Lighting Fixture</t>
  </si>
  <si>
    <t>Existing Inefficient Lighting Fixture</t>
  </si>
  <si>
    <t>Actual kW</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</si>
  <si>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</si>
  <si>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</si>
  <si>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</si>
  <si>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</si>
  <si>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</si>
  <si>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</si>
  <si>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</si>
  <si>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</si>
  <si>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</si>
  <si>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</si>
  <si>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</si>
  <si>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Enter Measures</t>
  </si>
  <si>
    <t>No Savings</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</si>
  <si>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</si>
  <si>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</si>
  <si>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</si>
  <si>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</si>
  <si>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</si>
  <si>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</si>
  <si>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</si>
  <si>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</si>
  <si>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</si>
  <si>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</si>
  <si>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</si>
  <si>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</si>
  <si>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</si>
  <si>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</si>
  <si>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</si>
  <si>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</si>
  <si>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</si>
  <si>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</si>
  <si>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</si>
  <si>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</si>
  <si>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</si>
  <si>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</si>
  <si>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</si>
  <si>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</si>
  <si>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</si>
  <si>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</si>
  <si>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</si>
  <si>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</si>
  <si>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</si>
  <si>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</si>
  <si>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</si>
  <si>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</si>
  <si>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</si>
  <si>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</si>
  <si>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</si>
  <si>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</si>
  <si>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</si>
  <si>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</si>
  <si>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</si>
  <si>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</si>
  <si>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</si>
  <si>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</si>
  <si>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</si>
  <si>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</si>
  <si>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</si>
  <si>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</si>
  <si>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</si>
  <si>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</si>
  <si>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</si>
  <si>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</si>
  <si>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</si>
  <si>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</si>
  <si>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</si>
  <si>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</si>
  <si>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</si>
  <si>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</si>
  <si>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</si>
  <si>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</si>
  <si>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</si>
  <si>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</si>
  <si>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</si>
  <si>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</si>
  <si>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</si>
  <si>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</si>
  <si>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</si>
  <si>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</si>
  <si>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Standard and Custom Incentive Process</t>
  </si>
  <si>
    <t>Terms and Conditions</t>
  </si>
  <si>
    <t>Trade Ally / Vendor Information</t>
  </si>
  <si>
    <t>Business Diversity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</si>
  <si>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</si>
  <si>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</si>
  <si>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</si>
  <si>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</si>
  <si>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</si>
  <si>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</si>
  <si>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</si>
  <si>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</si>
  <si>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</si>
  <si>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</si>
  <si>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</si>
  <si>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</si>
  <si>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</si>
  <si>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</si>
  <si>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</si>
  <si>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</si>
  <si>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MEEIA 2016-2018 Ameren Missouri 100S v1.0</t>
  </si>
  <si>
    <t>Standard</t>
  </si>
  <si>
    <t>Active</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</si>
  <si>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</si>
  <si>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</si>
  <si>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</si>
  <si>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</si>
  <si>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</si>
  <si>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Heat Pump Water Heater Replacing Water Heater w/ 98% Efficiency 14.7-29.3 kW (50 to 100 MBH)</t>
  </si>
  <si>
    <t>Water Heater w/ 98% Efficiency 14.7-29.3 kW (50 to 100 MBH)</t>
  </si>
  <si>
    <t>Electric Resistance Commercial Water Heater w/ 98% Efficiency 14.7-29.3 kW (50 to 100 MBH)</t>
  </si>
  <si>
    <t>Heat Pump Water Heater Replacing Water Heater w/ 98% Efficiency 29.4-87.9 kW (100 to 300 MBH)</t>
  </si>
  <si>
    <t>Water Heater w/ 98% Efficiency 29.4-87.9 kW (100 to 300 MBH)</t>
  </si>
  <si>
    <t>Electric Resistance Commercial Water Heater w/ 98% Efficiency 29.4-87.9 kW (100 to 300 MBH)</t>
  </si>
  <si>
    <t>Heat Pump Water Heater Replacing Water Heater w/ 98% Efficiency 88-146.5 kW (300 to 500 MBH)</t>
  </si>
  <si>
    <t>Water Heater w/ 98% Efficiency 88-146.5 kW (300 to 500 MBH)</t>
  </si>
  <si>
    <t>Electric Resistance Commercial Water Heater w/ 98% Efficiency 88-146.5 kW (300 to 500 MBH)</t>
  </si>
  <si>
    <t>Anti-Sweat Heater Controls Replacing No Controls</t>
  </si>
  <si>
    <t>Anti-Sweat Heater Controls</t>
  </si>
  <si>
    <t>Non ENERGY STAR Unit</t>
  </si>
  <si>
    <t>Pool Pump w/ Variable Frequency Drive</t>
  </si>
  <si>
    <t>Pool Pump w/ No Variable Frequency Drive</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</si>
  <si>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</si>
  <si>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</si>
  <si>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</si>
  <si>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</si>
  <si>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</si>
  <si>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</si>
  <si>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</si>
  <si>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</si>
  <si>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Custom/Standard</t>
  </si>
  <si>
    <t xml:space="preserve">Standard Measure </t>
  </si>
  <si>
    <t>Commercial Cooking / Water Heating</t>
  </si>
  <si>
    <t>Commercial Cooking</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</si>
  <si>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</si>
  <si>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Dimming / Daylighting Controls</t>
  </si>
  <si>
    <t>Summary Form</t>
  </si>
  <si>
    <t>Pre-approval Required</t>
  </si>
  <si>
    <t>v</t>
  </si>
  <si>
    <t>Each measure could have unique operating hours depending on the technology and use. Use this calculator to record the specific operating hours for each measure as required.</t>
  </si>
  <si>
    <t>InvoiceDate</t>
  </si>
  <si>
    <t>InstallDate</t>
  </si>
  <si>
    <r>
      <t xml:space="preserve">• Specification sheets of all new equipment </t>
    </r>
    <r>
      <rPr>
        <b/>
        <sz val="11"/>
        <color theme="1"/>
        <rFont val="Arial"/>
        <family val="2"/>
      </rPr>
      <t>(required)</t>
    </r>
  </si>
  <si>
    <t>Application Progress</t>
  </si>
  <si>
    <t>Company and Site</t>
  </si>
  <si>
    <t>Trade Ally</t>
  </si>
  <si>
    <t>Payment</t>
  </si>
  <si>
    <t>Spillover kWh</t>
  </si>
  <si>
    <t>Spillover kW</t>
  </si>
  <si>
    <t>Equipment Cost</t>
  </si>
  <si>
    <t>Labor Cost</t>
  </si>
  <si>
    <t>Step 1:  
Select how many hours per day the technology is being utilized.</t>
  </si>
  <si>
    <t>Hours per Year</t>
  </si>
  <si>
    <t>Project ID/Site Name</t>
  </si>
  <si>
    <r>
      <rPr>
        <sz val="8"/>
        <color rgb="FFFF0000"/>
        <rFont val="Arial"/>
        <family val="2"/>
      </rPr>
      <t>*</t>
    </r>
    <r>
      <rPr>
        <sz val="8"/>
        <color theme="1"/>
        <rFont val="Arial"/>
        <family val="2"/>
      </rPr>
      <t>Assuming 12 year average EUL</t>
    </r>
  </si>
  <si>
    <t>Facility Operating Hours Calculator</t>
  </si>
  <si>
    <r>
      <rPr>
        <b/>
        <sz val="16"/>
        <rFont val="Arial"/>
        <family val="2"/>
      </rPr>
      <t>Custom and Standard Incentive Application</t>
    </r>
    <r>
      <rPr>
        <b/>
        <sz val="11"/>
        <rFont val="Arial"/>
        <family val="2"/>
      </rPr>
      <t xml:space="preserve">
For Ameren Missouri's Commercial &amp; Industrial Electric Customers</t>
    </r>
  </si>
  <si>
    <t>Company (Check)</t>
  </si>
  <si>
    <t>Other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</si>
  <si>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</si>
  <si>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</si>
  <si>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</si>
  <si>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</si>
  <si>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</si>
  <si>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</si>
  <si>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</si>
  <si>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</si>
  <si>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</si>
  <si>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</si>
  <si>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</si>
  <si>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</si>
  <si>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Bill Credit Account*</t>
  </si>
  <si>
    <t>M02S04F06.1</t>
  </si>
  <si>
    <t>Bill Credit Acc</t>
  </si>
  <si>
    <t>Diversity Type</t>
  </si>
  <si>
    <t>Issued Org.</t>
  </si>
  <si>
    <t>Cert. Number</t>
  </si>
  <si>
    <t>Issued / Exp. Date</t>
  </si>
  <si>
    <t>PaymentPreference</t>
  </si>
  <si>
    <t>Payment Preference</t>
  </si>
  <si>
    <t>Custom and Standard</t>
  </si>
  <si>
    <t xml:space="preserve">Efficient Air Compressor </t>
  </si>
  <si>
    <t>Efficient Air Compressor (Incremental)</t>
  </si>
  <si>
    <t>Impl. Specialist</t>
  </si>
  <si>
    <t>Application</t>
  </si>
  <si>
    <t>Calculations</t>
  </si>
  <si>
    <t>Invoices</t>
  </si>
  <si>
    <t>InitialSpecSheets</t>
  </si>
  <si>
    <t>TaxExemptLetter</t>
  </si>
  <si>
    <t>DesignTeamForm</t>
  </si>
  <si>
    <t>ProgramContactPC</t>
  </si>
  <si>
    <t>4.01</t>
  </si>
  <si>
    <t>4.02</t>
  </si>
  <si>
    <t>T8 25 Watt - 4 ft - 6 Lamp</t>
  </si>
  <si>
    <t>T8 28 Watt - 4 ft - 6 Lamp</t>
  </si>
  <si>
    <t>T8 32 Watt - 4 ft - 6 Lamp</t>
  </si>
  <si>
    <t>ComEd (Interpolated)</t>
  </si>
  <si>
    <t>Is there a Trade Ally or vendor for this project?</t>
  </si>
  <si>
    <r>
      <t>Trade Ally / Vendor Company</t>
    </r>
    <r>
      <rPr>
        <sz val="11"/>
        <color rgb="FFFF0000"/>
        <rFont val="Arial"/>
        <family val="2"/>
      </rPr>
      <t>*</t>
    </r>
  </si>
  <si>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</si>
  <si>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</si>
  <si>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</si>
  <si>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</si>
  <si>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</si>
  <si>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</si>
  <si>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</si>
  <si>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</si>
  <si>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</si>
  <si>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</si>
  <si>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</si>
  <si>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</si>
  <si>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</si>
  <si>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</si>
  <si>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</si>
  <si>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</si>
  <si>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</si>
  <si>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</si>
  <si>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</si>
  <si>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</si>
  <si>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</si>
  <si>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</si>
  <si>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</si>
  <si>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</si>
  <si>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</si>
  <si>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</si>
  <si>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</si>
  <si>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</si>
  <si>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</si>
  <si>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4.1.2</t>
  </si>
  <si>
    <t>Fixed issue in custom lighting from 12mo payback to 18mo</t>
  </si>
  <si>
    <t>Material Cost</t>
  </si>
  <si>
    <t>Deemed kW</t>
  </si>
  <si>
    <t>~~~~~~~~~~~~~~~~~~~~~~~~~~~~~</t>
  </si>
  <si>
    <t>Measure Validator</t>
  </si>
  <si>
    <t>Lighting Type</t>
  </si>
  <si>
    <t>End of Expiration changes, program guideline changes, prescriptive measure additions, LM Captures compatibility related changes</t>
  </si>
  <si>
    <t>Cooling Only HVAC Equipment (Incremental)</t>
  </si>
  <si>
    <t>VFD for Process Motor</t>
  </si>
  <si>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</si>
  <si>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</si>
  <si>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</si>
  <si>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</si>
  <si>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</si>
  <si>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</si>
  <si>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</si>
  <si>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</si>
  <si>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</si>
  <si>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</si>
  <si>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Custom Incentive Offer for</t>
  </si>
  <si>
    <t>Project Number</t>
  </si>
  <si>
    <t>Project Name ID</t>
  </si>
  <si>
    <t>Company Contact</t>
  </si>
  <si>
    <t>Project Site Address</t>
  </si>
  <si>
    <t>Energy Efficiency Incentive Offer</t>
  </si>
  <si>
    <t>Approving Engineer</t>
  </si>
  <si>
    <t>Program Type</t>
  </si>
  <si>
    <t>Estimated Measure Costs</t>
  </si>
  <si>
    <t>3. Customer Signature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</si>
  <si>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</si>
  <si>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</si>
  <si>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</si>
  <si>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</si>
  <si>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</si>
  <si>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</si>
  <si>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</si>
  <si>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</si>
  <si>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</si>
  <si>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</si>
  <si>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</si>
  <si>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Verify the above Measures Summary is accurate. Has your energy efficiency project scope changed from the original plan? If so, please navigate back to the </t>
    </r>
    <r>
      <rPr>
        <sz val="11"/>
        <color rgb="FF0000FF"/>
        <rFont val="Arial"/>
        <family val="2"/>
      </rPr>
      <t>Custom</t>
    </r>
    <r>
      <rPr>
        <sz val="11"/>
        <color theme="1"/>
        <rFont val="Arial"/>
        <family val="2"/>
      </rPr>
      <t xml:space="preserve"> &amp; </t>
    </r>
    <r>
      <rPr>
        <sz val="11"/>
        <color rgb="FF0000FF"/>
        <rFont val="Arial"/>
        <family val="2"/>
      </rPr>
      <t>Standard</t>
    </r>
    <r>
      <rPr>
        <sz val="11"/>
        <color theme="1"/>
        <rFont val="Arial"/>
        <family val="2"/>
      </rPr>
      <t xml:space="preserve"> Measure Input tabs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</si>
  <si>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tab.</t>
    </r>
  </si>
  <si>
    <r>
      <t xml:space="preserve">Please submit this signed document in Excel format along with invoices for labor and equipment to </t>
    </r>
    <r>
      <rPr>
        <sz val="11"/>
        <color rgb="FF0000FF"/>
        <rFont val="Arial"/>
        <family val="2"/>
      </rPr>
      <t>BizSavers@ameren.com</t>
    </r>
    <r>
      <rPr>
        <sz val="11"/>
        <color theme="1"/>
        <rFont val="Arial"/>
        <family val="2"/>
      </rPr>
      <t xml:space="preserve"> for final review.</t>
    </r>
  </si>
  <si>
    <t>Custom Incentive Completion for</t>
  </si>
  <si>
    <t>Completed and Signed Custom Completion Form</t>
  </si>
  <si>
    <t>Trade Ally/ Vendor Information</t>
  </si>
  <si>
    <t>Energy Savings kWh</t>
  </si>
  <si>
    <t>BizSavers Program Approval</t>
  </si>
  <si>
    <t>4.2.2</t>
  </si>
  <si>
    <t>Fixed Standard Incandescent to LED A-line measure wattage range. Originally adjusted for halogen but not incandescent.</t>
  </si>
  <si>
    <t>Entertainment/Recreation</t>
  </si>
  <si>
    <t>Incentivized kWh</t>
  </si>
  <si>
    <t>Incentivized kW</t>
  </si>
  <si>
    <t>Incentivized Cost</t>
  </si>
  <si>
    <t>Total Cost (Includes ALL Measures)</t>
  </si>
  <si>
    <t>Business Development Lead</t>
  </si>
  <si>
    <t>Bus. Devel. Lead</t>
  </si>
  <si>
    <t>Controls (Incremental)</t>
  </si>
  <si>
    <t>Engineers</t>
  </si>
  <si>
    <t>Fred</t>
  </si>
  <si>
    <t>Travis</t>
  </si>
  <si>
    <t>Wade</t>
  </si>
  <si>
    <t>T&amp;C/ Signatory</t>
  </si>
  <si>
    <t>Rate Class/ Rate</t>
  </si>
  <si>
    <t>BDLead</t>
  </si>
  <si>
    <t>ProjectGroup</t>
  </si>
  <si>
    <t>NCEstimatedDesignDate</t>
  </si>
  <si>
    <t>NCEstimatedBidDate</t>
  </si>
  <si>
    <t>NCEstimatedStartDate</t>
  </si>
  <si>
    <t>NCProjectType</t>
  </si>
  <si>
    <t>NCBaseline</t>
  </si>
  <si>
    <t>NCSquareFootage</t>
  </si>
  <si>
    <t>NCAnnualHrs</t>
  </si>
  <si>
    <t>ProjectNarrative</t>
  </si>
  <si>
    <t>Exterior 24/7</t>
  </si>
  <si>
    <t>Lighting Schedule</t>
  </si>
  <si>
    <t>Ameren Missouri BizSavers Program</t>
  </si>
  <si>
    <t>Qualifying Standard or Custom Measure(s) Entered</t>
  </si>
  <si>
    <t>Toll-Free 866-941-7299</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</si>
  <si>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</si>
  <si>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Exterior Dusk-to-Dawn</t>
  </si>
  <si>
    <t>Unit Cost</t>
  </si>
  <si>
    <t>Please review application information and proceed with submission.</t>
  </si>
  <si>
    <t>Click on underlined links above to jump to section.</t>
  </si>
  <si>
    <t>Travis Jones</t>
  </si>
  <si>
    <t>Controls</t>
  </si>
  <si>
    <t>4.3.0</t>
  </si>
  <si>
    <t>Revamped Offer and Completion Form
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added optional dropdown for BD lead on Project Information tab. Added reference on PC Summary by removing Inspection Date
Changed "Head Pressure Control" in custom refrigeration dropdown to "Controls"
Added Josh to Engineer dropdown, and moved to table list
Added Rate Class and Rate to PC summary
only permit numbers in Year Built, Sq Ft, and custom rate fields
Corrected calculation of PerUnitkWhEff in Export file
added T&amp;C signatory to PC summary
revised language in section 16 of Terms and Conditions
added method to set spillover status for standard measures
Expiration extended to March 2017
Fixed sums, export links, and links regarding Standard HVAC/MISC tab</t>
  </si>
  <si>
    <t>4.3.1</t>
  </si>
  <si>
    <t>Equip. Use</t>
  </si>
  <si>
    <t>HVAC Uses</t>
  </si>
  <si>
    <t>Heating Coincidence Factor</t>
  </si>
  <si>
    <t>Energy Efficiency Incentive</t>
  </si>
  <si>
    <t>Electricity Savings kWh</t>
  </si>
  <si>
    <t>Fixed wattage check for LED screw bulb efficient wattages
Corrected prescriptive measure #301132
Added customer-facing dropdown list for HVAC/ Cooling end use to HVAC Tab
Moved Rate Class/ Rate on PC Summary to make it more obvious
Offer and Completion Forms now show non-incentiveized measure costs
Added Data Validation and formatting to all date fields
Added a heating coincidence factor of 1.04 to all interior lighting kWh savings
Removed 30%penalty to standard BR reflector lamp savings
Added Monique to IS list</t>
  </si>
  <si>
    <t>Upgrade Only</t>
  </si>
  <si>
    <t>Fixture Delamp</t>
  </si>
  <si>
    <t>--Select--</t>
  </si>
  <si>
    <t>4.4.0</t>
  </si>
  <si>
    <t>N/A</t>
  </si>
  <si>
    <t>More Projects Planned?</t>
  </si>
  <si>
    <t>Updated holidays to 2017 dates on operating hours calculator
Redesigned standard linear tube lighting tab to add standard delamping measure, updated Export file, updated measure list
Added Jordan Thompson to PC list
Added Jim Travis to BD list, removed Claudia, corrected some BD name spellings
Added check for whether inefficienct kWh is greater than or equal to (instead of just greater than) efficienct kWh in linear tube lighting tab
Added section for BD contact on Offer and Completion forms
Changed total cost on PC summary to pull from Export tab to hopefully correct rounding error
Hardcoded Fred Schreiber in the approving Offer field
Changed instances of "paperwork" to "documentation"
Changed Rate on PC Summary to 4 decimal places
Changed color of incentive summary in top right corner
Fixed link to TLED promotion
Added buttons and links to SBDI and EMS programs in Welcome section
Changed expiration date to 4/30/17
Updated T&amp;C</t>
  </si>
  <si>
    <t>Frederick M. Schreiber</t>
  </si>
  <si>
    <t>4.4.1</t>
  </si>
  <si>
    <t>Fixed rounding issue in custom lighting and standard linear lighting, applied coincidence factor before rounding
Added Bob, John, and Kristin to BDs, updated with cell numbers
The "Review and Sign" status is based on signed date now instead of signature field. 
Revised completion form language for BD contact section</t>
  </si>
  <si>
    <t>4.4.2</t>
  </si>
  <si>
    <t>Corrected cell references in the Template Form to Offers and Completions display standard incentives and savings correctly</t>
  </si>
  <si>
    <t>4.5.0</t>
  </si>
  <si>
    <t>Inc Rate Exterior</t>
  </si>
  <si>
    <t>HIF</t>
  </si>
  <si>
    <t>Unconditioned</t>
  </si>
  <si>
    <t>T8 - 4ft - 6 Lamp - 32W</t>
  </si>
  <si>
    <t>6 lamp</t>
  </si>
  <si>
    <t>T8 - 8ft - 6 Lamp - 59W</t>
  </si>
  <si>
    <t>T12 - 4 ft - 6 lamp</t>
  </si>
  <si>
    <t>Rick Gabrielson</t>
  </si>
  <si>
    <t>Corrected 2016 references to 2017 in AOH calculators
Added calculation of incentive for Exterior and Garage Dusk to Dawn lighting. Revised Export tab for Custom Ext Lighting program and measures
Changed "Not Applicable" in Space Conditioning dropdown list to "Unconditioned"
Changed Lighting Coincidence Factor from 1.04 to 1.07
Changed expiration date from 4/30 to 8/31/17
Added clarification that delamping incentives are per 4 ft lamp on standard incentive list
Added 6 lamp T12 and T8 fixture to default custom lighting wattage list
Added notifications to advise inputer for correction when 24/7 lights on &lt;8760 hours, or if Dusk to Dawn/ Misc exterior lights are on &gt;8500 hours
Deleted Bob, John, and Kelly from IS drop down. Deleted Gary and Stephanie from Engineering drop down
Centered BD contact information on Offer and Completion forms
Added checks to address work around on 24/7 exterior standard. Now application doesn't show incentive when less than 8500 hrs selected with 24/7 exterior lighting
Changed Program Updates tiles on welcome page to highlight exterior incentives
Added Rick Gabrielson to BD list</t>
  </si>
  <si>
    <t>4.6.0</t>
  </si>
  <si>
    <t>BizSavers Representative assisting with application completion</t>
  </si>
  <si>
    <t>Not Eligible for BizSavers Program</t>
  </si>
  <si>
    <t>Eligibility Information</t>
  </si>
  <si>
    <r>
      <t xml:space="preserve">Once you are ready to submit, please attach your completed application and supporting documentation to an email and send it to: </t>
    </r>
    <r>
      <rPr>
        <sz val="11"/>
        <color rgb="FF1B6CB5"/>
        <rFont val="Arial"/>
        <family val="2"/>
      </rPr>
      <t>BizSavers@ameren.com</t>
    </r>
  </si>
  <si>
    <t>Added T5 Prescriptive Measures and updated measure list
Added eligibility check for multi-family low income housing on the Project Information page. Rearranged Site Information page
Removed qualification for Historical Tax Credit
Added additional confirmation for installed measures for standard projects on Application Review page. Also added notification that standard project not complete
New Program Updates button on Welcome page
Corrected apportioning of upgrading/ delamping kWh savings from split measures to account for heating coincidence factor
Deleted Draft Email button and updated language for submission instructions 
Updated IS and Engineer personnel lists</t>
  </si>
  <si>
    <t>4.7.0</t>
  </si>
  <si>
    <t xml:space="preserve">Capped </t>
  </si>
  <si>
    <t>Cap</t>
  </si>
  <si>
    <t>Halogen MR-16 35-50W</t>
  </si>
  <si>
    <t>Changed tube replacement to return an error value of "0" instead of "ERROR"
Added notification on each measure input tab that displays when individual measures are being capped
Revised "More Projects Planned?" sections on Offer and Completion forms to display hotline information if no BD is selected
Removed Kristin from BD list
Added Hanna to IS list
Made additional clarification regarding fixture replacement in lamp dropdowns on standard screw ins
Fixed unit fields on custom tabs to disallow decimals
Introduced rounding to nearest cent to material and labor unit cost calculations on Export page
Changed expiration date to 12/31/17</t>
  </si>
  <si>
    <t>Capped</t>
  </si>
  <si>
    <t>Ext. Cap Factor</t>
  </si>
  <si>
    <t>Int Cap Factor</t>
  </si>
  <si>
    <t>4.7.1</t>
  </si>
  <si>
    <t>Deemed kW was not calculating for linear lighting past the 5th row. Extended calculation to the entire column
Removed data validation check against invoice date for installed date on Review and Completion tab
Added a check to confirm that valid selection is made for screw-in standard lighting location type</t>
  </si>
  <si>
    <t>Location Detail</t>
  </si>
  <si>
    <t>Measure Category</t>
  </si>
  <si>
    <t>T5HO</t>
  </si>
  <si>
    <t>Base Watts</t>
  </si>
  <si>
    <t>Existing Watts</t>
  </si>
  <si>
    <t>Efficient Watts</t>
  </si>
  <si>
    <t>Incentive Rate</t>
  </si>
  <si>
    <t>Efficient Model</t>
  </si>
  <si>
    <t>Fixture Watt (W)</t>
  </si>
  <si>
    <t>Replace Fixture</t>
  </si>
  <si>
    <t>Replace Lamps</t>
  </si>
  <si>
    <t>Cost per Fixture</t>
  </si>
  <si>
    <t>Savings and Incentive Summary</t>
  </si>
  <si>
    <t>Nominal Watt (W)</t>
  </si>
  <si>
    <t>Metal Halide Nominal</t>
  </si>
  <si>
    <t>Metal Halide Ballast</t>
  </si>
  <si>
    <t>Pulse Start Metal Halide Nominal</t>
  </si>
  <si>
    <t>Pulse Start Metal Halide Ballast</t>
  </si>
  <si>
    <t>Mercury Vapor Nominal</t>
  </si>
  <si>
    <t>Mercury Vapor Ballast</t>
  </si>
  <si>
    <t>High Pressure Sodium Nominal</t>
  </si>
  <si>
    <t>High Pressure Sodium Ballast</t>
  </si>
  <si>
    <t xml:space="preserve">Incentive </t>
  </si>
  <si>
    <t>LED Lighting</t>
  </si>
  <si>
    <t>Ballast Factor</t>
  </si>
  <si>
    <t>Wattage (W)</t>
  </si>
  <si>
    <t>Halogen</t>
  </si>
  <si>
    <t>Incandescent</t>
  </si>
  <si>
    <t>Lamp Type</t>
  </si>
  <si>
    <t>Cost per Lamp</t>
  </si>
  <si>
    <t>Exit Sign</t>
  </si>
  <si>
    <t>MR-16 35-50W</t>
  </si>
  <si>
    <t>Exit Sign Incandescent</t>
  </si>
  <si>
    <t>Halogen MR-16 35-50W-LED</t>
  </si>
  <si>
    <t>5.0.0</t>
  </si>
  <si>
    <t>Linear Type</t>
  </si>
  <si>
    <t>Existing Fixture</t>
  </si>
  <si>
    <t>New Lighting Type</t>
  </si>
  <si>
    <t>Existing Detail</t>
  </si>
  <si>
    <t>Incandescent A-Lamp &gt;40W</t>
  </si>
  <si>
    <t>Halogen A-Lamp &gt;28W</t>
  </si>
  <si>
    <t>Incandescent A-Lamp &gt;40W-LED</t>
  </si>
  <si>
    <t>Halogen A-Lamp &gt;28W-LED</t>
  </si>
  <si>
    <t>A-Lamp &gt;40W</t>
  </si>
  <si>
    <t>A-Lamp &gt;28W</t>
  </si>
  <si>
    <t>Industrial Ceiling Fan</t>
  </si>
  <si>
    <t>Industrial Ceiling Fan (Incremental)</t>
  </si>
  <si>
    <t>Incandescent PAR</t>
  </si>
  <si>
    <t>Incandescent PAR-BR/R-LED</t>
  </si>
  <si>
    <t>Incandescent BR/R-BR/R-LED</t>
  </si>
  <si>
    <t>Incandescent BR/R</t>
  </si>
  <si>
    <t>Incandescent PAR-PAR-LED</t>
  </si>
  <si>
    <t>Incandescent BR/R-PAR-LED</t>
  </si>
  <si>
    <t>Lamps per Fixt.</t>
  </si>
  <si>
    <t>Redesigned all Standard Lighting and introduced new standard incentives based on per watt saved
Change expiration date to 3/16/18
Changed Holiday Calendar in OH calculator to 2018 dates
Updated in-app standard measure list with new measures
Added large industrial ceiling fan custom measures
Staffing changes to IS and Engineering dropdowns
Formatting and typographical corrections</t>
  </si>
  <si>
    <t>MH - 150 Watt</t>
  </si>
  <si>
    <t>Pulse Start MH - 1000 Watt</t>
  </si>
  <si>
    <t>5.0.1</t>
  </si>
  <si>
    <t>Corrected display of payback information on Project Summary when measures entered on Screw In Standard tab</t>
  </si>
  <si>
    <t>5.1.0</t>
  </si>
  <si>
    <t>Space 1</t>
  </si>
  <si>
    <t>Space 2</t>
  </si>
  <si>
    <t>Baseline kWh</t>
  </si>
  <si>
    <t>T8 - 4ft - 6 Lamp - 32W HBF</t>
  </si>
  <si>
    <t>Added warnings for approaching due date and instructions to go to website or contact BD
Corrected some formatting and hidden formulas throughout measure input pages
Added display of baseline kWh to Application Summary and PC Summary
Added proper capitalization tags to site and contect information in PC Summary
Removed headers in lighting dropdowns with "Invalid" wattages to simplify entry
Added option for entry of 6L T8 with high ballast factor</t>
  </si>
  <si>
    <t>5.1.1</t>
  </si>
  <si>
    <t>5.2.0</t>
  </si>
  <si>
    <t>Removed ability to overide auto-populating baseline wattages for standard fluorescent and HID measures. Removed option for "Other"</t>
  </si>
  <si>
    <t>T12 - 2 ft - 3 Lamp</t>
  </si>
  <si>
    <t>T12 - 2 ft - 4 Lamp</t>
  </si>
  <si>
    <t>T12 - 3 ft - 3 Lamp</t>
  </si>
  <si>
    <t>T12 - 3 ft - 4 Lamp</t>
  </si>
  <si>
    <t>Column1</t>
  </si>
  <si>
    <t>T8 - 2 ft - 3 Lamp</t>
  </si>
  <si>
    <t>T8 - 2 ft - 4 Lamp</t>
  </si>
  <si>
    <t>T8 - 3 ft - 3 Lamp</t>
  </si>
  <si>
    <t>T8 - 3 ft - 4 Lamp</t>
  </si>
  <si>
    <t>T8 - 4 ft - 6 Lamp</t>
  </si>
  <si>
    <t>T8 - 4 ft - 6 L High Bay</t>
  </si>
  <si>
    <t>T8 - 4 ft - 8 L High Bay</t>
  </si>
  <si>
    <t>T12 - U-Tube - 3 Lamp</t>
  </si>
  <si>
    <t>T8 - U-Tube - 3 Lamp</t>
  </si>
  <si>
    <t>T5 - 4 ft - 3 Lamp</t>
  </si>
  <si>
    <t>T5 - 4 ft - 8 Lamp</t>
  </si>
  <si>
    <t>T5 HO - 4 ft - 3 Lamp</t>
  </si>
  <si>
    <t>MH - 50 Watt</t>
  </si>
  <si>
    <t>Pulse Start MH - 350 Watt</t>
  </si>
  <si>
    <t>MH Source</t>
  </si>
  <si>
    <t>Xcel</t>
  </si>
  <si>
    <t>PS MH Source</t>
  </si>
  <si>
    <t>MV Source</t>
  </si>
  <si>
    <t>MV - 1000 Watt</t>
  </si>
  <si>
    <t>HPS Source</t>
  </si>
  <si>
    <t>Pre Approval End Date</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</si>
  <si>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</si>
  <si>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</si>
  <si>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</si>
  <si>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</si>
  <si>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</si>
  <si>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</si>
  <si>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</si>
  <si>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</si>
  <si>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</si>
  <si>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</si>
  <si>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</si>
  <si>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</si>
  <si>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</si>
  <si>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</si>
  <si>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</si>
  <si>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</si>
  <si>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</si>
  <si>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</si>
  <si>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T8 - 4ft - 2 Lamp - 64W</t>
  </si>
  <si>
    <t>T8 - 2ft - 3 Lamp - 18W</t>
  </si>
  <si>
    <t>T8 - 2ft - 4 Lamp - 18W</t>
  </si>
  <si>
    <t>T8 - 3ft - 2 Lamp - 25W</t>
  </si>
  <si>
    <t>T8 - 3ft - 4 Lamp - 25W</t>
  </si>
  <si>
    <t>T8 - U-Tube - 3 Lamp - 30W</t>
  </si>
  <si>
    <t>T8 - 4ft - 8 Lamp - 32W HBF</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</si>
  <si>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</si>
  <si>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</si>
  <si>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</si>
  <si>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</si>
  <si>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</si>
  <si>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</si>
  <si>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</si>
  <si>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</si>
  <si>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</si>
  <si>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</si>
  <si>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</si>
  <si>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</si>
  <si>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LED Fixt. Qty</t>
  </si>
  <si>
    <t>LED Fixt. Qty.</t>
  </si>
  <si>
    <t>LED Qty.</t>
  </si>
  <si>
    <t>Existing Qty.</t>
  </si>
  <si>
    <t>Existing Qty</t>
  </si>
  <si>
    <t>Added indicator that data has been entered on a measure tab
Added non-one-to-one replacements of standard lighting incentive measures
Added several new options for prescriptive baseline fluorescent and HID fixtures and deemed wattages. Also adjusted the wattage and sourcing for several existing fluorescent and HID fixtures on the custom and prescriptive tabs
Added notification that the pre-approval deadline has passed.
Updated standard lighting measure incentives
Updated avoided costs and start yearsin benefit cost calculation
Staffing changes
Rearranged custom pages so lighting tab is first
Added data validation to lamp/ fixture cell on standard linear tab
Renamed "Company Information" on Summary Tab to "Company Site Information"</t>
  </si>
  <si>
    <t>T12 - 6 ft - 1 Lamp</t>
  </si>
  <si>
    <t>T12 - 6 ft - 2 Lamp</t>
  </si>
  <si>
    <t>T12 - 6ft - 1 Lamp - 80W Actual</t>
  </si>
  <si>
    <t>T12 - 6ft - 2 Lamp - 122W Actual</t>
  </si>
  <si>
    <t>6 ft</t>
  </si>
  <si>
    <t>T8 - 6 ft - 1 Lamp</t>
  </si>
  <si>
    <t>T8 - 6 ft - 2 Lamp</t>
  </si>
  <si>
    <t>5 ft</t>
  </si>
  <si>
    <t>T5 - 5ft - 1 Lamp - 35W</t>
  </si>
  <si>
    <t>T5 - 5ft - 2 Lamp - 35W</t>
  </si>
  <si>
    <t>T5 - 2 ft - 1 Lamp</t>
  </si>
  <si>
    <t>T5 - 2 ft - 2 Lamp</t>
  </si>
  <si>
    <t>T5 - 2ft - 1 Lamp - 14W</t>
  </si>
  <si>
    <t>T5 - 2ft - 2 Lamp - 14W</t>
  </si>
  <si>
    <t>MH - 1500 Watt</t>
  </si>
  <si>
    <t>MH 1500W</t>
  </si>
  <si>
    <t>1500 Watt</t>
  </si>
  <si>
    <t>MH - 2000 Watt</t>
  </si>
  <si>
    <t>MH 2000W</t>
  </si>
  <si>
    <t>2000 Watt</t>
  </si>
  <si>
    <t>5.3.0</t>
  </si>
  <si>
    <t>T12 - 5 ft - 1 Lamp</t>
  </si>
  <si>
    <t>T12 - 5 ft - 2 Lamp</t>
  </si>
  <si>
    <t>T12 - 5ft - 1 Lamp - 72W Actual</t>
  </si>
  <si>
    <t>T12 - 5ft - 2 Lamp - 111W Actual</t>
  </si>
  <si>
    <t>T8 - 5 ft - 1 Lamp</t>
  </si>
  <si>
    <t>T8 - 5 ft - 2 Lamp</t>
  </si>
  <si>
    <t>T8 - 5 ft - 3 Lamp</t>
  </si>
  <si>
    <t>T8 - 5 ft - 4 Lamp</t>
  </si>
  <si>
    <t>T8 - 5ft - 1 Lamp - 40W</t>
  </si>
  <si>
    <t>T8 - 5ft - 2 Lamp - 40W</t>
  </si>
  <si>
    <t>T8 - 5ft - 3 Lamp - 40W</t>
  </si>
  <si>
    <t>T8 - 5ft - 4 Lamp - 40W</t>
  </si>
  <si>
    <t>T8 - 6ft - 1 Lamp - 46W</t>
  </si>
  <si>
    <t>T8 - 6ft - 2 Lamp - 46W</t>
  </si>
  <si>
    <t>T5 - 5 ft - 1 Lamp</t>
  </si>
  <si>
    <t>T5 - 5 ft - 2 Lamp</t>
  </si>
  <si>
    <t>T12 - 4 ft - 6 Lamp</t>
  </si>
  <si>
    <t>T8 - 8 ft - 6 Lamp</t>
  </si>
  <si>
    <t>Changed expiration date to end of cycle
Added additional default options in linear fluorescent and HID dropdowns
Staffing changes
Added 2019 holiday dates to operating hours calculator</t>
  </si>
  <si>
    <t>5.3.1</t>
  </si>
  <si>
    <t>Changed expiration date to 1/31/19- submittal deadline for completion paperwork
Removed expiration date warnings and allowed display of incentive and savings past expiration date</t>
  </si>
  <si>
    <t>Address:</t>
  </si>
  <si>
    <t>Site Address:</t>
  </si>
  <si>
    <t>Contact Phone:</t>
  </si>
  <si>
    <t>Contact Email:</t>
  </si>
  <si>
    <t>Vendor Company:</t>
  </si>
  <si>
    <t>Vendor Contact:</t>
  </si>
  <si>
    <t>Over 5 years you could save</t>
  </si>
  <si>
    <t>Annual Cost Savings</t>
  </si>
  <si>
    <t>Estimated Incentive</t>
  </si>
  <si>
    <r>
      <t>1</t>
    </r>
    <r>
      <rPr>
        <vertAlign val="superscript"/>
        <sz val="14"/>
        <rFont val="Arial"/>
        <family val="2"/>
      </rPr>
      <t>st</t>
    </r>
    <r>
      <rPr>
        <sz val="14"/>
        <rFont val="Arial"/>
        <family val="2"/>
      </rPr>
      <t xml:space="preserve"> Year ROI</t>
    </r>
  </si>
  <si>
    <r>
      <t xml:space="preserve">Energy Savings </t>
    </r>
    <r>
      <rPr>
        <i/>
        <sz val="24"/>
        <color theme="0"/>
        <rFont val="Arial"/>
        <family val="2"/>
      </rPr>
      <t>Report</t>
    </r>
  </si>
  <si>
    <t>Yes - Approved Trade Ally</t>
  </si>
  <si>
    <t>Yes - Independent Vendor</t>
  </si>
  <si>
    <t>No</t>
  </si>
  <si>
    <t xml:space="preserve">Saving </t>
  </si>
  <si>
    <t>homes powered</t>
  </si>
  <si>
    <t>for one month</t>
  </si>
  <si>
    <t>is equivalent to…</t>
  </si>
  <si>
    <t>To print this report go to File -&gt; Print. Under "Printer" select your local printer to print a paper copy or select your default PDF application to save a digital copy.</t>
  </si>
  <si>
    <t>.</t>
  </si>
  <si>
    <t>Total kWh Savings</t>
  </si>
  <si>
    <t>Total kW Savings</t>
  </si>
  <si>
    <t>Without Incentive</t>
  </si>
  <si>
    <t>With Incentive</t>
  </si>
  <si>
    <t>metric tons CO2/kWh</t>
  </si>
  <si>
    <t>metric tons C02E/vehicle/year</t>
  </si>
  <si>
    <t>metric tons CO2/home/month.</t>
  </si>
  <si>
    <t>metric tons CO2E/ton of waste recycled instead of landfilled</t>
  </si>
  <si>
    <t>https://www.eia.gov/tools/faqs/faq.php?id=74&amp;t=11</t>
  </si>
  <si>
    <r>
      <t>metric tons of CO</t>
    </r>
    <r>
      <rPr>
        <b/>
        <vertAlign val="subscript"/>
        <sz val="18"/>
        <color theme="1"/>
        <rFont val="Arial"/>
        <family val="2"/>
      </rPr>
      <t>2</t>
    </r>
  </si>
  <si>
    <t>https://www.epa.gov/energy/greenhouse-gases-equivalencies-calculator-calculations-and-references</t>
  </si>
  <si>
    <t>vehicles removed from</t>
  </si>
  <si>
    <t>the road for one year</t>
  </si>
  <si>
    <t>tons of waste recycled</t>
  </si>
  <si>
    <t>instead of landfilled</t>
  </si>
  <si>
    <t>STANDARD MEASURES</t>
  </si>
  <si>
    <t>CUSTOM MEASURES</t>
  </si>
  <si>
    <t>Custom Lighting</t>
  </si>
  <si>
    <t>FORM7</t>
  </si>
  <si>
    <t>T12-LED-Plug and Play (Type A)</t>
  </si>
  <si>
    <t>T8-LED-Plug and Play (Type A)</t>
  </si>
  <si>
    <t>T5-LED-Plug and Play (Type A)</t>
  </si>
  <si>
    <t>T5HO-LED-Plug and Play (Type A)</t>
  </si>
  <si>
    <t>T12-LED-Direct Wire (Type B)</t>
  </si>
  <si>
    <t>T8-LED-Direct Wire (Type B)</t>
  </si>
  <si>
    <t>T5-LED-Direct Wire (Type B)</t>
  </si>
  <si>
    <t>T5HO-LED-Direct Wire (Type B)</t>
  </si>
  <si>
    <t>T12-LED-External Driver (Type C)</t>
  </si>
  <si>
    <t>T8-LED-External Driver (Type C)</t>
  </si>
  <si>
    <t>T5-LED-External Driver (Type C)</t>
  </si>
  <si>
    <t>T5HO-LED-External Driver (Type C)</t>
  </si>
  <si>
    <t>T12-LED-Type A/B Hybrid</t>
  </si>
  <si>
    <t>T8-LED-Type A/B Hybrid</t>
  </si>
  <si>
    <t>T5-LED-Type A/B Hybrid</t>
  </si>
  <si>
    <t>T5HO-LED-Type A/B Hybrid</t>
  </si>
  <si>
    <t>T12-LED-Retrofit Kit</t>
  </si>
  <si>
    <t>T8-LED-Retrofit Kit</t>
  </si>
  <si>
    <t>T5-LED-Retrofit Kit</t>
  </si>
  <si>
    <t>T5HO-LED-Retrofit Kit</t>
  </si>
  <si>
    <t>T12-LED-Fixture</t>
  </si>
  <si>
    <t>T8-LED-Fixture</t>
  </si>
  <si>
    <t>T5-LED-Fixture</t>
  </si>
  <si>
    <t>T5HO-LED-Fixture</t>
  </si>
  <si>
    <t>Inc Rate Unit PA</t>
  </si>
  <si>
    <t>Inc Rate Unit FT</t>
  </si>
  <si>
    <t>T12-LED-Fixture w/ Network Cntrl</t>
  </si>
  <si>
    <t>T8-LED-Fixture w/ Network Cntrl</t>
  </si>
  <si>
    <t>T5-LED-Fixture w/ Network Cntrl</t>
  </si>
  <si>
    <t>T5HO-LED-Fixture w/ Network Cntrl</t>
  </si>
  <si>
    <t>T12-LED-Kit w/ Network Cntrls</t>
  </si>
  <si>
    <t>T8-LED-Kit w/ Network Cntrls</t>
  </si>
  <si>
    <t>T5-LED-Kit w/ Network Cntrls</t>
  </si>
  <si>
    <t>T5HO-LED-Kit w/ Network Cntrls</t>
  </si>
  <si>
    <t>Metal Halide-LED-LED w/ Existing Ballast</t>
  </si>
  <si>
    <t>Mercury Vapor-LED-LED w/ Existing Ballast</t>
  </si>
  <si>
    <t>High Pressure Sodium-LED-LED w/ Existing Ballast</t>
  </si>
  <si>
    <t>Metal Halide-LED-Direct Wire LED</t>
  </si>
  <si>
    <t>Mercury Vapor-LED-New Fixture</t>
  </si>
  <si>
    <t>Metal Halide-LED-New Fixture</t>
  </si>
  <si>
    <t>High Pressure Sodium-LED-New Fixture</t>
  </si>
  <si>
    <t>Mercury Vapor-LED-Direct Wire LED</t>
  </si>
  <si>
    <t>Mercury Vapor-LED-New Fixture w/ Network Controls</t>
  </si>
  <si>
    <t>High Pressure Sodium-LED-Direct Wire LED</t>
  </si>
  <si>
    <t>High Pressure Sodium-LED-New Fixture w/ Network Controls</t>
  </si>
  <si>
    <t>MEEIA 2019-2021 Ameren Missouri</t>
  </si>
  <si>
    <t>Anti-Sweat Heater Controls - Refrigerator</t>
  </si>
  <si>
    <t>Anti-Sweat Heater Controls - Freezer</t>
  </si>
  <si>
    <t>ENERGY STAR Commercial Vertical Glass Door Freezers &lt;15ft3</t>
  </si>
  <si>
    <t>ENERGY STAR Commercial Vertical Glass Door Freezers 15-30ft3</t>
  </si>
  <si>
    <t>ENERGY STAR Commercial Vertical Glass Door Freezers 30-50ft3</t>
  </si>
  <si>
    <t>ENERGY STAR Commercial Vertical Glass Door Freezers &gt;50ft3</t>
  </si>
  <si>
    <t>ENERGY STAR Commercial Vertical Solid Door Freezers &lt;15ft3</t>
  </si>
  <si>
    <t>ENERGY STAR Commercial Vertical Solid Door Freezers 15-30ft3</t>
  </si>
  <si>
    <t>ENERGY STAR Commercial Vertical Solid Door Freezers 30-50ft3</t>
  </si>
  <si>
    <t>ENERGY STAR Commercial Vertical Solid Door Freezers &gt;50ft3</t>
  </si>
  <si>
    <t>ENERGY STAR Commercial Solid or Glass Door Freezer</t>
  </si>
  <si>
    <t>ENERGY STAR Horizontal Closed Solid or Glass Door Freezer Replacing Non ENERGY STAR Unit</t>
  </si>
  <si>
    <t>ENERGY STAR Commercial Horizontal Solid or Glass Door Freezers</t>
  </si>
  <si>
    <t>&lt;15 cubic ft ENERGY STAR Commercial Vertical Solid Door Refrigerator Replacing Non ENERGY STAR Unit</t>
  </si>
  <si>
    <t>&lt;15 cubic ft ENERGY STAR Commercial Solid Door Refrigerator</t>
  </si>
  <si>
    <t>ENERGY STAR Commercial Vertical Solid Door Refrigerators &lt;15ft3</t>
  </si>
  <si>
    <t>ENERGY STAR Horizontal Closed Solid or Glass Door Refrigerator Replacing Non ENERGY STAR Unit</t>
  </si>
  <si>
    <t>ENERGY STAR Commercial Solid or Glass Door Refrigerator</t>
  </si>
  <si>
    <t>Any Volume</t>
  </si>
  <si>
    <t>ENERGY STAR Commercial Horizontal Solid or Glass Door Refrigerator</t>
  </si>
  <si>
    <t>Redesign</t>
  </si>
  <si>
    <t>VFDs</t>
  </si>
  <si>
    <t>Learning Thermostat</t>
  </si>
  <si>
    <t>Non-Programmed Thermostat</t>
  </si>
  <si>
    <t>Eff Ton 1</t>
  </si>
  <si>
    <t>Eff Ton 2</t>
  </si>
  <si>
    <t>Mechanical Equipment Upgrade</t>
  </si>
  <si>
    <t>HVAC Equipment and Thermostats</t>
  </si>
  <si>
    <t>Type</t>
  </si>
  <si>
    <t>Space Description</t>
  </si>
  <si>
    <t>Efficient Redesign</t>
  </si>
  <si>
    <t>Total Cost for Space Redesign</t>
  </si>
  <si>
    <t>Networked Controls Installed?</t>
  </si>
  <si>
    <t>Redesign with Controls</t>
  </si>
  <si>
    <t>Lamp Incentive</t>
  </si>
  <si>
    <t>Fixture Incentive</t>
  </si>
  <si>
    <t>Actual</t>
  </si>
  <si>
    <t>Chilled Water Pump w/ Variable Frequency Drive</t>
  </si>
  <si>
    <t>Chilled Water Pump w/ No Variable Frequency Drive</t>
  </si>
  <si>
    <t>HP</t>
  </si>
  <si>
    <t>Hot Water Pump w/ Variable Frequency Drive</t>
  </si>
  <si>
    <t>Hot Water Pump w/ No Variable Frequency Drive</t>
  </si>
  <si>
    <t>HVAC Fan w/ Variable Frequency Drive</t>
  </si>
  <si>
    <t>HVAC Fan w/ No Variable Frequency Drive</t>
  </si>
  <si>
    <t>Eff HP 1</t>
  </si>
  <si>
    <t>Eff HP 2</t>
  </si>
  <si>
    <t>LED Fixture</t>
  </si>
  <si>
    <t>6.0.0</t>
  </si>
  <si>
    <t>Incentivized</t>
  </si>
  <si>
    <t>Redesign-LED-No</t>
  </si>
  <si>
    <t>Redesign-LED-Yes</t>
  </si>
  <si>
    <t>Total Pre Approval</t>
  </si>
  <si>
    <t>Total Fast Track</t>
  </si>
  <si>
    <t>Lamp Life (hrs)</t>
  </si>
  <si>
    <r>
      <rPr>
        <sz val="10"/>
        <color theme="1"/>
        <rFont val="Arial"/>
        <family val="2"/>
      </rPr>
      <t>Lamp Life</t>
    </r>
    <r>
      <rPr>
        <sz val="11"/>
        <color theme="1"/>
        <rFont val="Arial"/>
        <family val="2"/>
      </rPr>
      <t xml:space="preserve"> </t>
    </r>
    <r>
      <rPr>
        <sz val="10"/>
        <color theme="1"/>
        <rFont val="Arial"/>
        <family val="2"/>
      </rPr>
      <t>(hours)</t>
    </r>
  </si>
  <si>
    <t>Air-Cooled Chiller &gt;=150 tons</t>
  </si>
  <si>
    <t>Air-Cooled Chiller &lt;150 tons</t>
  </si>
  <si>
    <t>Controller</t>
  </si>
  <si>
    <t>Savings per ton per EER kWh</t>
  </si>
  <si>
    <t>ENERGY STAR Hot Holding Cabinets &gt;28 cu ft</t>
  </si>
  <si>
    <t>&gt;28 cu ft</t>
  </si>
  <si>
    <t>MEEIA 2019-2019 Ameren Missouri</t>
  </si>
  <si>
    <t>Base EER 2</t>
  </si>
  <si>
    <t>Base EER1</t>
  </si>
  <si>
    <t>Section kWh Saving</t>
  </si>
  <si>
    <t>Number of Drives</t>
  </si>
  <si>
    <t>Metal Halide-LED-New Fixture w/ Network Controls</t>
  </si>
  <si>
    <t>PAR &gt;48W</t>
  </si>
  <si>
    <t>BR/R &gt;45W</t>
  </si>
  <si>
    <t>Halogen PAR &gt;48W</t>
  </si>
  <si>
    <t>Halogen BR/R &gt;45W</t>
  </si>
  <si>
    <t>Lamp or Redgn Incentive</t>
  </si>
  <si>
    <t>Redesigned for Cycle 4
Updated Terms and Conditions
Reset exp. Date to 5/31/19</t>
  </si>
  <si>
    <t>Redesign LED</t>
  </si>
  <si>
    <t>Linear Tube LED Retrofit</t>
  </si>
  <si>
    <t>Non-Linear LED Lamp Retrofit</t>
  </si>
  <si>
    <t>Total Standard Electric</t>
  </si>
  <si>
    <t>LIGHTING MEASURES</t>
  </si>
  <si>
    <t>Interior HID to LED</t>
  </si>
  <si>
    <t>Interior Fast Track Linear-LED</t>
  </si>
  <si>
    <t>Efficient Linear LEDs</t>
  </si>
  <si>
    <t>Plug and Play (Type A)</t>
  </si>
  <si>
    <t>Type A/B Hybrid</t>
  </si>
  <si>
    <t>Direct Wire (Type B)</t>
  </si>
  <si>
    <t>External Driver (Type C)</t>
  </si>
  <si>
    <t>Retrofit Kit</t>
  </si>
  <si>
    <t>Kit w/ Network Cntrls</t>
  </si>
  <si>
    <t>Fixture w/ Network Cntrl</t>
  </si>
  <si>
    <t xml:space="preserve">Please fill out the Trade Ally / vendor information below. If this is a self-install, select "No" and proceed to the next tab. </t>
  </si>
  <si>
    <t>Cost Capped</t>
  </si>
  <si>
    <t>No Pre-approval Required</t>
  </si>
  <si>
    <t>ENERGY STAR Vertical Closed Glass Door Freezer 0 &lt; V &lt; 15</t>
  </si>
  <si>
    <t>ENERGY STAR Vertical Closed Glass Door Freezer 0 &lt; V &lt; 15 Replacing non-ENERGYSTAR Unit</t>
  </si>
  <si>
    <t>ENERGY STAR Freezer</t>
  </si>
  <si>
    <t>non-ENERGY STAR Vertical Closed Glass Door Freezer 0 &lt; V &lt; 15</t>
  </si>
  <si>
    <t>801900</t>
  </si>
  <si>
    <t>ENERGY STAR Vertical Closed Glass Door Freezer 15 ≤ V &lt; 30</t>
  </si>
  <si>
    <t>ENERGY STAR Vertical Closed Glass Door Freezer 15 ≤ V &lt; 30 Replacing non-ENERGYSTAR Unit</t>
  </si>
  <si>
    <t>non-ENERGY STAR Vertical Closed Glass Door Freezer 15 &lt;= V &lt; 30</t>
  </si>
  <si>
    <t>801950</t>
  </si>
  <si>
    <t>ENERGY STAR Vertical Closed Glass Door Freezer 30 ≤ V &lt; 50</t>
  </si>
  <si>
    <t>ENERGY STAR Vertical Closed Glass Door Freezer 30 ≤ V &lt; 50 Replacing non-ENERGYSTAR Unit</t>
  </si>
  <si>
    <t>non-ENERGY STAR Vertical Closed Glass Door Freezer 30 &lt;= V &lt; 50</t>
  </si>
  <si>
    <t>801800</t>
  </si>
  <si>
    <t>ENERGY STAR Vertical Closed Glass Door Freezer 50 ≤ V</t>
  </si>
  <si>
    <t>ENERGY STAR Vertical Closed Glass Door Freezer 50 ≤ V Replacing non-ENERGYSTAR Unit</t>
  </si>
  <si>
    <t>non-ENERGY STAR Vertical Closed Glass Door Freezer 50 &lt;= V</t>
  </si>
  <si>
    <t>802050</t>
  </si>
  <si>
    <t>ENERGY STAR Vertical Closed Solid Door Freezer 0 &lt; V &lt; 15</t>
  </si>
  <si>
    <t>ENERGY STAR Vertical Closed Solid Door Freezer 0 &lt; V &lt; 15 Replacing non-ENERGYSTAR Unit</t>
  </si>
  <si>
    <t>non-ENERGY STAR Vertical Closed Solid Door Freezer 0 &lt; V &lt; 15</t>
  </si>
  <si>
    <t>801700</t>
  </si>
  <si>
    <t>ENERGY STAR Vertical Closed Solid Door Freezer 15 ≤ V &lt; 30</t>
  </si>
  <si>
    <t>ENERGY STAR Vertical Closed Solid Door Freezer 15 ≤ V &lt; 30 Replacing non-ENERGYSTAR Unit</t>
  </si>
  <si>
    <t>non-ENERGY STAR Vertical Closed Solid Door Freezer 15 &lt;= V &lt; 30</t>
  </si>
  <si>
    <t>801750</t>
  </si>
  <si>
    <t>ENERGY STAR Vertical Closed Solid Door Freezer 30 ≤ V &lt; 50</t>
  </si>
  <si>
    <t>ENERGY STAR Vertical Closed Solid Door Freezer 30 ≤ V &lt; 50 Replacing non-ENERGYSTAR Unit</t>
  </si>
  <si>
    <t>non-ENERGY STAR Vertical Closed Solid Door Freezer 30 &lt;= V &lt; 50</t>
  </si>
  <si>
    <t>ENERGY STAR Vertical Closed Solid Door Freezer 50 ≤ V</t>
  </si>
  <si>
    <t>ENERGY STAR Vertical Closed Solid Door Freezer 50 ≤ V Replacing non-ENERGYSTAR Unit</t>
  </si>
  <si>
    <t>non-ENERGY STAR Vertical Closed Solid Door Freezer 50 &lt;= V</t>
  </si>
  <si>
    <t>80150</t>
  </si>
  <si>
    <t>Anti-Sweat Heater Controls for Refrigerator</t>
  </si>
  <si>
    <t>802150</t>
  </si>
  <si>
    <t>Anti-Sweat Heater Controls for Freezer</t>
  </si>
  <si>
    <t>802200</t>
  </si>
  <si>
    <t>ENERGY STAR Horizontal Closed Freezer</t>
  </si>
  <si>
    <t>ENERGY STAR Vertical Closed Solid Door Refrigerator 0 &lt; V &lt;= 15</t>
  </si>
  <si>
    <t>ENERGY STAR Refrigerator</t>
  </si>
  <si>
    <t>801250</t>
  </si>
  <si>
    <t>ENERGY STAR Horizontal Closed Refrigerator</t>
  </si>
  <si>
    <t>801650</t>
  </si>
  <si>
    <t>Water Heater 2.9 to 14.6 kW (10 to 50 MBH) - Heat Pump with &gt;= 3.0 COP Replacing Electric Resistance</t>
  </si>
  <si>
    <t>802250</t>
  </si>
  <si>
    <t>Water Heater 14.7 - 29.3 kW  (50 to 100 MBH)- Heat Pump with &gt;= 3.0 COP Replacing Electric Resistance</t>
  </si>
  <si>
    <t>802300</t>
  </si>
  <si>
    <t>Water Heater 29.4 - 87.9 kW  (100 to 300 MBH)- Heat Pump with &gt;= 3.0 COP Replacing Electric Resistance</t>
  </si>
  <si>
    <t>802350</t>
  </si>
  <si>
    <t>Water Heater 88 - 146.5 kW (300 to 500 MBH) - Heat Pump with &gt;= 3.0 COP Replacing Electric Resistance</t>
  </si>
  <si>
    <t>802400</t>
  </si>
  <si>
    <t>803100</t>
  </si>
  <si>
    <t>Variable Frequency DrivePump for Hot Water 1 - 75 HP Replacing no Variable Frequency Drive</t>
  </si>
  <si>
    <t>803150</t>
  </si>
  <si>
    <t>VFD Pump for Pool</t>
  </si>
  <si>
    <t>Variable Frequency Drive Pump for Pool Replacing no Variable Frequency Drive</t>
  </si>
  <si>
    <t>802600</t>
  </si>
  <si>
    <t>803200</t>
  </si>
  <si>
    <t>ENERGY STAR 3 Pan Steam Cooker</t>
  </si>
  <si>
    <t>ENERGY STAR 3 Pan Steam Cooker Replacing non-Energy Star Unit</t>
  </si>
  <si>
    <t>802700</t>
  </si>
  <si>
    <t>ENERGY STAR 4 Pan Steam Cooker</t>
  </si>
  <si>
    <t>ENERGY STAR 4 Pan Steam Cooker Replacing non-Energy Star Unit</t>
  </si>
  <si>
    <t>802750</t>
  </si>
  <si>
    <t>ENERGY STAR 5 Pan Steam Cooker</t>
  </si>
  <si>
    <t>ENERGY STAR 5 Pan Steam Cooker Replacing non-Energy Star Unit</t>
  </si>
  <si>
    <t>802800</t>
  </si>
  <si>
    <t>ENERGY STAR 6 Pan Steam Cooker</t>
  </si>
  <si>
    <t>ENERGY STAR 6 Pan Steam Cooker Replacing non-Energy Star Unit</t>
  </si>
  <si>
    <t>802850</t>
  </si>
  <si>
    <t>ENERGY STAR Hot Holding Cabinet V ≥ 28</t>
  </si>
  <si>
    <t>ENERGY STAR Hot Holding Cabinet V ≥ 28 Replacing non-Energy Star Unit</t>
  </si>
  <si>
    <t>803000</t>
  </si>
  <si>
    <t>4040301</t>
  </si>
  <si>
    <t>4040300</t>
  </si>
  <si>
    <t>4020601</t>
  </si>
  <si>
    <t>4020401</t>
  </si>
  <si>
    <t>4090101</t>
  </si>
  <si>
    <t>4020801</t>
  </si>
  <si>
    <t>4090201</t>
  </si>
  <si>
    <t>4090301</t>
  </si>
  <si>
    <t>4020301</t>
  </si>
  <si>
    <t>4040501</t>
  </si>
  <si>
    <t>4080101</t>
  </si>
  <si>
    <t>4080201</t>
  </si>
  <si>
    <t>4052121</t>
  </si>
  <si>
    <t>4080801</t>
  </si>
  <si>
    <t>4052111</t>
  </si>
  <si>
    <t>4080701</t>
  </si>
  <si>
    <t>4050801</t>
  </si>
  <si>
    <t>4100401</t>
  </si>
  <si>
    <t>4040401</t>
  </si>
  <si>
    <t>4100201</t>
  </si>
  <si>
    <t>4100301</t>
  </si>
  <si>
    <t>4100511</t>
  </si>
  <si>
    <t>4100521</t>
  </si>
  <si>
    <t>4100601</t>
  </si>
  <si>
    <t>4040601</t>
  </si>
  <si>
    <t>4100200</t>
  </si>
  <si>
    <t>4100300</t>
  </si>
  <si>
    <t>4100400</t>
  </si>
  <si>
    <t>4030500</t>
  </si>
  <si>
    <t>4030501</t>
  </si>
  <si>
    <t>802100</t>
  </si>
  <si>
    <t>Total Fast Track Electric</t>
  </si>
  <si>
    <t>Total Pre-Approval Electric</t>
  </si>
  <si>
    <t>KEEP "v" in version number</t>
  </si>
  <si>
    <t>EquipmentLife</t>
  </si>
  <si>
    <t>EffEfficiency</t>
  </si>
  <si>
    <t>6.0.1</t>
  </si>
  <si>
    <t>SpecLife</t>
  </si>
  <si>
    <t>4010100</t>
  </si>
  <si>
    <t>4010200</t>
  </si>
  <si>
    <t>4010300</t>
  </si>
  <si>
    <t>4010101</t>
  </si>
  <si>
    <t>4010201</t>
  </si>
  <si>
    <t>4010301</t>
  </si>
  <si>
    <t>4100510</t>
  </si>
  <si>
    <t>4100520</t>
  </si>
  <si>
    <t>4100600</t>
  </si>
  <si>
    <t>4040600</t>
  </si>
  <si>
    <t>Added columns for EXPORT and addressed a few other csv issues
Addded new measure numbers to previously hidden rows</t>
  </si>
  <si>
    <t>6.0.2</t>
  </si>
  <si>
    <t>Changed EffEfficiency column in EXPORT to display 2 decimals
Fixed display of VFD motor size in EXPORT
Doubled deemed savings of anti-sweat controls to square controllers/ doors discrepancy
Corrected incentive calculation for addition of fixtures for lighting
Changed standard HVAC deemed savings to calculation savings based on TRM formula</t>
  </si>
  <si>
    <t>6.0.3</t>
  </si>
  <si>
    <t>Correct issue with calculating savings of kWh savings for Network controlled and non-Networked controlled HID to LED refits
Corrected measure numbers for anti-sweat controllers</t>
  </si>
  <si>
    <t>Air-Source Heat Pump &lt;65 kBTU (&lt;5.4 tons)</t>
  </si>
  <si>
    <t>6.0.4</t>
  </si>
  <si>
    <t>As part of our commitment to achieve realized savings, all projects are subject to random inspections. If you receive a visit from one of our inspectors they will refer to this project, ask a couple of questions, and perform a verification.</t>
  </si>
  <si>
    <r>
      <t xml:space="preserve">• Material and labor invoices </t>
    </r>
    <r>
      <rPr>
        <b/>
        <sz val="11"/>
        <color theme="1"/>
        <rFont val="Arial"/>
        <family val="2"/>
      </rPr>
      <t>(required after installation)</t>
    </r>
  </si>
  <si>
    <t>Fast Track Incentive Cap Adjustment</t>
  </si>
  <si>
    <t>Added ton equivalents to standard HVAC dropdowns
Fixed the some of the counter fields for showing tab checkmarks so they won't display an error when the incentive is an error
Changed some wording on the Submit instructions
Auto populated some fields in Document Tracking in PC Summary
Corrected calculation of labor costs on csv for linear Fast Track
Corrected deemed savings for horizaontal freezers
Added automatic adjustment of incentive when Fast Track cap is exceeded</t>
  </si>
  <si>
    <t>Toll Free 866-941-7299</t>
  </si>
  <si>
    <t>6.0.5</t>
  </si>
  <si>
    <t>Updated Terms and Conditions</t>
  </si>
  <si>
    <t>Cumulative Cost</t>
  </si>
  <si>
    <t>Cumulative Savings</t>
  </si>
  <si>
    <t>Year 1</t>
  </si>
  <si>
    <t>Year 2</t>
  </si>
  <si>
    <t>Year 3</t>
  </si>
  <si>
    <t>Year 4</t>
  </si>
  <si>
    <t>Year 5</t>
  </si>
  <si>
    <t>Total Estimated Incentive</t>
  </si>
  <si>
    <t>Estimated Annual Bill Savings</t>
  </si>
  <si>
    <t>Payback Summary</t>
  </si>
  <si>
    <t>6.1.0</t>
  </si>
  <si>
    <t>T12 HO- 4 ft - 1 Lamp</t>
  </si>
  <si>
    <t>T12 HO - 4 ft - 2 Lamp</t>
  </si>
  <si>
    <t>T12 HO - 4 ft - 4 Lamp</t>
  </si>
  <si>
    <t>T12 HO- 4 ft - 1 Lamp - 60W Actual</t>
  </si>
  <si>
    <t>T12 HO - 4 ft - 2 Lamp - 120W Actual</t>
  </si>
  <si>
    <t>T12 HO - 4 ft - 4 Lamp - 240W Actual</t>
  </si>
  <si>
    <t>Contributor Organization</t>
  </si>
  <si>
    <t>Project Contributors</t>
  </si>
  <si>
    <t>First Name</t>
  </si>
  <si>
    <t>Last Name</t>
  </si>
  <si>
    <t>Primary Phone</t>
  </si>
  <si>
    <t>Mailing Address</t>
  </si>
  <si>
    <t>M02S03F18</t>
  </si>
  <si>
    <t>M02S03F19</t>
  </si>
  <si>
    <t>M02S03F20</t>
  </si>
  <si>
    <t>M02S03F21</t>
  </si>
  <si>
    <t>M02S03F22</t>
  </si>
  <si>
    <t>M02S03F23</t>
  </si>
  <si>
    <t>M02S03F24</t>
  </si>
  <si>
    <t>M02S03F25</t>
  </si>
  <si>
    <t>M02S03F26</t>
  </si>
  <si>
    <t>M02S03F27</t>
  </si>
  <si>
    <t>M02S03F28</t>
  </si>
  <si>
    <t>M02S03F29</t>
  </si>
  <si>
    <t>M02S03F30</t>
  </si>
  <si>
    <t>M02S03F31</t>
  </si>
  <si>
    <t>M02S03F32</t>
  </si>
  <si>
    <t>M02S03F33</t>
  </si>
  <si>
    <t>M02S03F34</t>
  </si>
  <si>
    <t>M02S03F35</t>
  </si>
  <si>
    <t>M02S03F36</t>
  </si>
  <si>
    <t>M02S03F37</t>
  </si>
  <si>
    <t>M02S03F38</t>
  </si>
  <si>
    <t>M02S03F39</t>
  </si>
  <si>
    <t>To print this graph go to File -&gt; Print. Under "Printer" select your local printer to print a paper copy or select your default PDF application to save a digital copy.</t>
  </si>
  <si>
    <t>Total Project Cost - No Incentive</t>
  </si>
  <si>
    <t>Total Project Cost - With Incentive</t>
  </si>
  <si>
    <t>First Year ROI- With Incentive</t>
  </si>
  <si>
    <t>Estimated Simple Payback- With Incentive</t>
  </si>
  <si>
    <t>Standard Measure List &amp; Program Guidelines</t>
  </si>
  <si>
    <t>LED Lamp/ Fixture Type</t>
  </si>
  <si>
    <t>Halogen PAR &gt;48W-LED</t>
  </si>
  <si>
    <t>Halogen BR/R &gt;45W-LED</t>
  </si>
  <si>
    <t>A project contributor is any sub-contractor, community partner, or trade ally that has a significant role in the development or installation of the project, but is not the vendor or main trade ally</t>
  </si>
  <si>
    <t>Added payback graph to project summary
Added T12 HO 4 ft to baseline lists
Added fields for Project Contributor on TA Information Page
Added additional options for Incandescent/ Halogen replacements
Correct HVAC Fan VFD standard incentive to $80/hp instead of $85
Restricted Redesign baselines to HIDs and fluorescent
Corrected end uses for standard VFD measures
Auto-fill 8760 operating hours for Exit Sign measures
Expiration date 8/30
Removed Hidden Protections from some user-input cells so entries can be viewed in the formula bar
Clarified entry of thermostat units and cooling capacity</t>
  </si>
  <si>
    <t>Loan Term (months)</t>
  </si>
  <si>
    <t>Lamp Life</t>
  </si>
  <si>
    <t>6.2.0</t>
  </si>
  <si>
    <t>Air-Source Heat Pump 65-&lt;135 kBTU (5.4-&lt;11.25 tons)</t>
  </si>
  <si>
    <t>Air-Source Heat Pump 135-&lt;240 kTBU (11.25-&lt;20 tons)</t>
  </si>
  <si>
    <t>Air-Source Heat Pump &gt;=240 kBTU (&gt;=20 tons)</t>
  </si>
  <si>
    <t>Present Check?</t>
  </si>
  <si>
    <t>Technical Contact</t>
  </si>
  <si>
    <t>Contact 2 Name</t>
  </si>
  <si>
    <t>Contact 1 Name</t>
  </si>
  <si>
    <t>Contact 2 Title</t>
  </si>
  <si>
    <t>Organization 1</t>
  </si>
  <si>
    <t>Project Contributor(s)</t>
  </si>
  <si>
    <r>
      <t>Have you Installed or Purchased Equipment?</t>
    </r>
    <r>
      <rPr>
        <sz val="11"/>
        <color rgb="FFFF0000"/>
        <rFont val="Arial"/>
        <family val="2"/>
      </rPr>
      <t>*</t>
    </r>
  </si>
  <si>
    <t>Bonus</t>
  </si>
  <si>
    <t>CheckPresentation</t>
  </si>
  <si>
    <t>M02S02F46</t>
  </si>
  <si>
    <t>M02S02F47</t>
  </si>
  <si>
    <t>Incandescent (Describe)</t>
  </si>
  <si>
    <t>Halogen (Describe)</t>
  </si>
  <si>
    <t>CFL (Describe)</t>
  </si>
  <si>
    <t>Others (Describe)</t>
  </si>
  <si>
    <t>Induction (Describe)</t>
  </si>
  <si>
    <t>Neon (Describe)</t>
  </si>
  <si>
    <t>Signage (Describe)</t>
  </si>
  <si>
    <t>Lamp life (hours)</t>
  </si>
  <si>
    <t>Lamp life (hrs)</t>
  </si>
  <si>
    <t>No, I am not interested in a check presentation</t>
  </si>
  <si>
    <t>M06S05CB1</t>
  </si>
  <si>
    <t>M06S05CB2</t>
  </si>
  <si>
    <t>Check Presentation Affirmative</t>
  </si>
  <si>
    <t>Check Presentation Negative</t>
  </si>
  <si>
    <t>Pkg or Split System &lt;65 kBTU (&lt;5.4 tons)</t>
  </si>
  <si>
    <t>Pkg or Split System 65-&lt;135 kBTU (5.4-&lt;11.25 tons)</t>
  </si>
  <si>
    <t>Pkg or Split System 135-&lt;240 kBTU (11.25-&lt;20 tons)</t>
  </si>
  <si>
    <t>Pkg or Split System 240-&lt;760 kBTU (20-&lt;63.3 tons)</t>
  </si>
  <si>
    <t>Pkg or Split System &gt;=760 kBTU (&gt;63.3 tons)</t>
  </si>
  <si>
    <r>
      <t>Company Name</t>
    </r>
    <r>
      <rPr>
        <sz val="11"/>
        <color rgb="FFFF0000"/>
        <rFont val="Arial"/>
        <family val="2"/>
      </rPr>
      <t>*</t>
    </r>
  </si>
  <si>
    <t>Yes, I am interested in a check presentation with the BizSavers team</t>
  </si>
  <si>
    <t>The BizSavers Program offers the option for a team member to present a jumbo check to your business after completion of your project.</t>
  </si>
  <si>
    <t>Terms &amp; Conditions and Eligibility</t>
  </si>
  <si>
    <t>Please fill out the following information for the site to determine which incentives the site is eligible for.</t>
  </si>
  <si>
    <t>Contact Information</t>
  </si>
  <si>
    <t>Technical/ Facility Contact</t>
  </si>
  <si>
    <r>
      <t>Phone</t>
    </r>
    <r>
      <rPr>
        <sz val="11"/>
        <color rgb="FFFF0000"/>
        <rFont val="Arial"/>
        <family val="2"/>
      </rPr>
      <t>*</t>
    </r>
  </si>
  <si>
    <t>Survey Contact</t>
  </si>
  <si>
    <t>The survey contact is the individual who authorized the decision to move forward with the energy efficiency project and is most knowledgeable of the benefits of the Ameren Missouri BizSavers Program. This individual may be contacted to answer a brief survey regarding their and their facility's participation in the program.</t>
  </si>
  <si>
    <r>
      <t xml:space="preserve">For the purposes of this application "Company" is the headquarters or primary office that is responsible for a given site(s) where the project is being implemented. Information with a </t>
    </r>
    <r>
      <rPr>
        <sz val="13"/>
        <color rgb="FFFF0000"/>
        <rFont val="Arial"/>
        <family val="2"/>
      </rPr>
      <t>*</t>
    </r>
    <r>
      <rPr>
        <sz val="13"/>
        <rFont val="Arial"/>
        <family val="2"/>
      </rPr>
      <t xml:space="preserve"> is required.</t>
    </r>
  </si>
  <si>
    <t>The technical and/or facility contact is the individual at the site whom the BizSavers team may contact in the event of an inspection.</t>
  </si>
  <si>
    <r>
      <t>Is Site Location same as Company Location?</t>
    </r>
    <r>
      <rPr>
        <sz val="11"/>
        <color rgb="FFFF0000"/>
        <rFont val="Arial"/>
        <family val="2"/>
      </rPr>
      <t>*</t>
    </r>
  </si>
  <si>
    <t>M02S02F48</t>
  </si>
  <si>
    <t>Technical and Survey Contacts</t>
  </si>
  <si>
    <t>Added financing summary
Added lamp life entry to custom lighting
Changed CFL to Linear LED EUL to 12 years for C/B calculation
Do not apply HCIF when the space is unconditioned
Clarified sizes ranges for standard HVAC projects
Exterior and Garage 24/7 lamp life  must be 100,000 hours or greater
Added field for check presentation preference completion form and csv
Added input for Technical Contact and ensured that it and Project Contributors display on the PC Summary
Added dropdown to linear LED lamp life to reduce incidence of incorrect entry
Added reference to Split Systems for custom HVAC measures
Removed Terms and Conditions from the document and linked to
Staffing changes
Rearranged Company, Site, and Contact Information</t>
  </si>
  <si>
    <t>Contact:</t>
  </si>
  <si>
    <t>This is the site where the energy efficiency measures are being installed. If there is not a higher business entity than the site where the project is being performed, then the "Company" and the "Site" would be the same.</t>
  </si>
  <si>
    <t>Enter the Payee Information below. Some information may be autofilled based on your selection, but you may overwrite the data if necessary.</t>
  </si>
  <si>
    <t>6.3.0</t>
  </si>
  <si>
    <t>Advanced RTU Controls</t>
  </si>
  <si>
    <t>6.2.1</t>
  </si>
  <si>
    <t>Allowed entry of 2020 dates when signing T&amp;C</t>
  </si>
  <si>
    <t>Electronically Commutated Motor</t>
  </si>
  <si>
    <t>Electronically Commutated Motor (ECM)</t>
  </si>
  <si>
    <t>Electronically Commutated Motor (ECM) Replacing Shaded-pole Motor with No Fan Control in Refrigerated Display Case or Walk-in Cooling Unit</t>
  </si>
  <si>
    <t>Electonically Commutated Motor (ECM)</t>
  </si>
  <si>
    <t>Shaded-Pole Motor</t>
  </si>
  <si>
    <t>Motor</t>
  </si>
  <si>
    <t>Shaded-Pole Motor With No Fan Control</t>
  </si>
  <si>
    <t>No Loss Condensate Drain</t>
  </si>
  <si>
    <t>High-Efficiency Air Nozzle</t>
  </si>
  <si>
    <t>No Loss Condensate Drain Replacing Open Valve or Timer Condensate Drain</t>
  </si>
  <si>
    <t>High-Efficiency Air Nozzle Replacing Standard Air Nozzle</t>
  </si>
  <si>
    <t>Compressed Air Equipment</t>
  </si>
  <si>
    <t>Standard Air Nozzle</t>
  </si>
  <si>
    <t>Open Valve or Timer Condensate Drain</t>
  </si>
  <si>
    <t>Drain</t>
  </si>
  <si>
    <t>Nozzle</t>
  </si>
  <si>
    <t/>
  </si>
  <si>
    <t>Measure List and Program Guidelines</t>
  </si>
  <si>
    <t>Jane Parker</t>
  </si>
  <si>
    <t>806050</t>
  </si>
  <si>
    <t>804650</t>
  </si>
  <si>
    <t>804960</t>
  </si>
  <si>
    <t>Demand Control Ventilation (Gas Heat)</t>
  </si>
  <si>
    <t>Demand Control Ventilation (Heat Pump)</t>
  </si>
  <si>
    <t>Demand Control Ventilation (Electric Heat)</t>
  </si>
  <si>
    <t>Total Costs</t>
  </si>
  <si>
    <t>Measure</t>
  </si>
  <si>
    <t>Total Material Cost</t>
  </si>
  <si>
    <t>Space with No Demand Control Ventilation</t>
  </si>
  <si>
    <t>1000 sq ft</t>
  </si>
  <si>
    <t>Tons</t>
  </si>
  <si>
    <r>
      <t>Site Name</t>
    </r>
    <r>
      <rPr>
        <sz val="11"/>
        <color rgb="FFFF0000"/>
        <rFont val="Arial"/>
        <family val="2"/>
      </rPr>
      <t>*</t>
    </r>
  </si>
  <si>
    <t>Removed edit protections from check presentation checkboxes
Added Advanced Rooftop Control to std HVAC
Added Demand Control Ventilation to std HVAC
Added ECM measure to std refrigeration- End Use of Misc.
Added Compressed Air Measures
Changed VFD for Fans End Use to HVAC from Motors
Corrected unit EXPORT for Standard VFD Measures
Updated Cost Benefit NPV data and holidays for 2020
Restricted custom lighting efficient options to only LEDs
Deleted in-app display of Standard incentives and linked to an online PDF
Staffing Changes. Removed option for "None" as BD
Added HCF to CSV
Updated expiration date to 5/1/20
Standard measures now request total costs
Ensured display of lighting kWh savings even when space conditioning type is unselected- savings defaults to HCF of 1.0
Labeled SIte Name as required
Altered template so that Install Status and Date of Completion count as progress on T&amp;C page and not Project Info page</t>
  </si>
  <si>
    <t>Constant Speed Supply Fan</t>
  </si>
  <si>
    <t>New Efficiency</t>
  </si>
  <si>
    <t>Qty</t>
  </si>
  <si>
    <t xml:space="preserve">Labor </t>
  </si>
  <si>
    <t>Product of TRC Companies</t>
  </si>
  <si>
    <t>6.3.1</t>
  </si>
  <si>
    <t>Revised End Uses on some VFD measures</t>
  </si>
  <si>
    <t>6.3.2</t>
  </si>
  <si>
    <t>Change expiration date</t>
  </si>
  <si>
    <t>6.4.0</t>
  </si>
  <si>
    <t>Updated CB calculation for custom lighting
Changed expiration date to 7/1
IS and BD personnel changes</t>
  </si>
  <si>
    <t>Eligible Bonus</t>
  </si>
  <si>
    <t>Actual Bonus</t>
  </si>
  <si>
    <t>Original Incentive</t>
  </si>
  <si>
    <t>Bonus Eligible Cost</t>
  </si>
  <si>
    <t>Bonus Adj</t>
  </si>
  <si>
    <t>Actual Bonus Check</t>
  </si>
  <si>
    <t>6.5.0</t>
  </si>
  <si>
    <t>Chilled Water Pump w/ VFD &gt;= 1 HP</t>
  </si>
  <si>
    <t>Chilled Water Pump w/ No VFD &gt;= 1 HP</t>
  </si>
  <si>
    <t>Variable Frequency Drive Pump for Chilled Water &gt;= 1 HP Replacing no Variable Frequency Drive</t>
  </si>
  <si>
    <t>VFD Pump for Chilled Water &gt;= 1 HP</t>
  </si>
  <si>
    <t>VFD Pump for Hot Water &gt;= 1 HP</t>
  </si>
  <si>
    <t>Hot Water Pump w/ No VFD &gt;= 1 HP</t>
  </si>
  <si>
    <t>Hot Water Pump w/ VFD &gt;= 1 HP</t>
  </si>
  <si>
    <t>HVAC Fan w/ VFD &gt;= 1 HP</t>
  </si>
  <si>
    <t>HVAC Fan w/ No VFD &gt;= 1 HP</t>
  </si>
  <si>
    <t>Variable Frequency Drive Fan for HVAC &gt;= 1 HP Replacing no Variable Frequency Drive</t>
  </si>
  <si>
    <t>VFD Fan for HVAC &gt;= 1 HP</t>
  </si>
  <si>
    <t>Variable Frequency Drive Pump for Condenser Water Pump &gt;= 1 HP Replacing no Variable Frequency Drive</t>
  </si>
  <si>
    <t>Condenser Water Pump w/ Variable Frequency Drive</t>
  </si>
  <si>
    <t>VFD For Pump</t>
  </si>
  <si>
    <t>Condenser Water Pump w/ No Variable Frequency Drive</t>
  </si>
  <si>
    <t>Chilled Water Pump w/No Variable Frequency Drive</t>
  </si>
  <si>
    <t>803160</t>
  </si>
  <si>
    <t>803155</t>
  </si>
  <si>
    <t>Condenser Water Pump w/ No VFD &gt;= 1 HP</t>
  </si>
  <si>
    <t>Condenser Water Pump w/ VFD &gt;= 1 HP</t>
  </si>
  <si>
    <t>VFD On Cooling Tower Fan &gt;= 1 HP</t>
  </si>
  <si>
    <t>Cooling Tower Fan w/ No VFD &gt;= 1 HP</t>
  </si>
  <si>
    <t>Variable Frequency Drive Pump for Cooling Tower Fan &gt;= 1 HP Replacing no Variable Frequency Drive</t>
  </si>
  <si>
    <t>Cooling Tower Fan w/ Variable Frequency Drive</t>
  </si>
  <si>
    <t>Cooling Tower Fan w/ No Variable Frequency Drive</t>
  </si>
  <si>
    <t>Actual Bonus Inc.</t>
  </si>
  <si>
    <t>Total New Incentive</t>
  </si>
  <si>
    <t>Eligible Bonus Inc.</t>
  </si>
  <si>
    <t>End Use</t>
  </si>
  <si>
    <t>ESF</t>
  </si>
  <si>
    <t>Occupancy Sensors</t>
  </si>
  <si>
    <t>Column2</t>
  </si>
  <si>
    <t>Column3</t>
  </si>
  <si>
    <t>Column4</t>
  </si>
  <si>
    <t>Base Condition</t>
  </si>
  <si>
    <t>No existing occupancy sensor</t>
  </si>
  <si>
    <t>Inefficient Description or Condition</t>
  </si>
  <si>
    <t>Sensor Qty</t>
  </si>
  <si>
    <t>Original Hours</t>
  </si>
  <si>
    <t>Sensor Brand and Model</t>
  </si>
  <si>
    <t>Kitchen Demand Control Ventilation</t>
  </si>
  <si>
    <t>Kitchen Demand Control Ventilation replacing Kitchen Ventilation with Constant Speed Motor</t>
  </si>
  <si>
    <t>Constant Speed Motor</t>
  </si>
  <si>
    <t>805410</t>
  </si>
  <si>
    <t>Kitchen Ventilation with Constant Speed Fan</t>
  </si>
  <si>
    <t>Inefficient Equipment Description</t>
  </si>
  <si>
    <t>Number Installed</t>
  </si>
  <si>
    <t>Watt 1</t>
  </si>
  <si>
    <t>Fixture Mounted Occupancy Sensor Controlling &gt; 60 W</t>
  </si>
  <si>
    <t>VFD Air Compressor</t>
  </si>
  <si>
    <t>Modulating Compressor</t>
  </si>
  <si>
    <t>805000</t>
  </si>
  <si>
    <t>Modulating Compressor with Blow-Down</t>
  </si>
  <si>
    <t>High Volume, Low Speed Fans</t>
  </si>
  <si>
    <t>High Volume Low Speed Fan, 20-foot</t>
  </si>
  <si>
    <t>High Volume Low Speed Fan, 22-foot</t>
  </si>
  <si>
    <t>High Volume Low Speed Fan, 24-foot</t>
  </si>
  <si>
    <t>Fan</t>
  </si>
  <si>
    <t>Remote Mounted Occupancy Sensor Controlling &gt;150 W</t>
  </si>
  <si>
    <t>Controlled Wattage per Unit</t>
  </si>
  <si>
    <t>4070101</t>
  </si>
  <si>
    <t>4070100</t>
  </si>
  <si>
    <t>Cooling Tower Fan w/ VFD &gt;= 1 HP</t>
  </si>
  <si>
    <t>DX System Baseline SEER 13.0</t>
  </si>
  <si>
    <t>DX System Baseline IEER 11.0</t>
  </si>
  <si>
    <t>Multiple non-HVLS Fans</t>
  </si>
  <si>
    <t>Customer Information Release and Terms and Conditions Acknowledgement</t>
  </si>
  <si>
    <t>By my signature (type in your name for electronic signature) below I certify and authorize the following:</t>
  </si>
  <si>
    <t>1)</t>
  </si>
  <si>
    <t xml:space="preserve">2) </t>
  </si>
  <si>
    <t>I authorize Ameren Missouri to access energy usage data for the specified accounts at the physical site address of the project listed above and release to the Trade Ally listed on this application.</t>
  </si>
  <si>
    <t>3)</t>
  </si>
  <si>
    <t>I agree that Ameren Missouri may include my name, city or county of business, Program services/ incentives and resulting energy savings in reports or other documentation submitted to Ameren Missouri</t>
  </si>
  <si>
    <t>and relevant agencies administering energy programs. Ameren Missouri will treat all other information gathered through the program as confidential.</t>
  </si>
  <si>
    <t>4)</t>
  </si>
  <si>
    <t>5)</t>
  </si>
  <si>
    <t>6)</t>
  </si>
  <si>
    <t>I acknowledge that details of this Program, including incentive levels and availability, are subject to change without notice.</t>
  </si>
  <si>
    <t>7)</t>
  </si>
  <si>
    <r>
      <t xml:space="preserve">I acknowledge </t>
    </r>
    <r>
      <rPr>
        <b/>
        <sz val="11"/>
        <color theme="1"/>
        <rFont val="Arial"/>
        <family val="2"/>
      </rPr>
      <t>THIS CONTRACT CONTAINS A BINDING ARBITRATION PROVISION WHICH MAY BE ENFORCED BY THE PARTIES.</t>
    </r>
  </si>
  <si>
    <t>materials and labor for this site.</t>
  </si>
  <si>
    <t>By my signature (type in your name for electronic signature) below, I hereby certify that this form includes the entire energy efficiency project scope and estimated total project cost including</t>
  </si>
  <si>
    <t>Completion Date on File</t>
  </si>
  <si>
    <t>Please review the Offer Form below. If you have any questions, please contact us.</t>
  </si>
  <si>
    <t>Once your application has been emailed you can expect to see a confirmation email within five business days. If you applied for a custom incentive you will receive an offer or request for additional information.</t>
  </si>
  <si>
    <t>I am the owner, or an authorized representative associated with the Ameren Missouri account number(s) on this application.</t>
  </si>
  <si>
    <t>VFD on Condenser Water Pump &gt;=1 HP</t>
  </si>
  <si>
    <t>Motor HP per Unit</t>
  </si>
  <si>
    <t>Is this date still accurate? If not, please provide an updated completion date and return to BizSavers@ameren.com</t>
  </si>
  <si>
    <t>Enter estimated completion date</t>
  </si>
  <si>
    <t>or contact an Ameren Missouri BizSavers representative at 1-866-941-7299</t>
  </si>
  <si>
    <t>Added Lighting and HVAC bonus incentive functionality
Changed incentive rates and EER/ IEER baselines for standard HVAC equipment measures- assigned new measure numbers to affected measures
Changed baseline range for VFD measures; added VFD measures for cooling towers and condenser pumps
Added standard occupancy sensor measures
Corrected calculation with Custom Lighting
Added measure for kitchen demand control ventilation to cooking equipment tab
Added tab for HVLS ceiling fan measures to the standard tab
Increased Fast Track Max. to $15,000
Changed Custom payback minimum to 1 year
Allowed display of Miscellaneos-Other measures after ENd Use and EUL entered by Engineering
Updated Terms and Conditions page
Updated Offer page to reflect new guidelines
Corrected HVAC Fan VFD incentive to $85
BD personnel changes</t>
  </si>
  <si>
    <t>6.5.1</t>
  </si>
  <si>
    <t>Revamped Terms and Conditions page
Corrected error with bonus applied to Redesign measures</t>
  </si>
  <si>
    <t>6.5.2</t>
  </si>
  <si>
    <t>Corrected application of HCIF for standard occupancy sensor measures
Allowed application of bonus to custom dimming/ daylighting measures
Corrected issue with capping custom lighting bonus at cost</t>
  </si>
  <si>
    <t>6.5.3</t>
  </si>
  <si>
    <t>Ensured that when no BD is entered, corresponding field on the CSV is blank</t>
  </si>
  <si>
    <t>Exterior Linear</t>
  </si>
  <si>
    <t>Total Interior Lighting</t>
  </si>
  <si>
    <t>LED w/ Existing Ballast</t>
  </si>
  <si>
    <t>Ext. Lighting Adj.</t>
  </si>
  <si>
    <t>Exterior HID</t>
  </si>
  <si>
    <t>Exterior Incand</t>
  </si>
  <si>
    <t>A-Lamp</t>
  </si>
  <si>
    <t>PAR/BR/R Lamp</t>
  </si>
  <si>
    <t>MR-16 Lamp</t>
  </si>
  <si>
    <t>Integrated Downlight</t>
  </si>
  <si>
    <t>Direct Wire LED</t>
  </si>
  <si>
    <t>New Fixture</t>
  </si>
  <si>
    <t>No Pre-approval Req'd. Fast Track Cap</t>
  </si>
  <si>
    <t>6.6.0</t>
  </si>
  <si>
    <t>Added Exterior Lighting measure tab
Corrected display of Fast Track Cap Application status</t>
  </si>
  <si>
    <t>CFL CFL</t>
  </si>
  <si>
    <t>T5-Plug and Play (Type A)</t>
  </si>
  <si>
    <t>T5-Fixture</t>
  </si>
  <si>
    <t>T5-Retrofit Kit</t>
  </si>
  <si>
    <t>T5-Type A/B Hybrid</t>
  </si>
  <si>
    <t>T5-External Driver (Type C)</t>
  </si>
  <si>
    <t>T5-Direct Wire (Type B)</t>
  </si>
  <si>
    <t>T8-Plug and Play (Type A)</t>
  </si>
  <si>
    <t>T8-Type A/B Hybrid</t>
  </si>
  <si>
    <t>T8-Fixture</t>
  </si>
  <si>
    <t>T8-Retrofit Kit</t>
  </si>
  <si>
    <t>T8-Direct Wire (Type B)</t>
  </si>
  <si>
    <t>T8-External Driver (Type C)</t>
  </si>
  <si>
    <t>T12-Fixture</t>
  </si>
  <si>
    <t>T12-Retrofit Kit</t>
  </si>
  <si>
    <t>T12-Plug and Play (Type A)</t>
  </si>
  <si>
    <t>T12-Type A/B Hybrid</t>
  </si>
  <si>
    <t>T12-Direct Wire (Type B)</t>
  </si>
  <si>
    <t>T12-External Driver (Type C)</t>
  </si>
  <si>
    <t>HID-New Fixture</t>
  </si>
  <si>
    <t>HID-Direct Wire LED</t>
  </si>
  <si>
    <t>HID-LED w/ Existing Ballast</t>
  </si>
  <si>
    <t>\</t>
  </si>
  <si>
    <t>6.6.1</t>
  </si>
  <si>
    <t>Corrected equation in exterior lighting that led to compatibility issues with previous Excel versions</t>
  </si>
  <si>
    <t>Financing Estimator</t>
  </si>
  <si>
    <t>Annual Interest Rate (%)</t>
  </si>
  <si>
    <t>Monthly Payment</t>
  </si>
  <si>
    <t>Total Interest Paid</t>
  </si>
  <si>
    <t>Total Financed Cost</t>
  </si>
  <si>
    <t>Loan Amount ($)</t>
  </si>
  <si>
    <t>6.6.2</t>
  </si>
  <si>
    <t>Added financing estimator to Project Summary page</t>
  </si>
  <si>
    <t>These estimates are for illustrative and educational purposes only and do not represent a financing offer.</t>
  </si>
  <si>
    <t>6.6.3</t>
  </si>
  <si>
    <t>Changed exterior lighting measure labeling to Custom
Corrected measure number for exterior halogens</t>
  </si>
  <si>
    <t>Marketing</t>
  </si>
  <si>
    <t>Ameren Website</t>
  </si>
  <si>
    <t>Ameren / BizSavers Program Representative</t>
  </si>
  <si>
    <t>Contractor, Vendor, or Trade Ally</t>
  </si>
  <si>
    <t>Program Brochure</t>
  </si>
  <si>
    <t>Program Email</t>
  </si>
  <si>
    <t>Event</t>
  </si>
  <si>
    <t>Video</t>
  </si>
  <si>
    <t>Online Advertisement</t>
  </si>
  <si>
    <t>Online Search Engine</t>
  </si>
  <si>
    <t>Ameren Facebook / LinkedIn Post</t>
  </si>
  <si>
    <t>Print Advertisement</t>
  </si>
  <si>
    <t>Mailer / Postcard</t>
  </si>
  <si>
    <r>
      <t>How Did You Hear About the Program?</t>
    </r>
    <r>
      <rPr>
        <sz val="11"/>
        <color rgb="FFFF0000"/>
        <rFont val="Arial"/>
        <family val="2"/>
      </rPr>
      <t>*</t>
    </r>
  </si>
  <si>
    <t>HearAbout</t>
  </si>
  <si>
    <t>HearAboutOther</t>
  </si>
  <si>
    <t>6.6.4</t>
  </si>
  <si>
    <r>
      <t>Estimated Date of Completion</t>
    </r>
    <r>
      <rPr>
        <sz val="11"/>
        <color rgb="FFFF0000"/>
        <rFont val="Arial"/>
        <family val="2"/>
      </rPr>
      <t>*</t>
    </r>
  </si>
  <si>
    <t>Std End / RECFR</t>
  </si>
  <si>
    <t>Added field to track how customer heard about the program
Added field for RECFR date on PC Summary</t>
  </si>
  <si>
    <t>M02S01F04</t>
  </si>
  <si>
    <t>M02S01F05</t>
  </si>
  <si>
    <t>Other Detail</t>
  </si>
  <si>
    <t>6.6.5</t>
  </si>
  <si>
    <t>Hid exterior lighting measures- bundle ended 12/31/20
Updated cost/ benefit data for 2021</t>
  </si>
  <si>
    <t>6.7.0</t>
  </si>
  <si>
    <t>I'm a Past Program Participant</t>
  </si>
  <si>
    <t>Quebec</t>
  </si>
  <si>
    <t>District of Columbia</t>
  </si>
  <si>
    <t>DC</t>
  </si>
  <si>
    <t>Alberta</t>
  </si>
  <si>
    <t>British Columbia</t>
  </si>
  <si>
    <t>Manitoba</t>
  </si>
  <si>
    <t>New Brunswick</t>
  </si>
  <si>
    <t>Newfoundland and Labrador</t>
  </si>
  <si>
    <t>Northwest Territories</t>
  </si>
  <si>
    <t>Nova Scotia</t>
  </si>
  <si>
    <t>Nunavut</t>
  </si>
  <si>
    <t>Ontario</t>
  </si>
  <si>
    <t>Prince Edward Island</t>
  </si>
  <si>
    <t>Saskatchewan</t>
  </si>
  <si>
    <t>Yukon</t>
  </si>
  <si>
    <t>AB</t>
  </si>
  <si>
    <t>BC</t>
  </si>
  <si>
    <t>NB</t>
  </si>
  <si>
    <t>NL</t>
  </si>
  <si>
    <t>NT</t>
  </si>
  <si>
    <t>NS</t>
  </si>
  <si>
    <t>MB</t>
  </si>
  <si>
    <t>NU</t>
  </si>
  <si>
    <t>ON</t>
  </si>
  <si>
    <t>PE</t>
  </si>
  <si>
    <t>QC</t>
  </si>
  <si>
    <t>SK</t>
  </si>
  <si>
    <t>YT</t>
  </si>
  <si>
    <r>
      <t>State/ Province</t>
    </r>
    <r>
      <rPr>
        <sz val="11"/>
        <color rgb="FFFF0000"/>
        <rFont val="Arial"/>
        <family val="2"/>
      </rPr>
      <t>*</t>
    </r>
  </si>
  <si>
    <r>
      <t>Zip/ Postal Code</t>
    </r>
    <r>
      <rPr>
        <sz val="11"/>
        <color rgb="FFFF0000"/>
        <rFont val="Arial"/>
        <family val="2"/>
      </rPr>
      <t>*</t>
    </r>
  </si>
  <si>
    <t>State/ Province</t>
  </si>
  <si>
    <t>Zip/ Postal Code</t>
  </si>
  <si>
    <t>ID #/ Cust. Subm.</t>
  </si>
  <si>
    <t>CustomerSubmittedApp</t>
  </si>
  <si>
    <r>
      <t xml:space="preserve">Talk to your TA to see if they offer financing options or go to </t>
    </r>
    <r>
      <rPr>
        <u/>
        <sz val="12"/>
        <color rgb="FF1B6CB5"/>
        <rFont val="Arial"/>
        <family val="2"/>
      </rPr>
      <t>www.tradeallynetwork.com</t>
    </r>
    <r>
      <rPr>
        <sz val="12"/>
        <color rgb="FF222222"/>
        <rFont val="Arial"/>
        <family val="2"/>
      </rPr>
      <t xml:space="preserve"> and search for a dedicated financing trade ally.</t>
    </r>
  </si>
  <si>
    <t>Changed Expiration dates
Updated holidays in operating hours calculator to 2021 dates
Added Past Program Participant option in Hear About field
Put T5 HO options first in T5 lighting list for base linear lighting
Allow entry of Canadian provinces and postal codes in certain address fields
Added field to PC Summary and csv to indicate that application submitted by customer
Added language to seek financing options in Financing Calculator</t>
  </si>
  <si>
    <t>LIGHTING2021</t>
  </si>
  <si>
    <t>LIGHTRATE21</t>
  </si>
  <si>
    <t>Status/ Lighting Inc.</t>
  </si>
  <si>
    <t>6.8.0</t>
  </si>
  <si>
    <t>Lighting Redesign Measures are for non-one-to-one replacements of inefficient fixtures with LEDs. Supporting documentation showing the design is suitable for the space must be submitted to qualify.</t>
  </si>
  <si>
    <t>Updates to accommodate increased pre-approval lighting incentive rate
Made lamp life a required field for HID incentives
Ensure cost capping message displays on redesign page
Changed title and instructions  on redesign page
Personnel changes- IS Team</t>
  </si>
  <si>
    <t>6.8.1</t>
  </si>
  <si>
    <t>Corrected issue where HID measures were showing as not requiring pre-approval even when it had been selected that equipment had not been installed yet
Allow customer selection of Process end use for some custom HVAC measures</t>
  </si>
  <si>
    <t>6.8.2</t>
  </si>
  <si>
    <t>Corrected issue where negative incentives were being displayed in some case for lighting and factoring into the overall calculation
Allow entry of greater than 100,000 lamp life hours for custom exterior lighting INCLUSIVE of 100,000</t>
  </si>
  <si>
    <t>6.8.3</t>
  </si>
  <si>
    <t>Extend end date of increased pre-approval lighting rate to 8/31/21</t>
  </si>
  <si>
    <t>Tax Information</t>
  </si>
  <si>
    <t>Please enter business name and address exactly as it appears on your form W-9</t>
  </si>
  <si>
    <t>TaxLegalName</t>
  </si>
  <si>
    <t>TaxAddress</t>
  </si>
  <si>
    <t>TaxCity</t>
  </si>
  <si>
    <t>TaxState</t>
  </si>
  <si>
    <t>TaxZip</t>
  </si>
  <si>
    <t>6.8.4</t>
  </si>
  <si>
    <t>Payment and Tax Information</t>
  </si>
  <si>
    <t>M02S04F13</t>
  </si>
  <si>
    <t>M02S04F14</t>
  </si>
  <si>
    <t>M02S04F15</t>
  </si>
  <si>
    <t>M02S04F16</t>
  </si>
  <si>
    <t>M02S04F17</t>
  </si>
  <si>
    <t>HCIF</t>
  </si>
  <si>
    <t>(NONE)</t>
  </si>
  <si>
    <t>Check here if your lighting survey disregards cooling interaction</t>
  </si>
  <si>
    <t>Rearranged Payee Section to capture more accurate tax reporting data
Allow easy swtch of HCIF for lighting
Added notification that inspection photos are required
Corrected issue with compressed air measures uploading as VFD measures
Reintroduced period for increased lighting rate. Ends 12/31/21</t>
  </si>
  <si>
    <t>Baseline LPD (Watts/ Sq Ft)</t>
  </si>
  <si>
    <t>Lamp Life (hours)</t>
  </si>
  <si>
    <t>Qty Installed</t>
  </si>
  <si>
    <t>Efficient Fixture Type</t>
  </si>
  <si>
    <t>Total Efficient Watts</t>
  </si>
  <si>
    <t>Baseline Wattage</t>
  </si>
  <si>
    <t>Building Area Type</t>
  </si>
  <si>
    <t>IECC 2018</t>
  </si>
  <si>
    <t>ASHRAE 90.1 2016</t>
  </si>
  <si>
    <t>IECC 2015</t>
  </si>
  <si>
    <t>ASHRAE 90.1 2013</t>
  </si>
  <si>
    <t>IECC 2012</t>
  </si>
  <si>
    <t>ASHRAE 90.1 2010</t>
  </si>
  <si>
    <t>IECC 2009</t>
  </si>
  <si>
    <t>ASHRAE 90.1 2007</t>
  </si>
  <si>
    <t>Completed Design</t>
  </si>
  <si>
    <t>Local Energy/Building Code</t>
  </si>
  <si>
    <t>Legal/Contractual Requirement</t>
  </si>
  <si>
    <t>Automotive Facility</t>
  </si>
  <si>
    <t>Select ASHRAE Baseline</t>
  </si>
  <si>
    <t>Convention Center</t>
  </si>
  <si>
    <t>Courthouse</t>
  </si>
  <si>
    <t>Dining: Bar</t>
  </si>
  <si>
    <t>Dining: Cafeteria / Fast Food</t>
  </si>
  <si>
    <t>Dining: Family</t>
  </si>
  <si>
    <t>Dormitory</t>
  </si>
  <si>
    <t>Exercise Center</t>
  </si>
  <si>
    <t>Fire Station</t>
  </si>
  <si>
    <t>NA</t>
  </si>
  <si>
    <t>Gymnasium</t>
  </si>
  <si>
    <t>Healthcare Clinic</t>
  </si>
  <si>
    <t>Hospital</t>
  </si>
  <si>
    <t>Hotel (include Motel post-2010)</t>
  </si>
  <si>
    <t>Library</t>
  </si>
  <si>
    <t>Manufacturing Facility</t>
  </si>
  <si>
    <t>Motel</t>
  </si>
  <si>
    <t>Motion Picture Theater</t>
  </si>
  <si>
    <t>Multi-Family</t>
  </si>
  <si>
    <t>Museum</t>
  </si>
  <si>
    <t>Penitentiary</t>
  </si>
  <si>
    <t>Performing Arts Theater</t>
  </si>
  <si>
    <t>Police Station (include Fire Station pre-2010)</t>
  </si>
  <si>
    <t>Post Office</t>
  </si>
  <si>
    <t>Religious Building</t>
  </si>
  <si>
    <t>School/University</t>
  </si>
  <si>
    <t>Sports Arena</t>
  </si>
  <si>
    <t>Town Hall</t>
  </si>
  <si>
    <t>Transportation</t>
  </si>
  <si>
    <t>Workshop</t>
  </si>
  <si>
    <t>Code Baseline</t>
  </si>
  <si>
    <t>M02S02F49</t>
  </si>
  <si>
    <t>M02S02F50</t>
  </si>
  <si>
    <t>Efficient Wattage</t>
  </si>
  <si>
    <t>Wattage Savings</t>
  </si>
  <si>
    <t>kWh Savings</t>
  </si>
  <si>
    <t>LPD Incentive</t>
  </si>
  <si>
    <t>Building Area 1</t>
  </si>
  <si>
    <t>Building Area 2</t>
  </si>
  <si>
    <t>Check here if the space will be unconditioned</t>
  </si>
  <si>
    <t>Max Incentive</t>
  </si>
  <si>
    <t>Potential Incentive for Area</t>
  </si>
  <si>
    <t>6.9.0</t>
  </si>
  <si>
    <t>Learning Thermostat (Controlling &gt;= 4 tons)</t>
  </si>
  <si>
    <t>Learning Thermostat (Controlling &lt; 4 tons)</t>
  </si>
  <si>
    <t>Non-Programmed Thermostat (&lt; 4 tons)</t>
  </si>
  <si>
    <t>Non-Programmed Thermostat (&gt;= 4 tons)</t>
  </si>
  <si>
    <t>Chiller Baseline 0.54 kW/ton</t>
  </si>
  <si>
    <t>Chiller Baseline 0.60 kW/ton</t>
  </si>
  <si>
    <t>Chiller Baseline 0.55 kW/ton</t>
  </si>
  <si>
    <t>Independence Day</t>
  </si>
  <si>
    <t>New Construction Lighting Power Density (LPD)</t>
  </si>
  <si>
    <t>Sums</t>
  </si>
  <si>
    <t>CB</t>
  </si>
  <si>
    <t>Actual Incentive (Capped)</t>
  </si>
  <si>
    <t>Standard Lighting Redesign</t>
  </si>
  <si>
    <t>New Load - Lighting Power Density Baseline</t>
  </si>
  <si>
    <t>New Load - Lighting Power Density Summary</t>
  </si>
  <si>
    <t>Baseline Fixture Type</t>
  </si>
  <si>
    <t>Total Labor Cost</t>
  </si>
  <si>
    <t>Total Cost for Building Area</t>
  </si>
  <si>
    <t>Max Possible Incentive</t>
  </si>
  <si>
    <t>Enter Utility Rate</t>
  </si>
  <si>
    <t xml:space="preserve"> </t>
  </si>
  <si>
    <t xml:space="preserve"> Please read through the program terms and conditions and sign at the bottom of the page to indicate you understand and agree to the terms and conditions. The Ameren Missouri BizSavers Program (“BizSavers”) makes incentive payments available to Ameren Missouri’s business customers for the purchase, installation and/or implementation of qualifying electric energy efficiency measures (“EEMs”). The BizSavers incentives, which are offered under several individual BizSavers programs (each, a “Program”), are subject to these Terms and Conditions. </t>
  </si>
  <si>
    <t>New Load</t>
  </si>
  <si>
    <t>New Construction Market Baseline</t>
  </si>
  <si>
    <t>Market Baseline Lightling System</t>
  </si>
  <si>
    <t>Christopher Harris</t>
  </si>
  <si>
    <t>Morgan Downes</t>
  </si>
  <si>
    <t>Morgan</t>
  </si>
  <si>
    <t>Is this a new building, an expansion of an existing building or a gut rehab with new load?*</t>
  </si>
  <si>
    <t>Positive Displacement Water-Cooled Chiller (&lt;75 tons)</t>
  </si>
  <si>
    <t>Positive Displacement Water-Cooled Chiller (75-149 tons)</t>
  </si>
  <si>
    <t>Positive Displacement Water-Cooled Chiller (150-299 tons)</t>
  </si>
  <si>
    <t>New Load - LPD-Exempt Baseline</t>
  </si>
  <si>
    <t>LPD Measure Number</t>
  </si>
  <si>
    <t>LPDEX Measure Number</t>
  </si>
  <si>
    <t>Energy Code Baseline*</t>
  </si>
  <si>
    <t>Payback Too Fast</t>
  </si>
  <si>
    <r>
      <t xml:space="preserve">Added </t>
    </r>
    <r>
      <rPr>
        <strike/>
        <sz val="8"/>
        <color theme="1"/>
        <rFont val="Century Gothic"/>
        <family val="2"/>
      </rPr>
      <t>standard</t>
    </r>
    <r>
      <rPr>
        <sz val="8"/>
        <color theme="1"/>
        <rFont val="Century Gothic"/>
        <family val="2"/>
      </rPr>
      <t xml:space="preserve"> custom LPD measures and collection of relevant site information for LPD measures
Added custom watts reduced measure for new constuction, non-IECC baseline measure
Adjusted linear fluorescent incentives
Added new water-cooled chiller measures
Split thermostat standard incentive into ones for less than and greater than 4 tons
Adjusted CB data for 2022
Updated operating hours calculator for 2022 holiday dates
Restored full T&amp;Cs to application
Personnel changes to IS, BD, and Engr dropdown lists
Removed NC information link from Start Pages
Added default New Contruction rate class
Removed SBE from Diversity List
Updated Measure List and Guideline links</t>
    </r>
  </si>
  <si>
    <t>LIGHTING MEASURES New Load - Provisional Measure</t>
  </si>
  <si>
    <t>NC Provisional Measure</t>
  </si>
  <si>
    <t>Please Complete Initial Information Entry</t>
  </si>
  <si>
    <t>Submit Project Information</t>
  </si>
  <si>
    <t>Provisional Measure</t>
  </si>
  <si>
    <t>Provisional Efficiency</t>
  </si>
  <si>
    <t>Provisional Inc.</t>
  </si>
  <si>
    <t>Provisional kW</t>
  </si>
  <si>
    <t>Provisional kWh</t>
  </si>
  <si>
    <t>Actual W</t>
  </si>
  <si>
    <t>Provisional Active</t>
  </si>
  <si>
    <t>Matt Farwig</t>
  </si>
  <si>
    <t>Joan Fedak</t>
  </si>
  <si>
    <t>7.0.0</t>
  </si>
  <si>
    <t>Finalized NC features in application with addition of Provisional Measure
Additions and tweaks to personnel lists</t>
  </si>
  <si>
    <t>7.1.0</t>
  </si>
  <si>
    <t>M02S04</t>
  </si>
  <si>
    <t>PO Box Permitted</t>
  </si>
  <si>
    <t>Interior Linear-LED or Redesign</t>
  </si>
  <si>
    <t>Efficient Model (Plan Type)</t>
  </si>
  <si>
    <t>Is the Survey Contact the same as the Technical Contact?</t>
  </si>
  <si>
    <t>M02S05F01</t>
  </si>
  <si>
    <t>Updated Terms and Conditions
Updated language for pre-approval on TC page. Added note for estimated completion date after 1/1/23
Added note that’s PO Boxes are not permitted for incentive payments greater than $50,000
Revised Lighting Sections for elimination of Fast Track lighting measures
    Ensure that checkboxes showing measure entry are rearranged for the new Lighitng arrangement
Assigned Cooling End Use to Standard ASHP measures
Allowed generation of incentive for all custom measure of "Other" type on each tab by assigning default EULs and End Uses. Added a note that these are subject to review and change
Updated link to Standard Measure List to new list omitting Fast Track Lighting
Reduced font size in New Load Equopment Model Information fields to capture relevant information
Added autopopulate option for Survey Contact based on Technical Contact</t>
  </si>
  <si>
    <t>7.1.1</t>
  </si>
  <si>
    <t xml:space="preserve">Corrected Error in Standard Incandescent Lighting Status </t>
  </si>
  <si>
    <t>7.1.2</t>
  </si>
  <si>
    <t>Corrected error created with pre-approval lighting interaction with old Bonus calcualions</t>
  </si>
  <si>
    <t>7.1.3</t>
  </si>
  <si>
    <t>Corrected measure type for New Load measures to "Custom" in the Export file</t>
  </si>
  <si>
    <t>7.2.0</t>
  </si>
  <si>
    <t>Updated incentive rates to Sept. 2022 values</t>
  </si>
  <si>
    <t>7.2.1</t>
  </si>
  <si>
    <t>Corrected terms on offer page for 2022
Added language to HVAC measures to use lower rated cooling capacity</t>
  </si>
  <si>
    <t>7.3.0</t>
  </si>
  <si>
    <t>Nicole</t>
  </si>
  <si>
    <t>Nicole Baumgarten</t>
  </si>
  <si>
    <t>• Payee Company's W-9</t>
  </si>
  <si>
    <t>Updated 12/2022</t>
  </si>
  <si>
    <t>Updated for 2023 rates
Restored Fast Track lighting
   Rearranged checkboxes for new lighting arrangement
Removed note regarding changing incentives in 2023 on TC page
Updated CB data for 2023- new avoided cost data received from Ameren
Updated holidays for 2023 in op hours calculator
Updated Terms for 2023
Fixed autofill of Contacts last names</t>
  </si>
  <si>
    <t>a) If the Customer does not complete the installation of the measures and submit all the required completion paperwork within 12 months from the date the incentive offer was signed by the applicant, or by December 31st, 2023 (whichever is soonest), Ameren Missouri may cancel this Application without liability of any kind. c) A Customer who fails to advise Ameren Missouri that a project is complete, or who fails to provide required post-installation documentation as described elsewhere in the Terms and Conditions within 180 days of project installation or by December 31st, 2023 may be denied incentive payment. Accepting this offer acknowledges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cycle cap. Total incentives across all programs shall be capped at $5,000,000 per customer per this cycle extending from March 1, 2019 through December 31, 2023.</t>
  </si>
  <si>
    <t>7.3.1</t>
  </si>
  <si>
    <t>Grow Cond.</t>
  </si>
  <si>
    <t>Updated text of terms at bottom of offer page
Added Indoor Ag Conditioning Process End Use and incentive rate to custom HVAC
Updated rate list and guideline links</t>
  </si>
  <si>
    <t>7.3.2</t>
  </si>
  <si>
    <t>Updated CBDATA to correct values
Updated expiration date</t>
  </si>
  <si>
    <t>7.3.3</t>
  </si>
  <si>
    <t>Made IECC 2012 lowest LPD baseline that can be selected</t>
  </si>
  <si>
    <t>7.3.4</t>
  </si>
  <si>
    <t>Changed baseline adjustment factors for Incadescent and Halogen lighting to 0.24 and 0.34, respectively
Removed Incandescent Exit Signs</t>
  </si>
  <si>
    <t>7.4.0</t>
  </si>
  <si>
    <t>Updated lighting and HVAC rates for August 2023 incentive increase</t>
  </si>
  <si>
    <t>Exit Signs</t>
  </si>
  <si>
    <t>7.4.1</t>
  </si>
  <si>
    <t>GSL lamps incentives removed from standard measure</t>
  </si>
  <si>
    <t>Positive Displacement Water-Cooled Chiller (&gt;=600 tons)</t>
  </si>
  <si>
    <t>Positive Displacement Water-Cooled Chiller (300- 599 tons)</t>
  </si>
  <si>
    <t>Centrifugal Water-Cooled Chiller (300-399 tons)</t>
  </si>
  <si>
    <t>Centrifugal Water-Cooled Chiller (&gt;400 tons)</t>
  </si>
  <si>
    <t>DX System Baseline SEER 14.0</t>
  </si>
  <si>
    <t>DX System Baseline IEER 12.6</t>
  </si>
  <si>
    <t>DX System Baseline IEER 12.2</t>
  </si>
  <si>
    <t>DX System Baseline IEER 11.4</t>
  </si>
  <si>
    <t>ASHP Baseline SEER 14.0</t>
  </si>
  <si>
    <t>ASHP Baseline IEER 11.8</t>
  </si>
  <si>
    <t>ASHP Baseline IEER 11.4</t>
  </si>
  <si>
    <t>ASHP Baseline IEER 9.4</t>
  </si>
  <si>
    <t>Chiller Baseline 0.876 kW/ton</t>
  </si>
  <si>
    <t>Chiller Baseline 0.857 kW/ton</t>
  </si>
  <si>
    <t>Chiller Baseline 0.56 kW/ton</t>
  </si>
  <si>
    <t>Chiller Baseline 0.52 kW/ton</t>
  </si>
  <si>
    <t>Chiller Baseline 0.50 kW/ton</t>
  </si>
  <si>
    <t>Net Cooling Capacity</t>
  </si>
  <si>
    <t>VFD Air Compressor 5-49 HP</t>
  </si>
  <si>
    <t>VFD Air Compressor 50-200 HP</t>
  </si>
  <si>
    <t>Danielle Sitton</t>
  </si>
  <si>
    <t>Rick</t>
  </si>
  <si>
    <t>Perry</t>
  </si>
  <si>
    <t>Joan</t>
  </si>
  <si>
    <t>Chris</t>
  </si>
  <si>
    <t>Danielle</t>
  </si>
  <si>
    <t>VFD Compressor Replacing Modulating Compressor with Blowdown 5-49 HP</t>
  </si>
  <si>
    <t>VFD Compressor Replacing Modulating Compressor with Blowdown 50-200 HP</t>
  </si>
  <si>
    <t>Air Leak</t>
  </si>
  <si>
    <t>Air Leak Repair</t>
  </si>
  <si>
    <t>CFM</t>
  </si>
  <si>
    <t>Air Leak Repair (Reciprocating Compressor</t>
  </si>
  <si>
    <t>Air Leak Repair (Scew Compressor with Inlet Modulation</t>
  </si>
  <si>
    <t>Air Leak Repair (Screw Compressor - All Other Control Methods)</t>
  </si>
  <si>
    <t>Air Leak Repair (Repciprocating Compressor)</t>
  </si>
  <si>
    <t>Air Leak Repair (Screw Compressor with Inlet Modulation)</t>
  </si>
  <si>
    <t>Air Leak Repair (Scew Compressor - All Other Control Methods)</t>
  </si>
  <si>
    <t>Compressed Air Leak</t>
  </si>
  <si>
    <t>Kathy Ball</t>
  </si>
  <si>
    <t>Lauren Curran</t>
  </si>
  <si>
    <t>T5 HO - 3 ft - 1 Lamp</t>
  </si>
  <si>
    <t>T5 HO - 3 ft - 2 Lamp</t>
  </si>
  <si>
    <t>T5 - 3 ft - 2 Lamp - 39W - HO</t>
  </si>
  <si>
    <t>T5 - 3 ft - 1 Lamp - 39W - HO</t>
  </si>
  <si>
    <r>
      <t xml:space="preserve">I have read, understand, and agree to the </t>
    </r>
    <r>
      <rPr>
        <sz val="11"/>
        <rFont val="Arial"/>
        <family val="2"/>
      </rPr>
      <t>Ameren Missouri BizSavers Terms and Conditions</t>
    </r>
  </si>
  <si>
    <t>Indigenous Peoples' Day</t>
  </si>
  <si>
    <t>Centrifugal Water-Cooled Chiller (&lt;150 tons)</t>
  </si>
  <si>
    <t>Centrifugal Water-Cooled Chiller (150-299 tons)</t>
  </si>
  <si>
    <t>CFL/ Incandescent</t>
  </si>
  <si>
    <t>Exit Sign CFL/ Incandescent</t>
  </si>
  <si>
    <t>HVAC Flier</t>
  </si>
  <si>
    <t>Step 2:  
Select the 2024 holidays that the site will be closed or the measure will be turned off.</t>
  </si>
  <si>
    <t>8.0.0</t>
  </si>
  <si>
    <t>Changed bounds for wattages of Exit Signs
Changed HID incentive rates
Changed Linear Lighting incentive rates
Updated Standard HVAC baselines and rates
Some capacity ranges changed
	Reciprocating Water-cooled chiller removed
Relabeled Cooling Capacity Column as Net Cooling Capacity
Updated Standard VFD incentive rates
Updated Modulating Compressor to VFD size ranges and rates
Added Air Leak Measues
Updated CB Data for 2024
Updated Hour Calculator with 2024 Holiday Dates
Updated staff in dropdown lists
Updated Program Update box
Changed Summary Box Header Color
Fixed Building Type to use normal Captures List
Updated Terms and Condiutions for 2024
Added T5 HO 39W to list
Added additional &lt;300 ton centrifugal chiller measure
Changed efficiency labeling for chillers to IPLV
Changed pop up note for New Load Lighting to include IECC 2015
Combined Exit Signs into one CFL/ Incandescent measure. Assumed to be almost all CFLs and using CFL measure number
Corrected calculation ERROR message for some DX Units
Added updated measure numbers
Corrected year in holiday calculator
Added HVAC Flier as option in hearing about
Expiration Date 4/15/24
Updated links images and destinations for Standard and Custom measure list PDFs</t>
  </si>
  <si>
    <t>8.0.1</t>
  </si>
  <si>
    <t>Updated language and hint boxes for Air Leak measures for clarity
Corrected custom lighting incentive rate</t>
  </si>
  <si>
    <t>8.0.2</t>
  </si>
  <si>
    <t>Andrew Veile</t>
  </si>
  <si>
    <t>Updated Building Type list for Site Information to correctly calculatre preliminary NC measure
Corrected BD name list
Corrected typo in compressor measure number</t>
  </si>
  <si>
    <r>
      <t>Square Footage</t>
    </r>
    <r>
      <rPr>
        <sz val="11"/>
        <color rgb="FFFF0000"/>
        <rFont val="Arial"/>
        <family val="2"/>
      </rPr>
      <t>*</t>
    </r>
  </si>
  <si>
    <t>IECC 2021</t>
  </si>
  <si>
    <t>DX System Baseline SEER2 13.4</t>
  </si>
  <si>
    <t>DX System Baseline SEER2 12.4</t>
  </si>
  <si>
    <t>Packaged System DX &lt;65 kBTU (&lt;5.4 tons) (SEER)</t>
  </si>
  <si>
    <t>Packaged System DX &lt;65 kBTU (&lt;5.4 tons) (SEER2)</t>
  </si>
  <si>
    <t>Split System DX &lt;65 kBTU (&lt;5.4 tons) (SEER)</t>
  </si>
  <si>
    <t>Split System DX &lt;65 kBTU (&lt;5.4 tons) (SEER2)</t>
  </si>
  <si>
    <t>=INDEX(PMEHVACEFFMIN,MATCH(C24,PMEHVACMEAS,0))</t>
  </si>
  <si>
    <t>Air-Source Heat Pump &lt;65 kBTU (&lt;5.4 tons) (SEER)</t>
  </si>
  <si>
    <t>Air-Source Heat Pump &lt;65 kBTU (&lt;5.4 tons) (SEER2)</t>
  </si>
  <si>
    <t>ASHP Baseline SEER2 13.4</t>
  </si>
  <si>
    <t>8.1.0</t>
  </si>
  <si>
    <t>Custom and Standard v8.1.0</t>
  </si>
  <si>
    <t>Zach</t>
  </si>
  <si>
    <t>Made square footage required field on Site Information
Fixed NC Provisional measure incentive calculation
Added note to submit for review for prescriptive HVAC with NC active
Require all fields entered for all measures to display incentive
Added IECC 2021
Added options for equipment rated with SEER2
Removed Exterior 24/7 option from Custom Lighting
Updated expiration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</si>
</sst>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 &quot;W&quot;"/>
    <numFmt numFmtId="174" formatCode="####\ &quot;W&quot;"/>
    <numFmt numFmtId="175" formatCode="[&lt;=9999999]###\-####;\(###\)\ ###\-####"/>
    <numFmt numFmtId="176" formatCode="0.0000"/>
    <numFmt numFmtId="177" formatCode="#,##0.0000"/>
    <numFmt numFmtId="178" formatCode="0.0000000000"/>
    <numFmt numFmtId="179" formatCode="_(* #,##0_);_(* \(#,##0\);_(* &quot;-&quot;??_);_(@_)"/>
    <numFmt numFmtId="180" formatCode="&quot;$&quot;#,##0.0000"/>
    <numFmt numFmtId="181" formatCode="0.0"/>
    <numFmt numFmtId="182" formatCode="##\ &quot;ft&quot;"/>
    <numFmt numFmtId="183" formatCode="m/d/yyyy;@"/>
    <numFmt numFmtId="184" formatCode="#,###\ &quot;W&quot;"/>
    <numFmt numFmtId="185" formatCode="&quot;$&quot;#,##0.00&quot; /W&quot;"/>
    <numFmt numFmtId="186" formatCode="&quot;powering&quot;\ #,##0.0"/>
    <numFmt numFmtId="187" formatCode="#0.0\ \k"/>
    <numFmt numFmtId="188" formatCode="0.00&quot; years&quot;"/>
    <numFmt numFmtId="189" formatCode="0.0%"/>
    <numFmt numFmtId="190" formatCode="0.00\ &quot;HP&quot;"/>
  </numFmts>
  <fonts count="18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sz val="10"/>
      <name val="Calibri Light"/>
      <family val="2"/>
    </font>
    <font>
      <b/>
      <sz val="11"/>
      <color theme="1"/>
      <name val="Calibri"/>
      <family val="2"/>
      <scheme val="minor"/>
    </font>
    <font>
      <sz val="11"/>
      <color theme="1"/>
      <name val="Calibri"/>
      <family val="2"/>
    </font>
    <font>
      <b/>
      <sz val="11"/>
      <color rgb="FFFF0000"/>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1"/>
      <name val="Calibri"/>
      <family val="2"/>
      <scheme val="minor"/>
    </font>
    <font>
      <b/>
      <sz val="10"/>
      <name val="Arial"/>
      <family val="2"/>
    </font>
    <font>
      <sz val="11"/>
      <color rgb="FFFF0000"/>
      <name val="Calibri"/>
      <family val="2"/>
      <scheme val="minor"/>
    </font>
    <font>
      <i/>
      <sz val="10"/>
      <color theme="1"/>
      <name val="Arial"/>
      <family val="2"/>
    </font>
    <font>
      <b/>
      <sz val="11"/>
      <name val="Arial"/>
      <family val="2"/>
    </font>
    <font>
      <b/>
      <sz val="18"/>
      <name val="Arial"/>
      <family val="2"/>
    </font>
    <font>
      <b/>
      <sz val="11"/>
      <color rgb="FFFF0000"/>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u/>
      <sz val="11"/>
      <color theme="10"/>
      <name val="Arial"/>
      <family val="2"/>
    </font>
    <font>
      <sz val="11"/>
      <color rgb="FF1B6CB5"/>
      <name val="Arial"/>
      <family val="2"/>
    </font>
    <font>
      <b/>
      <sz val="14"/>
      <name val="Arial"/>
      <family val="2"/>
    </font>
    <font>
      <sz val="8"/>
      <color rgb="FFFF0000"/>
      <name val="Arial"/>
      <family val="2"/>
    </font>
    <font>
      <b/>
      <i/>
      <sz val="14"/>
      <color theme="1"/>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1"/>
      <color theme="1"/>
      <name val="Calibri"/>
      <family val="2"/>
      <scheme val="minor"/>
    </font>
    <font>
      <sz val="11"/>
      <color theme="1"/>
      <name val="Calibri"/>
      <family val="2"/>
      <scheme val="minor"/>
    </font>
    <font>
      <sz val="10"/>
      <color theme="0" tint="-0.34998626667073579"/>
      <name val="Calibri Light"/>
      <family val="2"/>
    </font>
    <font>
      <b/>
      <sz val="12"/>
      <color theme="1"/>
      <name val="Arial"/>
      <family val="2"/>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sz val="13"/>
      <color rgb="FF0000FF"/>
      <name val="Arial"/>
      <family val="2"/>
    </font>
    <font>
      <b/>
      <sz val="11"/>
      <color theme="1"/>
      <name val="Calibri"/>
      <family val="2"/>
      <scheme val="minor"/>
    </font>
    <font>
      <b/>
      <sz val="20"/>
      <color theme="1"/>
      <name val="Arial"/>
      <family val="2"/>
    </font>
    <font>
      <b/>
      <sz val="11"/>
      <color theme="0"/>
      <name val="Calibri"/>
      <family val="2"/>
      <scheme val="minor"/>
    </font>
    <font>
      <sz val="10"/>
      <color theme="0"/>
      <name val="Calibri Light"/>
      <family val="2"/>
    </font>
    <font>
      <b/>
      <sz val="18"/>
      <color rgb="FFFF0000"/>
      <name val="Arial"/>
      <family val="2"/>
    </font>
    <font>
      <sz val="36"/>
      <color theme="1"/>
      <name val="Arial"/>
      <family val="2"/>
    </font>
    <font>
      <sz val="12"/>
      <name val="Arial"/>
      <family val="2"/>
    </font>
    <font>
      <sz val="28"/>
      <color theme="1"/>
      <name val="Arial"/>
      <family val="2"/>
    </font>
    <font>
      <sz val="24"/>
      <color theme="1"/>
      <name val="Arial"/>
      <family val="2"/>
    </font>
    <font>
      <sz val="14"/>
      <name val="Arial"/>
      <family val="2"/>
    </font>
    <font>
      <u/>
      <sz val="24"/>
      <color theme="1"/>
      <name val="Arial"/>
      <family val="2"/>
    </font>
    <font>
      <sz val="14"/>
      <color theme="1"/>
      <name val="Wingdings 2"/>
      <family val="1"/>
      <charset val="2"/>
    </font>
    <font>
      <b/>
      <i/>
      <sz val="13"/>
      <color rgb="FFFF0000"/>
      <name val="Arial"/>
      <family val="2"/>
    </font>
    <font>
      <sz val="11"/>
      <color theme="1"/>
      <name val="Calibri"/>
      <family val="2"/>
      <scheme val="minor"/>
    </font>
    <font>
      <b/>
      <sz val="20"/>
      <color rgb="FF34B44A"/>
      <name val="Arial"/>
      <family val="2"/>
    </font>
    <font>
      <sz val="16"/>
      <name val="Arial"/>
      <family val="2"/>
    </font>
    <font>
      <vertAlign val="superscript"/>
      <sz val="14"/>
      <name val="Arial"/>
      <family val="2"/>
    </font>
    <font>
      <b/>
      <i/>
      <sz val="24"/>
      <color theme="0"/>
      <name val="Arial"/>
      <family val="2"/>
    </font>
    <font>
      <i/>
      <sz val="24"/>
      <color theme="0"/>
      <name val="Arial"/>
      <family val="2"/>
    </font>
    <font>
      <b/>
      <sz val="24"/>
      <color theme="0"/>
      <name val="Arial"/>
      <family val="2"/>
    </font>
    <font>
      <b/>
      <sz val="14"/>
      <color theme="0"/>
      <name val="Arial"/>
      <family val="2"/>
    </font>
    <font>
      <sz val="18"/>
      <name val="Arial"/>
      <family val="2"/>
    </font>
    <font>
      <sz val="13"/>
      <color theme="1"/>
      <name val="Arial"/>
      <family val="2"/>
    </font>
    <font>
      <b/>
      <vertAlign val="subscript"/>
      <sz val="18"/>
      <color theme="1"/>
      <name val="Arial"/>
      <family val="2"/>
    </font>
    <font>
      <sz val="11"/>
      <color theme="1"/>
      <name val="Wingdings 2"/>
      <family val="1"/>
      <charset val="2"/>
    </font>
    <font>
      <i/>
      <u/>
      <sz val="10"/>
      <color theme="1"/>
      <name val="Calibri Light"/>
      <family val="2"/>
    </font>
    <font>
      <sz val="10"/>
      <name val="Calibri Light"/>
      <family val="2"/>
    </font>
    <font>
      <b/>
      <sz val="10"/>
      <color theme="0"/>
      <name val="Calibri Light"/>
      <family val="2"/>
    </font>
    <font>
      <b/>
      <u/>
      <sz val="10"/>
      <name val="Calibri Light"/>
      <family val="2"/>
    </font>
    <font>
      <sz val="10"/>
      <color rgb="FFFF0000"/>
      <name val="Calibri Light"/>
      <family val="2"/>
    </font>
    <font>
      <b/>
      <sz val="20"/>
      <color theme="0"/>
      <name val="Arial"/>
      <family val="2"/>
    </font>
    <font>
      <i/>
      <u/>
      <sz val="11"/>
      <color theme="1"/>
      <name val="Calibri"/>
      <family val="2"/>
      <scheme val="minor"/>
    </font>
    <font>
      <b/>
      <sz val="12"/>
      <color theme="0"/>
      <name val="Arial"/>
      <family val="2"/>
    </font>
    <font>
      <b/>
      <sz val="24"/>
      <name val="Arial"/>
      <family val="2"/>
    </font>
    <font>
      <sz val="13"/>
      <color rgb="FFFF0000"/>
      <name val="Arial"/>
      <family val="2"/>
    </font>
    <font>
      <u/>
      <sz val="11"/>
      <color rgb="FFFF0000"/>
      <name val="Calibri"/>
      <family val="2"/>
      <scheme val="minor"/>
    </font>
    <font>
      <sz val="8"/>
      <name val="Calibri"/>
      <family val="2"/>
      <scheme val="minor"/>
    </font>
    <font>
      <i/>
      <sz val="9"/>
      <color rgb="FF222222"/>
      <name val="Arial"/>
      <family val="2"/>
    </font>
    <font>
      <sz val="12"/>
      <color rgb="FF222222"/>
      <name val="Arial"/>
      <family val="2"/>
    </font>
    <font>
      <u/>
      <sz val="12"/>
      <color rgb="FF1B6CB5"/>
      <name val="Arial"/>
      <family val="2"/>
    </font>
    <font>
      <b/>
      <sz val="12"/>
      <color theme="9" tint="-0.249977111117893"/>
      <name val="Arial"/>
      <family val="2"/>
    </font>
    <font>
      <b/>
      <sz val="10"/>
      <color theme="9" tint="-0.249977111117893"/>
      <name val="Arial"/>
      <family val="2"/>
    </font>
    <font>
      <b/>
      <sz val="12"/>
      <color rgb="FF439639"/>
      <name val="Arial"/>
      <family val="2"/>
    </font>
    <font>
      <b/>
      <sz val="12"/>
      <name val="Arial"/>
      <family val="2"/>
    </font>
    <font>
      <i/>
      <sz val="16"/>
      <color theme="0"/>
      <name val="Arial"/>
      <family val="2"/>
    </font>
    <font>
      <i/>
      <sz val="14"/>
      <color theme="0"/>
      <name val="Arial"/>
      <family val="2"/>
    </font>
    <font>
      <b/>
      <i/>
      <sz val="16"/>
      <color theme="1"/>
      <name val="Arial"/>
      <family val="2"/>
    </font>
    <font>
      <strike/>
      <sz val="10"/>
      <name val="Calibri Light"/>
      <family val="2"/>
    </font>
    <font>
      <strike/>
      <sz val="8"/>
      <color theme="1"/>
      <name val="Century Gothic"/>
      <family val="2"/>
    </font>
    <font>
      <sz val="9"/>
      <color theme="1"/>
      <name val="Calibri"/>
      <family val="2"/>
      <scheme val="minor"/>
    </font>
    <font>
      <b/>
      <sz val="9"/>
      <color theme="1"/>
      <name val="Calibri"/>
      <family val="2"/>
      <scheme val="minor"/>
    </font>
    <font>
      <b/>
      <i/>
      <sz val="9"/>
      <color theme="1"/>
      <name val="Calibri"/>
      <family val="2"/>
      <scheme val="minor"/>
    </font>
    <font>
      <sz val="11"/>
      <color rgb="FF000000"/>
      <name val="Arial"/>
      <family val="2"/>
    </font>
    <font>
      <b/>
      <sz val="11"/>
      <color rgb="FFC00000"/>
      <name val="Arial"/>
      <family val="2"/>
    </font>
    <font>
      <b/>
      <sz val="11"/>
      <color rgb="FFC61D10"/>
      <name val="Arial"/>
      <family val="2"/>
    </font>
    <font>
      <i/>
      <sz val="11"/>
      <color rgb="FFFF0000"/>
      <name val="Arial"/>
      <family val="2"/>
    </font>
    <font>
      <strike/>
      <sz val="11"/>
      <color rgb="FFFF0000"/>
      <name val="Calibri"/>
      <family val="2"/>
      <scheme val="minor"/>
    </font>
    <font>
      <sz val="11"/>
      <color theme="1"/>
      <name val="Calibri"/>
      <family val="2"/>
      <scheme val="minor"/>
    </font>
  </fonts>
  <fills count="48">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
      <patternFill patternType="solid">
        <fgColor theme="0" tint="-0.149967955565050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439639"/>
        <bgColor indexed="64"/>
      </patternFill>
    </fill>
    <fill>
      <gradientFill>
        <stop position="0">
          <color rgb="FF72CDF4"/>
        </stop>
        <stop position="1">
          <color rgb="FF12A3E4"/>
        </stop>
      </gradientFill>
    </fill>
    <fill>
      <patternFill patternType="solid">
        <fgColor rgb="FFFFFF00"/>
        <bgColor auto="1"/>
      </patternFill>
    </fill>
    <fill>
      <patternFill patternType="solid">
        <fgColor rgb="FF72CDF4"/>
        <bgColor auto="1"/>
      </patternFill>
    </fill>
    <fill>
      <patternFill patternType="solid">
        <fgColor theme="9"/>
        <bgColor theme="9"/>
      </patternFill>
    </fill>
    <fill>
      <patternFill patternType="solid">
        <fgColor theme="4" tint="0.79998168889431442"/>
        <bgColor indexed="64"/>
      </patternFill>
    </fill>
    <fill>
      <patternFill patternType="solid">
        <fgColor theme="9" tint="0.79998168889431442"/>
        <bgColor indexed="64"/>
      </patternFill>
    </fill>
    <fill>
      <gradientFill degree="90">
        <stop position="0">
          <color theme="9" tint="-0.25098422193060094"/>
        </stop>
        <stop position="1">
          <color theme="9" tint="0.40000610370189521"/>
        </stop>
      </gradientFill>
    </fill>
  </fills>
  <borders count="30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right/>
      <top style="thin">
        <color indexed="64"/>
      </top>
      <bottom/>
      <diagonal/>
    </border>
    <border>
      <left/>
      <right/>
      <top/>
      <bottom style="thin">
        <color indexed="64"/>
      </bottom>
      <diagonal/>
    </border>
    <border>
      <left/>
      <right/>
      <top/>
      <bottom style="medium">
        <color theme="0" tint="-0.34998626667073579"/>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tint="-0.34998626667073579"/>
      </left>
      <right style="thin">
        <color auto="1"/>
      </right>
      <top/>
      <bottom style="thin">
        <color theme="0" tint="-0.34998626667073579"/>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top style="thin">
        <color theme="0" tint="-0.34998626667073579"/>
      </top>
      <bottom/>
      <diagonal/>
    </border>
    <border>
      <left style="thin">
        <color rgb="FF17375E"/>
      </left>
      <right/>
      <top style="thin">
        <color rgb="FF17375E"/>
      </top>
      <bottom/>
      <diagonal/>
    </border>
    <border>
      <left/>
      <right/>
      <top style="thin">
        <color rgb="FF17375E"/>
      </top>
      <bottom/>
      <diagonal/>
    </border>
    <border>
      <left/>
      <right style="thin">
        <color rgb="FF17375E"/>
      </right>
      <top style="thin">
        <color rgb="FF17375E"/>
      </top>
      <bottom/>
      <diagonal/>
    </border>
    <border>
      <left style="thin">
        <color rgb="FF17375E"/>
      </left>
      <right/>
      <top/>
      <bottom style="thin">
        <color rgb="FF17375E"/>
      </bottom>
      <diagonal/>
    </border>
    <border>
      <left/>
      <right/>
      <top/>
      <bottom style="thin">
        <color rgb="FF17375E"/>
      </bottom>
      <diagonal/>
    </border>
    <border>
      <left/>
      <right style="thin">
        <color rgb="FF17375E"/>
      </right>
      <top/>
      <bottom style="thin">
        <color rgb="FF17375E"/>
      </bottom>
      <diagonal/>
    </border>
    <border>
      <left style="thin">
        <color theme="0" tint="-0.34998626667073579"/>
      </left>
      <right style="thin">
        <color theme="0" tint="-0.34998626667073579"/>
      </right>
      <top style="thin">
        <color theme="0" tint="-0.34998626667073579"/>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indexed="64"/>
      </top>
      <bottom style="thin">
        <color indexed="64"/>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right/>
      <top style="thin">
        <color theme="0" tint="-0.34998626667073579"/>
      </top>
      <bottom style="thin">
        <color theme="0" tint="-0.34998626667073579"/>
      </bottom>
      <diagonal/>
    </border>
    <border>
      <left/>
      <right style="thin">
        <color theme="4" tint="0.39997558519241921"/>
      </right>
      <top style="thin">
        <color theme="4" tint="0.39997558519241921"/>
      </top>
      <bottom style="thin">
        <color theme="4" tint="0.39997558519241921"/>
      </bottom>
      <diagonal/>
    </border>
    <border>
      <left/>
      <right/>
      <top style="medium">
        <color rgb="FF0D509D"/>
      </top>
      <bottom/>
      <diagonal/>
    </border>
    <border>
      <left/>
      <right/>
      <top/>
      <bottom style="thin">
        <color rgb="FFA7A6A7"/>
      </bottom>
      <diagonal/>
    </border>
    <border>
      <left/>
      <right/>
      <top style="thin">
        <color rgb="FFA7A6A7"/>
      </top>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indexed="64"/>
      </top>
      <bottom style="thin">
        <color theme="1"/>
      </bottom>
      <diagonal/>
    </border>
    <border>
      <left/>
      <right style="thin">
        <color theme="1"/>
      </right>
      <top style="medium">
        <color indexed="64"/>
      </top>
      <bottom style="thin">
        <color theme="1"/>
      </bottom>
      <diagonal/>
    </border>
    <border>
      <left style="thin">
        <color theme="1"/>
      </left>
      <right style="thin">
        <color theme="0" tint="-0.34998626667073579"/>
      </right>
      <top style="medium">
        <color indexed="64"/>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0" tint="-0.34998626667073579"/>
      </right>
      <top style="medium">
        <color theme="3" tint="-0.24994659260841701"/>
      </top>
      <bottom/>
      <diagonal/>
    </border>
    <border>
      <left style="medium">
        <color theme="3" tint="-0.24994659260841701"/>
      </left>
      <right/>
      <top/>
      <bottom/>
      <diagonal/>
    </border>
    <border>
      <left style="medium">
        <color theme="3" tint="-0.24994659260841701"/>
      </left>
      <right/>
      <top/>
      <bottom style="medium">
        <color theme="0" tint="-0.34998626667073579"/>
      </bottom>
      <diagonal/>
    </border>
    <border>
      <left style="thin">
        <color theme="1"/>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style="thin">
        <color theme="0" tint="-0.34998626667073579"/>
      </left>
      <right style="thin">
        <color theme="0" tint="-0.34998626667073579"/>
      </right>
      <top style="medium">
        <color indexed="64"/>
      </top>
      <bottom/>
      <diagonal/>
    </border>
    <border>
      <left style="thin">
        <color theme="1"/>
      </left>
      <right style="thin">
        <color theme="0" tint="-0.34998626667073579"/>
      </right>
      <top/>
      <bottom style="thin">
        <color theme="0" tint="-0.34998626667073579"/>
      </bottom>
      <diagonal/>
    </border>
    <border>
      <left style="thin">
        <color theme="1"/>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theme="1"/>
      </right>
      <top/>
      <bottom style="medium">
        <color indexed="64"/>
      </bottom>
      <diagonal/>
    </border>
    <border>
      <left style="thin">
        <color theme="1"/>
      </left>
      <right style="thin">
        <color theme="0" tint="-0.34998626667073579"/>
      </right>
      <top style="thin">
        <color theme="0" tint="-0.34998626667073579"/>
      </top>
      <bottom/>
      <diagonal/>
    </border>
    <border>
      <left style="thin">
        <color theme="0" tint="-0.34998626667073579"/>
      </left>
      <right style="thin">
        <color theme="1"/>
      </right>
      <top style="thin">
        <color theme="0" tint="-0.34998626667073579"/>
      </top>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ck">
        <color rgb="FF17375E"/>
      </left>
      <right/>
      <top style="thick">
        <color rgb="FF17375E"/>
      </top>
      <bottom/>
      <diagonal/>
    </border>
    <border>
      <left/>
      <right/>
      <top style="thick">
        <color rgb="FF17375E"/>
      </top>
      <bottom/>
      <diagonal/>
    </border>
    <border>
      <left/>
      <right style="thick">
        <color rgb="FF17375E"/>
      </right>
      <top style="thick">
        <color rgb="FF17375E"/>
      </top>
      <bottom/>
      <diagonal/>
    </border>
    <border>
      <left style="thick">
        <color rgb="FF17375E"/>
      </left>
      <right/>
      <top/>
      <bottom/>
      <diagonal/>
    </border>
    <border>
      <left/>
      <right style="thick">
        <color rgb="FF17375E"/>
      </right>
      <top/>
      <bottom style="medium">
        <color indexed="64"/>
      </bottom>
      <diagonal/>
    </border>
    <border>
      <left/>
      <right style="thick">
        <color rgb="FF17375E"/>
      </right>
      <top style="medium">
        <color indexed="64"/>
      </top>
      <bottom/>
      <diagonal/>
    </border>
    <border>
      <left/>
      <right style="thick">
        <color rgb="FF17375E"/>
      </right>
      <top/>
      <bottom/>
      <diagonal/>
    </border>
    <border>
      <left style="thick">
        <color rgb="FF17375E"/>
      </left>
      <right/>
      <top/>
      <bottom style="thick">
        <color rgb="FF17375E"/>
      </bottom>
      <diagonal/>
    </border>
    <border>
      <left/>
      <right/>
      <top/>
      <bottom style="thick">
        <color rgb="FF17375E"/>
      </bottom>
      <diagonal/>
    </border>
    <border>
      <left/>
      <right style="thick">
        <color rgb="FF17375E"/>
      </right>
      <top/>
      <bottom style="thick">
        <color rgb="FF17375E"/>
      </bottom>
      <diagonal/>
    </border>
    <border>
      <left style="thick">
        <color rgb="FF17375E"/>
      </left>
      <right/>
      <top style="medium">
        <color theme="1"/>
      </top>
      <bottom/>
      <diagonal/>
    </border>
    <border>
      <left/>
      <right/>
      <top style="medium">
        <color theme="1"/>
      </top>
      <bottom/>
      <diagonal/>
    </border>
    <border>
      <left style="thick">
        <color rgb="FF17375E"/>
      </left>
      <right/>
      <top/>
      <bottom style="medium">
        <color theme="1"/>
      </bottom>
      <diagonal/>
    </border>
    <border>
      <left/>
      <right/>
      <top/>
      <bottom style="medium">
        <color theme="1"/>
      </bottom>
      <diagonal/>
    </border>
    <border>
      <left style="thick">
        <color rgb="FF17375E"/>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diagonal/>
    </border>
    <border>
      <left style="thin">
        <color theme="0" tint="-0.34998626667073579"/>
      </left>
      <right style="thin">
        <color theme="0" tint="-0.34998626667073579"/>
      </right>
      <top style="medium">
        <color theme="1"/>
      </top>
      <bottom style="thin">
        <color theme="0" tint="-0.34998626667073579"/>
      </bottom>
      <diagonal/>
    </border>
    <border>
      <left style="thick">
        <color rgb="FF17375E"/>
      </left>
      <right style="thin">
        <color theme="0" tint="-0.34998626667073579"/>
      </right>
      <top/>
      <bottom style="thin">
        <color theme="0" tint="-0.34998626667073579"/>
      </bottom>
      <diagonal/>
    </border>
    <border>
      <left style="thin">
        <color theme="0" tint="-0.34998626667073579"/>
      </left>
      <right style="thick">
        <color rgb="FF17375E"/>
      </right>
      <top style="medium">
        <color indexed="64"/>
      </top>
      <bottom/>
      <diagonal/>
    </border>
    <border>
      <left style="thin">
        <color theme="0" tint="-0.34998626667073579"/>
      </left>
      <right style="thick">
        <color rgb="FF17375E"/>
      </right>
      <top/>
      <bottom style="thin">
        <color theme="0" tint="-0.34998626667073579"/>
      </bottom>
      <diagonal/>
    </border>
    <border>
      <left/>
      <right style="thin">
        <color theme="0" tint="-0.34998626667073579"/>
      </right>
      <top style="medium">
        <color theme="1"/>
      </top>
      <bottom/>
      <diagonal/>
    </border>
    <border>
      <left style="thick">
        <color rgb="FF17375E"/>
      </left>
      <right/>
      <top/>
      <bottom style="thin">
        <color theme="0" tint="-0.34998626667073579"/>
      </bottom>
      <diagonal/>
    </border>
    <border>
      <left style="thin">
        <color theme="0" tint="-0.34998626667073579"/>
      </left>
      <right/>
      <top/>
      <bottom style="thick">
        <color rgb="FF17375E"/>
      </bottom>
      <diagonal/>
    </border>
    <border>
      <left/>
      <right style="thin">
        <color theme="0" tint="-0.34998626667073579"/>
      </right>
      <top/>
      <bottom style="thick">
        <color rgb="FF17375E"/>
      </bottom>
      <diagonal/>
    </border>
    <border>
      <left style="thick">
        <color rgb="FFC61D10"/>
      </left>
      <right/>
      <top style="thick">
        <color rgb="FFC61D10"/>
      </top>
      <bottom/>
      <diagonal/>
    </border>
    <border>
      <left/>
      <right/>
      <top style="thick">
        <color rgb="FFC61D10"/>
      </top>
      <bottom/>
      <diagonal/>
    </border>
    <border>
      <left/>
      <right style="thick">
        <color rgb="FFC61D10"/>
      </right>
      <top style="thick">
        <color rgb="FFC61D10"/>
      </top>
      <bottom/>
      <diagonal/>
    </border>
    <border>
      <left style="thick">
        <color rgb="FFC61D10"/>
      </left>
      <right/>
      <top/>
      <bottom/>
      <diagonal/>
    </border>
    <border>
      <left/>
      <right style="thick">
        <color rgb="FFC61D10"/>
      </right>
      <top/>
      <bottom style="medium">
        <color indexed="64"/>
      </bottom>
      <diagonal/>
    </border>
    <border>
      <left style="thick">
        <color rgb="FFC61D10"/>
      </left>
      <right/>
      <top style="medium">
        <color theme="1"/>
      </top>
      <bottom/>
      <diagonal/>
    </border>
    <border>
      <left/>
      <right style="thick">
        <color rgb="FFC61D10"/>
      </right>
      <top style="medium">
        <color indexed="64"/>
      </top>
      <bottom/>
      <diagonal/>
    </border>
    <border>
      <left style="thick">
        <color rgb="FFC61D10"/>
      </left>
      <right/>
      <top/>
      <bottom style="medium">
        <color theme="1"/>
      </bottom>
      <diagonal/>
    </border>
    <border>
      <left style="thick">
        <color rgb="FFC61D10"/>
      </left>
      <right style="thin">
        <color theme="0" tint="-0.34998626667073579"/>
      </right>
      <top style="medium">
        <color theme="1"/>
      </top>
      <bottom/>
      <diagonal/>
    </border>
    <border>
      <left style="thick">
        <color rgb="FFC61D10"/>
      </left>
      <right style="thin">
        <color theme="0" tint="-0.34998626667073579"/>
      </right>
      <top/>
      <bottom style="thin">
        <color theme="0" tint="-0.34998626667073579"/>
      </bottom>
      <diagonal/>
    </border>
    <border>
      <left/>
      <right style="thick">
        <color rgb="FFC61D10"/>
      </right>
      <top/>
      <bottom/>
      <diagonal/>
    </border>
    <border>
      <left style="thick">
        <color rgb="FFC61D10"/>
      </left>
      <right/>
      <top/>
      <bottom style="thin">
        <color theme="0" tint="-0.34998626667073579"/>
      </bottom>
      <diagonal/>
    </border>
    <border>
      <left style="thick">
        <color rgb="FFC61D10"/>
      </left>
      <right/>
      <top/>
      <bottom style="thick">
        <color rgb="FFC61D10"/>
      </bottom>
      <diagonal/>
    </border>
    <border>
      <left/>
      <right/>
      <top/>
      <bottom style="thick">
        <color rgb="FFC61D10"/>
      </bottom>
      <diagonal/>
    </border>
    <border>
      <left style="thin">
        <color theme="0" tint="-0.34998626667073579"/>
      </left>
      <right/>
      <top/>
      <bottom style="thick">
        <color rgb="FFC61D10"/>
      </bottom>
      <diagonal/>
    </border>
    <border>
      <left/>
      <right style="thin">
        <color theme="0" tint="-0.34998626667073579"/>
      </right>
      <top/>
      <bottom style="thick">
        <color rgb="FFC61D10"/>
      </bottom>
      <diagonal/>
    </border>
    <border>
      <left/>
      <right style="thick">
        <color rgb="FFC61D10"/>
      </right>
      <top/>
      <bottom style="thick">
        <color rgb="FFC61D10"/>
      </bottom>
      <diagonal/>
    </border>
    <border>
      <left style="thin">
        <color theme="0" tint="-0.34998626667073579"/>
      </left>
      <right style="thick">
        <color rgb="FFC00000"/>
      </right>
      <top style="medium">
        <color indexed="64"/>
      </top>
      <bottom/>
      <diagonal/>
    </border>
    <border>
      <left style="thin">
        <color theme="0" tint="-0.34998626667073579"/>
      </left>
      <right style="thick">
        <color rgb="FFC00000"/>
      </right>
      <top/>
      <bottom style="thin">
        <color theme="0" tint="-0.34998626667073579"/>
      </bottom>
      <diagonal/>
    </border>
    <border>
      <left style="thin">
        <color theme="0" tint="-0.34998626667073579"/>
      </left>
      <right/>
      <top/>
      <bottom style="thick">
        <color theme="1"/>
      </bottom>
      <diagonal/>
    </border>
    <border>
      <left/>
      <right style="thin">
        <color theme="0" tint="-0.34998626667073579"/>
      </right>
      <top/>
      <bottom style="thick">
        <color theme="1"/>
      </bottom>
      <diagonal/>
    </border>
    <border>
      <left/>
      <right/>
      <top/>
      <bottom style="thick">
        <color theme="1"/>
      </bottom>
      <diagonal/>
    </border>
    <border>
      <left/>
      <right style="thin">
        <color auto="1"/>
      </right>
      <top/>
      <bottom style="thick">
        <color theme="1"/>
      </bottom>
      <diagonal/>
    </border>
    <border>
      <left style="thin">
        <color auto="1"/>
      </left>
      <right/>
      <top/>
      <bottom style="thick">
        <color theme="1"/>
      </bottom>
      <diagonal/>
    </border>
    <border>
      <left style="thin">
        <color theme="1"/>
      </left>
      <right/>
      <top style="thin">
        <color theme="1"/>
      </top>
      <bottom style="thick">
        <color theme="1"/>
      </bottom>
      <diagonal/>
    </border>
    <border>
      <left/>
      <right style="thin">
        <color theme="1"/>
      </right>
      <top style="thin">
        <color theme="1"/>
      </top>
      <bottom style="thick">
        <color theme="1"/>
      </bottom>
      <diagonal/>
    </border>
    <border>
      <left style="thin">
        <color theme="0" tint="-0.34998626667073579"/>
      </left>
      <right style="thin">
        <color theme="0" tint="-0.34998626667073579"/>
      </right>
      <top style="thin">
        <color theme="0" tint="-0.34998626667073579"/>
      </top>
      <bottom style="thick">
        <color theme="1"/>
      </bottom>
      <diagonal/>
    </border>
    <border>
      <left style="thin">
        <color theme="0" tint="-0.34998626667073579"/>
      </left>
      <right/>
      <top style="thin">
        <color theme="0" tint="-0.34998626667073579"/>
      </top>
      <bottom style="thick">
        <color theme="1"/>
      </bottom>
      <diagonal/>
    </border>
    <border>
      <left/>
      <right/>
      <top style="thin">
        <color theme="1"/>
      </top>
      <bottom style="thick">
        <color theme="1"/>
      </bottom>
      <diagonal/>
    </border>
    <border>
      <left style="thin">
        <color indexed="64"/>
      </left>
      <right style="thin">
        <color theme="0" tint="-0.34998626667073579"/>
      </right>
      <top style="thin">
        <color theme="0" tint="-0.34998626667073579"/>
      </top>
      <bottom style="thick">
        <color theme="1"/>
      </bottom>
      <diagonal/>
    </border>
    <border>
      <left style="thin">
        <color theme="0" tint="-0.34998626667073579"/>
      </left>
      <right style="thin">
        <color indexed="64"/>
      </right>
      <top style="thin">
        <color theme="0" tint="-0.34998626667073579"/>
      </top>
      <bottom style="thick">
        <color theme="1"/>
      </bottom>
      <diagonal/>
    </border>
    <border>
      <left/>
      <right style="thin">
        <color theme="0" tint="-0.34998626667073579"/>
      </right>
      <top style="thin">
        <color theme="0" tint="-0.34998626667073579"/>
      </top>
      <bottom style="thick">
        <color theme="1"/>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thin">
        <color theme="0" tint="-0.34998626667073579"/>
      </left>
      <right style="thin">
        <color theme="1"/>
      </right>
      <top style="medium">
        <color indexed="64"/>
      </top>
      <bottom style="thin">
        <color theme="0" tint="-0.34998626667073579"/>
      </bottom>
      <diagonal/>
    </border>
    <border>
      <left style="thin">
        <color theme="0" tint="-0.34998626667073579"/>
      </left>
      <right style="thin">
        <color theme="1"/>
      </right>
      <top style="thin">
        <color theme="0" tint="-0.34998626667073579"/>
      </top>
      <bottom style="thin">
        <color theme="0" tint="-0.34998626667073579"/>
      </bottom>
      <diagonal/>
    </border>
    <border>
      <left style="thin">
        <color theme="0" tint="-0.34998626667073579"/>
      </left>
      <right style="thin">
        <color theme="1"/>
      </right>
      <top style="thin">
        <color theme="0" tint="-0.34998626667073579"/>
      </top>
      <bottom style="medium">
        <color indexed="64"/>
      </bottom>
      <diagonal/>
    </border>
    <border>
      <left style="thin">
        <color theme="1" tint="4.9989318521683403E-2"/>
      </left>
      <right style="thin">
        <color theme="0" tint="-0.34998626667073579"/>
      </right>
      <top style="thin">
        <color theme="0" tint="-0.34998626667073579"/>
      </top>
      <bottom style="thin">
        <color theme="0" tint="-0.34998626667073579"/>
      </bottom>
      <diagonal/>
    </border>
    <border>
      <left style="thin">
        <color theme="1" tint="4.9989318521683403E-2"/>
      </left>
      <right style="thin">
        <color theme="0" tint="-0.34998626667073579"/>
      </right>
      <top style="thin">
        <color theme="0" tint="-0.34998626667073579"/>
      </top>
      <bottom style="medium">
        <color indexed="64"/>
      </bottom>
      <diagonal/>
    </border>
    <border>
      <left style="thin">
        <color theme="0" tint="-0.34998626667073579"/>
      </left>
      <right style="thin">
        <color theme="1" tint="4.9989318521683403E-2"/>
      </right>
      <top style="thin">
        <color theme="0" tint="-0.34998626667073579"/>
      </top>
      <bottom style="thin">
        <color theme="0" tint="-0.34998626667073579"/>
      </bottom>
      <diagonal/>
    </border>
    <border>
      <left style="thin">
        <color theme="0" tint="-0.34998626667073579"/>
      </left>
      <right style="thin">
        <color theme="1" tint="4.9989318521683403E-2"/>
      </right>
      <top style="thin">
        <color theme="0" tint="-0.34998626667073579"/>
      </top>
      <bottom style="medium">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thin">
        <color theme="0" tint="-0.34998626667073579"/>
      </left>
      <right style="thin">
        <color theme="0" tint="-0.34998626667073579"/>
      </right>
      <top style="thick">
        <color theme="1"/>
      </top>
      <bottom style="thin">
        <color theme="0" tint="-0.34998626667073579"/>
      </bottom>
      <diagonal/>
    </border>
    <border>
      <left style="thin">
        <color theme="0" tint="-0.34998626667073579"/>
      </left>
      <right/>
      <top style="thick">
        <color theme="1"/>
      </top>
      <bottom/>
      <diagonal/>
    </border>
    <border>
      <left/>
      <right style="thin">
        <color theme="0" tint="-0.34998626667073579"/>
      </right>
      <top style="thick">
        <color theme="1"/>
      </top>
      <bottom/>
      <diagonal/>
    </border>
    <border>
      <left/>
      <right/>
      <top style="thick">
        <color theme="1"/>
      </top>
      <bottom/>
      <diagonal/>
    </border>
    <border>
      <left/>
      <right style="thin">
        <color indexed="64"/>
      </right>
      <top style="thick">
        <color theme="1"/>
      </top>
      <bottom/>
      <diagonal/>
    </border>
    <border>
      <left style="thin">
        <color auto="1"/>
      </left>
      <right/>
      <top style="thick">
        <color theme="1"/>
      </top>
      <bottom/>
      <diagonal/>
    </border>
    <border>
      <left style="thin">
        <color indexed="64"/>
      </left>
      <right style="thin">
        <color theme="0" tint="-0.34998626667073579"/>
      </right>
      <top style="thick">
        <color theme="1"/>
      </top>
      <bottom style="thin">
        <color theme="0" tint="-0.34998626667073579"/>
      </bottom>
      <diagonal/>
    </border>
    <border>
      <left style="thin">
        <color theme="0" tint="-0.34998626667073579"/>
      </left>
      <right style="thin">
        <color auto="1"/>
      </right>
      <top style="thick">
        <color theme="1"/>
      </top>
      <bottom style="thin">
        <color theme="0" tint="-0.34998626667073579"/>
      </bottom>
      <diagonal/>
    </border>
    <border>
      <left/>
      <right style="medium">
        <color theme="0"/>
      </right>
      <top style="medium">
        <color theme="0"/>
      </top>
      <bottom/>
      <diagonal/>
    </border>
    <border>
      <left style="medium">
        <color indexed="64"/>
      </left>
      <right style="thin">
        <color theme="0" tint="-0.34998626667073579"/>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medium">
        <color theme="1"/>
      </left>
      <right style="thin">
        <color theme="0" tint="-0.34998626667073579"/>
      </right>
      <top style="medium">
        <color indexed="64"/>
      </top>
      <bottom/>
      <diagonal/>
    </border>
    <border>
      <left style="medium">
        <color theme="1"/>
      </left>
      <right style="thin">
        <color theme="0" tint="-0.34998626667073579"/>
      </right>
      <top/>
      <bottom style="thin">
        <color theme="0" tint="-0.34998626667073579"/>
      </bottom>
      <diagonal/>
    </border>
    <border>
      <left style="medium">
        <color theme="1"/>
      </left>
      <right style="thin">
        <color theme="0" tint="-0.34998626667073579"/>
      </right>
      <top style="thin">
        <color theme="0" tint="-0.34998626667073579"/>
      </top>
      <bottom/>
      <diagonal/>
    </border>
    <border>
      <left style="thin">
        <color theme="1"/>
      </left>
      <right/>
      <top style="thin">
        <color theme="0" tint="-0.34998626667073579"/>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0" tint="-0.34998626667073579"/>
      </left>
      <right/>
      <top style="thick">
        <color theme="1"/>
      </top>
      <bottom style="thin">
        <color theme="0" tint="-0.34998626667073579"/>
      </bottom>
      <diagonal/>
    </border>
    <border>
      <left/>
      <right style="thin">
        <color indexed="64"/>
      </right>
      <top style="thick">
        <color theme="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style="thin">
        <color indexed="64"/>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theme="1"/>
      </bottom>
      <diagonal/>
    </border>
    <border>
      <left style="thin">
        <color theme="0" tint="-0.34998626667073579"/>
      </left>
      <right style="thin">
        <color theme="1"/>
      </right>
      <top style="thin">
        <color theme="0" tint="-0.34998626667073579"/>
      </top>
      <bottom style="medium">
        <color theme="1"/>
      </bottom>
      <diagonal/>
    </border>
    <border>
      <left/>
      <right style="medium">
        <color theme="1" tint="0.34998626667073579"/>
      </right>
      <top/>
      <bottom/>
      <diagonal/>
    </border>
    <border>
      <left/>
      <right/>
      <top style="thin">
        <color theme="4" tint="0.39997558519241921"/>
      </top>
      <bottom/>
      <diagonal/>
    </border>
    <border>
      <left/>
      <right/>
      <top style="thin">
        <color theme="9"/>
      </top>
      <bottom/>
      <diagonal/>
    </border>
    <border>
      <left/>
      <right/>
      <top style="thin">
        <color theme="9"/>
      </top>
      <bottom style="thin">
        <color theme="9"/>
      </bottom>
      <diagonal/>
    </border>
    <border>
      <left/>
      <right style="thin">
        <color theme="1"/>
      </right>
      <top style="medium">
        <color indexed="64"/>
      </top>
      <bottom/>
      <diagonal/>
    </border>
    <border>
      <left/>
      <right style="thin">
        <color theme="1" tint="4.9989318521683403E-2"/>
      </right>
      <top style="medium">
        <color indexed="64"/>
      </top>
      <bottom/>
      <diagonal/>
    </border>
    <border>
      <left/>
      <right style="thin">
        <color theme="1" tint="4.9989318521683403E-2"/>
      </right>
      <top/>
      <bottom style="thin">
        <color theme="0" tint="-0.34998626667073579"/>
      </bottom>
      <diagonal/>
    </border>
    <border>
      <left style="thin">
        <color theme="1" tint="4.9989318521683403E-2"/>
      </left>
      <right/>
      <top style="medium">
        <color indexed="64"/>
      </top>
      <bottom/>
      <diagonal/>
    </border>
    <border>
      <left style="thin">
        <color theme="1" tint="4.9989318521683403E-2"/>
      </left>
      <right/>
      <top/>
      <bottom style="thin">
        <color theme="0" tint="-0.34998626667073579"/>
      </bottom>
      <diagonal/>
    </border>
    <border>
      <left style="thin">
        <color theme="1"/>
      </left>
      <right/>
      <top style="medium">
        <color indexed="64"/>
      </top>
      <bottom style="thin">
        <color theme="0" tint="-0.34998626667073579"/>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style="medium">
        <color theme="0" tint="-0.34998626667073579"/>
      </right>
      <top style="medium">
        <color theme="1" tint="0.34998626667073579"/>
      </top>
      <bottom/>
      <diagonal/>
    </border>
    <border>
      <left style="medium">
        <color theme="1" tint="0.34998626667073579"/>
      </left>
      <right/>
      <top/>
      <bottom style="medium">
        <color theme="0" tint="-0.34998626667073579"/>
      </bottom>
      <diagonal/>
    </border>
    <border>
      <left style="thin">
        <color theme="1"/>
      </left>
      <right/>
      <top style="thin">
        <color theme="0" tint="-0.34998626667073579"/>
      </top>
      <bottom style="medium">
        <color indexed="64"/>
      </bottom>
      <diagonal/>
    </border>
    <border>
      <left/>
      <right/>
      <top style="thin">
        <color theme="0" tint="-0.34998626667073579"/>
      </top>
      <bottom style="medium">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style="medium">
        <color indexed="64"/>
      </bottom>
      <diagonal/>
    </border>
    <border>
      <left/>
      <right style="medium">
        <color theme="4" tint="-0.499984740745262"/>
      </right>
      <top/>
      <bottom style="medium">
        <color indexed="64"/>
      </bottom>
      <diagonal/>
    </border>
    <border>
      <left style="medium">
        <color theme="4" tint="-0.499984740745262"/>
      </left>
      <right style="thin">
        <color theme="0" tint="-0.34998626667073579"/>
      </right>
      <top/>
      <bottom style="thin">
        <color theme="0" tint="-0.34998626667073579"/>
      </bottom>
      <diagonal/>
    </border>
    <border>
      <left style="medium">
        <color theme="4" tint="-0.499984740745262"/>
      </left>
      <right style="thin">
        <color theme="0" tint="-0.34998626667073579"/>
      </right>
      <top style="thin">
        <color theme="0" tint="-0.34998626667073579"/>
      </top>
      <bottom style="thin">
        <color theme="0" tint="-0.34998626667073579"/>
      </bottom>
      <diagonal/>
    </border>
    <border>
      <left style="medium">
        <color theme="4" tint="-0.499984740745262"/>
      </left>
      <right style="thin">
        <color theme="0" tint="-0.34998626667073579"/>
      </right>
      <top style="thin">
        <color theme="0" tint="-0.34998626667073579"/>
      </top>
      <bottom style="medium">
        <color theme="4" tint="-0.499984740745262"/>
      </bottom>
      <diagonal/>
    </border>
    <border>
      <left style="thin">
        <color theme="0" tint="-0.34998626667073579"/>
      </left>
      <right style="thin">
        <color theme="0" tint="-0.34998626667073579"/>
      </right>
      <top style="thin">
        <color theme="0" tint="-0.34998626667073579"/>
      </top>
      <bottom style="medium">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medium">
        <color theme="4" tint="-0.499984740745262"/>
      </right>
      <top/>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medium">
        <color theme="9" tint="-0.499984740745262"/>
      </left>
      <right/>
      <top style="medium">
        <color theme="9" tint="-0.499984740745262"/>
      </top>
      <bottom/>
      <diagonal/>
    </border>
    <border>
      <left/>
      <right/>
      <top style="medium">
        <color theme="9" tint="-0.499984740745262"/>
      </top>
      <bottom/>
      <diagonal/>
    </border>
    <border>
      <left/>
      <right style="medium">
        <color theme="9" tint="-0.499984740745262"/>
      </right>
      <top style="medium">
        <color theme="9" tint="-0.499984740745262"/>
      </top>
      <bottom/>
      <diagonal/>
    </border>
    <border>
      <left style="medium">
        <color theme="9" tint="-0.499984740745262"/>
      </left>
      <right/>
      <top/>
      <bottom style="medium">
        <color indexed="64"/>
      </bottom>
      <diagonal/>
    </border>
    <border>
      <left/>
      <right style="medium">
        <color theme="9" tint="-0.499984740745262"/>
      </right>
      <top/>
      <bottom style="medium">
        <color indexed="64"/>
      </bottom>
      <diagonal/>
    </border>
    <border>
      <left style="medium">
        <color theme="9" tint="-0.499984740745262"/>
      </left>
      <right style="thin">
        <color theme="0" tint="-0.34998626667073579"/>
      </right>
      <top/>
      <bottom style="thin">
        <color theme="0" tint="-0.34998626667073579"/>
      </bottom>
      <diagonal/>
    </border>
    <border>
      <left style="medium">
        <color theme="9" tint="-0.499984740745262"/>
      </left>
      <right style="thin">
        <color theme="0" tint="-0.34998626667073579"/>
      </right>
      <top style="thin">
        <color theme="0" tint="-0.34998626667073579"/>
      </top>
      <bottom style="thin">
        <color theme="0" tint="-0.34998626667073579"/>
      </bottom>
      <diagonal/>
    </border>
    <border>
      <left style="medium">
        <color theme="9" tint="-0.499984740745262"/>
      </left>
      <right style="thin">
        <color theme="0" tint="-0.34998626667073579"/>
      </right>
      <top style="thin">
        <color theme="0" tint="-0.34998626667073579"/>
      </top>
      <bottom style="medium">
        <color theme="9" tint="-0.499984740745262"/>
      </bottom>
      <diagonal/>
    </border>
    <border>
      <left style="thin">
        <color theme="0" tint="-0.34998626667073579"/>
      </left>
      <right style="thin">
        <color theme="0" tint="-0.34998626667073579"/>
      </right>
      <top style="thin">
        <color theme="0" tint="-0.34998626667073579"/>
      </top>
      <bottom style="medium">
        <color theme="9" tint="-0.499984740745262"/>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style="thin">
        <color theme="9" tint="-0.499984740745262"/>
      </bottom>
      <diagonal/>
    </border>
    <border>
      <left/>
      <right/>
      <top/>
      <bottom style="thin">
        <color theme="9" tint="-0.499984740745262"/>
      </bottom>
      <diagonal/>
    </border>
    <border>
      <left/>
      <right style="thin">
        <color theme="9" tint="-0.499984740745262"/>
      </right>
      <top/>
      <bottom style="thin">
        <color theme="9" tint="-0.499984740745262"/>
      </bottom>
      <diagonal/>
    </border>
    <border>
      <left style="thin">
        <color theme="0" tint="-0.34998626667073579"/>
      </left>
      <right/>
      <top style="thin">
        <color theme="0" tint="-0.34998626667073579"/>
      </top>
      <bottom style="medium">
        <color theme="1"/>
      </bottom>
      <diagonal/>
    </border>
    <border>
      <left/>
      <right/>
      <top style="thin">
        <color theme="0" tint="-0.34998626667073579"/>
      </top>
      <bottom style="medium">
        <color theme="1"/>
      </bottom>
      <diagonal/>
    </border>
    <border>
      <left/>
      <right style="thin">
        <color theme="0" tint="-0.34998626667073579"/>
      </right>
      <top style="thin">
        <color theme="0" tint="-0.34998626667073579"/>
      </top>
      <bottom style="medium">
        <color theme="1"/>
      </bottom>
      <diagonal/>
    </border>
    <border>
      <left style="thick">
        <color rgb="FF1F4E78"/>
      </left>
      <right/>
      <top style="thick">
        <color rgb="FF1F4E78"/>
      </top>
      <bottom/>
      <diagonal/>
    </border>
    <border>
      <left/>
      <right/>
      <top style="thick">
        <color rgb="FF1F4E78"/>
      </top>
      <bottom/>
      <diagonal/>
    </border>
    <border>
      <left/>
      <right style="thick">
        <color rgb="FF1F4E78"/>
      </right>
      <top style="thick">
        <color rgb="FF1F4E78"/>
      </top>
      <bottom/>
      <diagonal/>
    </border>
    <border>
      <left style="thick">
        <color rgb="FF1F4E78"/>
      </left>
      <right/>
      <top/>
      <bottom/>
      <diagonal/>
    </border>
    <border>
      <left/>
      <right style="thick">
        <color rgb="FF1F4E78"/>
      </right>
      <top/>
      <bottom/>
      <diagonal/>
    </border>
    <border>
      <left style="thick">
        <color rgb="FF1F4E78"/>
      </left>
      <right/>
      <top/>
      <bottom style="thick">
        <color rgb="FF1F4E78"/>
      </bottom>
      <diagonal/>
    </border>
    <border>
      <left/>
      <right/>
      <top/>
      <bottom style="thick">
        <color rgb="FF1F4E78"/>
      </bottom>
      <diagonal/>
    </border>
    <border>
      <left/>
      <right style="thick">
        <color rgb="FF1F4E78"/>
      </right>
      <top/>
      <bottom style="thick">
        <color rgb="FF1F4E78"/>
      </bottom>
      <diagonal/>
    </border>
    <border>
      <left/>
      <right style="medium">
        <color theme="4" tint="-0.499984740745262"/>
      </right>
      <top style="medium">
        <color indexed="64"/>
      </top>
      <bottom/>
      <diagonal/>
    </border>
    <border>
      <left/>
      <right style="medium">
        <color theme="4" tint="-0.499984740745262"/>
      </right>
      <top/>
      <bottom style="thin">
        <color theme="0" tint="-0.34998626667073579"/>
      </bottom>
      <diagonal/>
    </border>
    <border>
      <left/>
      <right style="medium">
        <color theme="4" tint="-0.499984740745262"/>
      </right>
      <top style="thin">
        <color theme="0" tint="-0.34998626667073579"/>
      </top>
      <bottom/>
      <diagonal/>
    </border>
    <border>
      <left/>
      <right style="medium">
        <color theme="4" tint="-0.499984740745262"/>
      </right>
      <top style="thin">
        <color theme="0" tint="-0.34998626667073579"/>
      </top>
      <bottom style="thin">
        <color theme="0" tint="-0.34998626667073579"/>
      </bottom>
      <diagonal/>
    </border>
    <border>
      <left style="thin">
        <color theme="0" tint="-0.34998626667073579"/>
      </left>
      <right/>
      <top/>
      <bottom style="medium">
        <color theme="4" tint="-0.499984740745262"/>
      </bottom>
      <diagonal/>
    </border>
    <border>
      <left/>
      <right/>
      <top/>
      <bottom style="medium">
        <color theme="4" tint="-0.499984740745262"/>
      </bottom>
      <diagonal/>
    </border>
    <border>
      <left/>
      <right style="thin">
        <color theme="0" tint="-0.34998626667073579"/>
      </right>
      <top/>
      <bottom style="medium">
        <color theme="4" tint="-0.499984740745262"/>
      </bottom>
      <diagonal/>
    </border>
    <border>
      <left/>
      <right style="medium">
        <color theme="4" tint="-0.499984740745262"/>
      </right>
      <top/>
      <bottom style="medium">
        <color theme="4" tint="-0.499984740745262"/>
      </bottom>
      <diagonal/>
    </border>
    <border>
      <left style="medium">
        <color theme="0" tint="-0.34998626667073579"/>
      </left>
      <right style="medium">
        <color theme="1" tint="0.34998626667073579"/>
      </right>
      <top/>
      <bottom/>
      <diagonal/>
    </border>
    <border>
      <left style="medium">
        <color theme="9" tint="-0.499984740745262"/>
      </left>
      <right style="thin">
        <color theme="0" tint="-0.34998626667073579"/>
      </right>
      <top style="medium">
        <color indexed="64"/>
      </top>
      <bottom style="thin">
        <color theme="0" tint="-0.34998626667073579"/>
      </bottom>
      <diagonal/>
    </border>
    <border>
      <left style="thin">
        <color theme="0" tint="-0.34998626667073579"/>
      </left>
      <right/>
      <top/>
      <bottom style="medium">
        <color theme="9" tint="-0.499984740745262"/>
      </bottom>
      <diagonal/>
    </border>
    <border>
      <left/>
      <right/>
      <top/>
      <bottom style="medium">
        <color theme="9" tint="-0.499984740745262"/>
      </bottom>
      <diagonal/>
    </border>
    <border>
      <left/>
      <right style="thin">
        <color theme="0" tint="-0.34998626667073579"/>
      </right>
      <top/>
      <bottom style="medium">
        <color theme="9" tint="-0.499984740745262"/>
      </bottom>
      <diagonal/>
    </border>
    <border>
      <left/>
      <right style="medium">
        <color theme="9" tint="-0.499984740745262"/>
      </right>
      <top style="medium">
        <color indexed="64"/>
      </top>
      <bottom style="thin">
        <color theme="0" tint="-0.34998626667073579"/>
      </bottom>
      <diagonal/>
    </border>
    <border>
      <left/>
      <right style="medium">
        <color theme="9" tint="-0.499984740745262"/>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9" tint="-0.499984740745262"/>
      </bottom>
      <diagonal/>
    </border>
    <border>
      <left/>
      <right/>
      <top style="thin">
        <color theme="0" tint="-0.34998626667073579"/>
      </top>
      <bottom style="medium">
        <color theme="9" tint="-0.499984740745262"/>
      </bottom>
      <diagonal/>
    </border>
    <border>
      <left/>
      <right style="thin">
        <color theme="0" tint="-0.34998626667073579"/>
      </right>
      <top style="thin">
        <color theme="0" tint="-0.34998626667073579"/>
      </top>
      <bottom style="medium">
        <color theme="9" tint="-0.499984740745262"/>
      </bottom>
      <diagonal/>
    </border>
    <border>
      <left/>
      <right style="medium">
        <color theme="9" tint="-0.499984740745262"/>
      </right>
      <top style="thin">
        <color theme="0" tint="-0.34998626667073579"/>
      </top>
      <bottom style="medium">
        <color theme="9" tint="-0.499984740745262"/>
      </bottom>
      <diagonal/>
    </border>
  </borders>
  <cellStyleXfs count="12">
    <xf numFmtId="0" fontId="0" fillId="0" borderId="0"/>
    <xf numFmtId="0" fontId="39" fillId="0" borderId="0" applyNumberFormat="0" applyFill="0" applyBorder="0" applyAlignment="0" applyProtection="0"/>
    <xf numFmtId="0" fontId="41" fillId="0" borderId="0" applyNumberFormat="0" applyAlignment="0" applyProtection="0"/>
    <xf numFmtId="9" fontId="55" fillId="0" borderId="0" applyFont="0" applyFill="0" applyBorder="0" applyAlignment="0" applyProtection="0"/>
    <xf numFmtId="0" fontId="41" fillId="0" borderId="0" applyNumberFormat="0" applyAlignment="0" applyProtection="0"/>
    <xf numFmtId="0" fontId="59" fillId="0" borderId="0"/>
    <xf numFmtId="9" fontId="41" fillId="0" borderId="0" applyFont="0" applyFill="0" applyBorder="0" applyAlignment="0" applyProtection="0"/>
    <xf numFmtId="43" fontId="41" fillId="0" borderId="0" applyFont="0" applyFill="0" applyBorder="0" applyAlignment="0" applyProtection="0"/>
    <xf numFmtId="0" fontId="41" fillId="21" borderId="0" applyNumberFormat="0" applyBorder="0" applyAlignment="0" applyProtection="0"/>
    <xf numFmtId="0" fontId="117" fillId="0" borderId="0"/>
    <xf numFmtId="0" fontId="41" fillId="0" borderId="0"/>
    <xf numFmtId="44" fontId="41" fillId="0" borderId="0" applyFont="0" applyFill="0" applyBorder="0" applyAlignment="0" applyProtection="0"/>
  </cellStyleXfs>
  <cellXfs count="2091">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12" xfId="0" applyBorder="1"/>
    <xf numFmtId="0" fontId="0" fillId="0" borderId="13" xfId="0" applyBorder="1"/>
    <xf numFmtId="0" fontId="0" fillId="0" borderId="14" xfId="0" applyBorder="1"/>
    <xf numFmtId="0" fontId="0" fillId="0" borderId="15" xfId="0" applyBorder="1"/>
    <xf numFmtId="0" fontId="39" fillId="0" borderId="0" xfId="1"/>
    <xf numFmtId="0" fontId="0" fillId="0" borderId="0" xfId="0" applyAlignment="1">
      <alignment wrapText="1"/>
    </xf>
    <xf numFmtId="0" fontId="0" fillId="0" borderId="0" xfId="0" applyAlignment="1">
      <alignment vertical="top" wrapText="1"/>
    </xf>
    <xf numFmtId="0" fontId="44" fillId="0" borderId="0" xfId="4" applyFont="1" applyAlignment="1" applyProtection="1"/>
    <xf numFmtId="0" fontId="44" fillId="0" borderId="0" xfId="4" applyFont="1" applyProtection="1"/>
    <xf numFmtId="0" fontId="46" fillId="0" borderId="0" xfId="4" applyFont="1" applyAlignment="1" applyProtection="1">
      <alignment horizontal="right"/>
    </xf>
    <xf numFmtId="0" fontId="60" fillId="0" borderId="0" xfId="5" applyFont="1" applyAlignment="1">
      <alignment wrapText="1"/>
    </xf>
    <xf numFmtId="0" fontId="59" fillId="0" borderId="0" xfId="5"/>
    <xf numFmtId="0" fontId="62" fillId="0" borderId="0" xfId="0" applyFont="1"/>
    <xf numFmtId="0" fontId="62" fillId="0" borderId="0" xfId="0" applyFont="1" applyAlignment="1">
      <alignment horizontal="center"/>
    </xf>
    <xf numFmtId="14" fontId="63" fillId="0" borderId="1" xfId="0" applyNumberFormat="1" applyFont="1" applyBorder="1" applyAlignment="1">
      <alignment horizontal="center"/>
    </xf>
    <xf numFmtId="0" fontId="63" fillId="0" borderId="1" xfId="0" applyFont="1" applyBorder="1" applyAlignment="1">
      <alignment horizontal="center" wrapText="1"/>
    </xf>
    <xf numFmtId="49" fontId="63" fillId="0" borderId="1" xfId="0" applyNumberFormat="1" applyFont="1" applyBorder="1" applyAlignment="1">
      <alignment horizontal="left" wrapText="1"/>
    </xf>
    <xf numFmtId="0" fontId="63" fillId="0" borderId="1" xfId="0" applyFont="1" applyBorder="1" applyAlignment="1">
      <alignment horizontal="left" vertical="center" wrapText="1"/>
    </xf>
    <xf numFmtId="0" fontId="0" fillId="2" borderId="4" xfId="0" applyFill="1" applyBorder="1" applyAlignment="1">
      <alignment wrapText="1"/>
    </xf>
    <xf numFmtId="0" fontId="65" fillId="0" borderId="27" xfId="5" applyFont="1" applyBorder="1"/>
    <xf numFmtId="0" fontId="65" fillId="0" borderId="25" xfId="5" applyFont="1" applyBorder="1"/>
    <xf numFmtId="10" fontId="0" fillId="0" borderId="0" xfId="6" applyNumberFormat="1" applyFont="1"/>
    <xf numFmtId="170" fontId="0" fillId="0" borderId="0" xfId="0" applyNumberFormat="1"/>
    <xf numFmtId="0" fontId="67" fillId="0" borderId="0" xfId="0" applyFont="1"/>
    <xf numFmtId="0" fontId="53" fillId="0" borderId="0" xfId="2" applyFont="1" applyAlignment="1" applyProtection="1">
      <alignment horizontal="left"/>
    </xf>
    <xf numFmtId="0" fontId="54" fillId="0" borderId="0" xfId="2" applyFont="1" applyProtection="1"/>
    <xf numFmtId="0" fontId="0" fillId="0" borderId="0" xfId="0" applyProtection="1">
      <protection locked="0"/>
    </xf>
    <xf numFmtId="0" fontId="0" fillId="0" borderId="1" xfId="0" applyBorder="1"/>
    <xf numFmtId="0" fontId="0" fillId="12" borderId="1" xfId="0" applyFill="1" applyBorder="1"/>
    <xf numFmtId="0" fontId="0" fillId="11" borderId="1" xfId="0" applyFill="1" applyBorder="1"/>
    <xf numFmtId="0" fontId="0" fillId="9" borderId="1" xfId="0" applyFill="1" applyBorder="1"/>
    <xf numFmtId="170" fontId="0" fillId="0" borderId="1" xfId="0" applyNumberFormat="1" applyBorder="1"/>
    <xf numFmtId="0" fontId="0" fillId="10" borderId="1" xfId="0" applyFill="1" applyBorder="1"/>
    <xf numFmtId="0" fontId="45" fillId="0" borderId="20" xfId="2" applyFont="1" applyBorder="1" applyAlignment="1" applyProtection="1">
      <alignment vertical="center" readingOrder="1"/>
    </xf>
    <xf numFmtId="0" fontId="45" fillId="0" borderId="0" xfId="2" applyFont="1" applyAlignment="1" applyProtection="1">
      <alignment vertical="center"/>
    </xf>
    <xf numFmtId="0" fontId="58" fillId="6" borderId="0" xfId="4" applyFont="1" applyFill="1" applyAlignment="1" applyProtection="1">
      <alignment readingOrder="1"/>
    </xf>
    <xf numFmtId="0" fontId="58" fillId="6" borderId="0" xfId="2" applyFont="1" applyFill="1" applyAlignment="1" applyProtection="1">
      <alignment readingOrder="1"/>
    </xf>
    <xf numFmtId="0" fontId="45" fillId="0" borderId="20" xfId="2" applyFont="1" applyBorder="1" applyAlignment="1" applyProtection="1">
      <alignment vertical="center"/>
    </xf>
    <xf numFmtId="0" fontId="45" fillId="0" borderId="0" xfId="2" applyFont="1" applyAlignment="1" applyProtection="1">
      <alignment vertical="top"/>
    </xf>
    <xf numFmtId="0" fontId="42" fillId="0" borderId="0" xfId="2" applyFont="1" applyAlignment="1" applyProtection="1">
      <alignment wrapText="1"/>
    </xf>
    <xf numFmtId="0" fontId="42" fillId="0" borderId="21" xfId="2" applyFont="1" applyBorder="1" applyAlignment="1" applyProtection="1">
      <alignment wrapText="1"/>
    </xf>
    <xf numFmtId="3" fontId="42" fillId="0" borderId="0" xfId="2" applyNumberFormat="1" applyFont="1" applyAlignment="1" applyProtection="1"/>
    <xf numFmtId="0" fontId="58" fillId="6" borderId="0" xfId="4" applyFont="1" applyFill="1" applyAlignment="1" applyProtection="1"/>
    <xf numFmtId="0" fontId="48" fillId="4" borderId="0" xfId="4" applyFont="1" applyFill="1" applyAlignment="1" applyProtection="1">
      <alignment vertical="center" wrapText="1"/>
    </xf>
    <xf numFmtId="0" fontId="39" fillId="11" borderId="1" xfId="1" applyFill="1" applyBorder="1"/>
    <xf numFmtId="0" fontId="46" fillId="0" borderId="0" xfId="2" applyFont="1" applyAlignment="1" applyProtection="1">
      <alignment readingOrder="1"/>
    </xf>
    <xf numFmtId="0" fontId="44" fillId="4" borderId="0" xfId="4" applyFont="1" applyFill="1" applyProtection="1"/>
    <xf numFmtId="0" fontId="0" fillId="19" borderId="0" xfId="0" applyFill="1"/>
    <xf numFmtId="14" fontId="0" fillId="0" borderId="0" xfId="0" applyNumberFormat="1"/>
    <xf numFmtId="175" fontId="0" fillId="0" borderId="0" xfId="0" applyNumberFormat="1"/>
    <xf numFmtId="2" fontId="0" fillId="0" borderId="0" xfId="0" applyNumberFormat="1"/>
    <xf numFmtId="0" fontId="71"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68" fillId="0" borderId="0" xfId="0" applyFont="1" applyAlignment="1">
      <alignment horizontal="left"/>
    </xf>
    <xf numFmtId="49" fontId="0" fillId="0" borderId="0" xfId="0" applyNumberFormat="1"/>
    <xf numFmtId="0" fontId="69" fillId="0" borderId="0" xfId="0" applyFont="1" applyAlignment="1">
      <alignment horizontal="left" vertical="center" wrapText="1"/>
    </xf>
    <xf numFmtId="0" fontId="0" fillId="0" borderId="0" xfId="6" applyNumberFormat="1" applyFont="1"/>
    <xf numFmtId="0" fontId="44" fillId="0" borderId="0" xfId="0" applyFont="1"/>
    <xf numFmtId="0" fontId="79" fillId="20" borderId="0" xfId="0" applyFont="1" applyFill="1"/>
    <xf numFmtId="0" fontId="79" fillId="20" borderId="0" xfId="0" applyFont="1" applyFill="1" applyAlignment="1">
      <alignment horizontal="right"/>
    </xf>
    <xf numFmtId="0" fontId="80" fillId="20" borderId="0" xfId="1" applyFont="1" applyFill="1"/>
    <xf numFmtId="0" fontId="79" fillId="20" borderId="0" xfId="0" applyFont="1" applyFill="1" applyAlignment="1">
      <alignment wrapText="1"/>
    </xf>
    <xf numFmtId="0" fontId="79" fillId="20" borderId="0" xfId="0" applyFont="1" applyFill="1" applyAlignment="1">
      <alignment horizontal="center"/>
    </xf>
    <xf numFmtId="0" fontId="44" fillId="0" borderId="0" xfId="0" applyFont="1" applyAlignment="1">
      <alignment horizontal="left" vertical="top" wrapText="1"/>
    </xf>
    <xf numFmtId="0" fontId="44" fillId="0" borderId="0" xfId="0" applyFont="1" applyAlignment="1">
      <alignment horizontal="left"/>
    </xf>
    <xf numFmtId="0" fontId="84" fillId="0" borderId="0" xfId="0" applyFont="1" applyAlignment="1">
      <alignment vertical="center" wrapText="1"/>
    </xf>
    <xf numFmtId="0" fontId="44" fillId="0" borderId="0" xfId="0" applyFont="1" applyAlignment="1">
      <alignment vertical="top" wrapText="1"/>
    </xf>
    <xf numFmtId="0" fontId="85" fillId="0" borderId="0" xfId="0" applyFont="1"/>
    <xf numFmtId="0" fontId="87" fillId="0" borderId="0" xfId="0" applyFont="1" applyAlignment="1">
      <alignment vertical="center"/>
    </xf>
    <xf numFmtId="0" fontId="44" fillId="0" borderId="14" xfId="0" applyFont="1" applyBorder="1"/>
    <xf numFmtId="0" fontId="91" fillId="0" borderId="0" xfId="0" applyFont="1"/>
    <xf numFmtId="0" fontId="92" fillId="0" borderId="0" xfId="0" applyFont="1"/>
    <xf numFmtId="0" fontId="93" fillId="0" borderId="0" xfId="0" applyFont="1" applyAlignment="1">
      <alignment wrapText="1"/>
    </xf>
    <xf numFmtId="0" fontId="46" fillId="0" borderId="0" xfId="0" applyFont="1" applyAlignment="1">
      <alignment horizontal="left"/>
    </xf>
    <xf numFmtId="0" fontId="47" fillId="0" borderId="0" xfId="0" applyFont="1" applyAlignment="1">
      <alignment vertical="top"/>
    </xf>
    <xf numFmtId="0" fontId="46" fillId="0" borderId="0" xfId="0" applyFont="1" applyAlignment="1">
      <alignment vertical="top"/>
    </xf>
    <xf numFmtId="0" fontId="47" fillId="0" borderId="0" xfId="0" applyFont="1" applyAlignment="1">
      <alignment vertical="top" wrapText="1"/>
    </xf>
    <xf numFmtId="0" fontId="46" fillId="0" borderId="0" xfId="0" applyFont="1" applyAlignment="1">
      <alignment vertical="top" wrapText="1"/>
    </xf>
    <xf numFmtId="0" fontId="46" fillId="7" borderId="1" xfId="0" applyFont="1" applyFill="1" applyBorder="1" applyAlignment="1">
      <alignment horizontal="center"/>
    </xf>
    <xf numFmtId="0" fontId="46" fillId="0" borderId="0" xfId="0" applyFont="1"/>
    <xf numFmtId="0" fontId="47" fillId="0" borderId="0" xfId="0" applyFont="1" applyAlignment="1" applyProtection="1">
      <alignment vertical="top"/>
      <protection locked="0" hidden="1"/>
    </xf>
    <xf numFmtId="0" fontId="47" fillId="0" borderId="0" xfId="0" applyFont="1" applyAlignment="1" applyProtection="1">
      <alignment vertical="top" wrapText="1"/>
      <protection locked="0" hidden="1"/>
    </xf>
    <xf numFmtId="0" fontId="47" fillId="0" borderId="0" xfId="0" applyFont="1" applyProtection="1">
      <protection locked="0" hidden="1"/>
    </xf>
    <xf numFmtId="0" fontId="65" fillId="0" borderId="0" xfId="5" applyFont="1"/>
    <xf numFmtId="0" fontId="44" fillId="0" borderId="51" xfId="0" applyFont="1" applyBorder="1"/>
    <xf numFmtId="0" fontId="44" fillId="0" borderId="52" xfId="0" applyFont="1" applyBorder="1"/>
    <xf numFmtId="0" fontId="44" fillId="0" borderId="51" xfId="0" applyFont="1" applyBorder="1" applyAlignment="1">
      <alignment horizontal="right"/>
    </xf>
    <xf numFmtId="0" fontId="58" fillId="20" borderId="49" xfId="0" applyFont="1" applyFill="1" applyBorder="1"/>
    <xf numFmtId="0" fontId="58" fillId="20" borderId="50" xfId="0" applyFont="1" applyFill="1" applyBorder="1"/>
    <xf numFmtId="0" fontId="97" fillId="20" borderId="48" xfId="0" applyFont="1" applyFill="1" applyBorder="1"/>
    <xf numFmtId="0" fontId="44" fillId="0" borderId="53" xfId="0" applyFont="1" applyBorder="1"/>
    <xf numFmtId="0" fontId="44" fillId="0" borderId="54" xfId="0" applyFont="1" applyBorder="1"/>
    <xf numFmtId="0" fontId="44" fillId="0" borderId="55" xfId="0" applyFont="1" applyBorder="1"/>
    <xf numFmtId="0" fontId="44" fillId="0" borderId="0" xfId="0" applyFont="1" applyAlignment="1">
      <alignment horizontal="center"/>
    </xf>
    <xf numFmtId="0" fontId="100" fillId="0" borderId="0" xfId="5" applyFont="1" applyAlignment="1">
      <alignment wrapText="1"/>
    </xf>
    <xf numFmtId="0" fontId="41" fillId="0" borderId="0" xfId="0" applyFont="1"/>
    <xf numFmtId="0" fontId="67" fillId="0" borderId="0" xfId="5" applyFont="1" applyAlignment="1">
      <alignment wrapText="1"/>
    </xf>
    <xf numFmtId="49" fontId="41" fillId="0" borderId="0" xfId="0" applyNumberFormat="1" applyFont="1"/>
    <xf numFmtId="0" fontId="101" fillId="0" borderId="0" xfId="5" applyFont="1" applyAlignment="1">
      <alignment wrapText="1"/>
    </xf>
    <xf numFmtId="0" fontId="66" fillId="0" borderId="0" xfId="0" applyFont="1"/>
    <xf numFmtId="49" fontId="66" fillId="0" borderId="0" xfId="5" applyNumberFormat="1" applyFont="1" applyAlignment="1">
      <alignment wrapText="1"/>
    </xf>
    <xf numFmtId="0" fontId="66" fillId="0" borderId="0" xfId="5" applyFont="1" applyAlignment="1">
      <alignment wrapText="1"/>
    </xf>
    <xf numFmtId="0" fontId="0" fillId="0" borderId="51" xfId="0" applyBorder="1"/>
    <xf numFmtId="0" fontId="0" fillId="0" borderId="52" xfId="0" applyBorder="1"/>
    <xf numFmtId="0" fontId="43" fillId="0" borderId="52" xfId="0" applyFont="1" applyBorder="1"/>
    <xf numFmtId="0" fontId="66" fillId="0" borderId="51" xfId="0" applyFont="1" applyBorder="1"/>
    <xf numFmtId="0" fontId="66" fillId="0" borderId="52" xfId="0" applyFont="1" applyBorder="1"/>
    <xf numFmtId="0" fontId="43" fillId="0" borderId="51" xfId="0" applyFont="1" applyBorder="1" applyAlignment="1">
      <alignment horizontal="right" vertical="top"/>
    </xf>
    <xf numFmtId="178" fontId="0" fillId="0" borderId="0" xfId="0" applyNumberFormat="1"/>
    <xf numFmtId="0" fontId="44" fillId="0" borderId="1" xfId="0" applyFont="1" applyBorder="1"/>
    <xf numFmtId="0" fontId="46" fillId="0" borderId="0" xfId="0" applyFont="1" applyAlignment="1">
      <alignment horizontal="left" vertical="top"/>
    </xf>
    <xf numFmtId="0" fontId="59" fillId="0" borderId="0" xfId="5" applyAlignment="1">
      <alignment horizontal="left"/>
    </xf>
    <xf numFmtId="49" fontId="59" fillId="0" borderId="0" xfId="5" applyNumberFormat="1" applyAlignment="1">
      <alignment horizontal="left"/>
    </xf>
    <xf numFmtId="14" fontId="59" fillId="0" borderId="0" xfId="5" applyNumberFormat="1" applyAlignment="1">
      <alignment horizontal="left"/>
    </xf>
    <xf numFmtId="4" fontId="59" fillId="0" borderId="0" xfId="5" applyNumberFormat="1" applyAlignment="1">
      <alignment horizontal="left"/>
    </xf>
    <xf numFmtId="0" fontId="86" fillId="0" borderId="0" xfId="1" applyFont="1" applyBorder="1" applyAlignment="1" applyProtection="1">
      <alignment horizontal="left"/>
    </xf>
    <xf numFmtId="166" fontId="44" fillId="0" borderId="0" xfId="0" applyNumberFormat="1" applyFont="1" applyAlignment="1">
      <alignment horizontal="left"/>
    </xf>
    <xf numFmtId="1" fontId="44" fillId="0" borderId="35" xfId="0" applyNumberFormat="1" applyFont="1" applyBorder="1" applyAlignment="1">
      <alignment horizontal="center"/>
    </xf>
    <xf numFmtId="0" fontId="0" fillId="25" borderId="0" xfId="0" applyFill="1"/>
    <xf numFmtId="176" fontId="0" fillId="0" borderId="0" xfId="0" applyNumberFormat="1" applyAlignment="1">
      <alignment wrapText="1"/>
    </xf>
    <xf numFmtId="0" fontId="0" fillId="19" borderId="0" xfId="0" applyFill="1" applyAlignment="1">
      <alignment wrapText="1"/>
    </xf>
    <xf numFmtId="3" fontId="0" fillId="0" borderId="0" xfId="0" applyNumberFormat="1" applyAlignment="1">
      <alignment wrapText="1"/>
    </xf>
    <xf numFmtId="0" fontId="0" fillId="25" borderId="0" xfId="0" applyFill="1" applyAlignment="1">
      <alignment wrapText="1"/>
    </xf>
    <xf numFmtId="0" fontId="0" fillId="26" borderId="0" xfId="0" applyFill="1"/>
    <xf numFmtId="0" fontId="0" fillId="27" borderId="0" xfId="0" applyFill="1"/>
    <xf numFmtId="0" fontId="96" fillId="0" borderId="0" xfId="0" applyFont="1" applyProtection="1">
      <protection hidden="1"/>
    </xf>
    <xf numFmtId="0" fontId="47" fillId="0" borderId="0" xfId="0" applyFont="1" applyAlignment="1" applyProtection="1">
      <alignment vertical="top"/>
      <protection hidden="1"/>
    </xf>
    <xf numFmtId="0" fontId="75" fillId="0" borderId="0" xfId="4" applyFont="1" applyAlignment="1" applyProtection="1">
      <alignment vertical="top"/>
    </xf>
    <xf numFmtId="0" fontId="0" fillId="0" borderId="33" xfId="0" applyBorder="1"/>
    <xf numFmtId="0" fontId="0" fillId="0" borderId="4" xfId="0" applyBorder="1"/>
    <xf numFmtId="0" fontId="0" fillId="0" borderId="37" xfId="0" applyBorder="1"/>
    <xf numFmtId="0" fontId="53" fillId="0" borderId="21" xfId="2" applyFont="1" applyBorder="1" applyAlignment="1" applyProtection="1">
      <alignment horizontal="left"/>
    </xf>
    <xf numFmtId="0" fontId="54" fillId="0" borderId="21" xfId="2" applyFont="1" applyBorder="1" applyProtection="1"/>
    <xf numFmtId="0" fontId="0" fillId="0" borderId="21" xfId="0" applyBorder="1"/>
    <xf numFmtId="0" fontId="0" fillId="0" borderId="5" xfId="0" applyBorder="1"/>
    <xf numFmtId="0" fontId="44" fillId="0" borderId="36" xfId="0" applyFont="1" applyBorder="1"/>
    <xf numFmtId="0" fontId="44" fillId="0" borderId="20" xfId="0" applyFont="1" applyBorder="1"/>
    <xf numFmtId="0" fontId="44" fillId="0" borderId="3" xfId="0" applyFont="1" applyBorder="1"/>
    <xf numFmtId="1" fontId="0" fillId="0" borderId="0" xfId="0" applyNumberFormat="1" applyAlignment="1">
      <alignment wrapText="1"/>
    </xf>
    <xf numFmtId="1" fontId="0" fillId="0" borderId="0" xfId="0" applyNumberFormat="1"/>
    <xf numFmtId="1" fontId="0" fillId="26" borderId="0" xfId="0" applyNumberFormat="1" applyFill="1"/>
    <xf numFmtId="2" fontId="0" fillId="0" borderId="0" xfId="0" applyNumberFormat="1" applyAlignment="1">
      <alignment wrapText="1"/>
    </xf>
    <xf numFmtId="2" fontId="0" fillId="26" borderId="0" xfId="0" applyNumberFormat="1" applyFill="1"/>
    <xf numFmtId="181" fontId="0" fillId="0" borderId="0" xfId="0" applyNumberFormat="1" applyAlignment="1">
      <alignment wrapText="1"/>
    </xf>
    <xf numFmtId="181" fontId="0" fillId="0" borderId="0" xfId="0" applyNumberFormat="1"/>
    <xf numFmtId="181" fontId="0" fillId="26" borderId="0" xfId="0" applyNumberFormat="1" applyFill="1"/>
    <xf numFmtId="0" fontId="44" fillId="0" borderId="52" xfId="0" applyFont="1" applyBorder="1" applyAlignment="1">
      <alignment vertical="top" wrapText="1"/>
    </xf>
    <xf numFmtId="0" fontId="44" fillId="0" borderId="51" xfId="0" applyFont="1" applyBorder="1" applyAlignment="1">
      <alignment vertical="top"/>
    </xf>
    <xf numFmtId="0" fontId="44" fillId="0" borderId="0" xfId="0" applyFont="1" applyAlignment="1">
      <alignment vertical="top"/>
    </xf>
    <xf numFmtId="0" fontId="44" fillId="0" borderId="53" xfId="0" applyFont="1" applyBorder="1" applyAlignment="1">
      <alignment vertical="top"/>
    </xf>
    <xf numFmtId="0" fontId="44" fillId="0" borderId="0" xfId="0" applyFont="1" applyAlignment="1">
      <alignment horizontal="left" vertical="top"/>
    </xf>
    <xf numFmtId="0" fontId="109" fillId="20" borderId="0" xfId="0" applyFont="1" applyFill="1" applyAlignment="1">
      <alignment horizontal="right"/>
    </xf>
    <xf numFmtId="0" fontId="0" fillId="8" borderId="0" xfId="0" applyFill="1"/>
    <xf numFmtId="1" fontId="72" fillId="8" borderId="0" xfId="0" applyNumberFormat="1" applyFont="1" applyFill="1"/>
    <xf numFmtId="0" fontId="72" fillId="8" borderId="0" xfId="0" applyFont="1" applyFill="1"/>
    <xf numFmtId="2" fontId="72" fillId="8" borderId="0" xfId="0" applyNumberFormat="1" applyFont="1" applyFill="1"/>
    <xf numFmtId="181" fontId="72" fillId="8" borderId="0" xfId="0" applyNumberFormat="1" applyFont="1" applyFill="1"/>
    <xf numFmtId="0" fontId="72" fillId="8" borderId="0" xfId="0" quotePrefix="1" applyFont="1" applyFill="1"/>
    <xf numFmtId="1" fontId="0" fillId="8" borderId="0" xfId="0" applyNumberFormat="1" applyFill="1"/>
    <xf numFmtId="2" fontId="0" fillId="8" borderId="0" xfId="0" applyNumberFormat="1" applyFill="1"/>
    <xf numFmtId="181" fontId="0" fillId="8" borderId="0" xfId="0" applyNumberFormat="1" applyFill="1"/>
    <xf numFmtId="0" fontId="0" fillId="8" borderId="0" xfId="0" quotePrefix="1" applyFill="1"/>
    <xf numFmtId="0" fontId="0" fillId="30" borderId="0" xfId="0" applyFill="1"/>
    <xf numFmtId="2" fontId="0" fillId="30" borderId="0" xfId="0" applyNumberFormat="1" applyFill="1"/>
    <xf numFmtId="1" fontId="0" fillId="30" borderId="0" xfId="0" applyNumberFormat="1" applyFill="1"/>
    <xf numFmtId="181" fontId="0" fillId="30" borderId="0" xfId="0" applyNumberFormat="1" applyFill="1"/>
    <xf numFmtId="0" fontId="0" fillId="31" borderId="0" xfId="0" applyFill="1"/>
    <xf numFmtId="1" fontId="0" fillId="31" borderId="0" xfId="0" applyNumberFormat="1" applyFill="1"/>
    <xf numFmtId="2" fontId="0" fillId="31" borderId="0" xfId="0" applyNumberFormat="1" applyFill="1"/>
    <xf numFmtId="181" fontId="0" fillId="31" borderId="0" xfId="0" applyNumberFormat="1" applyFill="1"/>
    <xf numFmtId="0" fontId="0" fillId="31" borderId="0" xfId="0" quotePrefix="1" applyFill="1"/>
    <xf numFmtId="0" fontId="0" fillId="32" borderId="0" xfId="0" applyFill="1"/>
    <xf numFmtId="1" fontId="0" fillId="32" borderId="0" xfId="0" applyNumberFormat="1" applyFill="1"/>
    <xf numFmtId="0" fontId="111" fillId="0" borderId="0" xfId="0" applyFont="1" applyAlignment="1">
      <alignment horizontal="left" vertical="top" wrapText="1" indent="1"/>
    </xf>
    <xf numFmtId="0" fontId="56" fillId="0" borderId="0" xfId="0" applyFont="1" applyAlignment="1">
      <alignment horizontal="left" vertical="top" wrapText="1" indent="1"/>
    </xf>
    <xf numFmtId="0" fontId="40" fillId="0" borderId="0" xfId="0" applyFont="1"/>
    <xf numFmtId="176" fontId="44" fillId="0" borderId="0" xfId="0" applyNumberFormat="1" applyFont="1"/>
    <xf numFmtId="176" fontId="0" fillId="0" borderId="0" xfId="0" applyNumberFormat="1"/>
    <xf numFmtId="176" fontId="72" fillId="8" borderId="0" xfId="0" applyNumberFormat="1" applyFont="1" applyFill="1"/>
    <xf numFmtId="176" fontId="0" fillId="8" borderId="0" xfId="0" applyNumberFormat="1" applyFill="1"/>
    <xf numFmtId="176" fontId="0" fillId="31" borderId="0" xfId="0" applyNumberFormat="1" applyFill="1"/>
    <xf numFmtId="176" fontId="0" fillId="26" borderId="0" xfId="0" applyNumberFormat="1" applyFill="1"/>
    <xf numFmtId="176" fontId="0" fillId="30" borderId="0" xfId="0" applyNumberFormat="1" applyFill="1"/>
    <xf numFmtId="0" fontId="64" fillId="0" borderId="0" xfId="5" applyFont="1" applyAlignment="1">
      <alignment wrapText="1"/>
    </xf>
    <xf numFmtId="0" fontId="47" fillId="0" borderId="0" xfId="0" applyFont="1"/>
    <xf numFmtId="0" fontId="46" fillId="4" borderId="1" xfId="0" applyFont="1" applyFill="1" applyBorder="1" applyAlignment="1" applyProtection="1">
      <alignment horizontal="center"/>
      <protection locked="0"/>
    </xf>
    <xf numFmtId="0" fontId="46" fillId="13" borderId="1" xfId="0" applyFont="1" applyFill="1" applyBorder="1" applyAlignment="1">
      <alignment horizontal="center"/>
    </xf>
    <xf numFmtId="0" fontId="90" fillId="0" borderId="0" xfId="0" applyFont="1" applyAlignment="1">
      <alignment vertical="top" wrapText="1"/>
    </xf>
    <xf numFmtId="49" fontId="113" fillId="0" borderId="0" xfId="0" applyNumberFormat="1" applyFont="1"/>
    <xf numFmtId="0" fontId="113" fillId="0" borderId="0" xfId="0" applyFont="1"/>
    <xf numFmtId="0" fontId="64" fillId="33" borderId="26" xfId="5" applyFont="1" applyFill="1" applyBorder="1" applyAlignment="1">
      <alignment wrapText="1"/>
    </xf>
    <xf numFmtId="49" fontId="114" fillId="0" borderId="0" xfId="0" applyNumberFormat="1" applyFont="1"/>
    <xf numFmtId="0" fontId="114" fillId="0" borderId="0" xfId="0" applyFont="1"/>
    <xf numFmtId="0" fontId="115" fillId="0" borderId="0" xfId="5" applyFont="1"/>
    <xf numFmtId="49" fontId="0" fillId="0" borderId="0" xfId="0" applyNumberFormat="1" applyAlignment="1">
      <alignment wrapText="1"/>
    </xf>
    <xf numFmtId="49" fontId="39" fillId="8" borderId="0" xfId="1" applyNumberFormat="1" applyFill="1"/>
    <xf numFmtId="49" fontId="72" fillId="8" borderId="0" xfId="0" applyNumberFormat="1" applyFont="1" applyFill="1"/>
    <xf numFmtId="49" fontId="0" fillId="8" borderId="0" xfId="0" applyNumberFormat="1" applyFill="1"/>
    <xf numFmtId="49" fontId="0" fillId="31" borderId="0" xfId="0" applyNumberFormat="1" applyFill="1"/>
    <xf numFmtId="0" fontId="84" fillId="0" borderId="0" xfId="0" applyFont="1" applyAlignment="1">
      <alignment horizontal="left" vertical="center" wrapText="1"/>
    </xf>
    <xf numFmtId="0" fontId="81" fillId="0" borderId="0" xfId="0" applyFont="1" applyAlignment="1">
      <alignment horizontal="center"/>
    </xf>
    <xf numFmtId="0" fontId="44" fillId="0" borderId="33" xfId="0" applyFont="1" applyBorder="1"/>
    <xf numFmtId="0" fontId="44" fillId="0" borderId="4" xfId="0" applyFont="1" applyBorder="1"/>
    <xf numFmtId="0" fontId="44" fillId="0" borderId="37" xfId="0" applyFont="1" applyBorder="1"/>
    <xf numFmtId="0" fontId="44" fillId="0" borderId="21" xfId="0" applyFont="1" applyBorder="1"/>
    <xf numFmtId="0" fontId="44" fillId="0" borderId="5" xfId="0" applyFont="1" applyBorder="1"/>
    <xf numFmtId="0" fontId="44" fillId="20" borderId="0" xfId="0" applyFont="1" applyFill="1"/>
    <xf numFmtId="0" fontId="44" fillId="34" borderId="0" xfId="0" applyFont="1" applyFill="1"/>
    <xf numFmtId="0" fontId="77" fillId="35" borderId="0" xfId="0" applyFont="1" applyFill="1" applyAlignment="1">
      <alignment vertical="center" wrapText="1"/>
    </xf>
    <xf numFmtId="0" fontId="44" fillId="36" borderId="0" xfId="0" applyFont="1" applyFill="1"/>
    <xf numFmtId="0" fontId="73" fillId="35" borderId="0" xfId="0" applyFont="1" applyFill="1" applyAlignment="1">
      <alignment vertical="center" wrapText="1"/>
    </xf>
    <xf numFmtId="0" fontId="76" fillId="35" borderId="0" xfId="0" applyFont="1" applyFill="1" applyAlignment="1">
      <alignment vertical="top"/>
    </xf>
    <xf numFmtId="0" fontId="57" fillId="35" borderId="0" xfId="0" applyFont="1" applyFill="1" applyAlignment="1">
      <alignment vertical="top"/>
    </xf>
    <xf numFmtId="0" fontId="76" fillId="35" borderId="0" xfId="0" applyFont="1" applyFill="1" applyAlignment="1">
      <alignment horizontal="left" vertical="top"/>
    </xf>
    <xf numFmtId="0" fontId="43" fillId="36" borderId="0" xfId="0" applyFont="1" applyFill="1" applyAlignment="1">
      <alignment horizontal="left" vertical="top"/>
    </xf>
    <xf numFmtId="0" fontId="44" fillId="36" borderId="0" xfId="0" applyFont="1" applyFill="1" applyAlignment="1">
      <alignment horizontal="left" vertical="top"/>
    </xf>
    <xf numFmtId="0" fontId="80" fillId="20" borderId="0" xfId="1" applyFont="1" applyFill="1" applyProtection="1"/>
    <xf numFmtId="0" fontId="44" fillId="8" borderId="0" xfId="0" applyFont="1" applyFill="1"/>
    <xf numFmtId="0" fontId="44" fillId="0" borderId="21" xfId="2" applyFont="1" applyBorder="1" applyAlignment="1" applyProtection="1"/>
    <xf numFmtId="166" fontId="44" fillId="0" borderId="21" xfId="2" applyNumberFormat="1" applyFont="1" applyBorder="1" applyAlignment="1" applyProtection="1"/>
    <xf numFmtId="166" fontId="44" fillId="0" borderId="21" xfId="2" applyNumberFormat="1" applyFont="1" applyBorder="1" applyAlignment="1" applyProtection="1">
      <alignment shrinkToFit="1"/>
    </xf>
    <xf numFmtId="3" fontId="47" fillId="0" borderId="21" xfId="2" applyNumberFormat="1" applyFont="1" applyBorder="1" applyAlignment="1" applyProtection="1"/>
    <xf numFmtId="0" fontId="44" fillId="5" borderId="21" xfId="0" applyFont="1" applyFill="1" applyBorder="1"/>
    <xf numFmtId="0" fontId="121" fillId="0" borderId="0" xfId="0" applyFont="1" applyAlignment="1">
      <alignment vertical="center"/>
    </xf>
    <xf numFmtId="0" fontId="58" fillId="6" borderId="0" xfId="2" applyFont="1" applyFill="1" applyAlignment="1" applyProtection="1"/>
    <xf numFmtId="0" fontId="52" fillId="0" borderId="0" xfId="2" applyFont="1" applyAlignment="1" applyProtection="1">
      <alignment vertical="top" wrapText="1"/>
    </xf>
    <xf numFmtId="14" fontId="44" fillId="0" borderId="21" xfId="2" applyNumberFormat="1" applyFont="1" applyBorder="1" applyAlignment="1" applyProtection="1"/>
    <xf numFmtId="0" fontId="51" fillId="0" borderId="20" xfId="2" applyFont="1" applyBorder="1" applyAlignment="1" applyProtection="1"/>
    <xf numFmtId="0" fontId="51" fillId="0" borderId="0" xfId="2" applyFont="1" applyAlignment="1" applyProtection="1"/>
    <xf numFmtId="0" fontId="50" fillId="0" borderId="21" xfId="2" applyFont="1" applyBorder="1" applyAlignment="1" applyProtection="1"/>
    <xf numFmtId="0" fontId="57" fillId="0" borderId="21" xfId="0" applyFont="1" applyBorder="1"/>
    <xf numFmtId="0" fontId="57" fillId="0" borderId="21" xfId="2" applyFont="1" applyBorder="1" applyAlignment="1" applyProtection="1"/>
    <xf numFmtId="0" fontId="57" fillId="0" borderId="0" xfId="2" applyFont="1" applyAlignment="1" applyProtection="1"/>
    <xf numFmtId="0" fontId="49" fillId="4" borderId="0" xfId="4" applyFont="1" applyFill="1" applyAlignment="1" applyProtection="1"/>
    <xf numFmtId="0" fontId="41" fillId="0" borderId="0" xfId="4" applyProtection="1"/>
    <xf numFmtId="0" fontId="0" fillId="0" borderId="0" xfId="0" quotePrefix="1"/>
    <xf numFmtId="0" fontId="77" fillId="35" borderId="0" xfId="0" applyFont="1" applyFill="1" applyAlignment="1">
      <alignment horizontal="left" vertical="center" wrapText="1"/>
    </xf>
    <xf numFmtId="0" fontId="49" fillId="0" borderId="0" xfId="2" applyFont="1" applyAlignment="1" applyProtection="1">
      <alignment vertical="center" wrapText="1"/>
    </xf>
    <xf numFmtId="0" fontId="50" fillId="0" borderId="0" xfId="2" applyFont="1" applyAlignment="1" applyProtection="1">
      <alignment vertical="top"/>
    </xf>
    <xf numFmtId="0" fontId="127" fillId="0" borderId="0" xfId="5" applyFont="1" applyAlignment="1">
      <alignment wrapText="1"/>
    </xf>
    <xf numFmtId="0" fontId="44" fillId="0" borderId="59" xfId="0" applyFont="1" applyBorder="1"/>
    <xf numFmtId="0" fontId="44" fillId="0" borderId="0" xfId="0" applyFont="1" applyAlignment="1">
      <alignment wrapText="1"/>
    </xf>
    <xf numFmtId="0" fontId="84" fillId="0" borderId="0" xfId="0" applyFont="1" applyAlignment="1">
      <alignment vertical="top" wrapText="1"/>
    </xf>
    <xf numFmtId="0" fontId="44" fillId="0" borderId="0" xfId="0" applyFont="1" applyAlignment="1">
      <alignment vertical="center" wrapText="1"/>
    </xf>
    <xf numFmtId="0" fontId="128" fillId="0" borderId="0" xfId="0" applyFont="1" applyAlignment="1">
      <alignment vertical="top"/>
    </xf>
    <xf numFmtId="0" fontId="85" fillId="0" borderId="0" xfId="0" applyFont="1" applyAlignment="1">
      <alignment vertical="center" wrapText="1"/>
    </xf>
    <xf numFmtId="167" fontId="78" fillId="0" borderId="0" xfId="0" applyNumberFormat="1" applyFont="1" applyAlignment="1">
      <alignment wrapText="1"/>
    </xf>
    <xf numFmtId="167" fontId="44" fillId="0" borderId="0" xfId="0" applyNumberFormat="1" applyFont="1"/>
    <xf numFmtId="0" fontId="129" fillId="0" borderId="0" xfId="0" applyFont="1"/>
    <xf numFmtId="0" fontId="130" fillId="0" borderId="0" xfId="5" applyFont="1"/>
    <xf numFmtId="0" fontId="43" fillId="0" borderId="0" xfId="0" applyFont="1" applyAlignment="1">
      <alignment wrapText="1"/>
    </xf>
    <xf numFmtId="0" fontId="129" fillId="0" borderId="0" xfId="5" applyFont="1" applyAlignment="1">
      <alignment wrapText="1"/>
    </xf>
    <xf numFmtId="0" fontId="43" fillId="0" borderId="13" xfId="0" applyFont="1" applyBorder="1" applyAlignment="1">
      <alignment wrapText="1"/>
    </xf>
    <xf numFmtId="49" fontId="67" fillId="0" borderId="0" xfId="0" applyNumberFormat="1" applyFont="1"/>
    <xf numFmtId="0" fontId="85" fillId="0" borderId="0" xfId="0" applyFont="1" applyAlignment="1">
      <alignment horizontal="left" vertical="center" wrapText="1"/>
    </xf>
    <xf numFmtId="165" fontId="43" fillId="0" borderId="0" xfId="0" applyNumberFormat="1" applyFont="1"/>
    <xf numFmtId="0" fontId="43" fillId="0" borderId="0" xfId="0" applyFont="1"/>
    <xf numFmtId="0" fontId="131" fillId="0" borderId="0" xfId="0" applyFont="1" applyAlignment="1">
      <alignment wrapText="1"/>
    </xf>
    <xf numFmtId="0" fontId="0" fillId="0" borderId="0" xfId="0" applyAlignment="1">
      <alignment horizontal="center"/>
    </xf>
    <xf numFmtId="0" fontId="132" fillId="0" borderId="0" xfId="0" applyFont="1" applyAlignment="1">
      <alignment vertical="center" wrapText="1"/>
    </xf>
    <xf numFmtId="0" fontId="135" fillId="0" borderId="0" xfId="0" applyFont="1" applyAlignment="1">
      <alignment vertical="center" wrapText="1"/>
    </xf>
    <xf numFmtId="0" fontId="138" fillId="31" borderId="0" xfId="0" applyFont="1" applyFill="1"/>
    <xf numFmtId="0" fontId="138" fillId="0" borderId="0" xfId="0" applyFont="1"/>
    <xf numFmtId="0" fontId="0" fillId="40" borderId="0" xfId="0" applyFill="1"/>
    <xf numFmtId="0" fontId="138" fillId="40" borderId="0" xfId="0" applyFont="1" applyFill="1"/>
    <xf numFmtId="0" fontId="43" fillId="0" borderId="12" xfId="0" applyFont="1" applyBorder="1" applyAlignment="1">
      <alignment wrapText="1"/>
    </xf>
    <xf numFmtId="0" fontId="68" fillId="0" borderId="0" xfId="0" applyFont="1"/>
    <xf numFmtId="0" fontId="74" fillId="39" borderId="77" xfId="0" applyFont="1" applyFill="1" applyBorder="1"/>
    <xf numFmtId="0" fontId="74" fillId="39" borderId="78" xfId="0" applyFont="1" applyFill="1" applyBorder="1"/>
    <xf numFmtId="170" fontId="74" fillId="39" borderId="78" xfId="0" applyNumberFormat="1" applyFont="1" applyFill="1" applyBorder="1"/>
    <xf numFmtId="170" fontId="74" fillId="39" borderId="89" xfId="0" applyNumberFormat="1" applyFont="1" applyFill="1" applyBorder="1"/>
    <xf numFmtId="0" fontId="74" fillId="0" borderId="77" xfId="0" applyFont="1" applyBorder="1"/>
    <xf numFmtId="0" fontId="74" fillId="0" borderId="78" xfId="0" applyFont="1" applyBorder="1"/>
    <xf numFmtId="170" fontId="74" fillId="0" borderId="78" xfId="0" applyNumberFormat="1" applyFont="1" applyBorder="1"/>
    <xf numFmtId="170" fontId="74" fillId="0" borderId="89" xfId="0" applyNumberFormat="1" applyFont="1" applyBorder="1"/>
    <xf numFmtId="49" fontId="72" fillId="0" borderId="0" xfId="0" applyNumberFormat="1" applyFont="1"/>
    <xf numFmtId="0" fontId="72" fillId="0" borderId="0" xfId="0" applyFont="1"/>
    <xf numFmtId="49" fontId="72" fillId="0" borderId="0" xfId="0" applyNumberFormat="1" applyFont="1" applyAlignment="1">
      <alignment wrapText="1"/>
    </xf>
    <xf numFmtId="49" fontId="140" fillId="0" borderId="0" xfId="0" applyNumberFormat="1" applyFont="1"/>
    <xf numFmtId="0" fontId="140" fillId="0" borderId="0" xfId="0" applyFont="1"/>
    <xf numFmtId="0" fontId="0" fillId="0" borderId="0" xfId="5" applyFont="1"/>
    <xf numFmtId="0" fontId="134" fillId="0" borderId="0" xfId="0" applyFont="1" applyAlignment="1">
      <alignment vertical="center" wrapText="1"/>
    </xf>
    <xf numFmtId="0" fontId="137" fillId="0" borderId="0" xfId="0" applyFont="1" applyAlignment="1">
      <alignment vertical="center" wrapText="1"/>
    </xf>
    <xf numFmtId="0" fontId="0" fillId="2" borderId="8" xfId="0" applyFill="1" applyBorder="1"/>
    <xf numFmtId="0" fontId="0" fillId="36" borderId="0" xfId="0" applyFill="1"/>
    <xf numFmtId="0" fontId="138" fillId="36" borderId="0" xfId="0" applyFont="1" applyFill="1"/>
    <xf numFmtId="0" fontId="39" fillId="10" borderId="1" xfId="1" applyFill="1" applyBorder="1"/>
    <xf numFmtId="0" fontId="152" fillId="0" borderId="0" xfId="5" applyFont="1"/>
    <xf numFmtId="0" fontId="153" fillId="0" borderId="0" xfId="5" applyFont="1"/>
    <xf numFmtId="0" fontId="154" fillId="33" borderId="26" xfId="5" applyFont="1" applyFill="1" applyBorder="1" applyAlignment="1">
      <alignment wrapText="1"/>
    </xf>
    <xf numFmtId="0" fontId="44" fillId="0" borderId="32" xfId="0" applyFont="1" applyBorder="1" applyAlignment="1">
      <alignment horizontal="center" wrapText="1" shrinkToFit="1"/>
    </xf>
    <xf numFmtId="0" fontId="44" fillId="0" borderId="15" xfId="0" applyFont="1" applyBorder="1" applyAlignment="1">
      <alignment horizontal="center" wrapText="1" shrinkToFit="1"/>
    </xf>
    <xf numFmtId="164" fontId="0" fillId="0" borderId="16" xfId="0" applyNumberFormat="1" applyBorder="1" applyAlignment="1">
      <alignment horizontal="right" vertical="center"/>
    </xf>
    <xf numFmtId="0" fontId="155" fillId="0" borderId="0" xfId="5" applyFont="1"/>
    <xf numFmtId="0" fontId="57" fillId="0" borderId="0" xfId="0" applyFont="1" applyAlignment="1">
      <alignment vertical="center"/>
    </xf>
    <xf numFmtId="0" fontId="156" fillId="0" borderId="0" xfId="5" applyFont="1" applyAlignment="1">
      <alignment horizontal="left"/>
    </xf>
    <xf numFmtId="49" fontId="156" fillId="0" borderId="0" xfId="5" applyNumberFormat="1" applyFont="1" applyAlignment="1">
      <alignment horizontal="left"/>
    </xf>
    <xf numFmtId="14" fontId="156" fillId="0" borderId="0" xfId="5" applyNumberFormat="1" applyFont="1" applyAlignment="1">
      <alignment horizontal="left"/>
    </xf>
    <xf numFmtId="0" fontId="156" fillId="0" borderId="0" xfId="5" applyFont="1"/>
    <xf numFmtId="185" fontId="43" fillId="0" borderId="0" xfId="0" applyNumberFormat="1" applyFont="1" applyAlignment="1" applyProtection="1">
      <alignment wrapText="1"/>
      <protection hidden="1"/>
    </xf>
    <xf numFmtId="171" fontId="43" fillId="0" borderId="0" xfId="0" applyNumberFormat="1" applyFont="1" applyAlignment="1" applyProtection="1">
      <alignment wrapText="1" shrinkToFit="1"/>
      <protection hidden="1"/>
    </xf>
    <xf numFmtId="167" fontId="43" fillId="0" borderId="0" xfId="0" applyNumberFormat="1" applyFont="1" applyAlignment="1" applyProtection="1">
      <alignment wrapText="1" shrinkToFit="1"/>
      <protection hidden="1"/>
    </xf>
    <xf numFmtId="174" fontId="44" fillId="0" borderId="0" xfId="0" applyNumberFormat="1" applyFont="1" applyAlignment="1" applyProtection="1">
      <alignment wrapText="1"/>
      <protection hidden="1"/>
    </xf>
    <xf numFmtId="164" fontId="44" fillId="0" borderId="16" xfId="0" applyNumberFormat="1" applyFont="1" applyBorder="1" applyAlignment="1">
      <alignment horizontal="right" vertical="center"/>
    </xf>
    <xf numFmtId="0" fontId="59" fillId="39" borderId="78" xfId="5" applyFill="1" applyBorder="1"/>
    <xf numFmtId="0" fontId="59" fillId="0" borderId="78" xfId="5" applyBorder="1"/>
    <xf numFmtId="0" fontId="64" fillId="38" borderId="101" xfId="5" applyFont="1" applyFill="1" applyBorder="1" applyAlignment="1">
      <alignment horizontal="left"/>
    </xf>
    <xf numFmtId="0" fontId="64" fillId="38" borderId="102" xfId="5" applyFont="1" applyFill="1" applyBorder="1" applyAlignment="1">
      <alignment horizontal="left"/>
    </xf>
    <xf numFmtId="49" fontId="64" fillId="38" borderId="102" xfId="5" applyNumberFormat="1" applyFont="1" applyFill="1" applyBorder="1" applyAlignment="1">
      <alignment horizontal="left"/>
    </xf>
    <xf numFmtId="14" fontId="64" fillId="38" borderId="102" xfId="5" applyNumberFormat="1" applyFont="1" applyFill="1" applyBorder="1" applyAlignment="1">
      <alignment horizontal="left"/>
    </xf>
    <xf numFmtId="0" fontId="64" fillId="38" borderId="102" xfId="5" applyFont="1" applyFill="1" applyBorder="1" applyAlignment="1">
      <alignment wrapText="1"/>
    </xf>
    <xf numFmtId="0" fontId="64" fillId="38" borderId="103" xfId="5" applyFont="1" applyFill="1" applyBorder="1" applyAlignment="1">
      <alignment wrapText="1"/>
    </xf>
    <xf numFmtId="0" fontId="39" fillId="31" borderId="0" xfId="1" applyNumberFormat="1" applyFill="1"/>
    <xf numFmtId="174" fontId="44" fillId="0" borderId="127" xfId="0" applyNumberFormat="1" applyFont="1" applyBorder="1" applyAlignment="1" applyProtection="1">
      <alignment wrapText="1"/>
      <protection hidden="1"/>
    </xf>
    <xf numFmtId="185" fontId="43" fillId="0" borderId="127" xfId="0" applyNumberFormat="1" applyFont="1" applyBorder="1" applyAlignment="1" applyProtection="1">
      <alignment wrapText="1"/>
      <protection hidden="1"/>
    </xf>
    <xf numFmtId="171" fontId="43" fillId="0" borderId="127" xfId="0" applyNumberFormat="1" applyFont="1" applyBorder="1" applyAlignment="1" applyProtection="1">
      <alignment wrapText="1" shrinkToFit="1"/>
      <protection hidden="1"/>
    </xf>
    <xf numFmtId="167" fontId="43" fillId="0" borderId="132" xfId="0" applyNumberFormat="1" applyFont="1" applyBorder="1" applyAlignment="1" applyProtection="1">
      <alignment wrapText="1" shrinkToFit="1"/>
      <protection hidden="1"/>
    </xf>
    <xf numFmtId="174" fontId="44" fillId="0" borderId="134" xfId="0" applyNumberFormat="1" applyFont="1" applyBorder="1" applyAlignment="1" applyProtection="1">
      <alignment wrapText="1"/>
      <protection hidden="1"/>
    </xf>
    <xf numFmtId="171" fontId="43" fillId="0" borderId="134" xfId="0" applyNumberFormat="1" applyFont="1" applyBorder="1" applyAlignment="1" applyProtection="1">
      <alignment wrapText="1" shrinkToFit="1"/>
      <protection hidden="1"/>
    </xf>
    <xf numFmtId="167" fontId="43" fillId="0" borderId="134" xfId="0" applyNumberFormat="1" applyFont="1" applyBorder="1" applyAlignment="1" applyProtection="1">
      <alignment wrapText="1" shrinkToFit="1"/>
      <protection hidden="1"/>
    </xf>
    <xf numFmtId="167" fontId="43" fillId="0" borderId="135" xfId="0" applyNumberFormat="1" applyFont="1" applyBorder="1" applyAlignment="1" applyProtection="1">
      <alignment wrapText="1" shrinkToFit="1"/>
      <protection hidden="1"/>
    </xf>
    <xf numFmtId="174" fontId="44" fillId="0" borderId="151" xfId="0" applyNumberFormat="1" applyFont="1" applyBorder="1" applyAlignment="1" applyProtection="1">
      <alignment wrapText="1"/>
      <protection hidden="1"/>
    </xf>
    <xf numFmtId="185" fontId="43" fillId="0" borderId="151" xfId="0" applyNumberFormat="1" applyFont="1" applyBorder="1" applyAlignment="1" applyProtection="1">
      <alignment wrapText="1"/>
      <protection hidden="1"/>
    </xf>
    <xf numFmtId="171" fontId="43" fillId="0" borderId="151" xfId="0" applyNumberFormat="1" applyFont="1" applyBorder="1" applyAlignment="1" applyProtection="1">
      <alignment wrapText="1" shrinkToFit="1"/>
      <protection hidden="1"/>
    </xf>
    <xf numFmtId="167" fontId="43" fillId="0" borderId="160" xfId="0" applyNumberFormat="1" applyFont="1" applyBorder="1" applyAlignment="1" applyProtection="1">
      <alignment wrapText="1" shrinkToFit="1"/>
      <protection hidden="1"/>
    </xf>
    <xf numFmtId="174" fontId="44" fillId="0" borderId="163" xfId="0" applyNumberFormat="1" applyFont="1" applyBorder="1" applyAlignment="1" applyProtection="1">
      <alignment wrapText="1"/>
      <protection hidden="1"/>
    </xf>
    <xf numFmtId="171" fontId="43" fillId="0" borderId="163" xfId="0" applyNumberFormat="1" applyFont="1" applyBorder="1" applyAlignment="1" applyProtection="1">
      <alignment wrapText="1" shrinkToFit="1"/>
      <protection hidden="1"/>
    </xf>
    <xf numFmtId="167" fontId="43" fillId="0" borderId="163" xfId="0" applyNumberFormat="1" applyFont="1" applyBorder="1" applyAlignment="1" applyProtection="1">
      <alignment wrapText="1" shrinkToFit="1"/>
      <protection hidden="1"/>
    </xf>
    <xf numFmtId="167" fontId="43" fillId="0" borderId="166" xfId="0" applyNumberFormat="1" applyFont="1" applyBorder="1" applyAlignment="1" applyProtection="1">
      <alignment wrapText="1" shrinkToFit="1"/>
      <protection hidden="1"/>
    </xf>
    <xf numFmtId="0" fontId="78" fillId="0" borderId="0" xfId="0" applyFont="1" applyAlignment="1">
      <alignment vertical="center" wrapText="1"/>
    </xf>
    <xf numFmtId="0" fontId="44" fillId="0" borderId="0" xfId="0" applyFont="1" applyProtection="1">
      <protection hidden="1"/>
    </xf>
    <xf numFmtId="182" fontId="44" fillId="0" borderId="0" xfId="0" applyNumberFormat="1" applyFont="1" applyAlignment="1" applyProtection="1">
      <alignment wrapText="1"/>
      <protection hidden="1"/>
    </xf>
    <xf numFmtId="1" fontId="44" fillId="0" borderId="0" xfId="0" applyNumberFormat="1" applyFont="1" applyAlignment="1" applyProtection="1">
      <alignment wrapText="1"/>
      <protection hidden="1"/>
    </xf>
    <xf numFmtId="184" fontId="38" fillId="0" borderId="0" xfId="0" applyNumberFormat="1" applyFont="1" applyAlignment="1" applyProtection="1">
      <alignment wrapText="1"/>
      <protection hidden="1"/>
    </xf>
    <xf numFmtId="184" fontId="44" fillId="0" borderId="0" xfId="0" applyNumberFormat="1" applyFont="1" applyAlignment="1" applyProtection="1">
      <alignment wrapText="1"/>
      <protection hidden="1"/>
    </xf>
    <xf numFmtId="0" fontId="37" fillId="0" borderId="0" xfId="0" applyFont="1" applyAlignment="1" applyProtection="1">
      <alignment wrapText="1"/>
      <protection hidden="1"/>
    </xf>
    <xf numFmtId="0" fontId="44" fillId="0" borderId="0" xfId="0" applyFont="1" applyAlignment="1" applyProtection="1">
      <alignment wrapText="1"/>
      <protection hidden="1"/>
    </xf>
    <xf numFmtId="3" fontId="44" fillId="0" borderId="0" xfId="0" applyNumberFormat="1" applyFont="1" applyAlignment="1" applyProtection="1">
      <alignment wrapText="1"/>
      <protection hidden="1"/>
    </xf>
    <xf numFmtId="167" fontId="44" fillId="0" borderId="0" xfId="0" applyNumberFormat="1" applyFont="1" applyAlignment="1" applyProtection="1">
      <alignment shrinkToFit="1"/>
      <protection hidden="1"/>
    </xf>
    <xf numFmtId="0" fontId="0" fillId="0" borderId="0" xfId="0" applyProtection="1">
      <protection hidden="1"/>
    </xf>
    <xf numFmtId="0" fontId="44" fillId="0" borderId="126" xfId="0" applyFont="1" applyBorder="1" applyProtection="1">
      <protection hidden="1"/>
    </xf>
    <xf numFmtId="182" fontId="44" fillId="0" borderId="127" xfId="0" applyNumberFormat="1" applyFont="1" applyBorder="1" applyAlignment="1" applyProtection="1">
      <alignment wrapText="1"/>
      <protection hidden="1"/>
    </xf>
    <xf numFmtId="1" fontId="44" fillId="0" borderId="127" xfId="0" applyNumberFormat="1" applyFont="1" applyBorder="1" applyAlignment="1" applyProtection="1">
      <alignment wrapText="1"/>
      <protection hidden="1"/>
    </xf>
    <xf numFmtId="184" fontId="44" fillId="0" borderId="127" xfId="0" applyNumberFormat="1" applyFont="1" applyBorder="1" applyAlignment="1" applyProtection="1">
      <alignment wrapText="1"/>
      <protection hidden="1"/>
    </xf>
    <xf numFmtId="3" fontId="44" fillId="0" borderId="127" xfId="0" applyNumberFormat="1" applyFont="1" applyBorder="1" applyAlignment="1" applyProtection="1">
      <alignment wrapText="1"/>
      <protection hidden="1"/>
    </xf>
    <xf numFmtId="167" fontId="44" fillId="0" borderId="127" xfId="0" applyNumberFormat="1" applyFont="1" applyBorder="1" applyAlignment="1" applyProtection="1">
      <alignment shrinkToFit="1"/>
      <protection hidden="1"/>
    </xf>
    <xf numFmtId="0" fontId="44" fillId="0" borderId="129" xfId="0" applyFont="1" applyBorder="1" applyProtection="1">
      <protection hidden="1"/>
    </xf>
    <xf numFmtId="0" fontId="44" fillId="0" borderId="133" xfId="0" applyFont="1" applyBorder="1" applyProtection="1">
      <protection hidden="1"/>
    </xf>
    <xf numFmtId="182" fontId="44" fillId="0" borderId="134" xfId="0" applyNumberFormat="1" applyFont="1" applyBorder="1" applyAlignment="1" applyProtection="1">
      <alignment wrapText="1"/>
      <protection hidden="1"/>
    </xf>
    <xf numFmtId="1" fontId="44" fillId="0" borderId="134" xfId="0" applyNumberFormat="1" applyFont="1" applyBorder="1" applyAlignment="1" applyProtection="1">
      <alignment wrapText="1"/>
      <protection hidden="1"/>
    </xf>
    <xf numFmtId="184" fontId="38" fillId="0" borderId="134" xfId="0" applyNumberFormat="1" applyFont="1" applyBorder="1" applyAlignment="1" applyProtection="1">
      <alignment wrapText="1"/>
      <protection hidden="1"/>
    </xf>
    <xf numFmtId="184" fontId="44" fillId="0" borderId="134" xfId="0" applyNumberFormat="1" applyFont="1" applyBorder="1" applyAlignment="1" applyProtection="1">
      <alignment wrapText="1"/>
      <protection hidden="1"/>
    </xf>
    <xf numFmtId="0" fontId="37" fillId="0" borderId="134" xfId="0" applyFont="1" applyBorder="1" applyAlignment="1" applyProtection="1">
      <alignment wrapText="1"/>
      <protection hidden="1"/>
    </xf>
    <xf numFmtId="0" fontId="44" fillId="0" borderId="134" xfId="0" applyFont="1" applyBorder="1" applyAlignment="1" applyProtection="1">
      <alignment wrapText="1"/>
      <protection hidden="1"/>
    </xf>
    <xf numFmtId="3" fontId="44" fillId="0" borderId="134" xfId="0" applyNumberFormat="1" applyFont="1" applyBorder="1" applyAlignment="1" applyProtection="1">
      <alignment wrapText="1"/>
      <protection hidden="1"/>
    </xf>
    <xf numFmtId="167" fontId="44" fillId="0" borderId="134" xfId="0" applyNumberFormat="1" applyFont="1" applyBorder="1" applyAlignment="1" applyProtection="1">
      <alignment shrinkToFit="1"/>
      <protection hidden="1"/>
    </xf>
    <xf numFmtId="0" fontId="44" fillId="0" borderId="150" xfId="0" applyFont="1" applyBorder="1" applyProtection="1">
      <protection hidden="1"/>
    </xf>
    <xf numFmtId="182" fontId="44" fillId="0" borderId="151" xfId="0" applyNumberFormat="1" applyFont="1" applyBorder="1" applyAlignment="1" applyProtection="1">
      <alignment wrapText="1"/>
      <protection hidden="1"/>
    </xf>
    <xf numFmtId="1" fontId="44" fillId="0" borderId="151" xfId="0" applyNumberFormat="1" applyFont="1" applyBorder="1" applyAlignment="1" applyProtection="1">
      <alignment wrapText="1"/>
      <protection hidden="1"/>
    </xf>
    <xf numFmtId="184" fontId="44" fillId="0" borderId="151" xfId="0" applyNumberFormat="1" applyFont="1" applyBorder="1" applyAlignment="1" applyProtection="1">
      <alignment wrapText="1"/>
      <protection hidden="1"/>
    </xf>
    <xf numFmtId="3" fontId="44" fillId="0" borderId="151" xfId="0" applyNumberFormat="1" applyFont="1" applyBorder="1" applyAlignment="1" applyProtection="1">
      <alignment wrapText="1"/>
      <protection hidden="1"/>
    </xf>
    <xf numFmtId="167" fontId="44" fillId="0" borderId="151" xfId="0" applyNumberFormat="1" applyFont="1" applyBorder="1" applyAlignment="1" applyProtection="1">
      <alignment shrinkToFit="1"/>
      <protection hidden="1"/>
    </xf>
    <xf numFmtId="0" fontId="44" fillId="0" borderId="153" xfId="0" applyFont="1" applyBorder="1" applyProtection="1">
      <protection hidden="1"/>
    </xf>
    <xf numFmtId="0" fontId="44" fillId="0" borderId="0" xfId="0" applyFont="1" applyAlignment="1" applyProtection="1">
      <alignment vertical="top" wrapText="1"/>
      <protection hidden="1"/>
    </xf>
    <xf numFmtId="0" fontId="44" fillId="0" borderId="162" xfId="0" applyFont="1" applyBorder="1" applyProtection="1">
      <protection hidden="1"/>
    </xf>
    <xf numFmtId="182" fontId="44" fillId="0" borderId="163" xfId="0" applyNumberFormat="1" applyFont="1" applyBorder="1" applyAlignment="1" applyProtection="1">
      <alignment wrapText="1"/>
      <protection hidden="1"/>
    </xf>
    <xf numFmtId="1" fontId="44" fillId="0" borderId="163" xfId="0" applyNumberFormat="1" applyFont="1" applyBorder="1" applyAlignment="1" applyProtection="1">
      <alignment wrapText="1"/>
      <protection hidden="1"/>
    </xf>
    <xf numFmtId="184" fontId="38" fillId="0" borderId="163" xfId="0" applyNumberFormat="1" applyFont="1" applyBorder="1" applyAlignment="1" applyProtection="1">
      <alignment wrapText="1"/>
      <protection hidden="1"/>
    </xf>
    <xf numFmtId="184" fontId="44" fillId="0" borderId="163" xfId="0" applyNumberFormat="1" applyFont="1" applyBorder="1" applyAlignment="1" applyProtection="1">
      <alignment wrapText="1"/>
      <protection hidden="1"/>
    </xf>
    <xf numFmtId="0" fontId="37" fillId="0" borderId="163" xfId="0" applyFont="1" applyBorder="1" applyAlignment="1" applyProtection="1">
      <alignment wrapText="1"/>
      <protection hidden="1"/>
    </xf>
    <xf numFmtId="0" fontId="44" fillId="0" borderId="163" xfId="0" applyFont="1" applyBorder="1" applyAlignment="1" applyProtection="1">
      <alignment wrapText="1"/>
      <protection hidden="1"/>
    </xf>
    <xf numFmtId="3" fontId="44" fillId="0" borderId="163" xfId="0" applyNumberFormat="1" applyFont="1" applyBorder="1" applyAlignment="1" applyProtection="1">
      <alignment wrapText="1"/>
      <protection hidden="1"/>
    </xf>
    <xf numFmtId="167" fontId="44" fillId="0" borderId="163" xfId="0" applyNumberFormat="1" applyFont="1" applyBorder="1" applyAlignment="1" applyProtection="1">
      <alignment shrinkToFit="1"/>
      <protection hidden="1"/>
    </xf>
    <xf numFmtId="0" fontId="0" fillId="42" borderId="0" xfId="0" applyFill="1"/>
    <xf numFmtId="0" fontId="28" fillId="0" borderId="0" xfId="0" applyFont="1" applyAlignment="1">
      <alignment wrapText="1"/>
    </xf>
    <xf numFmtId="0" fontId="0" fillId="39" borderId="78" xfId="0" applyFill="1" applyBorder="1"/>
    <xf numFmtId="0" fontId="0" fillId="39" borderId="77" xfId="0" applyFill="1" applyBorder="1"/>
    <xf numFmtId="170" fontId="0" fillId="39" borderId="78" xfId="0" applyNumberFormat="1" applyFill="1" applyBorder="1"/>
    <xf numFmtId="170" fontId="0" fillId="39" borderId="89" xfId="0" applyNumberFormat="1" applyFill="1" applyBorder="1"/>
    <xf numFmtId="0" fontId="36" fillId="0" borderId="0" xfId="0" applyFont="1"/>
    <xf numFmtId="0" fontId="27" fillId="0" borderId="0" xfId="0" applyFont="1"/>
    <xf numFmtId="0" fontId="27" fillId="0" borderId="59" xfId="0" applyFont="1" applyBorder="1"/>
    <xf numFmtId="0" fontId="0" fillId="0" borderId="0" xfId="0" applyAlignment="1">
      <alignment horizontal="left"/>
    </xf>
    <xf numFmtId="0" fontId="133" fillId="0" borderId="0" xfId="0" applyFont="1" applyAlignment="1">
      <alignment vertical="center" wrapText="1"/>
    </xf>
    <xf numFmtId="0" fontId="133" fillId="0" borderId="0" xfId="0" applyFont="1" applyAlignment="1">
      <alignment vertical="top" wrapText="1"/>
    </xf>
    <xf numFmtId="0" fontId="58" fillId="0" borderId="0" xfId="0" applyFont="1"/>
    <xf numFmtId="167" fontId="79" fillId="20" borderId="0" xfId="0" applyNumberFormat="1" applyFont="1" applyFill="1"/>
    <xf numFmtId="0" fontId="116" fillId="0" borderId="0" xfId="0" applyFont="1"/>
    <xf numFmtId="171" fontId="44" fillId="0" borderId="0" xfId="0" applyNumberFormat="1" applyFont="1"/>
    <xf numFmtId="175" fontId="44" fillId="0" borderId="0" xfId="0" applyNumberFormat="1" applyFont="1"/>
    <xf numFmtId="0" fontId="58" fillId="40" borderId="62" xfId="0" applyFont="1" applyFill="1" applyBorder="1"/>
    <xf numFmtId="0" fontId="58" fillId="40" borderId="63" xfId="0" applyFont="1" applyFill="1" applyBorder="1"/>
    <xf numFmtId="0" fontId="121" fillId="0" borderId="0" xfId="0" applyFont="1"/>
    <xf numFmtId="0" fontId="121" fillId="0" borderId="91" xfId="0" applyFont="1" applyBorder="1"/>
    <xf numFmtId="2" fontId="149" fillId="0" borderId="0" xfId="0" applyNumberFormat="1" applyFont="1" applyAlignment="1">
      <alignment vertical="center" wrapText="1"/>
    </xf>
    <xf numFmtId="186" fontId="149" fillId="0" borderId="0" xfId="0" applyNumberFormat="1" applyFont="1" applyAlignment="1">
      <alignment vertical="center" wrapText="1"/>
    </xf>
    <xf numFmtId="0" fontId="149" fillId="0" borderId="0" xfId="0" applyFont="1" applyAlignment="1">
      <alignment vertical="center" wrapText="1"/>
    </xf>
    <xf numFmtId="0" fontId="149" fillId="0" borderId="0" xfId="0" applyFont="1" applyAlignment="1">
      <alignment vertical="center"/>
    </xf>
    <xf numFmtId="0" fontId="44" fillId="0" borderId="21" xfId="0" applyFont="1" applyBorder="1" applyAlignment="1">
      <alignment horizontal="left"/>
    </xf>
    <xf numFmtId="1" fontId="0" fillId="36" borderId="0" xfId="0" applyNumberFormat="1" applyFill="1" applyAlignment="1">
      <alignment wrapText="1"/>
    </xf>
    <xf numFmtId="1" fontId="0" fillId="36" borderId="0" xfId="0" applyNumberFormat="1" applyFill="1"/>
    <xf numFmtId="1" fontId="72" fillId="36" borderId="0" xfId="0" applyNumberFormat="1" applyFont="1" applyFill="1"/>
    <xf numFmtId="2" fontId="0" fillId="43" borderId="0" xfId="0" applyNumberFormat="1" applyFill="1"/>
    <xf numFmtId="0" fontId="0" fillId="43" borderId="0" xfId="0" applyFill="1"/>
    <xf numFmtId="1" fontId="0" fillId="43" borderId="0" xfId="0" applyNumberFormat="1" applyFill="1"/>
    <xf numFmtId="49" fontId="39" fillId="31" borderId="0" xfId="1" applyNumberFormat="1" applyFill="1"/>
    <xf numFmtId="0" fontId="20" fillId="0" borderId="0" xfId="0" applyFont="1"/>
    <xf numFmtId="0" fontId="133" fillId="0" borderId="0" xfId="0" applyFont="1" applyAlignment="1">
      <alignment horizontal="center" vertical="center" wrapText="1"/>
    </xf>
    <xf numFmtId="0" fontId="79" fillId="0" borderId="0" xfId="0" applyFont="1"/>
    <xf numFmtId="167" fontId="79" fillId="0" borderId="0" xfId="0" applyNumberFormat="1" applyFont="1"/>
    <xf numFmtId="0" fontId="79" fillId="0" borderId="0" xfId="0" applyFont="1" applyAlignment="1">
      <alignment vertical="center"/>
    </xf>
    <xf numFmtId="0" fontId="149" fillId="0" borderId="0" xfId="0" applyFont="1"/>
    <xf numFmtId="2" fontId="149" fillId="0" borderId="0" xfId="0" applyNumberFormat="1" applyFont="1" applyAlignment="1">
      <alignment vertical="center"/>
    </xf>
    <xf numFmtId="181" fontId="121" fillId="0" borderId="0" xfId="0" applyNumberFormat="1" applyFont="1"/>
    <xf numFmtId="0" fontId="120" fillId="0" borderId="0" xfId="0" applyFont="1" applyAlignment="1">
      <alignment vertical="top"/>
    </xf>
    <xf numFmtId="181" fontId="82" fillId="0" borderId="0" xfId="0" applyNumberFormat="1" applyFont="1" applyAlignment="1">
      <alignment vertical="center" wrapText="1"/>
    </xf>
    <xf numFmtId="0" fontId="136" fillId="0" borderId="0" xfId="0" applyFont="1" applyAlignment="1">
      <alignment vertical="center"/>
    </xf>
    <xf numFmtId="2" fontId="99" fillId="0" borderId="0" xfId="0" applyNumberFormat="1" applyFont="1" applyAlignment="1">
      <alignment vertical="center"/>
    </xf>
    <xf numFmtId="2" fontId="147" fillId="0" borderId="0" xfId="0" applyNumberFormat="1" applyFont="1" applyAlignment="1">
      <alignment vertical="center"/>
    </xf>
    <xf numFmtId="0" fontId="141" fillId="0" borderId="0" xfId="0" applyFont="1"/>
    <xf numFmtId="0" fontId="148" fillId="0" borderId="0" xfId="0" applyFont="1"/>
    <xf numFmtId="171" fontId="77" fillId="0" borderId="0" xfId="0" applyNumberFormat="1" applyFont="1" applyAlignment="1">
      <alignment vertical="top"/>
    </xf>
    <xf numFmtId="167" fontId="99" fillId="0" borderId="0" xfId="0" applyNumberFormat="1" applyFont="1" applyAlignment="1">
      <alignment vertical="center"/>
    </xf>
    <xf numFmtId="167" fontId="147" fillId="0" borderId="0" xfId="0" applyNumberFormat="1" applyFont="1" applyAlignment="1">
      <alignment vertical="center"/>
    </xf>
    <xf numFmtId="9" fontId="99" fillId="0" borderId="0" xfId="0" applyNumberFormat="1" applyFont="1" applyAlignment="1">
      <alignment vertical="center"/>
    </xf>
    <xf numFmtId="9" fontId="147" fillId="0" borderId="0" xfId="0" applyNumberFormat="1" applyFont="1" applyAlignment="1">
      <alignment vertical="center"/>
    </xf>
    <xf numFmtId="167" fontId="77" fillId="0" borderId="0" xfId="0" applyNumberFormat="1" applyFont="1"/>
    <xf numFmtId="0" fontId="142" fillId="0" borderId="0" xfId="0" applyFont="1" applyAlignment="1">
      <alignment vertical="center"/>
    </xf>
    <xf numFmtId="0" fontId="99" fillId="0" borderId="0" xfId="0" applyFont="1" applyAlignment="1">
      <alignment vertical="center"/>
    </xf>
    <xf numFmtId="0" fontId="147" fillId="0" borderId="0" xfId="0" applyFont="1" applyAlignment="1">
      <alignment vertical="center"/>
    </xf>
    <xf numFmtId="166" fontId="44" fillId="0" borderId="0" xfId="0" applyNumberFormat="1" applyFont="1"/>
    <xf numFmtId="0" fontId="157" fillId="0" borderId="0" xfId="0" applyFont="1"/>
    <xf numFmtId="0" fontId="82" fillId="0" borderId="0" xfId="0" applyFont="1"/>
    <xf numFmtId="0" fontId="31" fillId="0" borderId="0" xfId="0" applyFont="1"/>
    <xf numFmtId="0" fontId="144" fillId="0" borderId="0" xfId="0" applyFont="1" applyAlignment="1">
      <alignment vertical="center"/>
    </xf>
    <xf numFmtId="0" fontId="146" fillId="0" borderId="0" xfId="0" applyFont="1" applyAlignment="1">
      <alignment vertical="center"/>
    </xf>
    <xf numFmtId="0" fontId="88" fillId="0" borderId="0" xfId="0" applyFont="1"/>
    <xf numFmtId="49" fontId="158" fillId="0" borderId="0" xfId="0" applyNumberFormat="1" applyFont="1"/>
    <xf numFmtId="0" fontId="158" fillId="0" borderId="0" xfId="0" applyFont="1"/>
    <xf numFmtId="0" fontId="18" fillId="0" borderId="0" xfId="0" quotePrefix="1" applyFont="1"/>
    <xf numFmtId="0" fontId="17" fillId="0" borderId="0" xfId="0" applyFont="1"/>
    <xf numFmtId="167" fontId="0" fillId="0" borderId="0" xfId="0" applyNumberFormat="1"/>
    <xf numFmtId="0" fontId="133" fillId="0" borderId="0" xfId="0" applyFont="1" applyAlignment="1">
      <alignment vertical="center"/>
    </xf>
    <xf numFmtId="0" fontId="160" fillId="0" borderId="0" xfId="0" applyFont="1" applyAlignment="1">
      <alignment vertical="center"/>
    </xf>
    <xf numFmtId="0" fontId="15" fillId="0" borderId="0" xfId="0" applyFont="1"/>
    <xf numFmtId="0" fontId="14" fillId="0" borderId="0" xfId="0" applyFont="1"/>
    <xf numFmtId="0" fontId="69" fillId="0" borderId="0" xfId="0" applyFont="1" applyAlignment="1">
      <alignment horizontal="left" vertical="top" wrapText="1"/>
    </xf>
    <xf numFmtId="0" fontId="69" fillId="0" borderId="0" xfId="0" applyFont="1" applyAlignment="1">
      <alignment vertical="top" wrapText="1"/>
    </xf>
    <xf numFmtId="0" fontId="12" fillId="0" borderId="0" xfId="0" applyFont="1"/>
    <xf numFmtId="0" fontId="44" fillId="17" borderId="39" xfId="0" applyFont="1" applyFill="1" applyBorder="1"/>
    <xf numFmtId="0" fontId="78" fillId="0" borderId="0" xfId="0" applyFont="1" applyAlignment="1">
      <alignment horizontal="center" vertical="center" wrapText="1"/>
    </xf>
    <xf numFmtId="0" fontId="0" fillId="0" borderId="78" xfId="0" applyBorder="1"/>
    <xf numFmtId="181" fontId="0" fillId="19" borderId="0" xfId="0" applyNumberFormat="1" applyFill="1"/>
    <xf numFmtId="0" fontId="44" fillId="0" borderId="0" xfId="0" applyFont="1" applyAlignment="1">
      <alignment horizontal="center" wrapText="1"/>
    </xf>
    <xf numFmtId="0" fontId="44" fillId="0" borderId="12" xfId="0" applyFont="1" applyBorder="1" applyAlignment="1">
      <alignment horizontal="center" wrapText="1"/>
    </xf>
    <xf numFmtId="176" fontId="2" fillId="0" borderId="32" xfId="0" applyNumberFormat="1" applyFont="1" applyBorder="1" applyAlignment="1">
      <alignment horizontal="center" shrinkToFit="1"/>
    </xf>
    <xf numFmtId="176" fontId="2" fillId="0" borderId="15" xfId="0" applyNumberFormat="1" applyFont="1" applyBorder="1" applyAlignment="1">
      <alignment horizontal="center" shrinkToFit="1"/>
    </xf>
    <xf numFmtId="0" fontId="1" fillId="0" borderId="0" xfId="0" applyFont="1"/>
    <xf numFmtId="176" fontId="0" fillId="11" borderId="1" xfId="0" applyNumberFormat="1" applyFill="1" applyBorder="1"/>
    <xf numFmtId="176" fontId="0" fillId="10" borderId="1" xfId="0" applyNumberFormat="1" applyFill="1" applyBorder="1"/>
    <xf numFmtId="1" fontId="0" fillId="11" borderId="1" xfId="0" applyNumberFormat="1" applyFill="1" applyBorder="1"/>
    <xf numFmtId="1" fontId="0" fillId="10" borderId="1" xfId="0" applyNumberFormat="1" applyFill="1" applyBorder="1"/>
    <xf numFmtId="167" fontId="0" fillId="11" borderId="1" xfId="0" applyNumberFormat="1" applyFill="1" applyBorder="1"/>
    <xf numFmtId="167" fontId="0" fillId="10" borderId="1" xfId="0" applyNumberFormat="1" applyFill="1" applyBorder="1"/>
    <xf numFmtId="167" fontId="74" fillId="7" borderId="1" xfId="0" applyNumberFormat="1" applyFont="1" applyFill="1" applyBorder="1"/>
    <xf numFmtId="167" fontId="74" fillId="11" borderId="1" xfId="0" applyNumberFormat="1" applyFont="1" applyFill="1" applyBorder="1"/>
    <xf numFmtId="167" fontId="74" fillId="10" borderId="1" xfId="0" applyNumberFormat="1" applyFont="1" applyFill="1" applyBorder="1"/>
    <xf numFmtId="0" fontId="74" fillId="0" borderId="0" xfId="0" applyFont="1"/>
    <xf numFmtId="167" fontId="74" fillId="0" borderId="0" xfId="0" applyNumberFormat="1" applyFont="1"/>
    <xf numFmtId="0" fontId="162" fillId="11" borderId="1" xfId="1" applyFont="1" applyFill="1" applyBorder="1"/>
    <xf numFmtId="1" fontId="74" fillId="7" borderId="1" xfId="0" applyNumberFormat="1" applyFont="1" applyFill="1" applyBorder="1"/>
    <xf numFmtId="176" fontId="74" fillId="7" borderId="1" xfId="0" applyNumberFormat="1" applyFont="1" applyFill="1" applyBorder="1"/>
    <xf numFmtId="0" fontId="56" fillId="0" borderId="0" xfId="0" applyFont="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63" fillId="0" borderId="1" xfId="0" applyFont="1" applyBorder="1" applyAlignment="1">
      <alignment horizontal="left" vertical="top" wrapText="1"/>
    </xf>
    <xf numFmtId="0" fontId="1" fillId="0" borderId="0" xfId="0" applyFont="1" applyAlignment="1">
      <alignment wrapText="1"/>
    </xf>
    <xf numFmtId="0" fontId="0" fillId="37" borderId="36" xfId="0" applyFill="1" applyBorder="1"/>
    <xf numFmtId="0" fontId="0" fillId="37" borderId="20" xfId="0" applyFill="1" applyBorder="1"/>
    <xf numFmtId="0" fontId="0" fillId="37" borderId="3" xfId="0" applyFill="1" applyBorder="1"/>
    <xf numFmtId="0" fontId="43" fillId="37" borderId="33" xfId="0" applyFont="1" applyFill="1" applyBorder="1"/>
    <xf numFmtId="0" fontId="1" fillId="37" borderId="0" xfId="0" applyFont="1" applyFill="1"/>
    <xf numFmtId="0" fontId="1" fillId="37" borderId="4" xfId="0" applyFont="1" applyFill="1" applyBorder="1"/>
    <xf numFmtId="0" fontId="1" fillId="37" borderId="33" xfId="0" applyFont="1" applyFill="1" applyBorder="1"/>
    <xf numFmtId="0" fontId="1" fillId="37" borderId="37" xfId="0" applyFont="1" applyFill="1" applyBorder="1"/>
    <xf numFmtId="0" fontId="1" fillId="37" borderId="21" xfId="0" applyFont="1" applyFill="1" applyBorder="1"/>
    <xf numFmtId="0" fontId="1" fillId="37" borderId="5" xfId="0" applyFont="1" applyFill="1" applyBorder="1"/>
    <xf numFmtId="0" fontId="64" fillId="38" borderId="78" xfId="5" applyFont="1" applyFill="1" applyBorder="1"/>
    <xf numFmtId="1" fontId="72" fillId="7" borderId="1" xfId="0" applyNumberFormat="1" applyFont="1" applyFill="1" applyBorder="1"/>
    <xf numFmtId="176" fontId="72" fillId="7" borderId="1" xfId="0" applyNumberFormat="1" applyFont="1" applyFill="1" applyBorder="1"/>
    <xf numFmtId="167" fontId="72" fillId="7" borderId="1" xfId="0" applyNumberFormat="1" applyFont="1" applyFill="1" applyBorder="1"/>
    <xf numFmtId="0" fontId="72" fillId="11" borderId="1" xfId="0" applyFont="1" applyFill="1" applyBorder="1"/>
    <xf numFmtId="1" fontId="74" fillId="12" borderId="1" xfId="0" applyNumberFormat="1" applyFont="1" applyFill="1" applyBorder="1"/>
    <xf numFmtId="1" fontId="72" fillId="12" borderId="1" xfId="0" applyNumberFormat="1" applyFont="1" applyFill="1" applyBorder="1"/>
    <xf numFmtId="167" fontId="72" fillId="12" borderId="1" xfId="0" applyNumberFormat="1" applyFont="1" applyFill="1" applyBorder="1"/>
    <xf numFmtId="176" fontId="72" fillId="12" borderId="1" xfId="0" applyNumberFormat="1" applyFont="1" applyFill="1" applyBorder="1"/>
    <xf numFmtId="172" fontId="44" fillId="0" borderId="0" xfId="0" applyNumberFormat="1" applyFont="1" applyAlignment="1">
      <alignment horizontal="center" shrinkToFit="1"/>
    </xf>
    <xf numFmtId="167" fontId="44" fillId="0" borderId="0" xfId="0" applyNumberFormat="1" applyFont="1" applyAlignment="1">
      <alignment horizontal="center" shrinkToFit="1"/>
    </xf>
    <xf numFmtId="177" fontId="44" fillId="0" borderId="0" xfId="0" applyNumberFormat="1" applyFont="1" applyAlignment="1">
      <alignment horizontal="center" shrinkToFit="1"/>
    </xf>
    <xf numFmtId="3" fontId="44" fillId="0" borderId="0" xfId="0" applyNumberFormat="1" applyFont="1" applyAlignment="1">
      <alignment horizontal="center" shrinkToFit="1"/>
    </xf>
    <xf numFmtId="3" fontId="44" fillId="0" borderId="0" xfId="0" applyNumberFormat="1" applyFont="1" applyAlignment="1">
      <alignment horizontal="center" wrapText="1" shrinkToFit="1"/>
    </xf>
    <xf numFmtId="0" fontId="0" fillId="10" borderId="7" xfId="0" applyFill="1" applyBorder="1"/>
    <xf numFmtId="177" fontId="1" fillId="0" borderId="0" xfId="0" quotePrefix="1" applyNumberFormat="1" applyFont="1" applyAlignment="1">
      <alignment horizontal="center" wrapText="1" shrinkToFit="1"/>
    </xf>
    <xf numFmtId="49" fontId="1" fillId="0" borderId="17" xfId="0" applyNumberFormat="1" applyFont="1" applyBorder="1" applyAlignment="1" applyProtection="1">
      <alignment horizontal="center"/>
      <protection locked="0"/>
    </xf>
    <xf numFmtId="0" fontId="1" fillId="0" borderId="59" xfId="0" applyFont="1" applyBorder="1"/>
    <xf numFmtId="14" fontId="44" fillId="0" borderId="0" xfId="0" applyNumberFormat="1" applyFont="1"/>
    <xf numFmtId="14" fontId="44" fillId="0" borderId="0" xfId="0" applyNumberFormat="1" applyFont="1" applyAlignment="1">
      <alignment wrapText="1"/>
    </xf>
    <xf numFmtId="0" fontId="1" fillId="0" borderId="0" xfId="0" quotePrefix="1" applyFont="1"/>
    <xf numFmtId="0" fontId="76" fillId="0" borderId="0" xfId="0" applyFont="1" applyAlignment="1">
      <alignment vertical="center" wrapText="1"/>
    </xf>
    <xf numFmtId="3" fontId="44" fillId="0" borderId="32" xfId="0" applyNumberFormat="1" applyFont="1" applyBorder="1" applyAlignment="1">
      <alignment horizontal="center" shrinkToFit="1"/>
    </xf>
    <xf numFmtId="3" fontId="44" fillId="0" borderId="15" xfId="0" applyNumberFormat="1" applyFont="1" applyBorder="1" applyAlignment="1">
      <alignment horizontal="center" shrinkToFit="1"/>
    </xf>
    <xf numFmtId="0" fontId="168" fillId="0" borderId="0" xfId="0" applyFont="1" applyAlignment="1">
      <alignment vertical="center" wrapText="1"/>
    </xf>
    <xf numFmtId="0" fontId="44" fillId="0" borderId="1" xfId="0" applyFont="1" applyBorder="1" applyAlignment="1" applyProtection="1">
      <alignment wrapText="1"/>
      <protection locked="0"/>
    </xf>
    <xf numFmtId="0" fontId="0" fillId="45" borderId="0" xfId="0" applyFill="1"/>
    <xf numFmtId="0" fontId="1" fillId="45" borderId="0" xfId="0" applyFont="1" applyFill="1"/>
    <xf numFmtId="0" fontId="1" fillId="45" borderId="0" xfId="0" applyFont="1" applyFill="1" applyAlignment="1">
      <alignment horizontal="left"/>
    </xf>
    <xf numFmtId="0" fontId="0" fillId="46" borderId="250" xfId="0" applyFill="1" applyBorder="1"/>
    <xf numFmtId="0" fontId="0" fillId="46" borderId="251" xfId="0" applyFill="1" applyBorder="1"/>
    <xf numFmtId="0" fontId="0" fillId="46" borderId="253" xfId="0" applyFill="1" applyBorder="1"/>
    <xf numFmtId="0" fontId="0" fillId="46" borderId="0" xfId="0" applyFill="1"/>
    <xf numFmtId="0" fontId="0" fillId="46" borderId="255" xfId="0" applyFill="1" applyBorder="1"/>
    <xf numFmtId="0" fontId="0" fillId="46" borderId="256" xfId="0" applyFill="1" applyBorder="1"/>
    <xf numFmtId="0" fontId="0" fillId="46" borderId="257" xfId="0" applyFill="1" applyBorder="1"/>
    <xf numFmtId="0" fontId="0" fillId="46" borderId="252" xfId="0" applyFill="1" applyBorder="1"/>
    <xf numFmtId="0" fontId="0" fillId="46" borderId="254" xfId="0" applyFill="1" applyBorder="1"/>
    <xf numFmtId="0" fontId="1" fillId="46" borderId="0" xfId="0" applyFont="1" applyFill="1"/>
    <xf numFmtId="0" fontId="1" fillId="46" borderId="0" xfId="0" applyFont="1" applyFill="1" applyAlignment="1">
      <alignment horizontal="left"/>
    </xf>
    <xf numFmtId="176" fontId="74" fillId="12" borderId="1" xfId="0" applyNumberFormat="1" applyFont="1" applyFill="1" applyBorder="1"/>
    <xf numFmtId="167" fontId="74" fillId="12" borderId="1" xfId="0" applyNumberFormat="1" applyFont="1" applyFill="1" applyBorder="1"/>
    <xf numFmtId="0" fontId="65" fillId="0" borderId="0" xfId="5" applyFont="1" applyAlignment="1">
      <alignment horizontal="left"/>
    </xf>
    <xf numFmtId="0" fontId="174" fillId="0" borderId="0" xfId="5" applyFont="1" applyAlignment="1">
      <alignment horizontal="left"/>
    </xf>
    <xf numFmtId="49" fontId="65" fillId="0" borderId="0" xfId="5" applyNumberFormat="1" applyFont="1" applyAlignment="1">
      <alignment horizontal="left"/>
    </xf>
    <xf numFmtId="14" fontId="65" fillId="0" borderId="0" xfId="5" applyNumberFormat="1" applyFont="1" applyAlignment="1">
      <alignment horizontal="left"/>
    </xf>
    <xf numFmtId="4" fontId="65" fillId="0" borderId="0" xfId="5" applyNumberFormat="1" applyFont="1" applyAlignment="1">
      <alignment horizontal="left"/>
    </xf>
    <xf numFmtId="0" fontId="65" fillId="39" borderId="77" xfId="5" applyFont="1" applyFill="1" applyBorder="1" applyAlignment="1">
      <alignment horizontal="left"/>
    </xf>
    <xf numFmtId="49" fontId="65" fillId="39" borderId="78" xfId="5" applyNumberFormat="1" applyFont="1" applyFill="1" applyBorder="1" applyAlignment="1">
      <alignment horizontal="left"/>
    </xf>
    <xf numFmtId="0" fontId="65" fillId="39" borderId="78" xfId="5" applyFont="1" applyFill="1" applyBorder="1" applyAlignment="1">
      <alignment horizontal="left"/>
    </xf>
    <xf numFmtId="14" fontId="65" fillId="39" borderId="78" xfId="5" applyNumberFormat="1" applyFont="1" applyFill="1" applyBorder="1" applyAlignment="1">
      <alignment horizontal="left"/>
    </xf>
    <xf numFmtId="0" fontId="65" fillId="39" borderId="78" xfId="5" applyFont="1" applyFill="1" applyBorder="1"/>
    <xf numFmtId="0" fontId="65" fillId="39" borderId="89" xfId="5" applyFont="1" applyFill="1" applyBorder="1"/>
    <xf numFmtId="0" fontId="65" fillId="0" borderId="77" xfId="5" applyFont="1" applyBorder="1" applyAlignment="1">
      <alignment horizontal="left"/>
    </xf>
    <xf numFmtId="49" fontId="65" fillId="0" borderId="78" xfId="5" applyNumberFormat="1" applyFont="1" applyBorder="1" applyAlignment="1">
      <alignment horizontal="left"/>
    </xf>
    <xf numFmtId="0" fontId="65" fillId="0" borderId="78" xfId="5" applyFont="1" applyBorder="1" applyAlignment="1">
      <alignment horizontal="left"/>
    </xf>
    <xf numFmtId="14" fontId="65" fillId="0" borderId="78" xfId="5" applyNumberFormat="1" applyFont="1" applyBorder="1" applyAlignment="1">
      <alignment horizontal="left"/>
    </xf>
    <xf numFmtId="0" fontId="65" fillId="0" borderId="78" xfId="5" applyFont="1" applyBorder="1"/>
    <xf numFmtId="0" fontId="65" fillId="0" borderId="89" xfId="5" applyFont="1" applyBorder="1"/>
    <xf numFmtId="0" fontId="65" fillId="39" borderId="219" xfId="5" applyFont="1" applyFill="1" applyBorder="1" applyAlignment="1">
      <alignment horizontal="left"/>
    </xf>
    <xf numFmtId="0" fontId="130" fillId="0" borderId="0" xfId="5" applyFont="1" applyAlignment="1">
      <alignment horizontal="left"/>
    </xf>
    <xf numFmtId="49" fontId="130" fillId="0" borderId="0" xfId="5" applyNumberFormat="1" applyFont="1" applyAlignment="1">
      <alignment horizontal="left"/>
    </xf>
    <xf numFmtId="14" fontId="130" fillId="0" borderId="0" xfId="5" applyNumberFormat="1" applyFont="1" applyAlignment="1">
      <alignment horizontal="left"/>
    </xf>
    <xf numFmtId="0" fontId="65" fillId="0" borderId="220" xfId="5" applyFont="1" applyBorder="1"/>
    <xf numFmtId="0" fontId="65" fillId="0" borderId="221" xfId="5" applyFont="1" applyBorder="1"/>
    <xf numFmtId="0" fontId="64" fillId="44" borderId="220" xfId="5" applyFont="1" applyFill="1" applyBorder="1"/>
    <xf numFmtId="0" fontId="0" fillId="45" borderId="277" xfId="0" applyFill="1" applyBorder="1"/>
    <xf numFmtId="0" fontId="0" fillId="45" borderId="282" xfId="0" applyFill="1" applyBorder="1"/>
    <xf numFmtId="0" fontId="0" fillId="45" borderId="280" xfId="0" applyFill="1" applyBorder="1"/>
    <xf numFmtId="0" fontId="0" fillId="45" borderId="279" xfId="0" applyFill="1" applyBorder="1"/>
    <xf numFmtId="0" fontId="0" fillId="45" borderId="276" xfId="0" applyFill="1" applyBorder="1"/>
    <xf numFmtId="0" fontId="0" fillId="45" borderId="278" xfId="0" applyFill="1" applyBorder="1"/>
    <xf numFmtId="0" fontId="0" fillId="45" borderId="281" xfId="0" applyFill="1" applyBorder="1"/>
    <xf numFmtId="0" fontId="0" fillId="45" borderId="283" xfId="0" applyFill="1" applyBorder="1"/>
    <xf numFmtId="0" fontId="1" fillId="46" borderId="292" xfId="0" applyFont="1" applyFill="1" applyBorder="1"/>
    <xf numFmtId="0" fontId="39" fillId="8" borderId="0" xfId="1" applyNumberFormat="1" applyFill="1"/>
    <xf numFmtId="0" fontId="176" fillId="0" borderId="0" xfId="0" applyFont="1" applyAlignment="1">
      <alignment vertical="center"/>
    </xf>
    <xf numFmtId="0" fontId="54" fillId="0" borderId="0" xfId="0" applyFont="1" applyAlignment="1">
      <alignment vertical="center"/>
    </xf>
    <xf numFmtId="0" fontId="177" fillId="0" borderId="0" xfId="0" applyFont="1" applyAlignment="1">
      <alignment horizontal="left" vertical="center" indent="3"/>
    </xf>
    <xf numFmtId="0" fontId="178" fillId="0" borderId="0" xfId="0" applyFont="1" applyAlignment="1">
      <alignment horizontal="left" vertical="center" indent="3"/>
    </xf>
    <xf numFmtId="0" fontId="177" fillId="0" borderId="0" xfId="0" applyFont="1" applyAlignment="1">
      <alignment horizontal="left" vertical="center" indent="2"/>
    </xf>
    <xf numFmtId="0" fontId="176" fillId="0" borderId="0" xfId="0" applyFont="1" applyAlignment="1">
      <alignment horizontal="left" vertical="center" indent="2"/>
    </xf>
    <xf numFmtId="0" fontId="0" fillId="36" borderId="0" xfId="0" applyFill="1" applyProtection="1">
      <protection locked="0" hidden="1"/>
    </xf>
    <xf numFmtId="0" fontId="0" fillId="36" borderId="0" xfId="0" applyFill="1" applyAlignment="1">
      <alignment wrapText="1"/>
    </xf>
    <xf numFmtId="0" fontId="56" fillId="0" borderId="0" xfId="0" applyFont="1"/>
    <xf numFmtId="0" fontId="83" fillId="0" borderId="0" xfId="0" applyFont="1" applyAlignment="1">
      <alignment vertical="center" wrapText="1"/>
    </xf>
    <xf numFmtId="0" fontId="182" fillId="0" borderId="0" xfId="0" applyFont="1"/>
    <xf numFmtId="0" fontId="182" fillId="0" borderId="0" xfId="0" applyFont="1" applyAlignment="1">
      <alignment horizontal="left"/>
    </xf>
    <xf numFmtId="0" fontId="84" fillId="0" borderId="0" xfId="0" applyFont="1" applyAlignment="1">
      <alignment horizontal="center" vertical="center" wrapText="1"/>
    </xf>
    <xf numFmtId="0" fontId="57" fillId="0" borderId="0" xfId="0" applyFont="1" applyAlignment="1">
      <alignment horizontal="left" vertical="center"/>
    </xf>
    <xf numFmtId="0" fontId="183" fillId="0" borderId="0" xfId="0" applyFont="1"/>
    <xf numFmtId="0" fontId="174" fillId="0" borderId="0" xfId="5" applyFont="1"/>
    <xf numFmtId="0" fontId="59" fillId="19" borderId="0" xfId="5" applyFill="1" applyAlignment="1">
      <alignment horizontal="left"/>
    </xf>
    <xf numFmtId="0" fontId="184" fillId="0" borderId="0" xfId="0" applyFont="1"/>
    <xf numFmtId="2" fontId="0" fillId="0" borderId="78" xfId="0" applyNumberFormat="1" applyBorder="1"/>
    <xf numFmtId="0" fontId="61" fillId="0" borderId="0" xfId="0" applyFont="1" applyAlignment="1">
      <alignment horizontal="center" vertical="center"/>
    </xf>
    <xf numFmtId="0" fontId="79" fillId="20" borderId="0" xfId="0" applyFont="1" applyFill="1" applyAlignment="1">
      <alignment horizontal="center" wrapText="1"/>
    </xf>
    <xf numFmtId="165" fontId="44" fillId="0" borderId="0" xfId="0" applyNumberFormat="1" applyFont="1" applyAlignment="1">
      <alignment horizontal="left"/>
    </xf>
    <xf numFmtId="0" fontId="44" fillId="0" borderId="0" xfId="0" applyFont="1" applyAlignment="1">
      <alignment horizontal="left"/>
    </xf>
    <xf numFmtId="0" fontId="78" fillId="0" borderId="0" xfId="0" applyFont="1" applyAlignment="1">
      <alignment horizontal="left" wrapText="1"/>
    </xf>
    <xf numFmtId="0" fontId="76" fillId="0" borderId="0" xfId="0" applyFont="1" applyAlignment="1">
      <alignment horizontal="left" vertical="center" wrapText="1"/>
    </xf>
    <xf numFmtId="0" fontId="58" fillId="47" borderId="48" xfId="0" applyFont="1" applyFill="1" applyBorder="1" applyAlignment="1">
      <alignment horizontal="center" wrapText="1"/>
    </xf>
    <xf numFmtId="0" fontId="58" fillId="47" borderId="49" xfId="0" applyFont="1" applyFill="1" applyBorder="1" applyAlignment="1">
      <alignment horizontal="center" wrapText="1"/>
    </xf>
    <xf numFmtId="167" fontId="98" fillId="4" borderId="70" xfId="0" applyNumberFormat="1" applyFont="1" applyFill="1" applyBorder="1" applyAlignment="1">
      <alignment horizontal="center" vertical="center"/>
    </xf>
    <xf numFmtId="167" fontId="98" fillId="4" borderId="71" xfId="0" applyNumberFormat="1" applyFont="1" applyFill="1" applyBorder="1" applyAlignment="1">
      <alignment horizontal="center" vertical="center"/>
    </xf>
    <xf numFmtId="167" fontId="98" fillId="4" borderId="73" xfId="0" applyNumberFormat="1" applyFont="1" applyFill="1" applyBorder="1" applyAlignment="1">
      <alignment horizontal="center" vertical="center"/>
    </xf>
    <xf numFmtId="167" fontId="98" fillId="4" borderId="74" xfId="0" applyNumberFormat="1" applyFont="1" applyFill="1" applyBorder="1" applyAlignment="1">
      <alignment horizontal="center" vertical="center"/>
    </xf>
    <xf numFmtId="0" fontId="107" fillId="47" borderId="49" xfId="0" applyFont="1" applyFill="1" applyBorder="1" applyAlignment="1">
      <alignment horizontal="center" wrapText="1"/>
    </xf>
    <xf numFmtId="0" fontId="107" fillId="47" borderId="50" xfId="0" applyFont="1" applyFill="1" applyBorder="1" applyAlignment="1">
      <alignment horizontal="center" wrapText="1"/>
    </xf>
    <xf numFmtId="9" fontId="98" fillId="4" borderId="71" xfId="6" applyFont="1" applyFill="1" applyBorder="1" applyAlignment="1">
      <alignment horizontal="center" vertical="center"/>
    </xf>
    <xf numFmtId="9" fontId="98" fillId="4" borderId="72" xfId="6" applyFont="1" applyFill="1" applyBorder="1" applyAlignment="1">
      <alignment horizontal="center" vertical="center"/>
    </xf>
    <xf numFmtId="9" fontId="98" fillId="4" borderId="74" xfId="6" applyFont="1" applyFill="1" applyBorder="1" applyAlignment="1">
      <alignment horizontal="center" vertical="center"/>
    </xf>
    <xf numFmtId="9" fontId="98" fillId="4" borderId="75" xfId="6" applyFont="1" applyFill="1" applyBorder="1" applyAlignment="1">
      <alignment horizontal="center" vertical="center"/>
    </xf>
    <xf numFmtId="0" fontId="58" fillId="47" borderId="49" xfId="0" applyFont="1" applyFill="1" applyBorder="1" applyAlignment="1">
      <alignment horizontal="center"/>
    </xf>
    <xf numFmtId="0" fontId="43" fillId="4" borderId="71" xfId="0" applyFont="1" applyFill="1" applyBorder="1" applyAlignment="1">
      <alignment horizontal="center" vertical="center" wrapText="1"/>
    </xf>
    <xf numFmtId="0" fontId="43" fillId="4" borderId="74" xfId="0" applyFont="1" applyFill="1" applyBorder="1" applyAlignment="1">
      <alignment horizontal="center" vertical="center" wrapText="1"/>
    </xf>
    <xf numFmtId="0" fontId="138" fillId="0" borderId="0" xfId="0" applyFont="1" applyAlignment="1">
      <alignment horizontal="center"/>
    </xf>
    <xf numFmtId="0" fontId="151" fillId="0" borderId="0" xfId="0" applyFont="1" applyAlignment="1">
      <alignment horizontal="center"/>
    </xf>
    <xf numFmtId="0" fontId="88" fillId="0" borderId="0" xfId="0" applyFont="1" applyAlignment="1">
      <alignment horizontal="center"/>
    </xf>
    <xf numFmtId="0" fontId="84" fillId="0" borderId="0" xfId="0" applyFont="1" applyAlignment="1">
      <alignment horizontal="center"/>
    </xf>
    <xf numFmtId="0" fontId="0" fillId="0" borderId="0" xfId="0"/>
    <xf numFmtId="0" fontId="0" fillId="0" borderId="0" xfId="0" applyAlignment="1">
      <alignment horizontal="center"/>
    </xf>
    <xf numFmtId="0" fontId="70" fillId="0" borderId="0" xfId="0" applyFont="1" applyAlignment="1">
      <alignment horizontal="center"/>
    </xf>
    <xf numFmtId="9" fontId="98" fillId="4" borderId="71" xfId="6" applyFont="1" applyFill="1" applyBorder="1" applyAlignment="1" applyProtection="1">
      <alignment horizontal="center" vertical="center"/>
    </xf>
    <xf numFmtId="9" fontId="98" fillId="4" borderId="72" xfId="6" applyFont="1" applyFill="1" applyBorder="1" applyAlignment="1" applyProtection="1">
      <alignment horizontal="center" vertical="center"/>
    </xf>
    <xf numFmtId="9" fontId="98" fillId="4" borderId="74" xfId="6" applyFont="1" applyFill="1" applyBorder="1" applyAlignment="1" applyProtection="1">
      <alignment horizontal="center" vertical="center"/>
    </xf>
    <xf numFmtId="9" fontId="98" fillId="4" borderId="75" xfId="6" applyFont="1" applyFill="1" applyBorder="1" applyAlignment="1" applyProtection="1">
      <alignment horizontal="center" vertical="center"/>
    </xf>
    <xf numFmtId="0" fontId="89" fillId="0" borderId="0" xfId="0" applyFont="1" applyAlignment="1">
      <alignment horizontal="center"/>
    </xf>
    <xf numFmtId="0" fontId="56" fillId="0" borderId="0" xfId="0" applyFont="1" applyAlignment="1">
      <alignment horizontal="left" vertical="top" wrapText="1"/>
    </xf>
    <xf numFmtId="0" fontId="112" fillId="0" borderId="0" xfId="0" applyFont="1" applyAlignment="1">
      <alignment horizontal="left" vertical="top" wrapText="1"/>
    </xf>
    <xf numFmtId="0" fontId="47" fillId="7" borderId="1" xfId="0" applyFont="1" applyFill="1" applyBorder="1" applyAlignment="1">
      <alignment horizontal="center"/>
    </xf>
    <xf numFmtId="1" fontId="47" fillId="0" borderId="38" xfId="0" applyNumberFormat="1" applyFont="1" applyBorder="1" applyAlignment="1" applyProtection="1">
      <alignment horizontal="center"/>
      <protection locked="0"/>
    </xf>
    <xf numFmtId="1" fontId="47" fillId="0" borderId="2" xfId="0" applyNumberFormat="1" applyFont="1" applyBorder="1" applyAlignment="1" applyProtection="1">
      <alignment horizontal="center"/>
      <protection locked="0"/>
    </xf>
    <xf numFmtId="0" fontId="94" fillId="0" borderId="0" xfId="0" applyFont="1" applyAlignment="1">
      <alignment horizontal="left" vertical="top" wrapText="1"/>
    </xf>
    <xf numFmtId="0" fontId="94" fillId="0" borderId="21" xfId="0" applyFont="1" applyBorder="1" applyAlignment="1">
      <alignment horizontal="left" vertical="top" wrapText="1"/>
    </xf>
    <xf numFmtId="179" fontId="94" fillId="0" borderId="0" xfId="7" applyNumberFormat="1" applyFont="1" applyFill="1" applyBorder="1" applyAlignment="1" applyProtection="1">
      <alignment horizontal="center" vertical="top"/>
    </xf>
    <xf numFmtId="3" fontId="95" fillId="22" borderId="1" xfId="7" applyNumberFormat="1" applyFont="1" applyFill="1" applyBorder="1" applyAlignment="1" applyProtection="1">
      <alignment horizontal="center" vertical="top"/>
    </xf>
    <xf numFmtId="0" fontId="46" fillId="0" borderId="0" xfId="0" applyFont="1" applyAlignment="1">
      <alignment horizontal="center" wrapText="1"/>
    </xf>
    <xf numFmtId="0" fontId="46" fillId="0" borderId="21" xfId="0" applyFont="1" applyBorder="1" applyAlignment="1">
      <alignment horizontal="center" wrapText="1"/>
    </xf>
    <xf numFmtId="0" fontId="47" fillId="0" borderId="21" xfId="0" applyFont="1" applyBorder="1" applyAlignment="1">
      <alignment horizontal="center"/>
    </xf>
    <xf numFmtId="0" fontId="46" fillId="7" borderId="1" xfId="0" applyFont="1" applyFill="1" applyBorder="1" applyAlignment="1">
      <alignment horizontal="left" wrapText="1"/>
    </xf>
    <xf numFmtId="14" fontId="46" fillId="7" borderId="1" xfId="0" applyNumberFormat="1" applyFont="1" applyFill="1" applyBorder="1" applyAlignment="1">
      <alignment horizontal="center" wrapText="1"/>
    </xf>
    <xf numFmtId="0" fontId="47" fillId="0" borderId="1" xfId="0" applyFont="1" applyBorder="1" applyAlignment="1" applyProtection="1">
      <alignment horizontal="center"/>
      <protection hidden="1"/>
    </xf>
    <xf numFmtId="0" fontId="46" fillId="7" borderId="1" xfId="0" applyFont="1" applyFill="1" applyBorder="1" applyAlignment="1">
      <alignment horizontal="left"/>
    </xf>
    <xf numFmtId="1" fontId="46" fillId="0" borderId="1" xfId="0" applyNumberFormat="1" applyFont="1" applyBorder="1" applyAlignment="1" applyProtection="1">
      <alignment horizontal="left" wrapText="1"/>
      <protection locked="0"/>
    </xf>
    <xf numFmtId="0" fontId="46" fillId="21" borderId="1" xfId="8" applyFont="1" applyBorder="1" applyAlignment="1" applyProtection="1">
      <alignment horizontal="left"/>
    </xf>
    <xf numFmtId="1" fontId="46" fillId="21" borderId="1" xfId="8" applyNumberFormat="1" applyFont="1" applyBorder="1" applyAlignment="1" applyProtection="1">
      <alignment horizontal="left" wrapText="1"/>
    </xf>
    <xf numFmtId="0" fontId="46" fillId="13" borderId="1" xfId="0" applyFont="1" applyFill="1" applyBorder="1" applyAlignment="1">
      <alignment horizontal="right"/>
    </xf>
    <xf numFmtId="0" fontId="46" fillId="7" borderId="38" xfId="0" applyFont="1" applyFill="1" applyBorder="1" applyAlignment="1">
      <alignment horizontal="left" wrapText="1"/>
    </xf>
    <xf numFmtId="0" fontId="46" fillId="7" borderId="79" xfId="0" applyFont="1" applyFill="1" applyBorder="1" applyAlignment="1">
      <alignment horizontal="left" wrapText="1"/>
    </xf>
    <xf numFmtId="0" fontId="46" fillId="7" borderId="2" xfId="0" applyFont="1" applyFill="1" applyBorder="1" applyAlignment="1">
      <alignment horizontal="left" wrapText="1"/>
    </xf>
    <xf numFmtId="14" fontId="46" fillId="4" borderId="1" xfId="0" applyNumberFormat="1" applyFont="1" applyFill="1" applyBorder="1" applyAlignment="1" applyProtection="1">
      <alignment horizontal="center" wrapText="1"/>
      <protection locked="0"/>
    </xf>
    <xf numFmtId="0" fontId="47" fillId="4" borderId="1" xfId="0" applyFont="1" applyFill="1" applyBorder="1" applyAlignment="1" applyProtection="1">
      <alignment horizontal="center"/>
      <protection locked="0"/>
    </xf>
    <xf numFmtId="0" fontId="83" fillId="0" borderId="0" xfId="0" applyFont="1" applyAlignment="1">
      <alignment horizontal="center" vertical="center" wrapText="1"/>
    </xf>
    <xf numFmtId="0" fontId="44" fillId="0" borderId="17" xfId="0" applyFont="1" applyBorder="1" applyProtection="1">
      <protection locked="0"/>
    </xf>
    <xf numFmtId="0" fontId="44" fillId="0" borderId="18" xfId="0" applyFont="1" applyBorder="1" applyProtection="1">
      <protection locked="0"/>
    </xf>
    <xf numFmtId="0" fontId="44" fillId="0" borderId="19" xfId="0" applyFont="1" applyBorder="1" applyProtection="1">
      <protection locked="0"/>
    </xf>
    <xf numFmtId="183" fontId="1" fillId="0" borderId="17" xfId="0" applyNumberFormat="1" applyFont="1" applyBorder="1" applyAlignment="1" applyProtection="1">
      <alignment horizontal="left"/>
      <protection locked="0"/>
    </xf>
    <xf numFmtId="183" fontId="44" fillId="0" borderId="18" xfId="0" applyNumberFormat="1" applyFont="1" applyBorder="1" applyAlignment="1" applyProtection="1">
      <alignment horizontal="left"/>
      <protection locked="0"/>
    </xf>
    <xf numFmtId="183" fontId="44" fillId="0" borderId="19" xfId="0" applyNumberFormat="1" applyFont="1" applyBorder="1" applyAlignment="1" applyProtection="1">
      <alignment horizontal="left"/>
      <protection locked="0"/>
    </xf>
    <xf numFmtId="0" fontId="84" fillId="0" borderId="0" xfId="0" applyFont="1" applyAlignment="1">
      <alignment horizontal="center" vertical="center" wrapText="1"/>
    </xf>
    <xf numFmtId="0" fontId="1" fillId="0" borderId="17" xfId="0" applyFont="1" applyBorder="1" applyAlignment="1" applyProtection="1">
      <alignment horizontal="left"/>
      <protection locked="0"/>
    </xf>
    <xf numFmtId="0" fontId="44" fillId="0" borderId="18" xfId="0" applyFont="1" applyBorder="1" applyAlignment="1" applyProtection="1">
      <alignment horizontal="left"/>
      <protection locked="0"/>
    </xf>
    <xf numFmtId="0" fontId="44" fillId="0" borderId="19" xfId="0" applyFont="1" applyBorder="1" applyAlignment="1" applyProtection="1">
      <alignment horizontal="left"/>
      <protection locked="0"/>
    </xf>
    <xf numFmtId="0" fontId="44" fillId="0" borderId="17" xfId="0" applyFont="1" applyBorder="1" applyAlignment="1" applyProtection="1">
      <alignment horizontal="left"/>
      <protection locked="0"/>
    </xf>
    <xf numFmtId="0" fontId="44" fillId="0" borderId="228" xfId="0" applyFont="1" applyBorder="1" applyAlignment="1" applyProtection="1">
      <alignment horizontal="left" vertical="top" wrapText="1"/>
      <protection locked="0"/>
    </xf>
    <xf numFmtId="0" fontId="44" fillId="0" borderId="229" xfId="0" applyFont="1" applyBorder="1" applyAlignment="1" applyProtection="1">
      <alignment horizontal="left" vertical="top" wrapText="1"/>
      <protection locked="0"/>
    </xf>
    <xf numFmtId="0" fontId="44" fillId="0" borderId="230" xfId="0" applyFont="1" applyBorder="1" applyAlignment="1" applyProtection="1">
      <alignment horizontal="left" vertical="top" wrapText="1"/>
      <protection locked="0"/>
    </xf>
    <xf numFmtId="0" fontId="44" fillId="0" borderId="231" xfId="0" applyFont="1" applyBorder="1" applyAlignment="1" applyProtection="1">
      <alignment horizontal="left" vertical="top" wrapText="1"/>
      <protection locked="0"/>
    </xf>
    <xf numFmtId="0" fontId="44" fillId="0" borderId="22"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1" fillId="0" borderId="0" xfId="0" applyFont="1" applyAlignment="1">
      <alignment horizontal="left"/>
    </xf>
    <xf numFmtId="183" fontId="44" fillId="0" borderId="17" xfId="0" applyNumberFormat="1" applyFont="1" applyBorder="1" applyAlignment="1" applyProtection="1">
      <alignment horizontal="left"/>
      <protection locked="0"/>
    </xf>
    <xf numFmtId="0" fontId="179" fillId="7" borderId="36" xfId="0" applyFont="1" applyFill="1" applyBorder="1" applyAlignment="1">
      <alignment horizontal="left" vertical="center" wrapText="1"/>
    </xf>
    <xf numFmtId="0" fontId="179" fillId="7" borderId="20" xfId="0" applyFont="1" applyFill="1" applyBorder="1" applyAlignment="1">
      <alignment horizontal="left" vertical="center" wrapText="1"/>
    </xf>
    <xf numFmtId="0" fontId="179" fillId="7" borderId="3" xfId="0" applyFont="1" applyFill="1" applyBorder="1" applyAlignment="1">
      <alignment horizontal="left" vertical="center" wrapText="1"/>
    </xf>
    <xf numFmtId="0" fontId="179" fillId="7" borderId="33" xfId="0" applyFont="1" applyFill="1" applyBorder="1" applyAlignment="1">
      <alignment horizontal="left" vertical="center" wrapText="1"/>
    </xf>
    <xf numFmtId="0" fontId="179" fillId="7" borderId="0" xfId="0" applyFont="1" applyFill="1" applyAlignment="1">
      <alignment horizontal="left" vertical="center" wrapText="1"/>
    </xf>
    <xf numFmtId="0" fontId="179" fillId="7" borderId="4" xfId="0" applyFont="1" applyFill="1" applyBorder="1" applyAlignment="1">
      <alignment horizontal="left" vertical="center" wrapText="1"/>
    </xf>
    <xf numFmtId="0" fontId="179" fillId="7" borderId="37" xfId="0" applyFont="1" applyFill="1" applyBorder="1" applyAlignment="1">
      <alignment horizontal="left" vertical="center" wrapText="1"/>
    </xf>
    <xf numFmtId="0" fontId="179" fillId="7" borderId="21" xfId="0" applyFont="1" applyFill="1" applyBorder="1" applyAlignment="1">
      <alignment horizontal="left" vertical="center" wrapText="1"/>
    </xf>
    <xf numFmtId="0" fontId="179" fillId="7" borderId="5" xfId="0" applyFont="1" applyFill="1" applyBorder="1" applyAlignment="1">
      <alignment horizontal="left" vertical="center" wrapText="1"/>
    </xf>
    <xf numFmtId="0" fontId="139" fillId="0" borderId="0" xfId="0" applyFont="1" applyAlignment="1">
      <alignment horizontal="center" vertical="top" wrapText="1"/>
    </xf>
    <xf numFmtId="0" fontId="43" fillId="0" borderId="0" xfId="0" applyFont="1" applyAlignment="1">
      <alignment horizontal="left"/>
    </xf>
    <xf numFmtId="0" fontId="43" fillId="0" borderId="218" xfId="0" applyFont="1" applyBorder="1" applyAlignment="1">
      <alignment horizontal="left"/>
    </xf>
    <xf numFmtId="3" fontId="44" fillId="0" borderId="17" xfId="0" applyNumberFormat="1" applyFont="1" applyBorder="1" applyProtection="1">
      <protection locked="0"/>
    </xf>
    <xf numFmtId="3" fontId="44" fillId="0" borderId="18" xfId="0" applyNumberFormat="1" applyFont="1" applyBorder="1" applyProtection="1">
      <protection locked="0"/>
    </xf>
    <xf numFmtId="3" fontId="44" fillId="0" borderId="19" xfId="0" applyNumberFormat="1" applyFont="1" applyBorder="1" applyProtection="1">
      <protection locked="0"/>
    </xf>
    <xf numFmtId="0" fontId="44" fillId="0" borderId="59" xfId="0" applyFont="1" applyBorder="1"/>
    <xf numFmtId="180" fontId="44" fillId="19" borderId="17" xfId="0" applyNumberFormat="1" applyFont="1" applyFill="1" applyBorder="1" applyProtection="1">
      <protection locked="0" hidden="1"/>
    </xf>
    <xf numFmtId="180" fontId="44" fillId="19" borderId="18" xfId="0" applyNumberFormat="1" applyFont="1" applyFill="1" applyBorder="1" applyProtection="1">
      <protection locked="0" hidden="1"/>
    </xf>
    <xf numFmtId="180" fontId="44" fillId="19" borderId="19" xfId="0" applyNumberFormat="1" applyFont="1" applyFill="1" applyBorder="1" applyProtection="1">
      <protection locked="0" hidden="1"/>
    </xf>
    <xf numFmtId="0" fontId="84" fillId="0" borderId="0" xfId="0" applyFont="1" applyAlignment="1">
      <alignment horizontal="left" vertical="top" wrapText="1"/>
    </xf>
    <xf numFmtId="166" fontId="44" fillId="0" borderId="17" xfId="0" applyNumberFormat="1" applyFont="1" applyBorder="1" applyAlignment="1" applyProtection="1">
      <alignment horizontal="left"/>
      <protection locked="0" hidden="1"/>
    </xf>
    <xf numFmtId="166" fontId="44" fillId="0" borderId="18" xfId="0" applyNumberFormat="1" applyFont="1" applyBorder="1" applyAlignment="1" applyProtection="1">
      <alignment horizontal="left"/>
      <protection locked="0" hidden="1"/>
    </xf>
    <xf numFmtId="166" fontId="44" fillId="0" borderId="19" xfId="0" applyNumberFormat="1" applyFont="1" applyBorder="1" applyAlignment="1" applyProtection="1">
      <alignment horizontal="left"/>
      <protection locked="0" hidden="1"/>
    </xf>
    <xf numFmtId="0" fontId="10" fillId="0" borderId="17" xfId="0" applyFont="1" applyBorder="1" applyProtection="1">
      <protection locked="0"/>
    </xf>
    <xf numFmtId="0" fontId="10" fillId="0" borderId="19" xfId="0" applyFont="1" applyBorder="1" applyProtection="1">
      <protection locked="0"/>
    </xf>
    <xf numFmtId="0" fontId="10" fillId="0" borderId="0" xfId="0" applyFont="1" applyAlignment="1">
      <alignment horizontal="left"/>
    </xf>
    <xf numFmtId="0" fontId="10" fillId="0" borderId="218" xfId="0" applyFont="1" applyBorder="1" applyAlignment="1">
      <alignment horizontal="left"/>
    </xf>
    <xf numFmtId="0" fontId="88" fillId="0" borderId="0" xfId="0" applyFont="1" applyAlignment="1">
      <alignment horizontal="center" vertical="center"/>
    </xf>
    <xf numFmtId="49" fontId="44" fillId="0" borderId="17" xfId="0" applyNumberFormat="1" applyFont="1" applyBorder="1" applyAlignment="1" applyProtection="1">
      <alignment horizontal="left"/>
      <protection locked="0"/>
    </xf>
    <xf numFmtId="49" fontId="44" fillId="0" borderId="18" xfId="0" applyNumberFormat="1" applyFont="1" applyBorder="1" applyAlignment="1" applyProtection="1">
      <alignment horizontal="left"/>
      <protection locked="0"/>
    </xf>
    <xf numFmtId="49" fontId="44" fillId="0" borderId="19" xfId="0" applyNumberFormat="1" applyFont="1" applyBorder="1" applyAlignment="1" applyProtection="1">
      <alignment horizontal="left"/>
      <protection locked="0"/>
    </xf>
    <xf numFmtId="49" fontId="44" fillId="0" borderId="56" xfId="0" applyNumberFormat="1" applyFont="1" applyBorder="1" applyAlignment="1" applyProtection="1">
      <alignment horizontal="left"/>
      <protection locked="0"/>
    </xf>
    <xf numFmtId="49" fontId="44" fillId="0" borderId="57" xfId="0" applyNumberFormat="1" applyFont="1" applyBorder="1" applyAlignment="1" applyProtection="1">
      <alignment horizontal="left"/>
      <protection locked="0"/>
    </xf>
    <xf numFmtId="49" fontId="44" fillId="0" borderId="58" xfId="0" applyNumberFormat="1" applyFont="1" applyBorder="1" applyAlignment="1" applyProtection="1">
      <alignment horizontal="left"/>
      <protection locked="0"/>
    </xf>
    <xf numFmtId="0" fontId="44" fillId="24" borderId="17" xfId="0" applyFont="1" applyFill="1" applyBorder="1"/>
    <xf numFmtId="0" fontId="44" fillId="24" borderId="18" xfId="0" applyFont="1" applyFill="1" applyBorder="1"/>
    <xf numFmtId="0" fontId="44" fillId="24" borderId="19" xfId="0" applyFont="1" applyFill="1" applyBorder="1"/>
    <xf numFmtId="0" fontId="1" fillId="0" borderId="17" xfId="0" applyFont="1" applyBorder="1" applyProtection="1">
      <protection locked="0"/>
    </xf>
    <xf numFmtId="0" fontId="4" fillId="0" borderId="17" xfId="0" applyFont="1" applyBorder="1" applyProtection="1">
      <protection locked="0"/>
    </xf>
    <xf numFmtId="0" fontId="1" fillId="0" borderId="17" xfId="0" applyFont="1" applyBorder="1" applyProtection="1">
      <protection locked="0" hidden="1"/>
    </xf>
    <xf numFmtId="0" fontId="44" fillId="0" borderId="18" xfId="0" applyFont="1" applyBorder="1" applyProtection="1">
      <protection locked="0" hidden="1"/>
    </xf>
    <xf numFmtId="0" fontId="44" fillId="0" borderId="19" xfId="0" applyFont="1" applyBorder="1" applyProtection="1">
      <protection locked="0" hidden="1"/>
    </xf>
    <xf numFmtId="0" fontId="44" fillId="0" borderId="17" xfId="0" applyFont="1" applyBorder="1" applyProtection="1">
      <protection locked="0" hidden="1"/>
    </xf>
    <xf numFmtId="0" fontId="44" fillId="24" borderId="17" xfId="0" applyFont="1" applyFill="1" applyBorder="1" applyProtection="1">
      <protection hidden="1"/>
    </xf>
    <xf numFmtId="0" fontId="44" fillId="24" borderId="18" xfId="0" applyFont="1" applyFill="1" applyBorder="1" applyProtection="1">
      <protection hidden="1"/>
    </xf>
    <xf numFmtId="0" fontId="44" fillId="24" borderId="19" xfId="0" applyFont="1" applyFill="1" applyBorder="1" applyProtection="1">
      <protection hidden="1"/>
    </xf>
    <xf numFmtId="0" fontId="3" fillId="0" borderId="59" xfId="0" applyFont="1" applyBorder="1"/>
    <xf numFmtId="0" fontId="9" fillId="0" borderId="59" xfId="0" applyFont="1" applyBorder="1" applyAlignment="1">
      <alignment horizontal="left"/>
    </xf>
    <xf numFmtId="0" fontId="44" fillId="0" borderId="59" xfId="0" applyFont="1" applyBorder="1" applyAlignment="1">
      <alignment horizontal="left"/>
    </xf>
    <xf numFmtId="0" fontId="84" fillId="0" borderId="0" xfId="0" applyFont="1" applyAlignment="1">
      <alignment horizontal="left" wrapText="1"/>
    </xf>
    <xf numFmtId="166" fontId="1" fillId="0" borderId="17" xfId="0" applyNumberFormat="1" applyFont="1" applyBorder="1" applyAlignment="1" applyProtection="1">
      <alignment horizontal="left"/>
      <protection locked="0"/>
    </xf>
    <xf numFmtId="166" fontId="44" fillId="0" borderId="18" xfId="0" applyNumberFormat="1" applyFont="1" applyBorder="1" applyAlignment="1" applyProtection="1">
      <alignment horizontal="left"/>
      <protection locked="0"/>
    </xf>
    <xf numFmtId="166" fontId="44" fillId="0" borderId="19" xfId="0" applyNumberFormat="1" applyFont="1" applyBorder="1" applyAlignment="1" applyProtection="1">
      <alignment horizontal="left"/>
      <protection locked="0"/>
    </xf>
    <xf numFmtId="175" fontId="44" fillId="0" borderId="17" xfId="0" applyNumberFormat="1" applyFont="1" applyBorder="1" applyAlignment="1" applyProtection="1">
      <alignment horizontal="left"/>
      <protection locked="0"/>
    </xf>
    <xf numFmtId="175" fontId="44" fillId="0" borderId="18" xfId="0" applyNumberFormat="1" applyFont="1" applyBorder="1" applyAlignment="1" applyProtection="1">
      <alignment horizontal="left"/>
      <protection locked="0"/>
    </xf>
    <xf numFmtId="175" fontId="44" fillId="0" borderId="19" xfId="0" applyNumberFormat="1" applyFont="1" applyBorder="1" applyAlignment="1" applyProtection="1">
      <alignment horizontal="left"/>
      <protection locked="0"/>
    </xf>
    <xf numFmtId="0" fontId="1" fillId="0" borderId="104" xfId="0" applyFont="1" applyBorder="1" applyAlignment="1" applyProtection="1">
      <alignment horizontal="left" vertical="top" wrapText="1"/>
      <protection locked="0"/>
    </xf>
    <xf numFmtId="0" fontId="44" fillId="0" borderId="105" xfId="0" applyFont="1" applyBorder="1" applyAlignment="1" applyProtection="1">
      <alignment horizontal="left" vertical="top" wrapText="1"/>
      <protection locked="0"/>
    </xf>
    <xf numFmtId="0" fontId="44" fillId="0" borderId="106" xfId="0" applyFont="1" applyBorder="1" applyAlignment="1" applyProtection="1">
      <alignment horizontal="left" vertical="top" wrapText="1"/>
      <protection locked="0"/>
    </xf>
    <xf numFmtId="0" fontId="44" fillId="0" borderId="107"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3" xfId="0" applyFont="1" applyBorder="1" applyAlignment="1" applyProtection="1">
      <alignment horizontal="left" vertical="top" wrapText="1"/>
      <protection locked="0"/>
    </xf>
    <xf numFmtId="0" fontId="44" fillId="0" borderId="108" xfId="0" applyFont="1" applyBorder="1" applyAlignment="1" applyProtection="1">
      <alignment horizontal="left" vertical="top" wrapText="1"/>
      <protection locked="0"/>
    </xf>
    <xf numFmtId="0" fontId="1" fillId="0" borderId="59" xfId="0" applyFont="1" applyBorder="1"/>
    <xf numFmtId="49" fontId="44" fillId="0" borderId="17" xfId="0" applyNumberFormat="1" applyFont="1" applyBorder="1" applyProtection="1">
      <protection locked="0"/>
    </xf>
    <xf numFmtId="49" fontId="44" fillId="0" borderId="18" xfId="0" applyNumberFormat="1" applyFont="1" applyBorder="1" applyProtection="1">
      <protection locked="0"/>
    </xf>
    <xf numFmtId="49" fontId="44" fillId="0" borderId="19" xfId="0" applyNumberFormat="1" applyFont="1" applyBorder="1" applyProtection="1">
      <protection locked="0"/>
    </xf>
    <xf numFmtId="0" fontId="1" fillId="0" borderId="0" xfId="0" applyFont="1"/>
    <xf numFmtId="0" fontId="44" fillId="0" borderId="0" xfId="0" applyFont="1"/>
    <xf numFmtId="0" fontId="44" fillId="0" borderId="218" xfId="0" applyFont="1" applyBorder="1"/>
    <xf numFmtId="3" fontId="44" fillId="0" borderId="17" xfId="0" applyNumberFormat="1" applyFont="1" applyBorder="1" applyProtection="1">
      <protection locked="0" hidden="1"/>
    </xf>
    <xf numFmtId="3" fontId="44" fillId="0" borderId="18" xfId="0" applyNumberFormat="1" applyFont="1" applyBorder="1" applyProtection="1">
      <protection locked="0" hidden="1"/>
    </xf>
    <xf numFmtId="3" fontId="44" fillId="0" borderId="19" xfId="0" applyNumberFormat="1" applyFont="1" applyBorder="1" applyProtection="1">
      <protection locked="0" hidden="1"/>
    </xf>
    <xf numFmtId="0" fontId="1" fillId="0" borderId="0" xfId="0" applyFont="1" applyAlignment="1">
      <alignment horizontal="center" wrapText="1"/>
    </xf>
    <xf numFmtId="0" fontId="44" fillId="0" borderId="12" xfId="0" applyFont="1" applyBorder="1" applyAlignment="1">
      <alignment horizontal="center" wrapText="1"/>
    </xf>
    <xf numFmtId="1" fontId="44" fillId="0" borderId="32" xfId="0" applyNumberFormat="1" applyFont="1" applyBorder="1" applyAlignment="1">
      <alignment horizontal="center" shrinkToFit="1"/>
    </xf>
    <xf numFmtId="1" fontId="44" fillId="0" borderId="15" xfId="0" applyNumberFormat="1" applyFont="1" applyBorder="1" applyAlignment="1">
      <alignment horizontal="center" shrinkToFit="1"/>
    </xf>
    <xf numFmtId="0" fontId="181" fillId="0" borderId="0" xfId="0" applyFont="1" applyAlignment="1">
      <alignment horizontal="center" vertical="center" wrapText="1"/>
    </xf>
    <xf numFmtId="0" fontId="44" fillId="0" borderId="32" xfId="0" applyFont="1" applyBorder="1" applyAlignment="1">
      <alignment horizontal="center" shrinkToFit="1"/>
    </xf>
    <xf numFmtId="0" fontId="44" fillId="0" borderId="15" xfId="0" applyFont="1" applyBorder="1" applyAlignment="1">
      <alignment horizontal="center" shrinkToFit="1"/>
    </xf>
    <xf numFmtId="176" fontId="44" fillId="0" borderId="32" xfId="0" applyNumberFormat="1" applyFont="1" applyBorder="1" applyAlignment="1">
      <alignment horizontal="center" shrinkToFit="1"/>
    </xf>
    <xf numFmtId="176" fontId="44" fillId="0" borderId="15" xfId="0" applyNumberFormat="1" applyFont="1" applyBorder="1" applyAlignment="1">
      <alignment horizontal="center" shrinkToFit="1"/>
    </xf>
    <xf numFmtId="44" fontId="44" fillId="0" borderId="32" xfId="11" applyFont="1" applyBorder="1" applyAlignment="1" applyProtection="1">
      <alignment horizontal="center" shrinkToFit="1"/>
    </xf>
    <xf numFmtId="44" fontId="44" fillId="0" borderId="15" xfId="11" applyFont="1" applyBorder="1" applyAlignment="1" applyProtection="1">
      <alignment horizontal="center" shrinkToFit="1"/>
    </xf>
    <xf numFmtId="3" fontId="44" fillId="0" borderId="32" xfId="7" applyNumberFormat="1" applyFont="1" applyBorder="1" applyAlignment="1" applyProtection="1">
      <alignment horizontal="center" shrinkToFit="1"/>
    </xf>
    <xf numFmtId="3" fontId="44" fillId="0" borderId="15" xfId="7" applyNumberFormat="1" applyFont="1" applyBorder="1" applyAlignment="1" applyProtection="1">
      <alignment horizontal="center" shrinkToFit="1"/>
    </xf>
    <xf numFmtId="0" fontId="39" fillId="0" borderId="17" xfId="1" applyBorder="1" applyAlignment="1" applyProtection="1">
      <protection locked="0" hidden="1"/>
    </xf>
    <xf numFmtId="0" fontId="86" fillId="0" borderId="18" xfId="1" applyFont="1" applyBorder="1" applyAlignment="1" applyProtection="1">
      <protection locked="0" hidden="1"/>
    </xf>
    <xf numFmtId="0" fontId="86" fillId="0" borderId="19" xfId="1" applyFont="1" applyBorder="1" applyAlignment="1" applyProtection="1">
      <protection locked="0" hidden="1"/>
    </xf>
    <xf numFmtId="175" fontId="1" fillId="0" borderId="17" xfId="0" applyNumberFormat="1" applyFont="1" applyBorder="1" applyAlignment="1" applyProtection="1">
      <alignment horizontal="left"/>
      <protection locked="0" hidden="1"/>
    </xf>
    <xf numFmtId="175" fontId="44" fillId="0" borderId="18" xfId="0" applyNumberFormat="1" applyFont="1" applyBorder="1" applyAlignment="1" applyProtection="1">
      <alignment horizontal="left"/>
      <protection locked="0" hidden="1"/>
    </xf>
    <xf numFmtId="175" fontId="44" fillId="0" borderId="19" xfId="0" applyNumberFormat="1" applyFont="1" applyBorder="1" applyAlignment="1" applyProtection="1">
      <alignment horizontal="left"/>
      <protection locked="0" hidden="1"/>
    </xf>
    <xf numFmtId="0" fontId="84" fillId="0" borderId="0" xfId="0" applyFont="1" applyAlignment="1">
      <alignment horizontal="center" vertical="top" wrapText="1"/>
    </xf>
    <xf numFmtId="0" fontId="12" fillId="0" borderId="59" xfId="0" applyFont="1" applyBorder="1"/>
    <xf numFmtId="0" fontId="11" fillId="0" borderId="59" xfId="0" applyFont="1" applyBorder="1"/>
    <xf numFmtId="0" fontId="39" fillId="0" borderId="17" xfId="1" applyBorder="1" applyAlignment="1" applyProtection="1">
      <alignment horizontal="left"/>
      <protection locked="0"/>
    </xf>
    <xf numFmtId="0" fontId="23" fillId="0" borderId="17" xfId="0" applyFont="1" applyBorder="1" applyAlignment="1" applyProtection="1">
      <alignment horizontal="left"/>
      <protection locked="0"/>
    </xf>
    <xf numFmtId="166" fontId="44" fillId="0" borderId="17" xfId="0" applyNumberFormat="1" applyFont="1" applyBorder="1" applyAlignment="1" applyProtection="1">
      <alignment horizontal="left"/>
      <protection locked="0"/>
    </xf>
    <xf numFmtId="0" fontId="19" fillId="0" borderId="0" xfId="0" applyFont="1" applyAlignment="1">
      <alignment horizontal="left"/>
    </xf>
    <xf numFmtId="0" fontId="8" fillId="0" borderId="17" xfId="0" applyFont="1" applyBorder="1" applyAlignment="1" applyProtection="1">
      <alignment horizontal="left"/>
      <protection locked="0"/>
    </xf>
    <xf numFmtId="0" fontId="77" fillId="0" borderId="0" xfId="0" applyFont="1" applyAlignment="1">
      <alignment horizontal="center" vertical="center"/>
    </xf>
    <xf numFmtId="0" fontId="44" fillId="0" borderId="17"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0" xfId="0" applyFont="1" applyAlignment="1">
      <alignment horizontal="center"/>
    </xf>
    <xf numFmtId="175" fontId="1" fillId="0" borderId="17" xfId="0" applyNumberFormat="1" applyFont="1" applyBorder="1" applyAlignment="1" applyProtection="1">
      <alignment horizontal="left"/>
      <protection locked="0"/>
    </xf>
    <xf numFmtId="0" fontId="1" fillId="0" borderId="17" xfId="0" applyFont="1" applyBorder="1" applyAlignment="1" applyProtection="1">
      <alignment horizontal="left"/>
      <protection locked="0" hidden="1"/>
    </xf>
    <xf numFmtId="0" fontId="44" fillId="0" borderId="18" xfId="0" applyFont="1" applyBorder="1" applyAlignment="1" applyProtection="1">
      <alignment horizontal="left"/>
      <protection locked="0" hidden="1"/>
    </xf>
    <xf numFmtId="0" fontId="44" fillId="0" borderId="19" xfId="0" applyFont="1" applyBorder="1" applyAlignment="1" applyProtection="1">
      <alignment horizontal="left"/>
      <protection locked="0" hidden="1"/>
    </xf>
    <xf numFmtId="0" fontId="84" fillId="0" borderId="0" xfId="0" applyFont="1" applyAlignment="1">
      <alignment horizontal="center" vertical="center"/>
    </xf>
    <xf numFmtId="0" fontId="44" fillId="0" borderId="17" xfId="0" applyFont="1" applyBorder="1" applyAlignment="1" applyProtection="1">
      <alignment horizontal="left"/>
      <protection locked="0" hidden="1"/>
    </xf>
    <xf numFmtId="0" fontId="44" fillId="7" borderId="36" xfId="0" applyFont="1" applyFill="1" applyBorder="1" applyAlignment="1" applyProtection="1">
      <alignment horizontal="left" vertical="top" wrapText="1" indent="2"/>
      <protection hidden="1"/>
    </xf>
    <xf numFmtId="0" fontId="44" fillId="7" borderId="20" xfId="0" applyFont="1" applyFill="1" applyBorder="1" applyAlignment="1" applyProtection="1">
      <alignment horizontal="left" vertical="top" wrapText="1" indent="2"/>
      <protection hidden="1"/>
    </xf>
    <xf numFmtId="0" fontId="44" fillId="7" borderId="3" xfId="0" applyFont="1" applyFill="1" applyBorder="1" applyAlignment="1" applyProtection="1">
      <alignment horizontal="left" vertical="top" wrapText="1" indent="2"/>
      <protection hidden="1"/>
    </xf>
    <xf numFmtId="0" fontId="44" fillId="7" borderId="33" xfId="0" applyFont="1" applyFill="1" applyBorder="1" applyAlignment="1" applyProtection="1">
      <alignment horizontal="left" vertical="top" wrapText="1" indent="2"/>
      <protection hidden="1"/>
    </xf>
    <xf numFmtId="0" fontId="44" fillId="7" borderId="0" xfId="0" applyFont="1" applyFill="1" applyAlignment="1" applyProtection="1">
      <alignment horizontal="left" vertical="top" wrapText="1" indent="2"/>
      <protection hidden="1"/>
    </xf>
    <xf numFmtId="0" fontId="44" fillId="7" borderId="4" xfId="0" applyFont="1" applyFill="1" applyBorder="1" applyAlignment="1" applyProtection="1">
      <alignment horizontal="left" vertical="top" wrapText="1" indent="2"/>
      <protection hidden="1"/>
    </xf>
    <xf numFmtId="0" fontId="44" fillId="7" borderId="37" xfId="0" applyFont="1" applyFill="1" applyBorder="1" applyAlignment="1" applyProtection="1">
      <alignment horizontal="left" vertical="top" wrapText="1" indent="2"/>
      <protection hidden="1"/>
    </xf>
    <xf numFmtId="0" fontId="44" fillId="7" borderId="21" xfId="0" applyFont="1" applyFill="1" applyBorder="1" applyAlignment="1" applyProtection="1">
      <alignment horizontal="left" vertical="top" wrapText="1" indent="2"/>
      <protection hidden="1"/>
    </xf>
    <xf numFmtId="0" fontId="44" fillId="7" borderId="5" xfId="0" applyFont="1" applyFill="1" applyBorder="1" applyAlignment="1" applyProtection="1">
      <alignment horizontal="left" vertical="top" wrapText="1" indent="2"/>
      <protection hidden="1"/>
    </xf>
    <xf numFmtId="0" fontId="82" fillId="0" borderId="0" xfId="0" applyFont="1" applyAlignment="1">
      <alignment horizontal="left" vertical="center" wrapText="1"/>
    </xf>
    <xf numFmtId="49" fontId="1" fillId="0" borderId="18" xfId="0" quotePrefix="1" applyNumberFormat="1" applyFont="1" applyBorder="1" applyAlignment="1" applyProtection="1">
      <alignment horizontal="left"/>
      <protection locked="0"/>
    </xf>
    <xf numFmtId="0" fontId="170" fillId="0" borderId="0" xfId="0" applyFont="1" applyAlignment="1">
      <alignment horizontal="center" vertical="center" wrapText="1"/>
    </xf>
    <xf numFmtId="0" fontId="169" fillId="0" borderId="0" xfId="0" applyFont="1" applyAlignment="1">
      <alignment horizontal="center" vertical="center" wrapText="1"/>
    </xf>
    <xf numFmtId="0" fontId="44" fillId="0" borderId="76" xfId="0" applyFont="1" applyBorder="1" applyAlignment="1">
      <alignment horizontal="center" wrapText="1" shrinkToFit="1"/>
    </xf>
    <xf numFmtId="0" fontId="44" fillId="0" borderId="15" xfId="0" applyFont="1" applyBorder="1" applyAlignment="1">
      <alignment horizontal="center" wrapText="1" shrinkToFit="1"/>
    </xf>
    <xf numFmtId="0" fontId="44" fillId="0" borderId="10" xfId="0" applyFont="1" applyBorder="1" applyAlignment="1">
      <alignment horizontal="center" wrapText="1"/>
    </xf>
    <xf numFmtId="0" fontId="44" fillId="0" borderId="0" xfId="0" applyFont="1" applyAlignment="1">
      <alignment horizontal="center" wrapText="1"/>
    </xf>
    <xf numFmtId="3" fontId="44" fillId="0" borderId="32" xfId="0" applyNumberFormat="1" applyFont="1" applyBorder="1" applyAlignment="1">
      <alignment horizontal="center" wrapText="1" shrinkToFit="1"/>
    </xf>
    <xf numFmtId="3" fontId="44" fillId="0" borderId="15" xfId="0" applyNumberFormat="1" applyFont="1" applyBorder="1" applyAlignment="1">
      <alignment horizontal="center" wrapText="1" shrinkToFit="1"/>
    </xf>
    <xf numFmtId="3" fontId="44" fillId="0" borderId="32" xfId="0" applyNumberFormat="1" applyFont="1" applyBorder="1" applyAlignment="1">
      <alignment horizontal="center" shrinkToFit="1"/>
    </xf>
    <xf numFmtId="3" fontId="44" fillId="0" borderId="15" xfId="0" applyNumberFormat="1" applyFont="1" applyBorder="1" applyAlignment="1">
      <alignment horizontal="center" shrinkToFit="1"/>
    </xf>
    <xf numFmtId="167" fontId="44" fillId="0" borderId="32" xfId="0" applyNumberFormat="1" applyFont="1" applyBorder="1" applyAlignment="1">
      <alignment horizontal="center" shrinkToFit="1"/>
    </xf>
    <xf numFmtId="167" fontId="44" fillId="0" borderId="15" xfId="0" applyNumberFormat="1" applyFont="1" applyBorder="1" applyAlignment="1">
      <alignment horizontal="center" shrinkToFit="1"/>
    </xf>
    <xf numFmtId="177" fontId="44" fillId="0" borderId="32" xfId="0" applyNumberFormat="1" applyFont="1" applyBorder="1" applyAlignment="1">
      <alignment horizontal="center" shrinkToFit="1"/>
    </xf>
    <xf numFmtId="177" fontId="44" fillId="0" borderId="15" xfId="0" applyNumberFormat="1" applyFont="1" applyBorder="1" applyAlignment="1">
      <alignment horizontal="center" shrinkToFit="1"/>
    </xf>
    <xf numFmtId="0" fontId="44" fillId="0" borderId="32" xfId="0" applyFont="1" applyBorder="1" applyAlignment="1">
      <alignment horizontal="center" wrapText="1" shrinkToFit="1"/>
    </xf>
    <xf numFmtId="0" fontId="44" fillId="19" borderId="32" xfId="0" applyFont="1" applyFill="1" applyBorder="1" applyAlignment="1">
      <alignment horizontal="center" wrapText="1" shrinkToFit="1"/>
    </xf>
    <xf numFmtId="0" fontId="44" fillId="19" borderId="15" xfId="0" applyFont="1" applyFill="1" applyBorder="1" applyAlignment="1">
      <alignment horizontal="center" wrapText="1" shrinkToFit="1"/>
    </xf>
    <xf numFmtId="0" fontId="44" fillId="0" borderId="66" xfId="0" applyFont="1" applyBorder="1" applyAlignment="1" applyProtection="1">
      <alignment horizontal="center"/>
      <protection locked="0" hidden="1"/>
    </xf>
    <xf numFmtId="0" fontId="44" fillId="0" borderId="67" xfId="0" applyFont="1" applyBorder="1" applyAlignment="1" applyProtection="1">
      <alignment horizontal="center"/>
      <protection locked="0" hidden="1"/>
    </xf>
    <xf numFmtId="0" fontId="44" fillId="0" borderId="28" xfId="0" applyFont="1" applyBorder="1" applyAlignment="1" applyProtection="1">
      <alignment horizontal="center"/>
      <protection locked="0" hidden="1"/>
    </xf>
    <xf numFmtId="0" fontId="44" fillId="0" borderId="30" xfId="0" applyFont="1" applyBorder="1" applyAlignment="1" applyProtection="1">
      <alignment horizontal="center"/>
      <protection locked="0" hidden="1"/>
    </xf>
    <xf numFmtId="182" fontId="44" fillId="0" borderId="66" xfId="0" applyNumberFormat="1" applyFont="1" applyBorder="1" applyAlignment="1" applyProtection="1">
      <alignment horizontal="center" wrapText="1"/>
      <protection locked="0" hidden="1"/>
    </xf>
    <xf numFmtId="182" fontId="44" fillId="0" borderId="69" xfId="0" applyNumberFormat="1" applyFont="1" applyBorder="1" applyAlignment="1" applyProtection="1">
      <alignment horizontal="center" wrapText="1"/>
      <protection locked="0" hidden="1"/>
    </xf>
    <xf numFmtId="182" fontId="44" fillId="0" borderId="67" xfId="0" applyNumberFormat="1" applyFont="1" applyBorder="1" applyAlignment="1" applyProtection="1">
      <alignment horizontal="center" wrapText="1"/>
      <protection locked="0" hidden="1"/>
    </xf>
    <xf numFmtId="182" fontId="44" fillId="0" borderId="28" xfId="0" applyNumberFormat="1" applyFont="1" applyBorder="1" applyAlignment="1" applyProtection="1">
      <alignment horizontal="center" wrapText="1"/>
      <protection locked="0" hidden="1"/>
    </xf>
    <xf numFmtId="182" fontId="44" fillId="0" borderId="29" xfId="0" applyNumberFormat="1" applyFont="1" applyBorder="1" applyAlignment="1" applyProtection="1">
      <alignment horizontal="center" wrapText="1"/>
      <protection locked="0" hidden="1"/>
    </xf>
    <xf numFmtId="182" fontId="44" fillId="0" borderId="30" xfId="0" applyNumberFormat="1" applyFont="1" applyBorder="1" applyAlignment="1" applyProtection="1">
      <alignment horizontal="center" wrapText="1"/>
      <protection locked="0" hidden="1"/>
    </xf>
    <xf numFmtId="0" fontId="32" fillId="0" borderId="66" xfId="0" applyFont="1" applyBorder="1" applyAlignment="1" applyProtection="1">
      <alignment horizontal="center" wrapText="1"/>
      <protection locked="0"/>
    </xf>
    <xf numFmtId="0" fontId="44" fillId="0" borderId="69" xfId="0" applyFont="1" applyBorder="1" applyAlignment="1" applyProtection="1">
      <alignment horizontal="center" wrapText="1"/>
      <protection locked="0"/>
    </xf>
    <xf numFmtId="0" fontId="44" fillId="0" borderId="67" xfId="0" applyFont="1" applyBorder="1" applyAlignment="1" applyProtection="1">
      <alignment horizontal="center" wrapText="1"/>
      <protection locked="0"/>
    </xf>
    <xf numFmtId="0" fontId="44" fillId="0" borderId="28" xfId="0" applyFont="1" applyBorder="1" applyAlignment="1" applyProtection="1">
      <alignment horizontal="center" wrapText="1"/>
      <protection locked="0"/>
    </xf>
    <xf numFmtId="0" fontId="44" fillId="0" borderId="29" xfId="0" applyFont="1" applyBorder="1" applyAlignment="1" applyProtection="1">
      <alignment horizontal="center" wrapText="1"/>
      <protection locked="0"/>
    </xf>
    <xf numFmtId="0" fontId="44" fillId="0" borderId="30" xfId="0" applyFont="1" applyBorder="1" applyAlignment="1" applyProtection="1">
      <alignment horizontal="center" wrapText="1"/>
      <protection locked="0"/>
    </xf>
    <xf numFmtId="1" fontId="44" fillId="0" borderId="69" xfId="0" applyNumberFormat="1" applyFont="1" applyBorder="1" applyAlignment="1" applyProtection="1">
      <alignment horizontal="center" wrapText="1"/>
      <protection locked="0"/>
    </xf>
    <xf numFmtId="1" fontId="44" fillId="0" borderId="67" xfId="0" applyNumberFormat="1" applyFont="1" applyBorder="1" applyAlignment="1" applyProtection="1">
      <alignment horizontal="center" wrapText="1"/>
      <protection locked="0"/>
    </xf>
    <xf numFmtId="1" fontId="44" fillId="0" borderId="29" xfId="0" applyNumberFormat="1" applyFont="1" applyBorder="1" applyAlignment="1" applyProtection="1">
      <alignment horizontal="center" wrapText="1"/>
      <protection locked="0"/>
    </xf>
    <xf numFmtId="1" fontId="44" fillId="0" borderId="30" xfId="0" applyNumberFormat="1" applyFont="1" applyBorder="1" applyAlignment="1" applyProtection="1">
      <alignment horizontal="center" wrapText="1"/>
      <protection locked="0"/>
    </xf>
    <xf numFmtId="174" fontId="44" fillId="7" borderId="69" xfId="0" applyNumberFormat="1" applyFont="1" applyFill="1" applyBorder="1" applyAlignment="1" applyProtection="1">
      <alignment horizontal="center" wrapText="1"/>
      <protection hidden="1"/>
    </xf>
    <xf numFmtId="174" fontId="44" fillId="7" borderId="80" xfId="0" applyNumberFormat="1" applyFont="1" applyFill="1" applyBorder="1" applyAlignment="1" applyProtection="1">
      <alignment horizontal="center" wrapText="1"/>
      <protection hidden="1"/>
    </xf>
    <xf numFmtId="174" fontId="44" fillId="7" borderId="29" xfId="0" applyNumberFormat="1" applyFont="1" applyFill="1" applyBorder="1" applyAlignment="1" applyProtection="1">
      <alignment horizontal="center" wrapText="1"/>
      <protection hidden="1"/>
    </xf>
    <xf numFmtId="174" fontId="44" fillId="7" borderId="81" xfId="0" applyNumberFormat="1" applyFont="1" applyFill="1" applyBorder="1" applyAlignment="1" applyProtection="1">
      <alignment horizontal="center" wrapText="1"/>
      <protection hidden="1"/>
    </xf>
    <xf numFmtId="184" fontId="38" fillId="0" borderId="68" xfId="0" applyNumberFormat="1" applyFont="1" applyBorder="1" applyAlignment="1" applyProtection="1">
      <alignment horizontal="center" wrapText="1"/>
      <protection locked="0" hidden="1"/>
    </xf>
    <xf numFmtId="184" fontId="44" fillId="0" borderId="69" xfId="0" applyNumberFormat="1" applyFont="1" applyBorder="1" applyAlignment="1" applyProtection="1">
      <alignment horizontal="center" wrapText="1"/>
      <protection locked="0" hidden="1"/>
    </xf>
    <xf numFmtId="184" fontId="44" fillId="0" borderId="67" xfId="0" applyNumberFormat="1" applyFont="1" applyBorder="1" applyAlignment="1" applyProtection="1">
      <alignment horizontal="center" wrapText="1"/>
      <protection locked="0" hidden="1"/>
    </xf>
    <xf numFmtId="184" fontId="44" fillId="0" borderId="34" xfId="0" applyNumberFormat="1" applyFont="1" applyBorder="1" applyAlignment="1" applyProtection="1">
      <alignment horizontal="center" wrapText="1"/>
      <protection locked="0" hidden="1"/>
    </xf>
    <xf numFmtId="184" fontId="44" fillId="0" borderId="29" xfId="0" applyNumberFormat="1" applyFont="1" applyBorder="1" applyAlignment="1" applyProtection="1">
      <alignment horizontal="center" wrapText="1"/>
      <protection locked="0" hidden="1"/>
    </xf>
    <xf numFmtId="184" fontId="44" fillId="0" borderId="30" xfId="0" applyNumberFormat="1" applyFont="1" applyBorder="1" applyAlignment="1" applyProtection="1">
      <alignment horizontal="center" wrapText="1"/>
      <protection locked="0" hidden="1"/>
    </xf>
    <xf numFmtId="0" fontId="37" fillId="0" borderId="66" xfId="0" applyFont="1" applyBorder="1" applyAlignment="1" applyProtection="1">
      <alignment horizontal="center" wrapText="1"/>
      <protection locked="0"/>
    </xf>
    <xf numFmtId="0" fontId="44" fillId="0" borderId="66" xfId="0" applyFont="1" applyBorder="1" applyAlignment="1" applyProtection="1">
      <alignment horizontal="center" wrapText="1"/>
      <protection locked="0"/>
    </xf>
    <xf numFmtId="0" fontId="44" fillId="0" borderId="66" xfId="0" applyFont="1" applyBorder="1" applyAlignment="1" applyProtection="1">
      <alignment horizontal="center" wrapText="1"/>
      <protection locked="0" hidden="1"/>
    </xf>
    <xf numFmtId="0" fontId="44" fillId="0" borderId="67" xfId="0" applyFont="1" applyBorder="1" applyAlignment="1" applyProtection="1">
      <alignment horizontal="center" wrapText="1"/>
      <protection locked="0" hidden="1"/>
    </xf>
    <xf numFmtId="0" fontId="44" fillId="0" borderId="28" xfId="0" applyFont="1" applyBorder="1" applyAlignment="1" applyProtection="1">
      <alignment horizontal="center" wrapText="1"/>
      <protection locked="0" hidden="1"/>
    </xf>
    <xf numFmtId="0" fontId="44" fillId="0" borderId="30" xfId="0" applyFont="1" applyBorder="1" applyAlignment="1" applyProtection="1">
      <alignment horizontal="center" wrapText="1"/>
      <protection locked="0" hidden="1"/>
    </xf>
    <xf numFmtId="174" fontId="44" fillId="0" borderId="66" xfId="0" applyNumberFormat="1" applyFont="1" applyBorder="1" applyAlignment="1" applyProtection="1">
      <alignment horizontal="center" wrapText="1"/>
      <protection locked="0"/>
    </xf>
    <xf numFmtId="174" fontId="44" fillId="0" borderId="67" xfId="0" applyNumberFormat="1" applyFont="1" applyBorder="1" applyAlignment="1" applyProtection="1">
      <alignment horizontal="center" wrapText="1"/>
      <protection locked="0"/>
    </xf>
    <xf numFmtId="174" fontId="44" fillId="0" borderId="28" xfId="0" applyNumberFormat="1" applyFont="1" applyBorder="1" applyAlignment="1" applyProtection="1">
      <alignment horizontal="center" wrapText="1"/>
      <protection locked="0"/>
    </xf>
    <xf numFmtId="174" fontId="44" fillId="0" borderId="30" xfId="0" applyNumberFormat="1" applyFont="1" applyBorder="1" applyAlignment="1" applyProtection="1">
      <alignment horizontal="center" wrapText="1"/>
      <protection locked="0"/>
    </xf>
    <xf numFmtId="0" fontId="32" fillId="0" borderId="14" xfId="0" applyFont="1" applyBorder="1" applyAlignment="1" applyProtection="1">
      <alignment horizontal="center" wrapText="1"/>
      <protection locked="0"/>
    </xf>
    <xf numFmtId="0" fontId="44" fillId="0" borderId="14" xfId="0" applyFont="1" applyBorder="1" applyAlignment="1" applyProtection="1">
      <alignment horizontal="center" wrapText="1"/>
      <protection locked="0"/>
    </xf>
    <xf numFmtId="3" fontId="44" fillId="0" borderId="14" xfId="0" applyNumberFormat="1" applyFont="1" applyBorder="1" applyAlignment="1" applyProtection="1">
      <alignment horizontal="center" wrapText="1"/>
      <protection locked="0"/>
    </xf>
    <xf numFmtId="3" fontId="33" fillId="0" borderId="82" xfId="0" applyNumberFormat="1" applyFont="1" applyBorder="1" applyAlignment="1" applyProtection="1">
      <alignment horizontal="center" wrapText="1"/>
      <protection locked="0" hidden="1"/>
    </xf>
    <xf numFmtId="3" fontId="33" fillId="0" borderId="214" xfId="0" applyNumberFormat="1" applyFont="1" applyBorder="1" applyAlignment="1" applyProtection="1">
      <alignment horizontal="center" wrapText="1"/>
      <protection locked="0" hidden="1"/>
    </xf>
    <xf numFmtId="167" fontId="44" fillId="0" borderId="122" xfId="0" applyNumberFormat="1" applyFont="1" applyBorder="1" applyAlignment="1" applyProtection="1">
      <alignment horizontal="center" shrinkToFit="1"/>
      <protection locked="0"/>
    </xf>
    <xf numFmtId="167" fontId="44" fillId="0" borderId="14" xfId="0" applyNumberFormat="1" applyFont="1" applyBorder="1" applyAlignment="1" applyProtection="1">
      <alignment horizontal="center" shrinkToFit="1"/>
      <protection locked="0"/>
    </xf>
    <xf numFmtId="0" fontId="167" fillId="0" borderId="0" xfId="0" applyFont="1" applyAlignment="1">
      <alignment horizontal="center" vertic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66" xfId="0" applyFont="1" applyBorder="1" applyAlignment="1" applyProtection="1">
      <alignment horizontal="center" wrapText="1"/>
      <protection locked="0"/>
    </xf>
    <xf numFmtId="0" fontId="28" fillId="0" borderId="14" xfId="0" applyFont="1" applyBorder="1" applyAlignment="1" applyProtection="1">
      <alignment horizontal="center" wrapText="1"/>
      <protection locked="0"/>
    </xf>
    <xf numFmtId="3" fontId="33" fillId="0" borderId="185" xfId="0" applyNumberFormat="1" applyFont="1" applyBorder="1" applyAlignment="1" applyProtection="1">
      <alignment horizontal="center" wrapText="1"/>
      <protection locked="0" hidden="1"/>
    </xf>
    <xf numFmtId="3" fontId="33" fillId="0" borderId="215" xfId="0" applyNumberFormat="1" applyFont="1" applyBorder="1" applyAlignment="1" applyProtection="1">
      <alignment horizontal="center" wrapText="1"/>
      <protection locked="0" hidden="1"/>
    </xf>
    <xf numFmtId="167" fontId="44" fillId="0" borderId="124" xfId="0" applyNumberFormat="1" applyFont="1" applyBorder="1" applyAlignment="1" applyProtection="1">
      <alignment horizontal="center" shrinkToFit="1"/>
      <protection locked="0"/>
    </xf>
    <xf numFmtId="167" fontId="44" fillId="0" borderId="110" xfId="0" applyNumberFormat="1" applyFont="1" applyBorder="1" applyAlignment="1" applyProtection="1">
      <alignment horizontal="center" shrinkToFit="1"/>
      <protection locked="0"/>
    </xf>
    <xf numFmtId="167" fontId="44" fillId="0" borderId="123" xfId="0" applyNumberFormat="1" applyFont="1" applyBorder="1" applyAlignment="1" applyProtection="1">
      <alignment horizontal="center" shrinkToFit="1"/>
      <protection locked="0"/>
    </xf>
    <xf numFmtId="167" fontId="44" fillId="0" borderId="125" xfId="0" applyNumberFormat="1" applyFont="1" applyBorder="1" applyAlignment="1" applyProtection="1">
      <alignment horizontal="center" shrinkToFit="1"/>
      <protection locked="0"/>
    </xf>
    <xf numFmtId="171" fontId="43" fillId="7" borderId="122" xfId="0" applyNumberFormat="1" applyFont="1" applyFill="1" applyBorder="1" applyAlignment="1" applyProtection="1">
      <alignment horizontal="center" wrapText="1" shrinkToFit="1"/>
      <protection hidden="1"/>
    </xf>
    <xf numFmtId="171" fontId="43" fillId="7" borderId="14" xfId="0" applyNumberFormat="1" applyFont="1" applyFill="1" applyBorder="1" applyAlignment="1" applyProtection="1">
      <alignment horizontal="center" wrapText="1" shrinkToFit="1"/>
      <protection hidden="1"/>
    </xf>
    <xf numFmtId="167" fontId="43" fillId="37" borderId="15" xfId="0" applyNumberFormat="1" applyFont="1" applyFill="1" applyBorder="1" applyAlignment="1" applyProtection="1">
      <alignment horizontal="center" wrapText="1" shrinkToFit="1"/>
      <protection hidden="1"/>
    </xf>
    <xf numFmtId="167" fontId="43" fillId="37" borderId="14" xfId="0" applyNumberFormat="1" applyFont="1" applyFill="1" applyBorder="1" applyAlignment="1" applyProtection="1">
      <alignment horizontal="center" wrapText="1" shrinkToFit="1"/>
      <protection hidden="1"/>
    </xf>
    <xf numFmtId="164" fontId="0" fillId="0" borderId="16" xfId="0" applyNumberFormat="1" applyBorder="1" applyAlignment="1">
      <alignment horizontal="right" vertical="center"/>
    </xf>
    <xf numFmtId="0" fontId="44" fillId="0" borderId="10" xfId="0" applyFont="1" applyBorder="1" applyAlignment="1">
      <alignment horizontal="center" vertical="top" wrapText="1"/>
    </xf>
    <xf numFmtId="0" fontId="44" fillId="0" borderId="0" xfId="0" applyFont="1" applyAlignment="1">
      <alignment horizontal="center" vertical="top" wrapText="1"/>
    </xf>
    <xf numFmtId="0" fontId="78" fillId="0" borderId="0" xfId="0" applyFont="1" applyAlignment="1">
      <alignment horizontal="center" vertical="center" wrapText="1"/>
    </xf>
    <xf numFmtId="0" fontId="44" fillId="0" borderId="12" xfId="0" applyFont="1" applyBorder="1" applyAlignment="1">
      <alignment horizontal="center" vertical="top" wrapText="1"/>
    </xf>
    <xf numFmtId="0" fontId="13" fillId="0" borderId="10" xfId="0" applyFont="1" applyBorder="1" applyAlignment="1">
      <alignment horizontal="center" vertical="top" wrapText="1"/>
    </xf>
    <xf numFmtId="0" fontId="26" fillId="0" borderId="66" xfId="0" applyFont="1" applyBorder="1" applyAlignment="1" applyProtection="1">
      <alignment horizontal="center" wrapText="1"/>
      <protection locked="0"/>
    </xf>
    <xf numFmtId="0" fontId="1" fillId="0" borderId="14" xfId="0" applyFont="1" applyBorder="1" applyAlignment="1" applyProtection="1">
      <alignment horizontal="center" wrapText="1"/>
      <protection locked="0"/>
    </xf>
    <xf numFmtId="0" fontId="1" fillId="0" borderId="66" xfId="0" applyFont="1" applyBorder="1" applyAlignment="1" applyProtection="1">
      <alignment horizontal="center" wrapText="1"/>
      <protection locked="0"/>
    </xf>
    <xf numFmtId="0" fontId="27" fillId="0" borderId="66" xfId="0" applyFont="1" applyBorder="1" applyAlignment="1" applyProtection="1">
      <alignment horizontal="center" wrapText="1"/>
      <protection locked="0"/>
    </xf>
    <xf numFmtId="0" fontId="27" fillId="0" borderId="14" xfId="0" applyFont="1" applyBorder="1" applyAlignment="1" applyProtection="1">
      <alignment horizontal="center" wrapText="1"/>
      <protection locked="0"/>
    </xf>
    <xf numFmtId="0" fontId="1" fillId="0" borderId="66" xfId="0" applyFont="1" applyBorder="1" applyAlignment="1" applyProtection="1">
      <alignment horizontal="center"/>
      <protection locked="0" hidden="1"/>
    </xf>
    <xf numFmtId="0" fontId="1" fillId="0" borderId="67" xfId="0" applyFont="1" applyBorder="1" applyAlignment="1" applyProtection="1">
      <alignment horizontal="center"/>
      <protection locked="0" hidden="1"/>
    </xf>
    <xf numFmtId="0" fontId="1" fillId="0" borderId="28" xfId="0" applyFont="1" applyBorder="1" applyAlignment="1" applyProtection="1">
      <alignment horizontal="center"/>
      <protection locked="0" hidden="1"/>
    </xf>
    <xf numFmtId="0" fontId="1" fillId="0" borderId="30" xfId="0" applyFont="1" applyBorder="1" applyAlignment="1" applyProtection="1">
      <alignment horizontal="center"/>
      <protection locked="0" hidden="1"/>
    </xf>
    <xf numFmtId="182" fontId="1" fillId="0" borderId="66" xfId="0" applyNumberFormat="1" applyFont="1" applyBorder="1" applyAlignment="1" applyProtection="1">
      <alignment horizontal="center" wrapText="1"/>
      <protection locked="0" hidden="1"/>
    </xf>
    <xf numFmtId="182" fontId="1" fillId="0" borderId="69" xfId="0" applyNumberFormat="1" applyFont="1" applyBorder="1" applyAlignment="1" applyProtection="1">
      <alignment horizontal="center" wrapText="1"/>
      <protection locked="0" hidden="1"/>
    </xf>
    <xf numFmtId="182" fontId="1" fillId="0" borderId="67" xfId="0" applyNumberFormat="1" applyFont="1" applyBorder="1" applyAlignment="1" applyProtection="1">
      <alignment horizontal="center" wrapText="1"/>
      <protection locked="0" hidden="1"/>
    </xf>
    <xf numFmtId="182" fontId="1" fillId="0" borderId="28" xfId="0" applyNumberFormat="1" applyFont="1" applyBorder="1" applyAlignment="1" applyProtection="1">
      <alignment horizontal="center" wrapText="1"/>
      <protection locked="0" hidden="1"/>
    </xf>
    <xf numFmtId="182" fontId="1" fillId="0" borderId="29" xfId="0" applyNumberFormat="1" applyFont="1" applyBorder="1" applyAlignment="1" applyProtection="1">
      <alignment horizontal="center" wrapText="1"/>
      <protection locked="0" hidden="1"/>
    </xf>
    <xf numFmtId="182" fontId="1" fillId="0" borderId="30" xfId="0" applyNumberFormat="1" applyFont="1" applyBorder="1" applyAlignment="1" applyProtection="1">
      <alignment horizontal="center" wrapText="1"/>
      <protection locked="0" hidden="1"/>
    </xf>
    <xf numFmtId="0" fontId="1" fillId="0" borderId="69" xfId="0" applyFont="1" applyBorder="1" applyAlignment="1" applyProtection="1">
      <alignment horizontal="center" wrapText="1"/>
      <protection locked="0"/>
    </xf>
    <xf numFmtId="0" fontId="1" fillId="0" borderId="67" xfId="0" applyFont="1" applyBorder="1" applyAlignment="1" applyProtection="1">
      <alignment horizontal="center" wrapText="1"/>
      <protection locked="0"/>
    </xf>
    <xf numFmtId="0" fontId="1" fillId="0" borderId="28" xfId="0" applyFont="1" applyBorder="1" applyAlignment="1" applyProtection="1">
      <alignment horizontal="center" wrapText="1"/>
      <protection locked="0"/>
    </xf>
    <xf numFmtId="0" fontId="1" fillId="0" borderId="29" xfId="0" applyFont="1" applyBorder="1" applyAlignment="1" applyProtection="1">
      <alignment horizontal="center" wrapText="1"/>
      <protection locked="0"/>
    </xf>
    <xf numFmtId="0" fontId="1" fillId="0" borderId="30" xfId="0" applyFont="1" applyBorder="1" applyAlignment="1" applyProtection="1">
      <alignment horizontal="center" wrapText="1"/>
      <protection locked="0"/>
    </xf>
    <xf numFmtId="167" fontId="1" fillId="0" borderId="122" xfId="0" applyNumberFormat="1" applyFont="1" applyBorder="1" applyAlignment="1" applyProtection="1">
      <alignment horizontal="center" shrinkToFit="1"/>
      <protection locked="0"/>
    </xf>
    <xf numFmtId="167" fontId="1" fillId="0" borderId="14" xfId="0" applyNumberFormat="1" applyFont="1" applyBorder="1" applyAlignment="1" applyProtection="1">
      <alignment horizontal="center" shrinkToFit="1"/>
      <protection locked="0"/>
    </xf>
    <xf numFmtId="167" fontId="1" fillId="0" borderId="123" xfId="0" applyNumberFormat="1" applyFont="1" applyBorder="1" applyAlignment="1" applyProtection="1">
      <alignment horizontal="center" shrinkToFit="1"/>
      <protection locked="0"/>
    </xf>
    <xf numFmtId="1" fontId="1" fillId="0" borderId="69" xfId="0" applyNumberFormat="1" applyFont="1" applyBorder="1" applyAlignment="1" applyProtection="1">
      <alignment horizontal="center" wrapText="1"/>
      <protection locked="0"/>
    </xf>
    <xf numFmtId="1" fontId="1" fillId="0" borderId="67" xfId="0" applyNumberFormat="1" applyFont="1" applyBorder="1" applyAlignment="1" applyProtection="1">
      <alignment horizontal="center" wrapText="1"/>
      <protection locked="0"/>
    </xf>
    <xf numFmtId="1" fontId="1" fillId="0" borderId="29" xfId="0" applyNumberFormat="1" applyFont="1" applyBorder="1" applyAlignment="1" applyProtection="1">
      <alignment horizontal="center" wrapText="1"/>
      <protection locked="0"/>
    </xf>
    <xf numFmtId="1" fontId="1" fillId="0" borderId="30" xfId="0" applyNumberFormat="1" applyFont="1" applyBorder="1" applyAlignment="1" applyProtection="1">
      <alignment horizontal="center" wrapText="1"/>
      <protection locked="0"/>
    </xf>
    <xf numFmtId="184" fontId="1" fillId="0" borderId="68" xfId="0" applyNumberFormat="1" applyFont="1" applyBorder="1" applyAlignment="1" applyProtection="1">
      <alignment horizontal="center" wrapText="1"/>
      <protection locked="0" hidden="1"/>
    </xf>
    <xf numFmtId="184" fontId="1" fillId="0" borderId="69" xfId="0" applyNumberFormat="1" applyFont="1" applyBorder="1" applyAlignment="1" applyProtection="1">
      <alignment horizontal="center" wrapText="1"/>
      <protection locked="0" hidden="1"/>
    </xf>
    <xf numFmtId="184" fontId="1" fillId="0" borderId="67" xfId="0" applyNumberFormat="1" applyFont="1" applyBorder="1" applyAlignment="1" applyProtection="1">
      <alignment horizontal="center" wrapText="1"/>
      <protection locked="0" hidden="1"/>
    </xf>
    <xf numFmtId="184" fontId="1" fillId="0" borderId="34" xfId="0" applyNumberFormat="1" applyFont="1" applyBorder="1" applyAlignment="1" applyProtection="1">
      <alignment horizontal="center" wrapText="1"/>
      <protection locked="0" hidden="1"/>
    </xf>
    <xf numFmtId="184" fontId="1" fillId="0" borderId="29" xfId="0" applyNumberFormat="1" applyFont="1" applyBorder="1" applyAlignment="1" applyProtection="1">
      <alignment horizontal="center" wrapText="1"/>
      <protection locked="0" hidden="1"/>
    </xf>
    <xf numFmtId="184" fontId="1" fillId="0" borderId="30" xfId="0" applyNumberFormat="1" applyFont="1" applyBorder="1" applyAlignment="1" applyProtection="1">
      <alignment horizontal="center" wrapText="1"/>
      <protection locked="0" hidden="1"/>
    </xf>
    <xf numFmtId="174" fontId="1" fillId="0" borderId="66" xfId="0" applyNumberFormat="1" applyFont="1" applyBorder="1" applyAlignment="1" applyProtection="1">
      <alignment horizontal="center" wrapText="1"/>
      <protection locked="0"/>
    </xf>
    <xf numFmtId="174" fontId="1" fillId="0" borderId="67" xfId="0" applyNumberFormat="1" applyFont="1" applyBorder="1" applyAlignment="1" applyProtection="1">
      <alignment horizontal="center" wrapText="1"/>
      <protection locked="0"/>
    </xf>
    <xf numFmtId="174" fontId="1" fillId="0" borderId="28" xfId="0" applyNumberFormat="1" applyFont="1" applyBorder="1" applyAlignment="1" applyProtection="1">
      <alignment horizontal="center" wrapText="1"/>
      <protection locked="0"/>
    </xf>
    <xf numFmtId="174" fontId="1" fillId="0" borderId="30" xfId="0" applyNumberFormat="1" applyFont="1" applyBorder="1" applyAlignment="1" applyProtection="1">
      <alignment horizontal="center" wrapText="1"/>
      <protection locked="0"/>
    </xf>
    <xf numFmtId="3" fontId="1" fillId="0" borderId="14" xfId="0" applyNumberFormat="1" applyFont="1" applyBorder="1" applyAlignment="1" applyProtection="1">
      <alignment horizontal="center" wrapText="1"/>
      <protection locked="0"/>
    </xf>
    <xf numFmtId="3" fontId="1" fillId="0" borderId="82" xfId="0" applyNumberFormat="1" applyFont="1" applyBorder="1" applyAlignment="1" applyProtection="1">
      <alignment horizontal="center" wrapText="1"/>
      <protection locked="0" hidden="1"/>
    </xf>
    <xf numFmtId="3" fontId="1" fillId="0" borderId="214" xfId="0" applyNumberFormat="1" applyFont="1" applyBorder="1" applyAlignment="1" applyProtection="1">
      <alignment horizontal="center" wrapText="1"/>
      <protection locked="0" hidden="1"/>
    </xf>
    <xf numFmtId="0" fontId="44" fillId="0" borderId="197" xfId="0" applyFont="1" applyBorder="1" applyAlignment="1" applyProtection="1">
      <alignment horizontal="center"/>
      <protection locked="0" hidden="1"/>
    </xf>
    <xf numFmtId="0" fontId="44" fillId="0" borderId="198" xfId="0" applyFont="1" applyBorder="1" applyAlignment="1" applyProtection="1">
      <alignment horizontal="center"/>
      <protection locked="0" hidden="1"/>
    </xf>
    <xf numFmtId="182" fontId="44" fillId="0" borderId="197" xfId="0" applyNumberFormat="1" applyFont="1" applyBorder="1" applyAlignment="1" applyProtection="1">
      <alignment horizontal="center" wrapText="1"/>
      <protection locked="0" hidden="1"/>
    </xf>
    <xf numFmtId="182" fontId="44" fillId="0" borderId="199" xfId="0" applyNumberFormat="1" applyFont="1" applyBorder="1" applyAlignment="1" applyProtection="1">
      <alignment horizontal="center" wrapText="1"/>
      <protection locked="0" hidden="1"/>
    </xf>
    <xf numFmtId="182" fontId="44" fillId="0" borderId="198" xfId="0" applyNumberFormat="1" applyFont="1" applyBorder="1" applyAlignment="1" applyProtection="1">
      <alignment horizontal="center" wrapText="1"/>
      <protection locked="0" hidden="1"/>
    </xf>
    <xf numFmtId="0" fontId="1" fillId="0" borderId="197" xfId="0" applyFont="1" applyBorder="1" applyAlignment="1" applyProtection="1">
      <alignment horizontal="center" wrapText="1"/>
      <protection locked="0"/>
    </xf>
    <xf numFmtId="0" fontId="44" fillId="0" borderId="199" xfId="0" applyFont="1" applyBorder="1" applyAlignment="1" applyProtection="1">
      <alignment horizontal="center" wrapText="1"/>
      <protection locked="0"/>
    </xf>
    <xf numFmtId="0" fontId="44" fillId="0" borderId="198" xfId="0" applyFont="1" applyBorder="1" applyAlignment="1" applyProtection="1">
      <alignment horizontal="center" wrapText="1"/>
      <protection locked="0"/>
    </xf>
    <xf numFmtId="1" fontId="44" fillId="0" borderId="199" xfId="0" applyNumberFormat="1" applyFont="1" applyBorder="1" applyAlignment="1" applyProtection="1">
      <alignment horizontal="center" wrapText="1"/>
      <protection locked="0"/>
    </xf>
    <xf numFmtId="1" fontId="44" fillId="0" borderId="198" xfId="0" applyNumberFormat="1" applyFont="1" applyBorder="1" applyAlignment="1" applyProtection="1">
      <alignment horizontal="center" wrapText="1"/>
      <protection locked="0"/>
    </xf>
    <xf numFmtId="174" fontId="44" fillId="7" borderId="199" xfId="0" applyNumberFormat="1" applyFont="1" applyFill="1" applyBorder="1" applyAlignment="1" applyProtection="1">
      <alignment horizontal="center" wrapText="1"/>
      <protection hidden="1"/>
    </xf>
    <xf numFmtId="174" fontId="44" fillId="7" borderId="200" xfId="0" applyNumberFormat="1" applyFont="1" applyFill="1" applyBorder="1" applyAlignment="1" applyProtection="1">
      <alignment horizontal="center" wrapText="1"/>
      <protection hidden="1"/>
    </xf>
    <xf numFmtId="184" fontId="38" fillId="0" borderId="201" xfId="0" applyNumberFormat="1" applyFont="1" applyBorder="1" applyAlignment="1" applyProtection="1">
      <alignment horizontal="center" wrapText="1"/>
      <protection locked="0" hidden="1"/>
    </xf>
    <xf numFmtId="184" fontId="44" fillId="0" borderId="199" xfId="0" applyNumberFormat="1" applyFont="1" applyBorder="1" applyAlignment="1" applyProtection="1">
      <alignment horizontal="center" wrapText="1"/>
      <protection locked="0" hidden="1"/>
    </xf>
    <xf numFmtId="184" fontId="44" fillId="0" borderId="198" xfId="0" applyNumberFormat="1" applyFont="1" applyBorder="1" applyAlignment="1" applyProtection="1">
      <alignment horizontal="center" wrapText="1"/>
      <protection locked="0" hidden="1"/>
    </xf>
    <xf numFmtId="0" fontId="44" fillId="0" borderId="197" xfId="0" applyFont="1" applyBorder="1" applyAlignment="1" applyProtection="1">
      <alignment horizontal="center" wrapText="1"/>
      <protection locked="0"/>
    </xf>
    <xf numFmtId="174" fontId="44" fillId="0" borderId="197" xfId="0" applyNumberFormat="1" applyFont="1" applyBorder="1" applyAlignment="1" applyProtection="1">
      <alignment horizontal="center" wrapText="1"/>
      <protection locked="0"/>
    </xf>
    <xf numFmtId="174" fontId="44" fillId="0" borderId="198" xfId="0" applyNumberFormat="1" applyFont="1" applyBorder="1" applyAlignment="1" applyProtection="1">
      <alignment horizontal="center" wrapText="1"/>
      <protection locked="0"/>
    </xf>
    <xf numFmtId="0" fontId="1" fillId="0" borderId="196" xfId="0" applyFont="1" applyBorder="1" applyAlignment="1" applyProtection="1">
      <alignment horizontal="center" wrapText="1"/>
      <protection locked="0"/>
    </xf>
    <xf numFmtId="0" fontId="44" fillId="0" borderId="196" xfId="0" applyFont="1" applyBorder="1" applyAlignment="1" applyProtection="1">
      <alignment horizontal="center" wrapText="1"/>
      <protection locked="0"/>
    </xf>
    <xf numFmtId="3" fontId="44" fillId="0" borderId="196" xfId="0" applyNumberFormat="1" applyFont="1" applyBorder="1" applyAlignment="1" applyProtection="1">
      <alignment horizontal="center" wrapText="1"/>
      <protection locked="0"/>
    </xf>
    <xf numFmtId="3" fontId="33" fillId="0" borderId="212" xfId="0" applyNumberFormat="1" applyFont="1" applyBorder="1" applyAlignment="1" applyProtection="1">
      <alignment horizontal="center" wrapText="1"/>
      <protection locked="0" hidden="1"/>
    </xf>
    <xf numFmtId="3" fontId="33" fillId="0" borderId="213" xfId="0" applyNumberFormat="1" applyFont="1" applyBorder="1" applyAlignment="1" applyProtection="1">
      <alignment horizontal="center" wrapText="1"/>
      <protection locked="0" hidden="1"/>
    </xf>
    <xf numFmtId="167" fontId="44" fillId="0" borderId="202" xfId="0" applyNumberFormat="1" applyFont="1" applyBorder="1" applyAlignment="1" applyProtection="1">
      <alignment horizontal="center" shrinkToFit="1"/>
      <protection locked="0"/>
    </xf>
    <xf numFmtId="167" fontId="44" fillId="0" borderId="196" xfId="0" applyNumberFormat="1" applyFont="1" applyBorder="1" applyAlignment="1" applyProtection="1">
      <alignment horizontal="center" shrinkToFit="1"/>
      <protection locked="0"/>
    </xf>
    <xf numFmtId="167" fontId="44" fillId="0" borderId="203" xfId="0" applyNumberFormat="1" applyFont="1" applyBorder="1" applyAlignment="1" applyProtection="1">
      <alignment horizontal="center" shrinkToFit="1"/>
      <protection locked="0"/>
    </xf>
    <xf numFmtId="0" fontId="35" fillId="7" borderId="66" xfId="0" applyFont="1" applyFill="1" applyBorder="1" applyAlignment="1" applyProtection="1">
      <alignment horizontal="center"/>
      <protection hidden="1"/>
    </xf>
    <xf numFmtId="0" fontId="35" fillId="7" borderId="67" xfId="0" applyFont="1" applyFill="1" applyBorder="1" applyAlignment="1" applyProtection="1">
      <alignment horizontal="center"/>
      <protection hidden="1"/>
    </xf>
    <xf numFmtId="0" fontId="35" fillId="7" borderId="28" xfId="0" applyFont="1" applyFill="1" applyBorder="1" applyAlignment="1" applyProtection="1">
      <alignment horizontal="center"/>
      <protection hidden="1"/>
    </xf>
    <xf numFmtId="0" fontId="35" fillId="7" borderId="30" xfId="0" applyFont="1" applyFill="1" applyBorder="1" applyAlignment="1" applyProtection="1">
      <alignment horizontal="center"/>
      <protection hidden="1"/>
    </xf>
    <xf numFmtId="182" fontId="35" fillId="7" borderId="66" xfId="0" applyNumberFormat="1" applyFont="1" applyFill="1" applyBorder="1" applyAlignment="1" applyProtection="1">
      <alignment horizontal="center" wrapText="1"/>
      <protection hidden="1"/>
    </xf>
    <xf numFmtId="182" fontId="44" fillId="7" borderId="69" xfId="0" applyNumberFormat="1" applyFont="1" applyFill="1" applyBorder="1" applyAlignment="1" applyProtection="1">
      <alignment horizontal="center" wrapText="1"/>
      <protection hidden="1"/>
    </xf>
    <xf numFmtId="182" fontId="44" fillId="7" borderId="67" xfId="0" applyNumberFormat="1" applyFont="1" applyFill="1" applyBorder="1" applyAlignment="1" applyProtection="1">
      <alignment horizontal="center" wrapText="1"/>
      <protection hidden="1"/>
    </xf>
    <xf numFmtId="182" fontId="44" fillId="7" borderId="28" xfId="0" applyNumberFormat="1" applyFont="1" applyFill="1" applyBorder="1" applyAlignment="1" applyProtection="1">
      <alignment horizontal="center" wrapText="1"/>
      <protection hidden="1"/>
    </xf>
    <xf numFmtId="182" fontId="44" fillId="7" borderId="29" xfId="0" applyNumberFormat="1" applyFont="1" applyFill="1" applyBorder="1" applyAlignment="1" applyProtection="1">
      <alignment horizontal="center" wrapText="1"/>
      <protection hidden="1"/>
    </xf>
    <xf numFmtId="182" fontId="44" fillId="7" borderId="30" xfId="0" applyNumberFormat="1" applyFont="1" applyFill="1" applyBorder="1" applyAlignment="1" applyProtection="1">
      <alignment horizontal="center" wrapText="1"/>
      <protection hidden="1"/>
    </xf>
    <xf numFmtId="1" fontId="44" fillId="7" borderId="69" xfId="0" applyNumberFormat="1" applyFont="1" applyFill="1" applyBorder="1" applyAlignment="1" applyProtection="1">
      <alignment horizontal="center" wrapText="1"/>
      <protection hidden="1"/>
    </xf>
    <xf numFmtId="1" fontId="44" fillId="7" borderId="67" xfId="0" applyNumberFormat="1" applyFont="1" applyFill="1" applyBorder="1" applyAlignment="1" applyProtection="1">
      <alignment horizontal="center" wrapText="1"/>
      <protection hidden="1"/>
    </xf>
    <xf numFmtId="1" fontId="44" fillId="7" borderId="29" xfId="0" applyNumberFormat="1" applyFont="1" applyFill="1" applyBorder="1" applyAlignment="1" applyProtection="1">
      <alignment horizontal="center" wrapText="1"/>
      <protection hidden="1"/>
    </xf>
    <xf numFmtId="1" fontId="44" fillId="7" borderId="30" xfId="0" applyNumberFormat="1" applyFont="1" applyFill="1" applyBorder="1" applyAlignment="1" applyProtection="1">
      <alignment horizontal="center" wrapText="1"/>
      <protection hidden="1"/>
    </xf>
    <xf numFmtId="167" fontId="43" fillId="37" borderId="66" xfId="0" applyNumberFormat="1" applyFont="1" applyFill="1" applyBorder="1" applyAlignment="1" applyProtection="1">
      <alignment horizontal="center" wrapText="1" shrinkToFit="1"/>
      <protection hidden="1"/>
    </xf>
    <xf numFmtId="167" fontId="43" fillId="37" borderId="69" xfId="0" applyNumberFormat="1" applyFont="1" applyFill="1" applyBorder="1" applyAlignment="1" applyProtection="1">
      <alignment horizontal="center" wrapText="1" shrinkToFit="1"/>
      <protection hidden="1"/>
    </xf>
    <xf numFmtId="167" fontId="43" fillId="37" borderId="67" xfId="0" applyNumberFormat="1" applyFont="1" applyFill="1" applyBorder="1" applyAlignment="1" applyProtection="1">
      <alignment horizontal="center" wrapText="1" shrinkToFit="1"/>
      <protection hidden="1"/>
    </xf>
    <xf numFmtId="167" fontId="43" fillId="37" borderId="169" xfId="0" applyNumberFormat="1" applyFont="1" applyFill="1" applyBorder="1" applyAlignment="1" applyProtection="1">
      <alignment horizontal="center" wrapText="1" shrinkToFit="1"/>
      <protection hidden="1"/>
    </xf>
    <xf numFmtId="167" fontId="43" fillId="37" borderId="171" xfId="0" applyNumberFormat="1" applyFont="1" applyFill="1" applyBorder="1" applyAlignment="1" applyProtection="1">
      <alignment horizontal="center" wrapText="1" shrinkToFit="1"/>
      <protection hidden="1"/>
    </xf>
    <xf numFmtId="167" fontId="43" fillId="37" borderId="170" xfId="0" applyNumberFormat="1" applyFont="1" applyFill="1" applyBorder="1" applyAlignment="1" applyProtection="1">
      <alignment horizontal="center" wrapText="1" shrinkToFit="1"/>
      <protection hidden="1"/>
    </xf>
    <xf numFmtId="0" fontId="35" fillId="0" borderId="0" xfId="0" applyFont="1" applyAlignment="1">
      <alignment horizontal="center" wrapText="1"/>
    </xf>
    <xf numFmtId="0" fontId="35" fillId="0" borderId="12" xfId="0" applyFont="1" applyBorder="1" applyAlignment="1">
      <alignment horizontal="center" wrapText="1"/>
    </xf>
    <xf numFmtId="167" fontId="44" fillId="7" borderId="120" xfId="0" applyNumberFormat="1" applyFont="1" applyFill="1" applyBorder="1" applyAlignment="1" applyProtection="1">
      <alignment horizontal="center" shrinkToFit="1"/>
      <protection hidden="1"/>
    </xf>
    <xf numFmtId="167" fontId="44" fillId="7" borderId="93" xfId="0" applyNumberFormat="1" applyFont="1" applyFill="1" applyBorder="1" applyAlignment="1" applyProtection="1">
      <alignment horizontal="center" shrinkToFit="1"/>
      <protection hidden="1"/>
    </xf>
    <xf numFmtId="167" fontId="44" fillId="7" borderId="122" xfId="0" applyNumberFormat="1" applyFont="1" applyFill="1" applyBorder="1" applyAlignment="1" applyProtection="1">
      <alignment horizontal="center" shrinkToFit="1"/>
      <protection hidden="1"/>
    </xf>
    <xf numFmtId="167" fontId="44" fillId="7" borderId="14" xfId="0" applyNumberFormat="1" applyFont="1" applyFill="1" applyBorder="1" applyAlignment="1" applyProtection="1">
      <alignment horizontal="center" shrinkToFit="1"/>
      <protection hidden="1"/>
    </xf>
    <xf numFmtId="167" fontId="44" fillId="7" borderId="121" xfId="0" applyNumberFormat="1" applyFont="1" applyFill="1" applyBorder="1" applyAlignment="1" applyProtection="1">
      <alignment horizontal="center" shrinkToFit="1"/>
      <protection hidden="1"/>
    </xf>
    <xf numFmtId="167" fontId="44" fillId="7" borderId="123" xfId="0" applyNumberFormat="1" applyFont="1" applyFill="1" applyBorder="1" applyAlignment="1" applyProtection="1">
      <alignment horizontal="center" shrinkToFit="1"/>
      <protection hidden="1"/>
    </xf>
    <xf numFmtId="171" fontId="43" fillId="7" borderId="47" xfId="0" applyNumberFormat="1" applyFont="1" applyFill="1" applyBorder="1" applyAlignment="1" applyProtection="1">
      <alignment horizontal="center" wrapText="1" shrinkToFit="1"/>
      <protection hidden="1"/>
    </xf>
    <xf numFmtId="167" fontId="43" fillId="37" borderId="86" xfId="0" applyNumberFormat="1" applyFont="1" applyFill="1" applyBorder="1" applyAlignment="1" applyProtection="1">
      <alignment horizontal="center" wrapText="1" shrinkToFit="1"/>
      <protection hidden="1"/>
    </xf>
    <xf numFmtId="167" fontId="43" fillId="37" borderId="10" xfId="0" applyNumberFormat="1" applyFont="1" applyFill="1" applyBorder="1" applyAlignment="1" applyProtection="1">
      <alignment horizontal="center" wrapText="1" shrinkToFit="1"/>
      <protection hidden="1"/>
    </xf>
    <xf numFmtId="167" fontId="43" fillId="37" borderId="87" xfId="0" applyNumberFormat="1" applyFont="1" applyFill="1" applyBorder="1" applyAlignment="1" applyProtection="1">
      <alignment horizontal="center" wrapText="1" shrinkToFit="1"/>
      <protection hidden="1"/>
    </xf>
    <xf numFmtId="167" fontId="43" fillId="37" borderId="28" xfId="0" applyNumberFormat="1" applyFont="1" applyFill="1" applyBorder="1" applyAlignment="1" applyProtection="1">
      <alignment horizontal="center" wrapText="1" shrinkToFit="1"/>
      <protection hidden="1"/>
    </xf>
    <xf numFmtId="167" fontId="43" fillId="37" borderId="29" xfId="0" applyNumberFormat="1" applyFont="1" applyFill="1" applyBorder="1" applyAlignment="1" applyProtection="1">
      <alignment horizontal="center" wrapText="1" shrinkToFit="1"/>
      <protection hidden="1"/>
    </xf>
    <xf numFmtId="167" fontId="43" fillId="37" borderId="30" xfId="0" applyNumberFormat="1" applyFont="1" applyFill="1" applyBorder="1" applyAlignment="1" applyProtection="1">
      <alignment horizontal="center" wrapText="1" shrinkToFit="1"/>
      <protection hidden="1"/>
    </xf>
    <xf numFmtId="0" fontId="35" fillId="7" borderId="169" xfId="0" applyFont="1" applyFill="1" applyBorder="1" applyAlignment="1" applyProtection="1">
      <alignment horizontal="center"/>
      <protection hidden="1"/>
    </xf>
    <xf numFmtId="0" fontId="35" fillId="7" borderId="170" xfId="0" applyFont="1" applyFill="1" applyBorder="1" applyAlignment="1" applyProtection="1">
      <alignment horizontal="center"/>
      <protection hidden="1"/>
    </xf>
    <xf numFmtId="182" fontId="44" fillId="7" borderId="169" xfId="0" applyNumberFormat="1" applyFont="1" applyFill="1" applyBorder="1" applyAlignment="1" applyProtection="1">
      <alignment horizontal="center" wrapText="1"/>
      <protection hidden="1"/>
    </xf>
    <xf numFmtId="182" fontId="44" fillId="7" borderId="171" xfId="0" applyNumberFormat="1" applyFont="1" applyFill="1" applyBorder="1" applyAlignment="1" applyProtection="1">
      <alignment horizontal="center" wrapText="1"/>
      <protection hidden="1"/>
    </xf>
    <xf numFmtId="182" fontId="44" fillId="7" borderId="170" xfId="0" applyNumberFormat="1" applyFont="1" applyFill="1" applyBorder="1" applyAlignment="1" applyProtection="1">
      <alignment horizontal="center" wrapText="1"/>
      <protection hidden="1"/>
    </xf>
    <xf numFmtId="1" fontId="44" fillId="7" borderId="171" xfId="0" applyNumberFormat="1" applyFont="1" applyFill="1" applyBorder="1" applyAlignment="1" applyProtection="1">
      <alignment horizontal="center" wrapText="1"/>
      <protection hidden="1"/>
    </xf>
    <xf numFmtId="1" fontId="44" fillId="7" borderId="170" xfId="0" applyNumberFormat="1" applyFont="1" applyFill="1" applyBorder="1" applyAlignment="1" applyProtection="1">
      <alignment horizontal="center" wrapText="1"/>
      <protection hidden="1"/>
    </xf>
    <xf numFmtId="174" fontId="44" fillId="7" borderId="171" xfId="0" applyNumberFormat="1" applyFont="1" applyFill="1" applyBorder="1" applyAlignment="1" applyProtection="1">
      <alignment horizontal="center" wrapText="1"/>
      <protection hidden="1"/>
    </xf>
    <xf numFmtId="174" fontId="44" fillId="7" borderId="172" xfId="0" applyNumberFormat="1" applyFont="1" applyFill="1" applyBorder="1" applyAlignment="1" applyProtection="1">
      <alignment horizontal="center" wrapText="1"/>
      <protection hidden="1"/>
    </xf>
    <xf numFmtId="184" fontId="35" fillId="7" borderId="68" xfId="0" applyNumberFormat="1" applyFont="1" applyFill="1" applyBorder="1" applyAlignment="1" applyProtection="1">
      <alignment horizontal="center" wrapText="1"/>
      <protection hidden="1"/>
    </xf>
    <xf numFmtId="184" fontId="44" fillId="7" borderId="69" xfId="0" applyNumberFormat="1" applyFont="1" applyFill="1" applyBorder="1" applyAlignment="1" applyProtection="1">
      <alignment horizontal="center" wrapText="1"/>
      <protection hidden="1"/>
    </xf>
    <xf numFmtId="184" fontId="44" fillId="7" borderId="67" xfId="0" applyNumberFormat="1" applyFont="1" applyFill="1" applyBorder="1" applyAlignment="1" applyProtection="1">
      <alignment horizontal="center" wrapText="1"/>
      <protection hidden="1"/>
    </xf>
    <xf numFmtId="184" fontId="44" fillId="7" borderId="173" xfId="0" applyNumberFormat="1" applyFont="1" applyFill="1" applyBorder="1" applyAlignment="1" applyProtection="1">
      <alignment horizontal="center" wrapText="1"/>
      <protection hidden="1"/>
    </xf>
    <xf numFmtId="184" fontId="44" fillId="7" borderId="171" xfId="0" applyNumberFormat="1" applyFont="1" applyFill="1" applyBorder="1" applyAlignment="1" applyProtection="1">
      <alignment horizontal="center" wrapText="1"/>
      <protection hidden="1"/>
    </xf>
    <xf numFmtId="184" fontId="44" fillId="7" borderId="170" xfId="0" applyNumberFormat="1" applyFont="1" applyFill="1" applyBorder="1" applyAlignment="1" applyProtection="1">
      <alignment horizontal="center" wrapText="1"/>
      <protection hidden="1"/>
    </xf>
    <xf numFmtId="0" fontId="35" fillId="7" borderId="66" xfId="0" applyFont="1" applyFill="1" applyBorder="1" applyAlignment="1" applyProtection="1">
      <alignment horizontal="center" wrapText="1"/>
      <protection hidden="1"/>
    </xf>
    <xf numFmtId="0" fontId="44" fillId="7" borderId="69" xfId="0" applyFont="1" applyFill="1" applyBorder="1" applyAlignment="1" applyProtection="1">
      <alignment horizontal="center" wrapText="1"/>
      <protection hidden="1"/>
    </xf>
    <xf numFmtId="0" fontId="44" fillId="7" borderId="67" xfId="0" applyFont="1" applyFill="1" applyBorder="1" applyAlignment="1" applyProtection="1">
      <alignment horizontal="center" wrapText="1"/>
      <protection hidden="1"/>
    </xf>
    <xf numFmtId="0" fontId="44" fillId="7" borderId="169" xfId="0" applyFont="1" applyFill="1" applyBorder="1" applyAlignment="1" applyProtection="1">
      <alignment horizontal="center" wrapText="1"/>
      <protection hidden="1"/>
    </xf>
    <xf numFmtId="0" fontId="44" fillId="7" borderId="171" xfId="0" applyFont="1" applyFill="1" applyBorder="1" applyAlignment="1" applyProtection="1">
      <alignment horizontal="center" wrapText="1"/>
      <protection hidden="1"/>
    </xf>
    <xf numFmtId="0" fontId="44" fillId="7" borderId="170" xfId="0" applyFont="1" applyFill="1" applyBorder="1" applyAlignment="1" applyProtection="1">
      <alignment horizontal="center" wrapText="1"/>
      <protection hidden="1"/>
    </xf>
    <xf numFmtId="0" fontId="44" fillId="7" borderId="66" xfId="0" applyFont="1" applyFill="1" applyBorder="1" applyAlignment="1" applyProtection="1">
      <alignment horizontal="center" wrapText="1"/>
      <protection hidden="1"/>
    </xf>
    <xf numFmtId="0" fontId="44" fillId="25" borderId="94" xfId="0" applyFont="1" applyFill="1" applyBorder="1" applyAlignment="1" applyProtection="1">
      <alignment horizontal="center" wrapText="1"/>
      <protection hidden="1"/>
    </xf>
    <xf numFmtId="0" fontId="44" fillId="25" borderId="95" xfId="0" applyFont="1" applyFill="1" applyBorder="1" applyAlignment="1" applyProtection="1">
      <alignment horizontal="center" wrapText="1"/>
      <protection hidden="1"/>
    </xf>
    <xf numFmtId="0" fontId="44" fillId="25" borderId="174" xfId="0" applyFont="1" applyFill="1" applyBorder="1" applyAlignment="1" applyProtection="1">
      <alignment horizontal="center" wrapText="1"/>
      <protection hidden="1"/>
    </xf>
    <xf numFmtId="0" fontId="44" fillId="25" borderId="175" xfId="0" applyFont="1" applyFill="1" applyBorder="1" applyAlignment="1" applyProtection="1">
      <alignment horizontal="center" wrapText="1"/>
      <protection hidden="1"/>
    </xf>
    <xf numFmtId="174" fontId="44" fillId="7" borderId="67" xfId="0" applyNumberFormat="1" applyFont="1" applyFill="1" applyBorder="1" applyAlignment="1" applyProtection="1">
      <alignment horizontal="center" wrapText="1"/>
      <protection hidden="1"/>
    </xf>
    <xf numFmtId="174" fontId="44" fillId="7" borderId="170" xfId="0" applyNumberFormat="1" applyFont="1" applyFill="1" applyBorder="1" applyAlignment="1" applyProtection="1">
      <alignment horizontal="center" wrapText="1"/>
      <protection hidden="1"/>
    </xf>
    <xf numFmtId="0" fontId="35" fillId="7" borderId="14" xfId="0" applyFont="1" applyFill="1" applyBorder="1" applyAlignment="1" applyProtection="1">
      <alignment horizontal="center" wrapText="1"/>
      <protection hidden="1"/>
    </xf>
    <xf numFmtId="0" fontId="44" fillId="7" borderId="14" xfId="0" applyFont="1" applyFill="1" applyBorder="1" applyAlignment="1" applyProtection="1">
      <alignment horizontal="center" wrapText="1"/>
      <protection hidden="1"/>
    </xf>
    <xf numFmtId="0" fontId="44" fillId="7" borderId="176" xfId="0" applyFont="1" applyFill="1" applyBorder="1" applyAlignment="1" applyProtection="1">
      <alignment horizontal="center" wrapText="1"/>
      <protection hidden="1"/>
    </xf>
    <xf numFmtId="3" fontId="44" fillId="7" borderId="14" xfId="0" applyNumberFormat="1" applyFont="1" applyFill="1" applyBorder="1" applyAlignment="1" applyProtection="1">
      <alignment horizontal="center" wrapText="1"/>
      <protection hidden="1"/>
    </xf>
    <xf numFmtId="3" fontId="44" fillId="7" borderId="82" xfId="0" applyNumberFormat="1" applyFont="1" applyFill="1" applyBorder="1" applyAlignment="1" applyProtection="1">
      <alignment horizontal="center" wrapText="1"/>
      <protection hidden="1"/>
    </xf>
    <xf numFmtId="3" fontId="44" fillId="7" borderId="176" xfId="0" applyNumberFormat="1" applyFont="1" applyFill="1" applyBorder="1" applyAlignment="1" applyProtection="1">
      <alignment horizontal="center" wrapText="1"/>
      <protection hidden="1"/>
    </xf>
    <xf numFmtId="3" fontId="44" fillId="7" borderId="177" xfId="0" applyNumberFormat="1" applyFont="1" applyFill="1" applyBorder="1" applyAlignment="1" applyProtection="1">
      <alignment horizontal="center" wrapText="1"/>
      <protection hidden="1"/>
    </xf>
    <xf numFmtId="187" fontId="43" fillId="25" borderId="94" xfId="0" applyNumberFormat="1" applyFont="1" applyFill="1" applyBorder="1" applyAlignment="1" applyProtection="1">
      <alignment horizontal="center" wrapText="1"/>
      <protection hidden="1"/>
    </xf>
    <xf numFmtId="187" fontId="43" fillId="25" borderId="112" xfId="0" applyNumberFormat="1" applyFont="1" applyFill="1" applyBorder="1" applyAlignment="1" applyProtection="1">
      <alignment horizontal="center" wrapText="1"/>
      <protection hidden="1"/>
    </xf>
    <xf numFmtId="187" fontId="43" fillId="25" borderId="174" xfId="0" applyNumberFormat="1" applyFont="1" applyFill="1" applyBorder="1" applyAlignment="1" applyProtection="1">
      <alignment horizontal="center" wrapText="1"/>
      <protection hidden="1"/>
    </xf>
    <xf numFmtId="187" fontId="43" fillId="25" borderId="178" xfId="0" applyNumberFormat="1" applyFont="1" applyFill="1" applyBorder="1" applyAlignment="1" applyProtection="1">
      <alignment horizontal="center" wrapText="1"/>
      <protection hidden="1"/>
    </xf>
    <xf numFmtId="167" fontId="44" fillId="7" borderId="179" xfId="0" applyNumberFormat="1" applyFont="1" applyFill="1" applyBorder="1" applyAlignment="1" applyProtection="1">
      <alignment horizontal="center" shrinkToFit="1"/>
      <protection hidden="1"/>
    </xf>
    <xf numFmtId="167" fontId="44" fillId="7" borderId="176" xfId="0" applyNumberFormat="1" applyFont="1" applyFill="1" applyBorder="1" applyAlignment="1" applyProtection="1">
      <alignment horizontal="center" shrinkToFit="1"/>
      <protection hidden="1"/>
    </xf>
    <xf numFmtId="167" fontId="44" fillId="7" borderId="180" xfId="0" applyNumberFormat="1" applyFont="1" applyFill="1" applyBorder="1" applyAlignment="1" applyProtection="1">
      <alignment horizontal="center" shrinkToFit="1"/>
      <protection hidden="1"/>
    </xf>
    <xf numFmtId="171" fontId="43" fillId="7" borderId="181" xfId="0" applyNumberFormat="1" applyFont="1" applyFill="1" applyBorder="1" applyAlignment="1" applyProtection="1">
      <alignment horizontal="center" wrapText="1" shrinkToFit="1"/>
      <protection hidden="1"/>
    </xf>
    <xf numFmtId="171" fontId="43" fillId="7" borderId="176" xfId="0" applyNumberFormat="1" applyFont="1" applyFill="1" applyBorder="1" applyAlignment="1" applyProtection="1">
      <alignment horizontal="center" wrapText="1" shrinkToFit="1"/>
      <protection hidden="1"/>
    </xf>
    <xf numFmtId="0" fontId="34" fillId="0" borderId="10" xfId="0" applyFont="1" applyBorder="1" applyAlignment="1">
      <alignment horizontal="center" wrapText="1"/>
    </xf>
    <xf numFmtId="0" fontId="30" fillId="0" borderId="10" xfId="0" applyFont="1" applyBorder="1" applyAlignment="1">
      <alignment horizontal="center" wrapText="1"/>
    </xf>
    <xf numFmtId="184" fontId="44" fillId="7" borderId="34" xfId="0" applyNumberFormat="1" applyFont="1" applyFill="1" applyBorder="1" applyAlignment="1" applyProtection="1">
      <alignment horizontal="center" wrapText="1"/>
      <protection hidden="1"/>
    </xf>
    <xf numFmtId="184" fontId="44" fillId="7" borderId="29" xfId="0" applyNumberFormat="1" applyFont="1" applyFill="1" applyBorder="1" applyAlignment="1" applyProtection="1">
      <alignment horizontal="center" wrapText="1"/>
      <protection hidden="1"/>
    </xf>
    <xf numFmtId="184" fontId="44" fillId="7" borderId="30" xfId="0" applyNumberFormat="1" applyFont="1" applyFill="1" applyBorder="1" applyAlignment="1" applyProtection="1">
      <alignment horizontal="center" wrapText="1"/>
      <protection hidden="1"/>
    </xf>
    <xf numFmtId="0" fontId="44" fillId="7" borderId="28" xfId="0" applyFont="1" applyFill="1" applyBorder="1" applyAlignment="1" applyProtection="1">
      <alignment horizontal="center" wrapText="1"/>
      <protection hidden="1"/>
    </xf>
    <xf numFmtId="0" fontId="44" fillId="7" borderId="29" xfId="0" applyFont="1" applyFill="1" applyBorder="1" applyAlignment="1" applyProtection="1">
      <alignment horizontal="center" wrapText="1"/>
      <protection hidden="1"/>
    </xf>
    <xf numFmtId="0" fontId="44" fillId="7" borderId="30" xfId="0" applyFont="1" applyFill="1" applyBorder="1" applyAlignment="1" applyProtection="1">
      <alignment horizontal="center" wrapText="1"/>
      <protection hidden="1"/>
    </xf>
    <xf numFmtId="0" fontId="44" fillId="25" borderId="98" xfId="0" applyFont="1" applyFill="1" applyBorder="1" applyAlignment="1" applyProtection="1">
      <alignment horizontal="center" wrapText="1"/>
      <protection hidden="1"/>
    </xf>
    <xf numFmtId="0" fontId="44" fillId="25" borderId="99" xfId="0" applyFont="1" applyFill="1" applyBorder="1" applyAlignment="1" applyProtection="1">
      <alignment horizontal="center" wrapText="1"/>
      <protection hidden="1"/>
    </xf>
    <xf numFmtId="174" fontId="44" fillId="7" borderId="30" xfId="0" applyNumberFormat="1" applyFont="1" applyFill="1" applyBorder="1" applyAlignment="1" applyProtection="1">
      <alignment horizontal="center" wrapText="1"/>
      <protection hidden="1"/>
    </xf>
    <xf numFmtId="187" fontId="43" fillId="25" borderId="98" xfId="0" applyNumberFormat="1" applyFont="1" applyFill="1" applyBorder="1" applyAlignment="1" applyProtection="1">
      <alignment horizontal="center" wrapText="1"/>
      <protection hidden="1"/>
    </xf>
    <xf numFmtId="187" fontId="43" fillId="25" borderId="111" xfId="0" applyNumberFormat="1" applyFont="1" applyFill="1" applyBorder="1" applyAlignment="1" applyProtection="1">
      <alignment horizontal="center" wrapText="1"/>
      <protection hidden="1"/>
    </xf>
    <xf numFmtId="0" fontId="43" fillId="0" borderId="12" xfId="0" applyFont="1" applyBorder="1" applyAlignment="1">
      <alignment horizontal="center" wrapText="1"/>
    </xf>
    <xf numFmtId="0" fontId="43" fillId="0" borderId="11" xfId="0" applyFont="1" applyBorder="1" applyAlignment="1">
      <alignment horizontal="center" wrapText="1"/>
    </xf>
    <xf numFmtId="0" fontId="35" fillId="0" borderId="10" xfId="0" applyFont="1" applyBorder="1" applyAlignment="1">
      <alignment horizontal="center" wrapText="1"/>
    </xf>
    <xf numFmtId="167" fontId="99" fillId="41" borderId="0" xfId="0" applyNumberFormat="1" applyFont="1" applyFill="1" applyAlignment="1">
      <alignment horizontal="center" vertical="center"/>
    </xf>
    <xf numFmtId="171" fontId="99" fillId="41" borderId="0" xfId="0" applyNumberFormat="1" applyFont="1" applyFill="1" applyAlignment="1">
      <alignment horizontal="center" vertical="center"/>
    </xf>
    <xf numFmtId="0" fontId="108" fillId="23" borderId="0" xfId="0" applyFont="1" applyFill="1" applyAlignment="1">
      <alignment horizontal="center"/>
    </xf>
    <xf numFmtId="0" fontId="31" fillId="0" borderId="0" xfId="0" applyFont="1" applyAlignment="1">
      <alignment horizontal="center" wrapText="1"/>
    </xf>
    <xf numFmtId="167" fontId="85" fillId="0" borderId="32" xfId="0" applyNumberFormat="1" applyFont="1" applyBorder="1" applyAlignment="1">
      <alignment horizontal="center" wrapText="1" shrinkToFit="1"/>
    </xf>
    <xf numFmtId="167" fontId="85" fillId="0" borderId="15" xfId="0" applyNumberFormat="1" applyFont="1" applyBorder="1" applyAlignment="1">
      <alignment horizontal="center" wrapText="1" shrinkToFit="1"/>
    </xf>
    <xf numFmtId="0" fontId="43" fillId="0" borderId="13" xfId="0" applyFont="1" applyBorder="1" applyAlignment="1">
      <alignment horizontal="center" wrapText="1"/>
    </xf>
    <xf numFmtId="0" fontId="85" fillId="0" borderId="0" xfId="0" applyFont="1" applyAlignment="1">
      <alignment horizontal="center" wrapText="1"/>
    </xf>
    <xf numFmtId="0" fontId="85" fillId="0" borderId="12" xfId="0" applyFont="1" applyBorder="1" applyAlignment="1">
      <alignment horizontal="center" wrapText="1"/>
    </xf>
    <xf numFmtId="0" fontId="85" fillId="0" borderId="10" xfId="0" applyFont="1" applyBorder="1" applyAlignment="1">
      <alignment horizontal="center" wrapText="1"/>
    </xf>
    <xf numFmtId="0" fontId="0" fillId="36" borderId="0" xfId="0" applyFill="1" applyAlignment="1" applyProtection="1">
      <alignment horizontal="center"/>
      <protection locked="0" hidden="1"/>
    </xf>
    <xf numFmtId="4" fontId="44" fillId="0" borderId="32" xfId="0" applyNumberFormat="1" applyFont="1" applyBorder="1" applyAlignment="1">
      <alignment horizontal="center" shrinkToFit="1"/>
    </xf>
    <xf numFmtId="4" fontId="44" fillId="0" borderId="15" xfId="0" applyNumberFormat="1" applyFont="1" applyBorder="1" applyAlignment="1">
      <alignment horizontal="center" shrinkToFit="1"/>
    </xf>
    <xf numFmtId="0" fontId="1" fillId="0" borderId="10" xfId="0" applyFont="1" applyBorder="1" applyAlignment="1">
      <alignment horizontal="center" wrapText="1"/>
    </xf>
    <xf numFmtId="0" fontId="76" fillId="0" borderId="0" xfId="0" applyFont="1" applyAlignment="1">
      <alignment horizontal="center" vertical="center" wrapText="1"/>
    </xf>
    <xf numFmtId="0" fontId="1" fillId="0" borderId="205" xfId="0" applyFont="1" applyBorder="1" applyAlignment="1" applyProtection="1">
      <alignment horizontal="center" wrapText="1"/>
      <protection locked="0" hidden="1"/>
    </xf>
    <xf numFmtId="0" fontId="1" fillId="0" borderId="76" xfId="0" applyFont="1" applyBorder="1" applyAlignment="1" applyProtection="1">
      <alignment horizontal="center" wrapText="1"/>
      <protection locked="0" hidden="1"/>
    </xf>
    <xf numFmtId="0" fontId="1" fillId="0" borderId="206" xfId="0" applyFont="1" applyBorder="1" applyAlignment="1" applyProtection="1">
      <alignment horizontal="center" wrapText="1"/>
      <protection locked="0" hidden="1"/>
    </xf>
    <xf numFmtId="0" fontId="1" fillId="0" borderId="15" xfId="0" applyFont="1" applyBorder="1" applyAlignment="1" applyProtection="1">
      <alignment horizontal="center" wrapText="1"/>
      <protection locked="0" hidden="1"/>
    </xf>
    <xf numFmtId="3" fontId="1" fillId="0" borderId="0" xfId="0" applyNumberFormat="1" applyFont="1" applyAlignment="1" applyProtection="1">
      <alignment horizontal="center" wrapText="1"/>
      <protection locked="0" hidden="1"/>
    </xf>
    <xf numFmtId="3" fontId="1" fillId="0" borderId="29" xfId="0" applyNumberFormat="1" applyFont="1" applyBorder="1" applyAlignment="1" applyProtection="1">
      <alignment horizontal="center" wrapText="1"/>
      <protection locked="0" hidden="1"/>
    </xf>
    <xf numFmtId="0" fontId="37" fillId="7" borderId="14" xfId="0" applyFont="1" applyFill="1" applyBorder="1" applyAlignment="1" applyProtection="1">
      <alignment horizontal="center" wrapText="1"/>
      <protection hidden="1"/>
    </xf>
    <xf numFmtId="0" fontId="1" fillId="0" borderId="14" xfId="0" applyFont="1" applyBorder="1" applyAlignment="1" applyProtection="1">
      <alignment horizontal="center" wrapText="1"/>
      <protection locked="0" hidden="1"/>
    </xf>
    <xf numFmtId="0" fontId="44" fillId="0" borderId="10" xfId="0" applyFont="1" applyBorder="1" applyAlignment="1" applyProtection="1">
      <alignment horizontal="center" wrapText="1"/>
      <protection hidden="1"/>
    </xf>
    <xf numFmtId="0" fontId="44" fillId="0" borderId="12" xfId="0" applyFont="1" applyBorder="1" applyAlignment="1" applyProtection="1">
      <alignment horizontal="center" wrapText="1"/>
      <protection hidden="1"/>
    </xf>
    <xf numFmtId="1" fontId="1" fillId="0" borderId="14" xfId="0" applyNumberFormat="1" applyFont="1" applyBorder="1" applyAlignment="1" applyProtection="1">
      <alignment horizontal="center" shrinkToFit="1"/>
      <protection locked="0" hidden="1"/>
    </xf>
    <xf numFmtId="173" fontId="44" fillId="0" borderId="14" xfId="0" applyNumberFormat="1" applyFont="1" applyBorder="1" applyAlignment="1" applyProtection="1">
      <alignment horizontal="center" shrinkToFit="1"/>
      <protection locked="0" hidden="1"/>
    </xf>
    <xf numFmtId="173" fontId="44" fillId="0" borderId="82" xfId="0" applyNumberFormat="1" applyFont="1" applyBorder="1" applyAlignment="1" applyProtection="1">
      <alignment horizontal="center" shrinkToFit="1"/>
      <protection locked="0" hidden="1"/>
    </xf>
    <xf numFmtId="0" fontId="44" fillId="0" borderId="69" xfId="0" applyFont="1" applyBorder="1" applyAlignment="1">
      <alignment horizontal="center" wrapText="1"/>
    </xf>
    <xf numFmtId="0" fontId="44" fillId="0" borderId="14" xfId="0" applyFont="1" applyBorder="1" applyAlignment="1" applyProtection="1">
      <alignment horizontal="center" wrapText="1"/>
      <protection locked="0" hidden="1"/>
    </xf>
    <xf numFmtId="1" fontId="44" fillId="0" borderId="14" xfId="0" applyNumberFormat="1" applyFont="1" applyBorder="1" applyAlignment="1" applyProtection="1">
      <alignment horizontal="center" shrinkToFit="1"/>
      <protection locked="0" hidden="1"/>
    </xf>
    <xf numFmtId="185" fontId="43" fillId="7" borderId="83" xfId="0" applyNumberFormat="1" applyFont="1" applyFill="1" applyBorder="1" applyAlignment="1" applyProtection="1">
      <alignment horizontal="center" wrapText="1"/>
      <protection hidden="1"/>
    </xf>
    <xf numFmtId="185" fontId="43" fillId="7" borderId="14" xfId="0" applyNumberFormat="1" applyFont="1" applyFill="1" applyBorder="1" applyAlignment="1" applyProtection="1">
      <alignment horizontal="center" wrapText="1"/>
      <protection hidden="1"/>
    </xf>
    <xf numFmtId="0" fontId="106" fillId="0" borderId="127" xfId="0" applyFont="1" applyBorder="1" applyAlignment="1" applyProtection="1">
      <alignment horizontal="center" wrapText="1"/>
      <protection hidden="1"/>
    </xf>
    <xf numFmtId="0" fontId="106" fillId="0" borderId="0" xfId="0" applyFont="1" applyAlignment="1" applyProtection="1">
      <alignment horizontal="center" wrapText="1"/>
      <protection hidden="1"/>
    </xf>
    <xf numFmtId="167" fontId="44" fillId="7" borderId="82" xfId="0" applyNumberFormat="1" applyFont="1" applyFill="1" applyBorder="1" applyAlignment="1" applyProtection="1">
      <alignment horizontal="center" shrinkToFit="1"/>
      <protection hidden="1"/>
    </xf>
    <xf numFmtId="1" fontId="1" fillId="0" borderId="86" xfId="0" applyNumberFormat="1" applyFont="1" applyBorder="1" applyAlignment="1" applyProtection="1">
      <alignment horizontal="center" shrinkToFit="1"/>
      <protection locked="0" hidden="1"/>
    </xf>
    <xf numFmtId="1" fontId="1" fillId="0" borderId="87" xfId="0" applyNumberFormat="1" applyFont="1" applyBorder="1" applyAlignment="1" applyProtection="1">
      <alignment horizontal="center" shrinkToFit="1"/>
      <protection locked="0" hidden="1"/>
    </xf>
    <xf numFmtId="1" fontId="1" fillId="0" borderId="28" xfId="0" applyNumberFormat="1" applyFont="1" applyBorder="1" applyAlignment="1" applyProtection="1">
      <alignment horizontal="center" shrinkToFit="1"/>
      <protection locked="0" hidden="1"/>
    </xf>
    <xf numFmtId="1" fontId="1" fillId="0" borderId="30" xfId="0" applyNumberFormat="1" applyFont="1" applyBorder="1" applyAlignment="1" applyProtection="1">
      <alignment horizontal="center" shrinkToFit="1"/>
      <protection locked="0" hidden="1"/>
    </xf>
    <xf numFmtId="0" fontId="43" fillId="0" borderId="127" xfId="0" applyFont="1" applyBorder="1" applyAlignment="1" applyProtection="1">
      <alignment horizontal="center" wrapText="1"/>
      <protection hidden="1"/>
    </xf>
    <xf numFmtId="0" fontId="43" fillId="0" borderId="128" xfId="0" applyFont="1" applyBorder="1" applyAlignment="1" applyProtection="1">
      <alignment horizontal="center" wrapText="1"/>
      <protection hidden="1"/>
    </xf>
    <xf numFmtId="0" fontId="43" fillId="0" borderId="12" xfId="0" applyFont="1" applyBorder="1" applyAlignment="1" applyProtection="1">
      <alignment horizontal="center" wrapText="1"/>
      <protection hidden="1"/>
    </xf>
    <xf numFmtId="0" fontId="43" fillId="0" borderId="130" xfId="0" applyFont="1" applyBorder="1" applyAlignment="1" applyProtection="1">
      <alignment horizontal="center" wrapText="1"/>
      <protection hidden="1"/>
    </xf>
    <xf numFmtId="182" fontId="35" fillId="7" borderId="14" xfId="0" applyNumberFormat="1" applyFont="1" applyFill="1" applyBorder="1" applyAlignment="1" applyProtection="1">
      <alignment horizontal="center" wrapText="1"/>
      <protection hidden="1"/>
    </xf>
    <xf numFmtId="182" fontId="44" fillId="7" borderId="14" xfId="0" applyNumberFormat="1" applyFont="1" applyFill="1" applyBorder="1" applyAlignment="1" applyProtection="1">
      <alignment horizontal="center" wrapText="1"/>
      <protection hidden="1"/>
    </xf>
    <xf numFmtId="3" fontId="33" fillId="0" borderId="0" xfId="0" applyNumberFormat="1" applyFont="1" applyAlignment="1" applyProtection="1">
      <alignment horizontal="center" wrapText="1"/>
      <protection locked="0" hidden="1"/>
    </xf>
    <xf numFmtId="3" fontId="33" fillId="0" borderId="29" xfId="0" applyNumberFormat="1" applyFont="1" applyBorder="1" applyAlignment="1" applyProtection="1">
      <alignment horizontal="center" wrapText="1"/>
      <protection locked="0" hidden="1"/>
    </xf>
    <xf numFmtId="184" fontId="44" fillId="7" borderId="66" xfId="0" applyNumberFormat="1" applyFont="1" applyFill="1" applyBorder="1" applyAlignment="1" applyProtection="1">
      <alignment horizontal="center" shrinkToFit="1"/>
      <protection hidden="1"/>
    </xf>
    <xf numFmtId="184" fontId="44" fillId="7" borderId="67" xfId="0" applyNumberFormat="1" applyFont="1" applyFill="1" applyBorder="1" applyAlignment="1" applyProtection="1">
      <alignment horizontal="center" shrinkToFit="1"/>
      <protection hidden="1"/>
    </xf>
    <xf numFmtId="184" fontId="44" fillId="7" borderId="148" xfId="0" applyNumberFormat="1" applyFont="1" applyFill="1" applyBorder="1" applyAlignment="1" applyProtection="1">
      <alignment horizontal="center" shrinkToFit="1"/>
      <protection hidden="1"/>
    </xf>
    <xf numFmtId="184" fontId="44" fillId="7" borderId="149" xfId="0" applyNumberFormat="1" applyFont="1" applyFill="1" applyBorder="1" applyAlignment="1" applyProtection="1">
      <alignment horizontal="center" shrinkToFit="1"/>
      <protection hidden="1"/>
    </xf>
    <xf numFmtId="182" fontId="35" fillId="0" borderId="136" xfId="0" applyNumberFormat="1" applyFont="1" applyBorder="1" applyAlignment="1" applyProtection="1">
      <alignment horizontal="center" wrapText="1"/>
      <protection hidden="1"/>
    </xf>
    <xf numFmtId="182" fontId="35" fillId="0" borderId="137" xfId="0" applyNumberFormat="1" applyFont="1" applyBorder="1" applyAlignment="1" applyProtection="1">
      <alignment horizontal="center" wrapText="1"/>
      <protection hidden="1"/>
    </xf>
    <xf numFmtId="182" fontId="35" fillId="0" borderId="138" xfId="0" applyNumberFormat="1" applyFont="1" applyBorder="1" applyAlignment="1" applyProtection="1">
      <alignment horizontal="center" wrapText="1"/>
      <protection hidden="1"/>
    </xf>
    <xf numFmtId="182" fontId="35" fillId="0" borderId="139" xfId="0" applyNumberFormat="1" applyFont="1" applyBorder="1" applyAlignment="1" applyProtection="1">
      <alignment horizontal="center" wrapText="1"/>
      <protection hidden="1"/>
    </xf>
    <xf numFmtId="182" fontId="1" fillId="0" borderId="140" xfId="0" applyNumberFormat="1" applyFont="1" applyBorder="1" applyAlignment="1" applyProtection="1">
      <alignment horizontal="center" wrapText="1"/>
      <protection locked="0" hidden="1"/>
    </xf>
    <xf numFmtId="182" fontId="44" fillId="0" borderId="141" xfId="0" applyNumberFormat="1" applyFont="1" applyBorder="1" applyAlignment="1" applyProtection="1">
      <alignment horizontal="center" wrapText="1"/>
      <protection locked="0" hidden="1"/>
    </xf>
    <xf numFmtId="182" fontId="44" fillId="0" borderId="143" xfId="0" applyNumberFormat="1" applyFont="1" applyBorder="1" applyAlignment="1" applyProtection="1">
      <alignment horizontal="center" wrapText="1"/>
      <protection locked="0" hidden="1"/>
    </xf>
    <xf numFmtId="182" fontId="44" fillId="0" borderId="15" xfId="0" applyNumberFormat="1" applyFont="1" applyBorder="1" applyAlignment="1" applyProtection="1">
      <alignment horizontal="center" wrapText="1"/>
      <protection locked="0" hidden="1"/>
    </xf>
    <xf numFmtId="0" fontId="35" fillId="0" borderId="129" xfId="0" applyFont="1" applyBorder="1" applyAlignment="1" applyProtection="1">
      <alignment horizontal="center"/>
      <protection hidden="1"/>
    </xf>
    <xf numFmtId="0" fontId="35" fillId="0" borderId="0" xfId="0" applyFont="1" applyAlignment="1" applyProtection="1">
      <alignment horizontal="center"/>
      <protection hidden="1"/>
    </xf>
    <xf numFmtId="0" fontId="44" fillId="0" borderId="205" xfId="0" applyFont="1" applyBorder="1" applyAlignment="1" applyProtection="1">
      <alignment horizontal="center" wrapText="1"/>
      <protection locked="0" hidden="1"/>
    </xf>
    <xf numFmtId="0" fontId="44" fillId="0" borderId="76" xfId="0" applyFont="1" applyBorder="1" applyAlignment="1" applyProtection="1">
      <alignment horizontal="center" wrapText="1"/>
      <protection locked="0" hidden="1"/>
    </xf>
    <xf numFmtId="0" fontId="44" fillId="0" borderId="206" xfId="0" applyFont="1" applyBorder="1" applyAlignment="1" applyProtection="1">
      <alignment horizontal="center" wrapText="1"/>
      <protection locked="0" hidden="1"/>
    </xf>
    <xf numFmtId="0" fontId="44" fillId="0" borderId="15" xfId="0" applyFont="1" applyBorder="1" applyAlignment="1" applyProtection="1">
      <alignment horizontal="center" wrapText="1"/>
      <protection locked="0" hidden="1"/>
    </xf>
    <xf numFmtId="173" fontId="44" fillId="0" borderId="66" xfId="0" applyNumberFormat="1" applyFont="1" applyBorder="1" applyAlignment="1" applyProtection="1">
      <alignment horizontal="center" shrinkToFit="1"/>
      <protection locked="0" hidden="1"/>
    </xf>
    <xf numFmtId="173" fontId="44" fillId="0" borderId="67" xfId="0" applyNumberFormat="1" applyFont="1" applyBorder="1" applyAlignment="1" applyProtection="1">
      <alignment horizontal="center" shrinkToFit="1"/>
      <protection locked="0" hidden="1"/>
    </xf>
    <xf numFmtId="173" fontId="44" fillId="0" borderId="28" xfId="0" applyNumberFormat="1" applyFont="1" applyBorder="1" applyAlignment="1" applyProtection="1">
      <alignment horizontal="center" shrinkToFit="1"/>
      <protection locked="0" hidden="1"/>
    </xf>
    <xf numFmtId="173" fontId="44" fillId="0" borderId="30" xfId="0" applyNumberFormat="1" applyFont="1" applyBorder="1" applyAlignment="1" applyProtection="1">
      <alignment horizontal="center" shrinkToFit="1"/>
      <protection locked="0" hidden="1"/>
    </xf>
    <xf numFmtId="184" fontId="32" fillId="7" borderId="66" xfId="0" applyNumberFormat="1" applyFont="1" applyFill="1" applyBorder="1" applyAlignment="1" applyProtection="1">
      <alignment horizontal="center" shrinkToFit="1"/>
      <protection hidden="1"/>
    </xf>
    <xf numFmtId="184" fontId="32" fillId="7" borderId="67" xfId="0" applyNumberFormat="1" applyFont="1" applyFill="1" applyBorder="1" applyAlignment="1" applyProtection="1">
      <alignment horizontal="center" shrinkToFit="1"/>
      <protection hidden="1"/>
    </xf>
    <xf numFmtId="184" fontId="32" fillId="7" borderId="164" xfId="0" applyNumberFormat="1" applyFont="1" applyFill="1" applyBorder="1" applyAlignment="1" applyProtection="1">
      <alignment horizontal="center" shrinkToFit="1"/>
      <protection hidden="1"/>
    </xf>
    <xf numFmtId="184" fontId="32" fillId="7" borderId="165" xfId="0" applyNumberFormat="1" applyFont="1" applyFill="1" applyBorder="1" applyAlignment="1" applyProtection="1">
      <alignment horizontal="center" shrinkToFit="1"/>
      <protection hidden="1"/>
    </xf>
    <xf numFmtId="1" fontId="44" fillId="0" borderId="69" xfId="0" applyNumberFormat="1" applyFont="1" applyBorder="1" applyAlignment="1" applyProtection="1">
      <alignment horizontal="center" wrapText="1"/>
      <protection hidden="1"/>
    </xf>
    <xf numFmtId="0" fontId="44" fillId="0" borderId="69" xfId="0" applyFont="1" applyBorder="1" applyAlignment="1" applyProtection="1">
      <alignment horizontal="center" wrapText="1"/>
      <protection hidden="1"/>
    </xf>
    <xf numFmtId="0" fontId="44" fillId="0" borderId="163" xfId="0" applyFont="1" applyBorder="1" applyAlignment="1" applyProtection="1">
      <alignment horizontal="center" wrapText="1"/>
      <protection hidden="1"/>
    </xf>
    <xf numFmtId="184" fontId="44" fillId="7" borderId="164" xfId="0" applyNumberFormat="1" applyFont="1" applyFill="1" applyBorder="1" applyAlignment="1" applyProtection="1">
      <alignment horizontal="center" shrinkToFit="1"/>
      <protection hidden="1"/>
    </xf>
    <xf numFmtId="184" fontId="44" fillId="7" borderId="165" xfId="0" applyNumberFormat="1" applyFont="1" applyFill="1" applyBorder="1" applyAlignment="1" applyProtection="1">
      <alignment horizontal="center" shrinkToFit="1"/>
      <protection hidden="1"/>
    </xf>
    <xf numFmtId="164" fontId="0" fillId="0" borderId="0" xfId="0" applyNumberFormat="1" applyAlignment="1">
      <alignment horizontal="right" vertical="center"/>
    </xf>
    <xf numFmtId="0" fontId="44" fillId="0" borderId="209" xfId="0" applyFont="1" applyBorder="1" applyAlignment="1" applyProtection="1">
      <alignment horizontal="center" wrapText="1"/>
      <protection locked="0" hidden="1"/>
    </xf>
    <xf numFmtId="0" fontId="44" fillId="0" borderId="208" xfId="0" applyFont="1" applyBorder="1" applyAlignment="1" applyProtection="1">
      <alignment horizontal="center" wrapText="1"/>
      <protection locked="0" hidden="1"/>
    </xf>
    <xf numFmtId="1" fontId="44" fillId="0" borderId="66" xfId="0" applyNumberFormat="1" applyFont="1" applyBorder="1" applyAlignment="1" applyProtection="1">
      <alignment horizontal="center" shrinkToFit="1"/>
      <protection locked="0" hidden="1"/>
    </xf>
    <xf numFmtId="1" fontId="44" fillId="0" borderId="67" xfId="0" applyNumberFormat="1" applyFont="1" applyBorder="1" applyAlignment="1" applyProtection="1">
      <alignment horizontal="center" shrinkToFit="1"/>
      <protection locked="0" hidden="1"/>
    </xf>
    <xf numFmtId="1" fontId="44" fillId="0" borderId="28" xfId="0" applyNumberFormat="1" applyFont="1" applyBorder="1" applyAlignment="1" applyProtection="1">
      <alignment horizontal="center" shrinkToFit="1"/>
      <protection locked="0" hidden="1"/>
    </xf>
    <xf numFmtId="1" fontId="44" fillId="0" borderId="30" xfId="0" applyNumberFormat="1" applyFont="1" applyBorder="1" applyAlignment="1" applyProtection="1">
      <alignment horizontal="center" shrinkToFit="1"/>
      <protection locked="0" hidden="1"/>
    </xf>
    <xf numFmtId="0" fontId="35" fillId="0" borderId="153" xfId="0" applyFont="1" applyBorder="1" applyAlignment="1" applyProtection="1">
      <alignment horizontal="center"/>
      <protection hidden="1"/>
    </xf>
    <xf numFmtId="0" fontId="44" fillId="0" borderId="156" xfId="0" applyFont="1" applyBorder="1" applyAlignment="1" applyProtection="1">
      <alignment horizontal="center" wrapText="1"/>
      <protection hidden="1"/>
    </xf>
    <xf numFmtId="0" fontId="44" fillId="0" borderId="154" xfId="0" applyFont="1" applyBorder="1" applyAlignment="1" applyProtection="1">
      <alignment horizontal="center" wrapText="1"/>
      <protection hidden="1"/>
    </xf>
    <xf numFmtId="182" fontId="35" fillId="0" borderId="155" xfId="0" applyNumberFormat="1" applyFont="1" applyBorder="1" applyAlignment="1" applyProtection="1">
      <alignment horizontal="center" wrapText="1"/>
      <protection hidden="1"/>
    </xf>
    <xf numFmtId="182" fontId="35" fillId="0" borderId="157" xfId="0" applyNumberFormat="1" applyFont="1" applyBorder="1" applyAlignment="1" applyProtection="1">
      <alignment horizontal="center" wrapText="1"/>
      <protection hidden="1"/>
    </xf>
    <xf numFmtId="0" fontId="44" fillId="0" borderId="137" xfId="0" applyFont="1" applyBorder="1" applyAlignment="1" applyProtection="1">
      <alignment horizontal="center" wrapText="1"/>
      <protection hidden="1"/>
    </xf>
    <xf numFmtId="0" fontId="44" fillId="0" borderId="139" xfId="0" applyFont="1" applyBorder="1" applyAlignment="1" applyProtection="1">
      <alignment horizontal="center" wrapText="1"/>
      <protection hidden="1"/>
    </xf>
    <xf numFmtId="0" fontId="44" fillId="0" borderId="10" xfId="0" applyFont="1" applyBorder="1" applyAlignment="1" applyProtection="1">
      <alignment horizontal="center"/>
      <protection hidden="1"/>
    </xf>
    <xf numFmtId="0" fontId="44" fillId="0" borderId="12" xfId="0" applyFont="1" applyBorder="1" applyAlignment="1" applyProtection="1">
      <alignment horizontal="center"/>
      <protection hidden="1"/>
    </xf>
    <xf numFmtId="0" fontId="30" fillId="0" borderId="10" xfId="0" applyFont="1" applyBorder="1" applyAlignment="1" applyProtection="1">
      <alignment horizontal="center" wrapText="1"/>
      <protection hidden="1"/>
    </xf>
    <xf numFmtId="182" fontId="18" fillId="0" borderId="158" xfId="0" applyNumberFormat="1" applyFont="1" applyBorder="1" applyAlignment="1" applyProtection="1">
      <alignment horizontal="center" wrapText="1"/>
      <protection locked="0" hidden="1"/>
    </xf>
    <xf numFmtId="182" fontId="44" fillId="0" borderId="159" xfId="0" applyNumberFormat="1" applyFont="1" applyBorder="1" applyAlignment="1" applyProtection="1">
      <alignment horizontal="center" wrapText="1"/>
      <protection locked="0" hidden="1"/>
    </xf>
    <xf numFmtId="3" fontId="44" fillId="0" borderId="142" xfId="0" applyNumberFormat="1" applyFont="1" applyBorder="1" applyAlignment="1" applyProtection="1">
      <alignment horizontal="center" shrinkToFit="1"/>
      <protection locked="0" hidden="1"/>
    </xf>
    <xf numFmtId="3" fontId="44" fillId="0" borderId="14" xfId="0" applyNumberFormat="1" applyFont="1" applyBorder="1" applyAlignment="1" applyProtection="1">
      <alignment horizontal="center" shrinkToFit="1"/>
      <protection locked="0" hidden="1"/>
    </xf>
    <xf numFmtId="0" fontId="18" fillId="0" borderId="86" xfId="0" applyFont="1" applyBorder="1" applyAlignment="1" applyProtection="1">
      <alignment horizontal="center" wrapText="1"/>
      <protection locked="0"/>
    </xf>
    <xf numFmtId="0" fontId="44" fillId="0" borderId="10" xfId="0" applyFont="1" applyBorder="1" applyAlignment="1" applyProtection="1">
      <alignment horizontal="center" wrapText="1"/>
      <protection locked="0"/>
    </xf>
    <xf numFmtId="0" fontId="44" fillId="0" borderId="87" xfId="0" applyFont="1" applyBorder="1" applyAlignment="1" applyProtection="1">
      <alignment horizontal="center" wrapText="1"/>
      <protection locked="0"/>
    </xf>
    <xf numFmtId="0" fontId="44" fillId="0" borderId="207" xfId="0" applyFont="1" applyBorder="1" applyAlignment="1" applyProtection="1">
      <alignment horizontal="center" wrapText="1"/>
      <protection locked="0" hidden="1"/>
    </xf>
    <xf numFmtId="0" fontId="44" fillId="0" borderId="113" xfId="0" applyFont="1" applyBorder="1" applyAlignment="1" applyProtection="1">
      <alignment horizontal="center" wrapText="1"/>
      <protection locked="0" hidden="1"/>
    </xf>
    <xf numFmtId="0" fontId="44" fillId="0" borderId="134" xfId="0" applyFont="1" applyBorder="1" applyAlignment="1" applyProtection="1">
      <alignment horizontal="center" wrapText="1"/>
      <protection hidden="1"/>
    </xf>
    <xf numFmtId="1" fontId="44" fillId="0" borderId="136" xfId="0" applyNumberFormat="1" applyFont="1" applyBorder="1" applyAlignment="1" applyProtection="1">
      <alignment horizontal="center" shrinkToFit="1"/>
      <protection locked="0" hidden="1"/>
    </xf>
    <xf numFmtId="1" fontId="44" fillId="0" borderId="137" xfId="0" applyNumberFormat="1" applyFont="1" applyBorder="1" applyAlignment="1" applyProtection="1">
      <alignment horizontal="center" shrinkToFit="1"/>
      <protection locked="0" hidden="1"/>
    </xf>
    <xf numFmtId="1" fontId="44" fillId="0" borderId="146" xfId="0" applyNumberFormat="1" applyFont="1" applyBorder="1" applyAlignment="1" applyProtection="1">
      <alignment horizontal="center" shrinkToFit="1"/>
      <protection locked="0" hidden="1"/>
    </xf>
    <xf numFmtId="1" fontId="44" fillId="0" borderId="147" xfId="0" applyNumberFormat="1" applyFont="1" applyBorder="1" applyAlignment="1" applyProtection="1">
      <alignment horizontal="center" shrinkToFit="1"/>
      <protection locked="0" hidden="1"/>
    </xf>
    <xf numFmtId="1" fontId="44" fillId="0" borderId="29" xfId="0" applyNumberFormat="1" applyFont="1" applyBorder="1" applyAlignment="1" applyProtection="1">
      <alignment horizontal="center" shrinkToFit="1"/>
      <protection locked="0" hidden="1"/>
    </xf>
    <xf numFmtId="1" fontId="1" fillId="0" borderId="66" xfId="0" applyNumberFormat="1" applyFont="1" applyBorder="1" applyAlignment="1" applyProtection="1">
      <alignment horizontal="center" shrinkToFit="1"/>
      <protection locked="0" hidden="1"/>
    </xf>
    <xf numFmtId="1" fontId="1" fillId="0" borderId="67" xfId="0" applyNumberFormat="1" applyFont="1" applyBorder="1" applyAlignment="1" applyProtection="1">
      <alignment horizontal="center" shrinkToFit="1"/>
      <protection locked="0" hidden="1"/>
    </xf>
    <xf numFmtId="173" fontId="1" fillId="0" borderId="66" xfId="0" applyNumberFormat="1" applyFont="1" applyBorder="1" applyAlignment="1" applyProtection="1">
      <alignment horizontal="center" shrinkToFit="1"/>
      <protection locked="0" hidden="1"/>
    </xf>
    <xf numFmtId="173" fontId="1" fillId="0" borderId="67" xfId="0" applyNumberFormat="1" applyFont="1" applyBorder="1" applyAlignment="1" applyProtection="1">
      <alignment horizontal="center" shrinkToFit="1"/>
      <protection locked="0" hidden="1"/>
    </xf>
    <xf numFmtId="173" fontId="1" fillId="0" borderId="28" xfId="0" applyNumberFormat="1" applyFont="1" applyBorder="1" applyAlignment="1" applyProtection="1">
      <alignment horizontal="center" shrinkToFit="1"/>
      <protection locked="0" hidden="1"/>
    </xf>
    <xf numFmtId="173" fontId="1" fillId="0" borderId="30" xfId="0" applyNumberFormat="1" applyFont="1" applyBorder="1" applyAlignment="1" applyProtection="1">
      <alignment horizontal="center" shrinkToFit="1"/>
      <protection locked="0" hidden="1"/>
    </xf>
    <xf numFmtId="0" fontId="44" fillId="0" borderId="131" xfId="0" applyFont="1" applyBorder="1" applyAlignment="1" applyProtection="1">
      <alignment horizontal="center" wrapText="1"/>
      <protection hidden="1"/>
    </xf>
    <xf numFmtId="0" fontId="44" fillId="0" borderId="130" xfId="0" applyFont="1" applyBorder="1" applyAlignment="1" applyProtection="1">
      <alignment horizontal="center" wrapText="1"/>
      <protection hidden="1"/>
    </xf>
    <xf numFmtId="0" fontId="44" fillId="0" borderId="9" xfId="0" applyFont="1" applyBorder="1" applyAlignment="1" applyProtection="1">
      <alignment horizontal="center" wrapText="1"/>
      <protection hidden="1"/>
    </xf>
    <xf numFmtId="0" fontId="44" fillId="0" borderId="11" xfId="0" applyFont="1" applyBorder="1" applyAlignment="1" applyProtection="1">
      <alignment horizontal="center" wrapText="1"/>
      <protection hidden="1"/>
    </xf>
    <xf numFmtId="0" fontId="1" fillId="0" borderId="86" xfId="0" applyFont="1" applyBorder="1" applyAlignment="1" applyProtection="1">
      <alignment horizontal="center" wrapText="1"/>
      <protection locked="0"/>
    </xf>
    <xf numFmtId="0" fontId="1" fillId="0" borderId="10" xfId="0" applyFont="1" applyBorder="1" applyAlignment="1" applyProtection="1">
      <alignment horizontal="center" wrapText="1"/>
      <protection locked="0"/>
    </xf>
    <xf numFmtId="0" fontId="1" fillId="0" borderId="87" xfId="0" applyFont="1" applyBorder="1" applyAlignment="1" applyProtection="1">
      <alignment horizontal="center" wrapText="1"/>
      <protection locked="0"/>
    </xf>
    <xf numFmtId="167" fontId="1" fillId="0" borderId="113" xfId="0" applyNumberFormat="1" applyFont="1" applyBorder="1" applyAlignment="1" applyProtection="1">
      <alignment horizontal="center" shrinkToFit="1"/>
      <protection locked="0" hidden="1"/>
    </xf>
    <xf numFmtId="167" fontId="1" fillId="0" borderId="15" xfId="0" applyNumberFormat="1" applyFont="1" applyBorder="1" applyAlignment="1" applyProtection="1">
      <alignment horizontal="center" shrinkToFit="1"/>
      <protection locked="0" hidden="1"/>
    </xf>
    <xf numFmtId="167" fontId="1" fillId="0" borderId="144" xfId="0" applyNumberFormat="1" applyFont="1" applyBorder="1" applyAlignment="1" applyProtection="1">
      <alignment horizontal="center" shrinkToFit="1"/>
      <protection locked="0" hidden="1"/>
    </xf>
    <xf numFmtId="167" fontId="1" fillId="0" borderId="145" xfId="0" applyNumberFormat="1" applyFont="1" applyBorder="1" applyAlignment="1" applyProtection="1">
      <alignment horizontal="center" shrinkToFit="1"/>
      <protection locked="0" hidden="1"/>
    </xf>
    <xf numFmtId="0" fontId="44" fillId="19" borderId="76" xfId="0" applyFont="1" applyFill="1" applyBorder="1" applyAlignment="1">
      <alignment horizontal="center" wrapText="1" shrinkToFit="1"/>
    </xf>
    <xf numFmtId="0" fontId="37" fillId="7" borderId="66" xfId="0" applyFont="1" applyFill="1" applyBorder="1" applyAlignment="1" applyProtection="1">
      <alignment horizontal="center" wrapText="1"/>
      <protection hidden="1"/>
    </xf>
    <xf numFmtId="0" fontId="44" fillId="25" borderId="96" xfId="0" applyFont="1" applyFill="1" applyBorder="1" applyAlignment="1">
      <alignment horizontal="center" wrapText="1"/>
    </xf>
    <xf numFmtId="0" fontId="44" fillId="25" borderId="97" xfId="0" applyFont="1" applyFill="1" applyBorder="1" applyAlignment="1">
      <alignment horizontal="center" wrapText="1"/>
    </xf>
    <xf numFmtId="0" fontId="44" fillId="25" borderId="94" xfId="0" applyFont="1" applyFill="1" applyBorder="1" applyAlignment="1">
      <alignment horizontal="center" wrapText="1"/>
    </xf>
    <xf numFmtId="0" fontId="44" fillId="25" borderId="95" xfId="0" applyFont="1" applyFill="1" applyBorder="1" applyAlignment="1">
      <alignment horizontal="center" wrapText="1"/>
    </xf>
    <xf numFmtId="0" fontId="104" fillId="0" borderId="0" xfId="0" applyFont="1" applyAlignment="1">
      <alignment horizontal="center" vertical="center"/>
    </xf>
    <xf numFmtId="0" fontId="43" fillId="0" borderId="151" xfId="0" applyFont="1" applyBorder="1" applyAlignment="1" applyProtection="1">
      <alignment horizontal="center" wrapText="1"/>
      <protection hidden="1"/>
    </xf>
    <xf numFmtId="0" fontId="43" fillId="0" borderId="152" xfId="0" applyFont="1" applyBorder="1" applyAlignment="1" applyProtection="1">
      <alignment horizontal="center" wrapText="1"/>
      <protection hidden="1"/>
    </xf>
    <xf numFmtId="0" fontId="43" fillId="0" borderId="154" xfId="0" applyFont="1" applyBorder="1" applyAlignment="1" applyProtection="1">
      <alignment horizontal="center" wrapText="1"/>
      <protection hidden="1"/>
    </xf>
    <xf numFmtId="1" fontId="44" fillId="0" borderId="86" xfId="0" applyNumberFormat="1" applyFont="1" applyBorder="1" applyAlignment="1" applyProtection="1">
      <alignment horizontal="center" shrinkToFit="1"/>
      <protection locked="0" hidden="1"/>
    </xf>
    <xf numFmtId="1" fontId="44" fillId="0" borderId="87" xfId="0" applyNumberFormat="1" applyFont="1" applyBorder="1" applyAlignment="1" applyProtection="1">
      <alignment horizontal="center" shrinkToFit="1"/>
      <protection locked="0" hidden="1"/>
    </xf>
    <xf numFmtId="167" fontId="31" fillId="0" borderId="113" xfId="0" applyNumberFormat="1" applyFont="1" applyBorder="1" applyAlignment="1" applyProtection="1">
      <alignment horizontal="center" shrinkToFit="1"/>
      <protection locked="0" hidden="1"/>
    </xf>
    <xf numFmtId="167" fontId="31" fillId="0" borderId="15" xfId="0" applyNumberFormat="1" applyFont="1" applyBorder="1" applyAlignment="1" applyProtection="1">
      <alignment horizontal="center" shrinkToFit="1"/>
      <protection locked="0" hidden="1"/>
    </xf>
    <xf numFmtId="167" fontId="31" fillId="0" borderId="167" xfId="0" applyNumberFormat="1" applyFont="1" applyBorder="1" applyAlignment="1" applyProtection="1">
      <alignment horizontal="center" shrinkToFit="1"/>
      <protection locked="0" hidden="1"/>
    </xf>
    <xf numFmtId="167" fontId="31" fillId="0" borderId="168" xfId="0" applyNumberFormat="1" applyFont="1" applyBorder="1" applyAlignment="1" applyProtection="1">
      <alignment horizontal="center" shrinkToFit="1"/>
      <protection locked="0" hidden="1"/>
    </xf>
    <xf numFmtId="0" fontId="18" fillId="0" borderId="14" xfId="0" applyFont="1" applyBorder="1" applyAlignment="1" applyProtection="1">
      <alignment horizontal="center" wrapText="1"/>
      <protection locked="0"/>
    </xf>
    <xf numFmtId="0" fontId="66" fillId="36" borderId="0" xfId="0" applyFont="1" applyFill="1" applyAlignment="1">
      <alignment horizontal="left" wrapText="1"/>
    </xf>
    <xf numFmtId="0" fontId="0" fillId="36" borderId="0" xfId="0" applyFill="1" applyAlignment="1">
      <alignment horizontal="left" wrapText="1"/>
    </xf>
    <xf numFmtId="0" fontId="106" fillId="0" borderId="151" xfId="0" applyFont="1" applyBorder="1" applyAlignment="1" applyProtection="1">
      <alignment horizontal="center" wrapText="1"/>
      <protection hidden="1"/>
    </xf>
    <xf numFmtId="1" fontId="44" fillId="0" borderId="155" xfId="0" applyNumberFormat="1" applyFont="1" applyBorder="1" applyAlignment="1" applyProtection="1">
      <alignment horizontal="center" shrinkToFit="1"/>
      <protection locked="0" hidden="1"/>
    </xf>
    <xf numFmtId="1" fontId="44" fillId="0" borderId="161" xfId="0" applyNumberFormat="1" applyFont="1" applyBorder="1" applyAlignment="1" applyProtection="1">
      <alignment horizontal="center" shrinkToFit="1"/>
      <protection locked="0" hidden="1"/>
    </xf>
    <xf numFmtId="184" fontId="32" fillId="7" borderId="148" xfId="0" applyNumberFormat="1" applyFont="1" applyFill="1" applyBorder="1" applyAlignment="1" applyProtection="1">
      <alignment horizontal="center" shrinkToFit="1"/>
      <protection hidden="1"/>
    </xf>
    <xf numFmtId="184" fontId="32" fillId="7" borderId="149" xfId="0" applyNumberFormat="1" applyFont="1" applyFill="1" applyBorder="1" applyAlignment="1" applyProtection="1">
      <alignment horizontal="center" shrinkToFit="1"/>
      <protection hidden="1"/>
    </xf>
    <xf numFmtId="0" fontId="44" fillId="0" borderId="14" xfId="0" applyFont="1" applyBorder="1" applyAlignment="1">
      <alignment horizontal="center" wrapText="1" shrinkToFit="1"/>
    </xf>
    <xf numFmtId="164" fontId="44" fillId="0" borderId="0" xfId="0" applyNumberFormat="1" applyFont="1" applyAlignment="1">
      <alignment horizontal="right" vertical="center"/>
    </xf>
    <xf numFmtId="1" fontId="1" fillId="0" borderId="82" xfId="0" applyNumberFormat="1" applyFont="1" applyBorder="1" applyAlignment="1" applyProtection="1">
      <alignment horizontal="center" wrapText="1"/>
      <protection locked="0"/>
    </xf>
    <xf numFmtId="1" fontId="1" fillId="0" borderId="47" xfId="0" applyNumberFormat="1" applyFont="1" applyBorder="1" applyAlignment="1" applyProtection="1">
      <alignment horizontal="center" wrapText="1"/>
      <protection locked="0"/>
    </xf>
    <xf numFmtId="0" fontId="37" fillId="0" borderId="0" xfId="0" applyFont="1" applyAlignment="1">
      <alignment horizontal="center" wrapText="1"/>
    </xf>
    <xf numFmtId="0" fontId="25" fillId="0" borderId="0" xfId="0" applyFont="1" applyAlignment="1">
      <alignment horizontal="center" wrapText="1"/>
    </xf>
    <xf numFmtId="167" fontId="1" fillId="0" borderId="118" xfId="0" applyNumberFormat="1" applyFont="1" applyBorder="1" applyAlignment="1" applyProtection="1">
      <alignment horizontal="center" shrinkToFit="1"/>
      <protection locked="0"/>
    </xf>
    <xf numFmtId="167" fontId="1" fillId="0" borderId="76" xfId="0" applyNumberFormat="1" applyFont="1" applyBorder="1" applyAlignment="1" applyProtection="1">
      <alignment horizontal="center" shrinkToFit="1"/>
      <protection locked="0"/>
    </xf>
    <xf numFmtId="167" fontId="1" fillId="0" borderId="114" xfId="0" applyNumberFormat="1" applyFont="1" applyBorder="1" applyAlignment="1" applyProtection="1">
      <alignment horizontal="center" shrinkToFit="1"/>
      <protection locked="0"/>
    </xf>
    <xf numFmtId="167" fontId="1" fillId="0" borderId="15" xfId="0" applyNumberFormat="1" applyFont="1" applyBorder="1" applyAlignment="1" applyProtection="1">
      <alignment horizontal="center" shrinkToFit="1"/>
      <protection locked="0"/>
    </xf>
    <xf numFmtId="167" fontId="1" fillId="0" borderId="119" xfId="0" applyNumberFormat="1" applyFont="1" applyBorder="1" applyAlignment="1" applyProtection="1">
      <alignment horizontal="center" shrinkToFit="1"/>
      <protection locked="0"/>
    </xf>
    <xf numFmtId="167" fontId="1" fillId="0" borderId="45" xfId="0" applyNumberFormat="1" applyFont="1" applyBorder="1" applyAlignment="1" applyProtection="1">
      <alignment horizontal="center" shrinkToFit="1"/>
      <protection locked="0"/>
    </xf>
    <xf numFmtId="164" fontId="44" fillId="0" borderId="16" xfId="0" applyNumberFormat="1" applyFont="1" applyBorder="1" applyAlignment="1">
      <alignment horizontal="right" vertical="center"/>
    </xf>
    <xf numFmtId="0" fontId="1" fillId="0" borderId="66" xfId="0" applyFont="1" applyBorder="1" applyAlignment="1" applyProtection="1">
      <alignment horizontal="center" wrapText="1"/>
      <protection locked="0" hidden="1"/>
    </xf>
    <xf numFmtId="0" fontId="1" fillId="0" borderId="67" xfId="0" applyFont="1" applyBorder="1" applyAlignment="1" applyProtection="1">
      <alignment horizontal="center" wrapText="1"/>
      <protection locked="0" hidden="1"/>
    </xf>
    <xf numFmtId="0" fontId="1" fillId="0" borderId="28" xfId="0" applyFont="1" applyBorder="1" applyAlignment="1" applyProtection="1">
      <alignment horizontal="center" wrapText="1"/>
      <protection locked="0" hidden="1"/>
    </xf>
    <xf numFmtId="0" fontId="1" fillId="0" borderId="30" xfId="0" applyFont="1" applyBorder="1" applyAlignment="1" applyProtection="1">
      <alignment horizontal="center" wrapText="1"/>
      <protection locked="0" hidden="1"/>
    </xf>
    <xf numFmtId="184" fontId="44" fillId="0" borderId="68" xfId="0" applyNumberFormat="1" applyFont="1" applyBorder="1" applyAlignment="1" applyProtection="1">
      <alignment horizontal="center" wrapText="1"/>
      <protection locked="0" hidden="1"/>
    </xf>
    <xf numFmtId="1" fontId="44" fillId="0" borderId="82" xfId="0" applyNumberFormat="1" applyFont="1" applyBorder="1" applyAlignment="1" applyProtection="1">
      <alignment horizontal="center" wrapText="1"/>
      <protection locked="0"/>
    </xf>
    <xf numFmtId="1" fontId="44" fillId="0" borderId="47" xfId="0" applyNumberFormat="1" applyFont="1" applyBorder="1" applyAlignment="1" applyProtection="1">
      <alignment horizontal="center" wrapText="1"/>
      <protection locked="0"/>
    </xf>
    <xf numFmtId="167" fontId="44" fillId="0" borderId="118" xfId="0" applyNumberFormat="1" applyFont="1" applyBorder="1" applyAlignment="1" applyProtection="1">
      <alignment horizontal="center" shrinkToFit="1"/>
      <protection locked="0"/>
    </xf>
    <xf numFmtId="167" fontId="44" fillId="0" borderId="76" xfId="0" applyNumberFormat="1" applyFont="1" applyBorder="1" applyAlignment="1" applyProtection="1">
      <alignment horizontal="center" shrinkToFit="1"/>
      <protection locked="0"/>
    </xf>
    <xf numFmtId="167" fontId="44" fillId="0" borderId="114" xfId="0" applyNumberFormat="1" applyFont="1" applyBorder="1" applyAlignment="1" applyProtection="1">
      <alignment horizontal="center" shrinkToFit="1"/>
      <protection locked="0"/>
    </xf>
    <xf numFmtId="167" fontId="44" fillId="0" borderId="15" xfId="0" applyNumberFormat="1" applyFont="1" applyBorder="1" applyAlignment="1" applyProtection="1">
      <alignment horizontal="center" shrinkToFit="1"/>
      <protection locked="0"/>
    </xf>
    <xf numFmtId="167" fontId="44" fillId="0" borderId="119" xfId="0" applyNumberFormat="1" applyFont="1" applyBorder="1" applyAlignment="1" applyProtection="1">
      <alignment horizontal="center" shrinkToFit="1"/>
      <protection locked="0"/>
    </xf>
    <xf numFmtId="167" fontId="44" fillId="0" borderId="45" xfId="0" applyNumberFormat="1" applyFont="1" applyBorder="1" applyAlignment="1" applyProtection="1">
      <alignment horizontal="center" shrinkToFit="1"/>
      <protection locked="0"/>
    </xf>
    <xf numFmtId="0" fontId="5" fillId="0" borderId="66" xfId="0" applyFont="1" applyBorder="1" applyAlignment="1" applyProtection="1">
      <alignment horizontal="center" wrapText="1"/>
      <protection locked="0"/>
    </xf>
    <xf numFmtId="0" fontId="5" fillId="0" borderId="14" xfId="0" applyFont="1" applyBorder="1" applyAlignment="1" applyProtection="1">
      <alignment horizontal="center" wrapText="1"/>
      <protection locked="0"/>
    </xf>
    <xf numFmtId="1" fontId="44" fillId="0" borderId="185" xfId="0" applyNumberFormat="1" applyFont="1" applyBorder="1" applyAlignment="1" applyProtection="1">
      <alignment horizontal="center" wrapText="1"/>
      <protection locked="0"/>
    </xf>
    <xf numFmtId="1" fontId="44" fillId="0" borderId="186" xfId="0" applyNumberFormat="1" applyFont="1" applyBorder="1" applyAlignment="1" applyProtection="1">
      <alignment horizontal="center" wrapText="1"/>
      <protection locked="0"/>
    </xf>
    <xf numFmtId="167" fontId="44" fillId="0" borderId="115" xfId="0" applyNumberFormat="1" applyFont="1" applyBorder="1" applyAlignment="1" applyProtection="1">
      <alignment horizontal="center" shrinkToFit="1"/>
      <protection locked="0"/>
    </xf>
    <xf numFmtId="167" fontId="44" fillId="0" borderId="116" xfId="0" applyNumberFormat="1" applyFont="1" applyBorder="1" applyAlignment="1" applyProtection="1">
      <alignment horizontal="center" shrinkToFit="1"/>
      <protection locked="0"/>
    </xf>
    <xf numFmtId="167" fontId="44" fillId="0" borderId="117" xfId="0" applyNumberFormat="1" applyFont="1" applyBorder="1" applyAlignment="1" applyProtection="1">
      <alignment horizontal="center" shrinkToFit="1"/>
      <protection locked="0"/>
    </xf>
    <xf numFmtId="167" fontId="44" fillId="0" borderId="32" xfId="0" applyNumberFormat="1" applyFont="1" applyBorder="1" applyAlignment="1">
      <alignment horizontal="center" wrapText="1" shrinkToFit="1"/>
    </xf>
    <xf numFmtId="167" fontId="44" fillId="0" borderId="15" xfId="0" applyNumberFormat="1" applyFont="1" applyBorder="1" applyAlignment="1">
      <alignment horizontal="center" wrapText="1" shrinkToFit="1"/>
    </xf>
    <xf numFmtId="0" fontId="168" fillId="0" borderId="0" xfId="0" applyFont="1" applyAlignment="1">
      <alignment horizontal="center" vertical="center" wrapText="1"/>
    </xf>
    <xf numFmtId="0" fontId="44" fillId="0" borderId="83" xfId="0" applyFont="1" applyBorder="1" applyAlignment="1" applyProtection="1">
      <alignment horizontal="center" wrapText="1"/>
      <protection locked="0"/>
    </xf>
    <xf numFmtId="184" fontId="1" fillId="0" borderId="14" xfId="0" applyNumberFormat="1" applyFont="1" applyBorder="1" applyAlignment="1" applyProtection="1">
      <alignment horizontal="center" wrapText="1"/>
      <protection locked="0"/>
    </xf>
    <xf numFmtId="184" fontId="44" fillId="0" borderId="14" xfId="0" applyNumberFormat="1" applyFont="1" applyBorder="1" applyAlignment="1" applyProtection="1">
      <alignment horizontal="center" wrapText="1"/>
      <protection locked="0"/>
    </xf>
    <xf numFmtId="173" fontId="44" fillId="0" borderId="14" xfId="0" applyNumberFormat="1" applyFont="1" applyBorder="1" applyAlignment="1" applyProtection="1">
      <alignment horizontal="center" wrapText="1"/>
      <protection locked="0" hidden="1"/>
    </xf>
    <xf numFmtId="184" fontId="24" fillId="0" borderId="14" xfId="0" applyNumberFormat="1" applyFont="1" applyBorder="1" applyAlignment="1" applyProtection="1">
      <alignment horizontal="center" wrapText="1"/>
      <protection locked="0"/>
    </xf>
    <xf numFmtId="173" fontId="1" fillId="0" borderId="86" xfId="0" applyNumberFormat="1" applyFont="1" applyBorder="1" applyAlignment="1" applyProtection="1">
      <alignment horizontal="center" wrapText="1"/>
      <protection locked="0" hidden="1"/>
    </xf>
    <xf numFmtId="173" fontId="1" fillId="0" borderId="87" xfId="0" applyNumberFormat="1" applyFont="1" applyBorder="1" applyAlignment="1" applyProtection="1">
      <alignment horizontal="center" wrapText="1"/>
      <protection locked="0" hidden="1"/>
    </xf>
    <xf numFmtId="173" fontId="1" fillId="0" borderId="28" xfId="0" applyNumberFormat="1" applyFont="1" applyBorder="1" applyAlignment="1" applyProtection="1">
      <alignment horizontal="center" wrapText="1"/>
      <protection locked="0" hidden="1"/>
    </xf>
    <xf numFmtId="173" fontId="1" fillId="0" borderId="30" xfId="0" applyNumberFormat="1" applyFont="1" applyBorder="1" applyAlignment="1" applyProtection="1">
      <alignment horizontal="center" wrapText="1"/>
      <protection locked="0" hidden="1"/>
    </xf>
    <xf numFmtId="173" fontId="1" fillId="0" borderId="14" xfId="0" applyNumberFormat="1" applyFont="1" applyBorder="1" applyAlignment="1" applyProtection="1">
      <alignment horizontal="center" wrapText="1"/>
      <protection locked="0" hidden="1"/>
    </xf>
    <xf numFmtId="167" fontId="43" fillId="37" borderId="82" xfId="0" applyNumberFormat="1" applyFont="1" applyFill="1" applyBorder="1" applyAlignment="1" applyProtection="1">
      <alignment horizontal="center" wrapText="1" shrinkToFit="1"/>
      <protection hidden="1"/>
    </xf>
    <xf numFmtId="167" fontId="43" fillId="37" borderId="88" xfId="0" applyNumberFormat="1" applyFont="1" applyFill="1" applyBorder="1" applyAlignment="1" applyProtection="1">
      <alignment horizontal="center" wrapText="1" shrinkToFit="1"/>
      <protection hidden="1"/>
    </xf>
    <xf numFmtId="167" fontId="43" fillId="37" borderId="47" xfId="0" applyNumberFormat="1" applyFont="1" applyFill="1" applyBorder="1" applyAlignment="1" applyProtection="1">
      <alignment horizontal="center" wrapText="1" shrinkToFit="1"/>
      <protection hidden="1"/>
    </xf>
    <xf numFmtId="167" fontId="1" fillId="0" borderId="225" xfId="0" applyNumberFormat="1" applyFont="1" applyBorder="1" applyAlignment="1" applyProtection="1">
      <alignment horizontal="center" wrapText="1"/>
      <protection locked="0"/>
    </xf>
    <xf numFmtId="167" fontId="1" fillId="0" borderId="87" xfId="0" applyNumberFormat="1" applyFont="1" applyBorder="1" applyAlignment="1" applyProtection="1">
      <alignment horizontal="center" wrapText="1"/>
      <protection locked="0"/>
    </xf>
    <xf numFmtId="167" fontId="1" fillId="0" borderId="226" xfId="0" applyNumberFormat="1" applyFont="1" applyBorder="1" applyAlignment="1" applyProtection="1">
      <alignment horizontal="center" wrapText="1"/>
      <protection locked="0"/>
    </xf>
    <xf numFmtId="167" fontId="1" fillId="0" borderId="30" xfId="0" applyNumberFormat="1" applyFont="1" applyBorder="1" applyAlignment="1" applyProtection="1">
      <alignment horizontal="center" wrapText="1"/>
      <protection locked="0"/>
    </xf>
    <xf numFmtId="3" fontId="1" fillId="0" borderId="14" xfId="0" applyNumberFormat="1" applyFont="1" applyBorder="1" applyAlignment="1" applyProtection="1">
      <alignment horizontal="center" wrapText="1"/>
      <protection locked="0" hidden="1"/>
    </xf>
    <xf numFmtId="3" fontId="1" fillId="0" borderId="192" xfId="0" applyNumberFormat="1" applyFont="1" applyBorder="1" applyAlignment="1" applyProtection="1">
      <alignment horizontal="center" wrapText="1"/>
      <protection locked="0" hidden="1"/>
    </xf>
    <xf numFmtId="167" fontId="1" fillId="0" borderId="190" xfId="0" applyNumberFormat="1" applyFont="1" applyBorder="1" applyAlignment="1" applyProtection="1">
      <alignment horizontal="center" wrapText="1"/>
      <protection locked="0"/>
    </xf>
    <xf numFmtId="167" fontId="1" fillId="0" borderId="14" xfId="0" applyNumberFormat="1" applyFont="1" applyBorder="1" applyAlignment="1" applyProtection="1">
      <alignment horizontal="center" wrapText="1"/>
      <protection locked="0"/>
    </xf>
    <xf numFmtId="167" fontId="1" fillId="0" borderId="188" xfId="0" applyNumberFormat="1" applyFont="1" applyBorder="1" applyAlignment="1" applyProtection="1">
      <alignment horizontal="center" wrapText="1"/>
      <protection locked="0"/>
    </xf>
    <xf numFmtId="171" fontId="43" fillId="7" borderId="210" xfId="0" applyNumberFormat="1" applyFont="1" applyFill="1" applyBorder="1" applyAlignment="1" applyProtection="1">
      <alignment horizontal="center" wrapText="1"/>
      <protection hidden="1"/>
    </xf>
    <xf numFmtId="171" fontId="43" fillId="7" borderId="88" xfId="0" applyNumberFormat="1" applyFont="1" applyFill="1" applyBorder="1" applyAlignment="1" applyProtection="1">
      <alignment horizontal="center" wrapText="1"/>
      <protection hidden="1"/>
    </xf>
    <xf numFmtId="171" fontId="43" fillId="7" borderId="47" xfId="0" applyNumberFormat="1" applyFont="1" applyFill="1" applyBorder="1" applyAlignment="1" applyProtection="1">
      <alignment horizontal="center" wrapText="1"/>
      <protection hidden="1"/>
    </xf>
    <xf numFmtId="167" fontId="78" fillId="0" borderId="0" xfId="0" applyNumberFormat="1" applyFont="1" applyAlignment="1">
      <alignment horizontal="center" vertical="center" wrapText="1"/>
    </xf>
    <xf numFmtId="0" fontId="43" fillId="0" borderId="12" xfId="0" applyFont="1" applyBorder="1" applyAlignment="1">
      <alignment horizontal="center"/>
    </xf>
    <xf numFmtId="0" fontId="43" fillId="0" borderId="13" xfId="0" applyFont="1" applyBorder="1" applyAlignment="1">
      <alignment horizontal="center"/>
    </xf>
    <xf numFmtId="0" fontId="36" fillId="0" borderId="10" xfId="0" applyFont="1" applyBorder="1" applyAlignment="1">
      <alignment horizontal="center" wrapText="1"/>
    </xf>
    <xf numFmtId="0" fontId="36" fillId="0" borderId="12" xfId="0" applyFont="1" applyBorder="1" applyAlignment="1">
      <alignment horizontal="center" wrapText="1"/>
    </xf>
    <xf numFmtId="0" fontId="30" fillId="0" borderId="12" xfId="0" applyFont="1" applyBorder="1" applyAlignment="1">
      <alignment horizontal="center" wrapText="1"/>
    </xf>
    <xf numFmtId="0" fontId="1" fillId="0" borderId="83" xfId="0" applyFont="1" applyBorder="1" applyAlignment="1" applyProtection="1">
      <alignment horizontal="center" wrapText="1"/>
      <protection locked="0"/>
    </xf>
    <xf numFmtId="0" fontId="1" fillId="0" borderId="86" xfId="0" applyFont="1" applyBorder="1" applyAlignment="1" applyProtection="1">
      <alignment horizontal="center" wrapText="1"/>
      <protection locked="0" hidden="1"/>
    </xf>
    <xf numFmtId="0" fontId="1" fillId="0" borderId="10" xfId="0" applyFont="1" applyBorder="1" applyAlignment="1" applyProtection="1">
      <alignment horizontal="center" wrapText="1"/>
      <protection locked="0" hidden="1"/>
    </xf>
    <xf numFmtId="0" fontId="1" fillId="0" borderId="87" xfId="0" applyFont="1" applyBorder="1" applyAlignment="1" applyProtection="1">
      <alignment horizontal="center" wrapText="1"/>
      <protection locked="0" hidden="1"/>
    </xf>
    <xf numFmtId="0" fontId="1" fillId="0" borderId="29" xfId="0" applyFont="1" applyBorder="1" applyAlignment="1" applyProtection="1">
      <alignment horizontal="center" wrapText="1"/>
      <protection locked="0" hidden="1"/>
    </xf>
    <xf numFmtId="3" fontId="1" fillId="0" borderId="86" xfId="0" applyNumberFormat="1" applyFont="1" applyBorder="1" applyAlignment="1" applyProtection="1">
      <alignment horizontal="center" wrapText="1"/>
      <protection locked="0"/>
    </xf>
    <xf numFmtId="3" fontId="1" fillId="0" borderId="87" xfId="0" applyNumberFormat="1" applyFont="1" applyBorder="1" applyAlignment="1" applyProtection="1">
      <alignment horizontal="center" wrapText="1"/>
      <protection locked="0"/>
    </xf>
    <xf numFmtId="3" fontId="1" fillId="0" borderId="28" xfId="0" applyNumberFormat="1" applyFont="1" applyBorder="1" applyAlignment="1" applyProtection="1">
      <alignment horizontal="center" wrapText="1"/>
      <protection locked="0"/>
    </xf>
    <xf numFmtId="3" fontId="1" fillId="0" borderId="30" xfId="0" applyNumberFormat="1" applyFont="1" applyBorder="1" applyAlignment="1" applyProtection="1">
      <alignment horizontal="center" wrapText="1"/>
      <protection locked="0"/>
    </xf>
    <xf numFmtId="184" fontId="1" fillId="0" borderId="86" xfId="0" applyNumberFormat="1" applyFont="1" applyBorder="1" applyAlignment="1" applyProtection="1">
      <alignment horizontal="center" wrapText="1"/>
      <protection locked="0" hidden="1"/>
    </xf>
    <xf numFmtId="184" fontId="1" fillId="0" borderId="87" xfId="0" applyNumberFormat="1" applyFont="1" applyBorder="1" applyAlignment="1" applyProtection="1">
      <alignment horizontal="center" wrapText="1"/>
      <protection locked="0" hidden="1"/>
    </xf>
    <xf numFmtId="184" fontId="1" fillId="0" borderId="28" xfId="0" applyNumberFormat="1" applyFont="1" applyBorder="1" applyAlignment="1" applyProtection="1">
      <alignment horizontal="center" wrapText="1"/>
      <protection locked="0" hidden="1"/>
    </xf>
    <xf numFmtId="184" fontId="44" fillId="7" borderId="86" xfId="0" applyNumberFormat="1" applyFont="1" applyFill="1" applyBorder="1" applyAlignment="1" applyProtection="1">
      <alignment horizontal="center" wrapText="1"/>
      <protection hidden="1"/>
    </xf>
    <xf numFmtId="184" fontId="44" fillId="7" borderId="222" xfId="0" applyNumberFormat="1" applyFont="1" applyFill="1" applyBorder="1" applyAlignment="1" applyProtection="1">
      <alignment horizontal="center" wrapText="1"/>
      <protection hidden="1"/>
    </xf>
    <xf numFmtId="184" fontId="44" fillId="7" borderId="28" xfId="0" applyNumberFormat="1" applyFont="1" applyFill="1" applyBorder="1" applyAlignment="1" applyProtection="1">
      <alignment horizontal="center" wrapText="1"/>
      <protection hidden="1"/>
    </xf>
    <xf numFmtId="184" fontId="44" fillId="7" borderId="85" xfId="0" applyNumberFormat="1" applyFont="1" applyFill="1" applyBorder="1" applyAlignment="1" applyProtection="1">
      <alignment horizontal="center" wrapText="1"/>
      <protection hidden="1"/>
    </xf>
    <xf numFmtId="0" fontId="34" fillId="0" borderId="12" xfId="0" applyFont="1" applyBorder="1" applyAlignment="1">
      <alignment horizontal="center" wrapText="1"/>
    </xf>
    <xf numFmtId="3" fontId="1" fillId="0" borderId="86" xfId="0" applyNumberFormat="1" applyFont="1" applyBorder="1" applyAlignment="1" applyProtection="1">
      <alignment horizontal="center" wrapText="1"/>
      <protection locked="0" hidden="1"/>
    </xf>
    <xf numFmtId="3" fontId="1" fillId="0" borderId="223" xfId="0" applyNumberFormat="1" applyFont="1" applyBorder="1" applyAlignment="1" applyProtection="1">
      <alignment horizontal="center" wrapText="1"/>
      <protection locked="0" hidden="1"/>
    </xf>
    <xf numFmtId="3" fontId="1" fillId="0" borderId="28" xfId="0" applyNumberFormat="1" applyFont="1" applyBorder="1" applyAlignment="1" applyProtection="1">
      <alignment horizontal="center" wrapText="1"/>
      <protection locked="0" hidden="1"/>
    </xf>
    <xf numFmtId="3" fontId="1" fillId="0" borderId="224" xfId="0" applyNumberFormat="1" applyFont="1" applyBorder="1" applyAlignment="1" applyProtection="1">
      <alignment horizontal="center" wrapText="1"/>
      <protection locked="0" hidden="1"/>
    </xf>
    <xf numFmtId="167" fontId="1" fillId="0" borderId="86" xfId="0" applyNumberFormat="1" applyFont="1" applyBorder="1" applyAlignment="1" applyProtection="1">
      <alignment horizontal="center" wrapText="1"/>
      <protection locked="0"/>
    </xf>
    <xf numFmtId="167" fontId="1" fillId="0" borderId="222" xfId="0" applyNumberFormat="1" applyFont="1" applyBorder="1" applyAlignment="1" applyProtection="1">
      <alignment horizontal="center" wrapText="1"/>
      <protection locked="0"/>
    </xf>
    <xf numFmtId="167" fontId="1" fillId="0" borderId="28" xfId="0" applyNumberFormat="1" applyFont="1" applyBorder="1" applyAlignment="1" applyProtection="1">
      <alignment horizontal="center" wrapText="1"/>
      <protection locked="0"/>
    </xf>
    <xf numFmtId="167" fontId="1" fillId="0" borderId="85" xfId="0" applyNumberFormat="1" applyFont="1" applyBorder="1" applyAlignment="1" applyProtection="1">
      <alignment horizontal="center" wrapText="1"/>
      <protection locked="0"/>
    </xf>
    <xf numFmtId="171" fontId="43" fillId="7" borderId="227" xfId="0" applyNumberFormat="1" applyFont="1" applyFill="1" applyBorder="1" applyAlignment="1" applyProtection="1">
      <alignment horizontal="center" wrapText="1"/>
      <protection hidden="1"/>
    </xf>
    <xf numFmtId="171" fontId="43" fillId="7" borderId="183" xfId="0" applyNumberFormat="1" applyFont="1" applyFill="1" applyBorder="1" applyAlignment="1" applyProtection="1">
      <alignment horizontal="center" wrapText="1"/>
      <protection hidden="1"/>
    </xf>
    <xf numFmtId="171" fontId="43" fillId="7" borderId="184" xfId="0" applyNumberFormat="1" applyFont="1" applyFill="1" applyBorder="1" applyAlignment="1" applyProtection="1">
      <alignment horizontal="center" wrapText="1"/>
      <protection hidden="1"/>
    </xf>
    <xf numFmtId="4" fontId="44" fillId="19" borderId="32" xfId="0" applyNumberFormat="1" applyFont="1" applyFill="1" applyBorder="1" applyAlignment="1">
      <alignment horizontal="center" shrinkToFit="1"/>
    </xf>
    <xf numFmtId="4" fontId="44" fillId="19" borderId="15" xfId="0" applyNumberFormat="1" applyFont="1" applyFill="1" applyBorder="1" applyAlignment="1">
      <alignment horizontal="center" shrinkToFit="1"/>
    </xf>
    <xf numFmtId="167" fontId="43" fillId="0" borderId="14" xfId="0" applyNumberFormat="1" applyFont="1" applyBorder="1" applyAlignment="1">
      <alignment horizontal="center" wrapText="1"/>
    </xf>
    <xf numFmtId="177" fontId="44" fillId="0" borderId="32" xfId="0" applyNumberFormat="1" applyFont="1" applyBorder="1" applyAlignment="1">
      <alignment horizontal="center" wrapText="1" shrinkToFit="1"/>
    </xf>
    <xf numFmtId="177" fontId="44" fillId="0" borderId="15" xfId="0" applyNumberFormat="1" applyFont="1" applyBorder="1" applyAlignment="1">
      <alignment horizontal="center" wrapText="1" shrinkToFit="1"/>
    </xf>
    <xf numFmtId="0" fontId="1" fillId="0" borderId="69" xfId="0" applyFont="1" applyBorder="1" applyAlignment="1" applyProtection="1">
      <alignment horizontal="center" wrapText="1"/>
      <protection locked="0" hidden="1"/>
    </xf>
    <xf numFmtId="3" fontId="1" fillId="0" borderId="76" xfId="0" applyNumberFormat="1" applyFont="1" applyBorder="1" applyAlignment="1" applyProtection="1">
      <alignment horizontal="center" wrapText="1"/>
      <protection locked="0"/>
    </xf>
    <xf numFmtId="184" fontId="1" fillId="0" borderId="14" xfId="0" applyNumberFormat="1" applyFont="1" applyBorder="1" applyAlignment="1" applyProtection="1">
      <alignment horizontal="center" wrapText="1"/>
      <protection locked="0" hidden="1"/>
    </xf>
    <xf numFmtId="184" fontId="1" fillId="0" borderId="76" xfId="0" applyNumberFormat="1" applyFont="1" applyBorder="1" applyAlignment="1" applyProtection="1">
      <alignment horizontal="center" wrapText="1"/>
      <protection locked="0" hidden="1"/>
    </xf>
    <xf numFmtId="184" fontId="44" fillId="7" borderId="66" xfId="0" applyNumberFormat="1" applyFont="1" applyFill="1" applyBorder="1" applyAlignment="1" applyProtection="1">
      <alignment horizontal="center" wrapText="1"/>
      <protection hidden="1"/>
    </xf>
    <xf numFmtId="184" fontId="44" fillId="7" borderId="84" xfId="0" applyNumberFormat="1" applyFont="1" applyFill="1" applyBorder="1" applyAlignment="1" applyProtection="1">
      <alignment horizontal="center" wrapText="1"/>
      <protection hidden="1"/>
    </xf>
    <xf numFmtId="0" fontId="36" fillId="0" borderId="14" xfId="0" applyFont="1" applyBorder="1" applyAlignment="1" applyProtection="1">
      <alignment horizontal="center" wrapText="1"/>
      <protection locked="0"/>
    </xf>
    <xf numFmtId="3" fontId="44" fillId="0" borderId="76" xfId="0" applyNumberFormat="1" applyFont="1" applyBorder="1" applyAlignment="1" applyProtection="1">
      <alignment horizontal="center" wrapText="1"/>
      <protection locked="0"/>
    </xf>
    <xf numFmtId="184" fontId="44" fillId="0" borderId="14" xfId="0" applyNumberFormat="1" applyFont="1" applyBorder="1" applyAlignment="1" applyProtection="1">
      <alignment horizontal="center" wrapText="1"/>
      <protection locked="0" hidden="1"/>
    </xf>
    <xf numFmtId="184" fontId="44" fillId="0" borderId="76" xfId="0" applyNumberFormat="1" applyFont="1" applyBorder="1" applyAlignment="1" applyProtection="1">
      <alignment horizontal="center" wrapText="1"/>
      <protection locked="0" hidden="1"/>
    </xf>
    <xf numFmtId="3" fontId="33" fillId="0" borderId="14" xfId="0" applyNumberFormat="1" applyFont="1" applyBorder="1" applyAlignment="1" applyProtection="1">
      <alignment horizontal="center" wrapText="1"/>
      <protection locked="0" hidden="1"/>
    </xf>
    <xf numFmtId="3" fontId="33" fillId="0" borderId="192" xfId="0" applyNumberFormat="1" applyFont="1" applyBorder="1" applyAlignment="1" applyProtection="1">
      <alignment horizontal="center" wrapText="1"/>
      <protection locked="0" hidden="1"/>
    </xf>
    <xf numFmtId="167" fontId="44" fillId="0" borderId="190" xfId="0" applyNumberFormat="1" applyFont="1" applyBorder="1" applyAlignment="1" applyProtection="1">
      <alignment horizontal="center" wrapText="1"/>
      <protection locked="0"/>
    </xf>
    <xf numFmtId="167" fontId="44" fillId="0" borderId="14" xfId="0" applyNumberFormat="1" applyFont="1" applyBorder="1" applyAlignment="1" applyProtection="1">
      <alignment horizontal="center" wrapText="1"/>
      <protection locked="0"/>
    </xf>
    <xf numFmtId="167" fontId="44" fillId="0" borderId="188" xfId="0" applyNumberFormat="1" applyFont="1" applyBorder="1" applyAlignment="1" applyProtection="1">
      <alignment horizontal="center" wrapText="1"/>
      <protection locked="0"/>
    </xf>
    <xf numFmtId="0" fontId="44" fillId="0" borderId="69" xfId="0" applyFont="1" applyBorder="1" applyAlignment="1" applyProtection="1">
      <alignment horizontal="center" wrapText="1"/>
      <protection locked="0" hidden="1"/>
    </xf>
    <xf numFmtId="0" fontId="44" fillId="0" borderId="29" xfId="0" applyFont="1" applyBorder="1" applyAlignment="1" applyProtection="1">
      <alignment horizontal="center" wrapText="1"/>
      <protection locked="0" hidden="1"/>
    </xf>
    <xf numFmtId="0" fontId="44" fillId="0" borderId="110" xfId="0" applyFont="1" applyBorder="1" applyAlignment="1" applyProtection="1">
      <alignment horizontal="center" wrapText="1"/>
      <protection locked="0"/>
    </xf>
    <xf numFmtId="0" fontId="36" fillId="0" borderId="10" xfId="0" applyFont="1" applyBorder="1" applyAlignment="1">
      <alignment horizontal="center" vertical="top" wrapText="1"/>
    </xf>
    <xf numFmtId="0" fontId="36" fillId="0" borderId="12" xfId="0" applyFont="1" applyBorder="1" applyAlignment="1">
      <alignment horizontal="center" vertical="top" wrapText="1"/>
    </xf>
    <xf numFmtId="184" fontId="44" fillId="0" borderId="110" xfId="0" applyNumberFormat="1" applyFont="1" applyBorder="1" applyAlignment="1" applyProtection="1">
      <alignment horizontal="center" wrapText="1"/>
      <protection locked="0"/>
    </xf>
    <xf numFmtId="173" fontId="44" fillId="0" borderId="110" xfId="0" applyNumberFormat="1" applyFont="1" applyBorder="1" applyAlignment="1" applyProtection="1">
      <alignment horizontal="center" wrapText="1"/>
      <protection locked="0" hidden="1"/>
    </xf>
    <xf numFmtId="3" fontId="44" fillId="0" borderId="110" xfId="0" applyNumberFormat="1" applyFont="1" applyBorder="1" applyAlignment="1" applyProtection="1">
      <alignment horizontal="center" wrapText="1"/>
      <protection locked="0"/>
    </xf>
    <xf numFmtId="184" fontId="1" fillId="0" borderId="86" xfId="0" applyNumberFormat="1" applyFont="1" applyBorder="1" applyAlignment="1" applyProtection="1">
      <alignment horizontal="center" wrapText="1"/>
      <protection locked="0"/>
    </xf>
    <xf numFmtId="184" fontId="1" fillId="0" borderId="10" xfId="0" applyNumberFormat="1" applyFont="1" applyBorder="1" applyAlignment="1" applyProtection="1">
      <alignment horizontal="center" wrapText="1"/>
      <protection locked="0"/>
    </xf>
    <xf numFmtId="184" fontId="1" fillId="0" borderId="87" xfId="0" applyNumberFormat="1" applyFont="1" applyBorder="1" applyAlignment="1" applyProtection="1">
      <alignment horizontal="center" wrapText="1"/>
      <protection locked="0"/>
    </xf>
    <xf numFmtId="184" fontId="1" fillId="0" borderId="28" xfId="0" applyNumberFormat="1" applyFont="1" applyBorder="1" applyAlignment="1" applyProtection="1">
      <alignment horizontal="center" wrapText="1"/>
      <protection locked="0"/>
    </xf>
    <xf numFmtId="184" fontId="1" fillId="0" borderId="29" xfId="0" applyNumberFormat="1" applyFont="1" applyBorder="1" applyAlignment="1" applyProtection="1">
      <alignment horizontal="center" wrapText="1"/>
      <protection locked="0"/>
    </xf>
    <xf numFmtId="184" fontId="1" fillId="0" borderId="30" xfId="0" applyNumberFormat="1" applyFont="1" applyBorder="1" applyAlignment="1" applyProtection="1">
      <alignment horizontal="center" wrapText="1"/>
      <protection locked="0"/>
    </xf>
    <xf numFmtId="3" fontId="33" fillId="0" borderId="110" xfId="0" applyNumberFormat="1" applyFont="1" applyBorder="1" applyAlignment="1" applyProtection="1">
      <alignment horizontal="center" wrapText="1"/>
      <protection locked="0" hidden="1"/>
    </xf>
    <xf numFmtId="3" fontId="33" fillId="0" borderId="193" xfId="0" applyNumberFormat="1" applyFont="1" applyBorder="1" applyAlignment="1" applyProtection="1">
      <alignment horizontal="center" wrapText="1"/>
      <protection locked="0" hidden="1"/>
    </xf>
    <xf numFmtId="167" fontId="44" fillId="0" borderId="191" xfId="0" applyNumberFormat="1" applyFont="1" applyBorder="1" applyAlignment="1" applyProtection="1">
      <alignment horizontal="center" wrapText="1"/>
      <protection locked="0"/>
    </xf>
    <xf numFmtId="167" fontId="44" fillId="0" borderId="110" xfId="0" applyNumberFormat="1" applyFont="1" applyBorder="1" applyAlignment="1" applyProtection="1">
      <alignment horizontal="center" wrapText="1"/>
      <protection locked="0"/>
    </xf>
    <xf numFmtId="167" fontId="44" fillId="0" borderId="189" xfId="0" applyNumberFormat="1" applyFont="1" applyBorder="1" applyAlignment="1" applyProtection="1">
      <alignment horizontal="center" wrapText="1"/>
      <protection locked="0"/>
    </xf>
    <xf numFmtId="171" fontId="43" fillId="7" borderId="232" xfId="0" applyNumberFormat="1" applyFont="1" applyFill="1" applyBorder="1" applyAlignment="1" applyProtection="1">
      <alignment horizontal="center" wrapText="1"/>
      <protection hidden="1"/>
    </xf>
    <xf numFmtId="171" fontId="43" fillId="7" borderId="233" xfId="0" applyNumberFormat="1" applyFont="1" applyFill="1" applyBorder="1" applyAlignment="1" applyProtection="1">
      <alignment horizontal="center" wrapText="1"/>
      <protection hidden="1"/>
    </xf>
    <xf numFmtId="171" fontId="43" fillId="7" borderId="186" xfId="0" applyNumberFormat="1" applyFont="1" applyFill="1" applyBorder="1" applyAlignment="1" applyProtection="1">
      <alignment horizontal="center" wrapText="1"/>
      <protection hidden="1"/>
    </xf>
    <xf numFmtId="0" fontId="43" fillId="0" borderId="11" xfId="0" applyFont="1" applyBorder="1" applyAlignment="1">
      <alignment horizontal="center"/>
    </xf>
    <xf numFmtId="0" fontId="30" fillId="0" borderId="10" xfId="0" applyFont="1" applyBorder="1" applyAlignment="1">
      <alignment horizontal="center" vertical="top" wrapText="1"/>
    </xf>
    <xf numFmtId="0" fontId="30" fillId="0" borderId="12" xfId="0" applyFont="1" applyBorder="1" applyAlignment="1">
      <alignment horizontal="center" vertical="top" wrapText="1"/>
    </xf>
    <xf numFmtId="0" fontId="34" fillId="0" borderId="10" xfId="0" applyFont="1" applyBorder="1" applyAlignment="1">
      <alignment horizontal="center" vertical="top" wrapText="1"/>
    </xf>
    <xf numFmtId="0" fontId="34" fillId="0" borderId="12" xfId="0" applyFont="1" applyBorder="1" applyAlignment="1">
      <alignment horizontal="center" vertical="top" wrapText="1"/>
    </xf>
    <xf numFmtId="167" fontId="1" fillId="0" borderId="0" xfId="0" applyNumberFormat="1" applyFont="1" applyAlignment="1">
      <alignment horizontal="center" wrapText="1"/>
    </xf>
    <xf numFmtId="167" fontId="44" fillId="0" borderId="12" xfId="0" applyNumberFormat="1" applyFont="1" applyBorder="1" applyAlignment="1">
      <alignment horizontal="center" wrapText="1"/>
    </xf>
    <xf numFmtId="167" fontId="44" fillId="0" borderId="0" xfId="0" applyNumberFormat="1" applyFont="1" applyAlignment="1">
      <alignment horizontal="center" wrapText="1"/>
    </xf>
    <xf numFmtId="0" fontId="1" fillId="0" borderId="69" xfId="0" applyFont="1" applyBorder="1" applyAlignment="1">
      <alignment horizontal="center" wrapText="1"/>
    </xf>
    <xf numFmtId="0" fontId="17" fillId="0" borderId="10" xfId="0" applyFont="1" applyBorder="1" applyAlignment="1">
      <alignment horizontal="center" wrapText="1"/>
    </xf>
    <xf numFmtId="3" fontId="1" fillId="0" borderId="66" xfId="0" applyNumberFormat="1" applyFont="1" applyBorder="1" applyAlignment="1" applyProtection="1">
      <alignment horizontal="center" wrapText="1"/>
      <protection locked="0"/>
    </xf>
    <xf numFmtId="3" fontId="1" fillId="0" borderId="67" xfId="0" applyNumberFormat="1" applyFont="1" applyBorder="1" applyAlignment="1" applyProtection="1">
      <alignment horizontal="center" wrapText="1"/>
      <protection locked="0"/>
    </xf>
    <xf numFmtId="173" fontId="1" fillId="0" borderId="66" xfId="0" applyNumberFormat="1" applyFont="1" applyBorder="1" applyAlignment="1" applyProtection="1">
      <alignment horizontal="center" wrapText="1"/>
      <protection locked="0"/>
    </xf>
    <xf numFmtId="173" fontId="1" fillId="0" borderId="80" xfId="0" applyNumberFormat="1" applyFont="1" applyBorder="1" applyAlignment="1" applyProtection="1">
      <alignment horizontal="center" wrapText="1"/>
      <protection locked="0"/>
    </xf>
    <xf numFmtId="173" fontId="1" fillId="0" borderId="28" xfId="0" applyNumberFormat="1" applyFont="1" applyBorder="1" applyAlignment="1" applyProtection="1">
      <alignment horizontal="center" wrapText="1"/>
      <protection locked="0"/>
    </xf>
    <xf numFmtId="173" fontId="1" fillId="0" borderId="81" xfId="0" applyNumberFormat="1" applyFont="1" applyBorder="1" applyAlignment="1" applyProtection="1">
      <alignment horizontal="center" wrapText="1"/>
      <protection locked="0"/>
    </xf>
    <xf numFmtId="0" fontId="17" fillId="0" borderId="69" xfId="0" applyFont="1" applyBorder="1" applyAlignment="1" applyProtection="1">
      <alignment horizontal="center" wrapText="1"/>
      <protection locked="0" hidden="1"/>
    </xf>
    <xf numFmtId="3" fontId="44" fillId="0" borderId="66" xfId="0" applyNumberFormat="1" applyFont="1" applyBorder="1" applyAlignment="1" applyProtection="1">
      <alignment horizontal="center" wrapText="1"/>
      <protection locked="0"/>
    </xf>
    <xf numFmtId="3" fontId="44" fillId="0" borderId="69" xfId="0" applyNumberFormat="1" applyFont="1" applyBorder="1" applyAlignment="1" applyProtection="1">
      <alignment horizontal="center" wrapText="1"/>
      <protection locked="0"/>
    </xf>
    <xf numFmtId="3" fontId="44" fillId="0" borderId="28" xfId="0" applyNumberFormat="1" applyFont="1" applyBorder="1" applyAlignment="1" applyProtection="1">
      <alignment horizontal="center" wrapText="1"/>
      <protection locked="0"/>
    </xf>
    <xf numFmtId="3" fontId="44" fillId="0" borderId="29" xfId="0" applyNumberFormat="1" applyFont="1" applyBorder="1" applyAlignment="1" applyProtection="1">
      <alignment horizontal="center" wrapText="1"/>
      <protection locked="0"/>
    </xf>
    <xf numFmtId="3" fontId="1" fillId="0" borderId="93" xfId="0" applyNumberFormat="1" applyFont="1" applyBorder="1" applyAlignment="1" applyProtection="1">
      <alignment horizontal="center" wrapText="1"/>
      <protection locked="0" hidden="1"/>
    </xf>
    <xf numFmtId="3" fontId="1" fillId="0" borderId="182" xfId="0" applyNumberFormat="1" applyFont="1" applyBorder="1" applyAlignment="1" applyProtection="1">
      <alignment horizontal="center" wrapText="1"/>
      <protection locked="0" hidden="1"/>
    </xf>
    <xf numFmtId="167" fontId="1" fillId="0" borderId="100" xfId="0" applyNumberFormat="1" applyFont="1" applyBorder="1" applyAlignment="1" applyProtection="1">
      <alignment horizontal="center" wrapText="1"/>
      <protection locked="0"/>
    </xf>
    <xf numFmtId="167" fontId="1" fillId="0" borderId="93" xfId="0" applyNumberFormat="1" applyFont="1" applyBorder="1" applyAlignment="1" applyProtection="1">
      <alignment horizontal="center" wrapText="1"/>
      <protection locked="0"/>
    </xf>
    <xf numFmtId="167" fontId="1" fillId="0" borderId="83" xfId="0" applyNumberFormat="1" applyFont="1" applyBorder="1" applyAlignment="1" applyProtection="1">
      <alignment horizontal="center" wrapText="1"/>
      <protection locked="0"/>
    </xf>
    <xf numFmtId="167" fontId="1" fillId="0" borderId="187" xfId="0" applyNumberFormat="1" applyFont="1" applyBorder="1" applyAlignment="1" applyProtection="1">
      <alignment horizontal="center" wrapText="1"/>
      <protection locked="0"/>
    </xf>
    <xf numFmtId="171" fontId="43" fillId="7" borderId="69" xfId="0" applyNumberFormat="1" applyFont="1" applyFill="1" applyBorder="1" applyAlignment="1" applyProtection="1">
      <alignment horizontal="center" wrapText="1"/>
      <protection hidden="1"/>
    </xf>
    <xf numFmtId="171" fontId="43" fillId="7" borderId="67" xfId="0" applyNumberFormat="1" applyFont="1" applyFill="1" applyBorder="1" applyAlignment="1" applyProtection="1">
      <alignment horizontal="center" wrapText="1"/>
      <protection hidden="1"/>
    </xf>
    <xf numFmtId="171" fontId="43" fillId="7" borderId="29" xfId="0" applyNumberFormat="1" applyFont="1" applyFill="1" applyBorder="1" applyAlignment="1" applyProtection="1">
      <alignment horizontal="center" wrapText="1"/>
      <protection hidden="1"/>
    </xf>
    <xf numFmtId="171" fontId="43" fillId="7" borderId="30" xfId="0" applyNumberFormat="1" applyFont="1" applyFill="1" applyBorder="1" applyAlignment="1" applyProtection="1">
      <alignment horizontal="center" wrapText="1"/>
      <protection hidden="1"/>
    </xf>
    <xf numFmtId="173" fontId="1" fillId="0" borderId="67" xfId="0" applyNumberFormat="1" applyFont="1" applyBorder="1" applyAlignment="1" applyProtection="1">
      <alignment horizontal="center" wrapText="1"/>
      <protection locked="0"/>
    </xf>
    <xf numFmtId="173" fontId="1" fillId="0" borderId="30" xfId="0" applyNumberFormat="1" applyFont="1" applyBorder="1" applyAlignment="1" applyProtection="1">
      <alignment horizontal="center" wrapText="1"/>
      <protection locked="0"/>
    </xf>
    <xf numFmtId="3" fontId="44" fillId="0" borderId="67" xfId="0" applyNumberFormat="1" applyFont="1" applyBorder="1" applyAlignment="1" applyProtection="1">
      <alignment horizontal="center" wrapText="1"/>
      <protection locked="0"/>
    </xf>
    <xf numFmtId="3" fontId="44" fillId="0" borderId="30" xfId="0" applyNumberFormat="1" applyFont="1" applyBorder="1" applyAlignment="1" applyProtection="1">
      <alignment horizontal="center" wrapText="1"/>
      <protection locked="0"/>
    </xf>
    <xf numFmtId="167" fontId="44" fillId="0" borderId="83" xfId="0" applyNumberFormat="1" applyFont="1" applyBorder="1" applyAlignment="1" applyProtection="1">
      <alignment horizontal="center" wrapText="1"/>
      <protection locked="0"/>
    </xf>
    <xf numFmtId="0" fontId="19" fillId="0" borderId="66" xfId="0" applyFont="1" applyBorder="1" applyAlignment="1" applyProtection="1">
      <alignment horizontal="center" wrapText="1"/>
      <protection locked="0"/>
    </xf>
    <xf numFmtId="167" fontId="44" fillId="0" borderId="109" xfId="0" applyNumberFormat="1" applyFont="1" applyBorder="1" applyAlignment="1" applyProtection="1">
      <alignment horizontal="center" wrapText="1"/>
      <protection locked="0"/>
    </xf>
    <xf numFmtId="4" fontId="44" fillId="0" borderId="14" xfId="0" applyNumberFormat="1" applyFont="1" applyBorder="1" applyAlignment="1">
      <alignment horizontal="center" wrapText="1" shrinkToFit="1"/>
    </xf>
    <xf numFmtId="4" fontId="44" fillId="0" borderId="14" xfId="0" applyNumberFormat="1" applyFont="1" applyBorder="1" applyAlignment="1">
      <alignment horizontal="center" shrinkToFit="1"/>
    </xf>
    <xf numFmtId="4" fontId="44" fillId="0" borderId="93" xfId="0" applyNumberFormat="1" applyFont="1" applyBorder="1" applyAlignment="1">
      <alignment horizontal="center" wrapText="1" shrinkToFit="1"/>
    </xf>
    <xf numFmtId="2" fontId="2" fillId="0" borderId="32" xfId="0" applyNumberFormat="1" applyFont="1" applyBorder="1" applyAlignment="1">
      <alignment horizontal="center" shrinkToFit="1"/>
    </xf>
    <xf numFmtId="2" fontId="2" fillId="0" borderId="15" xfId="0" applyNumberFormat="1" applyFont="1" applyBorder="1" applyAlignment="1">
      <alignment horizontal="center" shrinkToFit="1"/>
    </xf>
    <xf numFmtId="184" fontId="1" fillId="0" borderId="82" xfId="0" applyNumberFormat="1" applyFont="1" applyBorder="1" applyAlignment="1" applyProtection="1">
      <alignment horizontal="center" wrapText="1" shrinkToFit="1"/>
      <protection locked="0"/>
    </xf>
    <xf numFmtId="184" fontId="1" fillId="0" borderId="88" xfId="0" applyNumberFormat="1" applyFont="1" applyBorder="1" applyAlignment="1" applyProtection="1">
      <alignment horizontal="center" wrapText="1" shrinkToFit="1"/>
      <protection locked="0"/>
    </xf>
    <xf numFmtId="184" fontId="1" fillId="0" borderId="47" xfId="0" applyNumberFormat="1" applyFont="1" applyBorder="1" applyAlignment="1" applyProtection="1">
      <alignment horizontal="center" wrapText="1" shrinkToFit="1"/>
      <protection locked="0"/>
    </xf>
    <xf numFmtId="184" fontId="44" fillId="0" borderId="82" xfId="0" applyNumberFormat="1" applyFont="1" applyBorder="1" applyAlignment="1" applyProtection="1">
      <alignment horizontal="center" wrapText="1" shrinkToFit="1"/>
      <protection locked="0"/>
    </xf>
    <xf numFmtId="184" fontId="44" fillId="0" borderId="88" xfId="0" applyNumberFormat="1" applyFont="1" applyBorder="1" applyAlignment="1" applyProtection="1">
      <alignment horizontal="center" wrapText="1" shrinkToFit="1"/>
      <protection locked="0"/>
    </xf>
    <xf numFmtId="184" fontId="44" fillId="0" borderId="47" xfId="0" applyNumberFormat="1" applyFont="1" applyBorder="1" applyAlignment="1" applyProtection="1">
      <alignment horizontal="center" wrapText="1" shrinkToFit="1"/>
      <protection locked="0"/>
    </xf>
    <xf numFmtId="184" fontId="44" fillId="37" borderId="82" xfId="0" applyNumberFormat="1" applyFont="1" applyFill="1" applyBorder="1" applyAlignment="1">
      <alignment horizontal="center" wrapText="1" shrinkToFit="1"/>
    </xf>
    <xf numFmtId="184" fontId="44" fillId="37" borderId="47" xfId="0" applyNumberFormat="1" applyFont="1" applyFill="1" applyBorder="1" applyAlignment="1">
      <alignment horizontal="center" wrapText="1" shrinkToFit="1"/>
    </xf>
    <xf numFmtId="0" fontId="44" fillId="7" borderId="82" xfId="0" applyFont="1" applyFill="1" applyBorder="1" applyAlignment="1">
      <alignment horizontal="center" wrapText="1"/>
    </xf>
    <xf numFmtId="0" fontId="44" fillId="7" borderId="88" xfId="0" applyFont="1" applyFill="1" applyBorder="1" applyAlignment="1">
      <alignment horizontal="center" wrapText="1"/>
    </xf>
    <xf numFmtId="0" fontId="44" fillId="7" borderId="47" xfId="0" applyFont="1" applyFill="1" applyBorder="1" applyAlignment="1">
      <alignment horizontal="center" wrapText="1"/>
    </xf>
    <xf numFmtId="3" fontId="44" fillId="0" borderId="82" xfId="0" applyNumberFormat="1" applyFont="1" applyBorder="1" applyAlignment="1" applyProtection="1">
      <alignment horizontal="center" wrapText="1"/>
      <protection locked="0"/>
    </xf>
    <xf numFmtId="3" fontId="44" fillId="0" borderId="47" xfId="0" applyNumberFormat="1" applyFont="1" applyBorder="1" applyAlignment="1" applyProtection="1">
      <alignment horizontal="center" wrapText="1"/>
      <protection locked="0"/>
    </xf>
    <xf numFmtId="3" fontId="1" fillId="0" borderId="82" xfId="0" applyNumberFormat="1" applyFont="1" applyBorder="1" applyAlignment="1" applyProtection="1">
      <alignment horizontal="center" wrapText="1"/>
      <protection locked="0"/>
    </xf>
    <xf numFmtId="3" fontId="1" fillId="0" borderId="47" xfId="0" applyNumberFormat="1" applyFont="1" applyBorder="1" applyAlignment="1" applyProtection="1">
      <alignment horizontal="center" wrapText="1"/>
      <protection locked="0"/>
    </xf>
    <xf numFmtId="176" fontId="2" fillId="0" borderId="32" xfId="0" applyNumberFormat="1" applyFont="1" applyBorder="1" applyAlignment="1">
      <alignment horizontal="center" shrinkToFit="1"/>
    </xf>
    <xf numFmtId="176" fontId="2" fillId="0" borderId="15" xfId="0" applyNumberFormat="1" applyFont="1" applyBorder="1" applyAlignment="1">
      <alignment horizontal="center" shrinkToFit="1"/>
    </xf>
    <xf numFmtId="3" fontId="1" fillId="0" borderId="14" xfId="0" applyNumberFormat="1" applyFont="1" applyBorder="1" applyAlignment="1" applyProtection="1">
      <alignment horizontal="center" shrinkToFit="1"/>
      <protection locked="0"/>
    </xf>
    <xf numFmtId="0" fontId="1" fillId="0" borderId="82" xfId="0" applyFont="1" applyBorder="1" applyAlignment="1" applyProtection="1">
      <alignment horizontal="center" wrapText="1"/>
      <protection locked="0"/>
    </xf>
    <xf numFmtId="0" fontId="1" fillId="0" borderId="88" xfId="0" applyFont="1" applyBorder="1" applyAlignment="1" applyProtection="1">
      <alignment horizontal="center" wrapText="1"/>
      <protection locked="0"/>
    </xf>
    <xf numFmtId="0" fontId="1" fillId="0" borderId="47" xfId="0" applyFont="1" applyBorder="1" applyAlignment="1" applyProtection="1">
      <alignment horizontal="center" wrapText="1"/>
      <protection locked="0"/>
    </xf>
    <xf numFmtId="167" fontId="43" fillId="7" borderId="66" xfId="0" applyNumberFormat="1" applyFont="1" applyFill="1" applyBorder="1" applyAlignment="1" applyProtection="1">
      <alignment horizontal="center" wrapText="1" shrinkToFit="1"/>
      <protection hidden="1"/>
    </xf>
    <xf numFmtId="167" fontId="43" fillId="7" borderId="69" xfId="0" applyNumberFormat="1" applyFont="1" applyFill="1" applyBorder="1" applyAlignment="1" applyProtection="1">
      <alignment horizontal="center" wrapText="1" shrinkToFit="1"/>
      <protection hidden="1"/>
    </xf>
    <xf numFmtId="167" fontId="43" fillId="7" borderId="67" xfId="0" applyNumberFormat="1" applyFont="1" applyFill="1" applyBorder="1" applyAlignment="1" applyProtection="1">
      <alignment horizontal="center" wrapText="1" shrinkToFit="1"/>
      <protection hidden="1"/>
    </xf>
    <xf numFmtId="167" fontId="43" fillId="7" borderId="28" xfId="0" applyNumberFormat="1" applyFont="1" applyFill="1" applyBorder="1" applyAlignment="1" applyProtection="1">
      <alignment horizontal="center" wrapText="1" shrinkToFit="1"/>
      <protection hidden="1"/>
    </xf>
    <xf numFmtId="167" fontId="43" fillId="7" borderId="29" xfId="0" applyNumberFormat="1" applyFont="1" applyFill="1" applyBorder="1" applyAlignment="1" applyProtection="1">
      <alignment horizontal="center" wrapText="1" shrinkToFit="1"/>
      <protection hidden="1"/>
    </xf>
    <xf numFmtId="167" fontId="43" fillId="7" borderId="30" xfId="0" applyNumberFormat="1" applyFont="1" applyFill="1" applyBorder="1" applyAlignment="1" applyProtection="1">
      <alignment horizontal="center" wrapText="1" shrinkToFit="1"/>
      <protection hidden="1"/>
    </xf>
    <xf numFmtId="3" fontId="44" fillId="0" borderId="14" xfId="0" applyNumberFormat="1" applyFont="1" applyBorder="1" applyAlignment="1" applyProtection="1">
      <alignment horizontal="center" shrinkToFit="1"/>
      <protection locked="0"/>
    </xf>
    <xf numFmtId="167" fontId="43" fillId="7" borderId="14" xfId="0" applyNumberFormat="1" applyFont="1" applyFill="1" applyBorder="1" applyAlignment="1">
      <alignment horizontal="center" shrinkToFit="1"/>
    </xf>
    <xf numFmtId="0" fontId="1" fillId="0" borderId="182" xfId="0" applyFont="1" applyBorder="1" applyAlignment="1" applyProtection="1">
      <alignment horizontal="center" wrapText="1"/>
      <protection locked="0"/>
    </xf>
    <xf numFmtId="0" fontId="1" fillId="0" borderId="183" xfId="0" applyFont="1" applyBorder="1" applyAlignment="1" applyProtection="1">
      <alignment horizontal="center" wrapText="1"/>
      <protection locked="0"/>
    </xf>
    <xf numFmtId="0" fontId="1" fillId="0" borderId="184" xfId="0" applyFont="1" applyBorder="1" applyAlignment="1" applyProtection="1">
      <alignment horizontal="center" wrapText="1"/>
      <protection locked="0"/>
    </xf>
    <xf numFmtId="0" fontId="44" fillId="7" borderId="182" xfId="0" applyFont="1" applyFill="1" applyBorder="1" applyAlignment="1">
      <alignment horizontal="center" wrapText="1"/>
    </xf>
    <xf numFmtId="0" fontId="44" fillId="7" borderId="183" xfId="0" applyFont="1" applyFill="1" applyBorder="1" applyAlignment="1">
      <alignment horizontal="center" wrapText="1"/>
    </xf>
    <xf numFmtId="0" fontId="44" fillId="7" borderId="184" xfId="0" applyFont="1" applyFill="1" applyBorder="1" applyAlignment="1">
      <alignment horizontal="center" wrapText="1"/>
    </xf>
    <xf numFmtId="3" fontId="1" fillId="0" borderId="182" xfId="0" applyNumberFormat="1" applyFont="1" applyBorder="1" applyAlignment="1" applyProtection="1">
      <alignment horizontal="center" wrapText="1"/>
      <protection locked="0"/>
    </xf>
    <xf numFmtId="3" fontId="1" fillId="0" borderId="184" xfId="0" applyNumberFormat="1" applyFont="1" applyBorder="1" applyAlignment="1" applyProtection="1">
      <alignment horizontal="center" wrapText="1"/>
      <protection locked="0"/>
    </xf>
    <xf numFmtId="184" fontId="1" fillId="0" borderId="182" xfId="0" applyNumberFormat="1" applyFont="1" applyBorder="1" applyAlignment="1" applyProtection="1">
      <alignment horizontal="center" wrapText="1" shrinkToFit="1"/>
      <protection locked="0"/>
    </xf>
    <xf numFmtId="184" fontId="1" fillId="0" borderId="183" xfId="0" applyNumberFormat="1" applyFont="1" applyBorder="1" applyAlignment="1" applyProtection="1">
      <alignment horizontal="center" wrapText="1" shrinkToFit="1"/>
      <protection locked="0"/>
    </xf>
    <xf numFmtId="184" fontId="1" fillId="0" borderId="184" xfId="0" applyNumberFormat="1" applyFont="1" applyBorder="1" applyAlignment="1" applyProtection="1">
      <alignment horizontal="center" wrapText="1" shrinkToFit="1"/>
      <protection locked="0"/>
    </xf>
    <xf numFmtId="184" fontId="44" fillId="37" borderId="182" xfId="0" applyNumberFormat="1" applyFont="1" applyFill="1" applyBorder="1" applyAlignment="1">
      <alignment horizontal="center" wrapText="1" shrinkToFit="1"/>
    </xf>
    <xf numFmtId="184" fontId="44" fillId="37" borderId="184" xfId="0" applyNumberFormat="1" applyFont="1" applyFill="1" applyBorder="1" applyAlignment="1">
      <alignment horizontal="center" wrapText="1" shrinkToFit="1"/>
    </xf>
    <xf numFmtId="0" fontId="1" fillId="0" borderId="12" xfId="0" applyFont="1" applyBorder="1" applyAlignment="1">
      <alignment horizontal="center" wrapText="1"/>
    </xf>
    <xf numFmtId="0" fontId="44" fillId="0" borderId="82" xfId="0" applyFont="1" applyBorder="1" applyAlignment="1" applyProtection="1">
      <alignment horizontal="center" wrapText="1"/>
      <protection locked="0"/>
    </xf>
    <xf numFmtId="0" fontId="44" fillId="0" borderId="88" xfId="0" applyFont="1" applyBorder="1" applyAlignment="1" applyProtection="1">
      <alignment horizontal="center" wrapText="1"/>
      <protection locked="0"/>
    </xf>
    <xf numFmtId="0" fontId="44" fillId="0" borderId="47" xfId="0" applyFont="1" applyBorder="1" applyAlignment="1" applyProtection="1">
      <alignment horizontal="center" wrapText="1"/>
      <protection locked="0"/>
    </xf>
    <xf numFmtId="0" fontId="4" fillId="0" borderId="12" xfId="0" applyFont="1" applyBorder="1" applyAlignment="1">
      <alignment horizontal="center" wrapText="1"/>
    </xf>
    <xf numFmtId="167" fontId="1" fillId="0" borderId="93" xfId="0" applyNumberFormat="1" applyFont="1" applyBorder="1" applyAlignment="1" applyProtection="1">
      <alignment horizontal="center" shrinkToFit="1"/>
      <protection locked="0"/>
    </xf>
    <xf numFmtId="167" fontId="2" fillId="0" borderId="32" xfId="0" applyNumberFormat="1" applyFont="1" applyBorder="1" applyAlignment="1">
      <alignment horizontal="center" shrinkToFit="1"/>
    </xf>
    <xf numFmtId="167" fontId="2" fillId="0" borderId="15" xfId="0" applyNumberFormat="1" applyFont="1" applyBorder="1" applyAlignment="1">
      <alignment horizontal="center" shrinkToFit="1"/>
    </xf>
    <xf numFmtId="2" fontId="44" fillId="0" borderId="32" xfId="0" applyNumberFormat="1" applyFont="1" applyBorder="1" applyAlignment="1">
      <alignment horizontal="center" wrapText="1" shrinkToFit="1"/>
    </xf>
    <xf numFmtId="2" fontId="44" fillId="0" borderId="15" xfId="0" applyNumberFormat="1" applyFont="1" applyBorder="1" applyAlignment="1">
      <alignment horizontal="center" wrapText="1" shrinkToFit="1"/>
    </xf>
    <xf numFmtId="171" fontId="43" fillId="7" borderId="14" xfId="0" applyNumberFormat="1" applyFont="1" applyFill="1" applyBorder="1" applyAlignment="1">
      <alignment horizontal="center" shrinkToFit="1"/>
    </xf>
    <xf numFmtId="3" fontId="1" fillId="0" borderId="86" xfId="0" applyNumberFormat="1" applyFont="1" applyBorder="1" applyAlignment="1" applyProtection="1">
      <alignment horizontal="center" shrinkToFit="1"/>
      <protection locked="0"/>
    </xf>
    <xf numFmtId="3" fontId="1" fillId="0" borderId="87" xfId="0" applyNumberFormat="1" applyFont="1" applyBorder="1" applyAlignment="1" applyProtection="1">
      <alignment horizontal="center" shrinkToFit="1"/>
      <protection locked="0"/>
    </xf>
    <xf numFmtId="3" fontId="1" fillId="0" borderId="28" xfId="0" applyNumberFormat="1" applyFont="1" applyBorder="1" applyAlignment="1" applyProtection="1">
      <alignment horizontal="center" shrinkToFit="1"/>
      <protection locked="0"/>
    </xf>
    <xf numFmtId="3" fontId="1" fillId="0" borderId="30" xfId="0" applyNumberFormat="1" applyFont="1" applyBorder="1" applyAlignment="1" applyProtection="1">
      <alignment horizontal="center" shrinkToFit="1"/>
      <protection locked="0"/>
    </xf>
    <xf numFmtId="0" fontId="1" fillId="0" borderId="93" xfId="0" applyFont="1" applyBorder="1" applyAlignment="1" applyProtection="1">
      <alignment horizontal="center" wrapText="1"/>
      <protection locked="0"/>
    </xf>
    <xf numFmtId="0" fontId="4" fillId="0" borderId="0" xfId="0" applyFont="1" applyAlignment="1">
      <alignment horizontal="center" wrapText="1"/>
    </xf>
    <xf numFmtId="167" fontId="43" fillId="7" borderId="93" xfId="0" applyNumberFormat="1" applyFont="1" applyFill="1" applyBorder="1" applyAlignment="1">
      <alignment horizontal="center" shrinkToFit="1"/>
    </xf>
    <xf numFmtId="2" fontId="44" fillId="0" borderId="32" xfId="0" applyNumberFormat="1" applyFont="1" applyBorder="1" applyAlignment="1">
      <alignment horizontal="center" shrinkToFit="1"/>
    </xf>
    <xf numFmtId="2" fontId="44" fillId="0" borderId="15" xfId="0" applyNumberFormat="1" applyFont="1" applyBorder="1" applyAlignment="1">
      <alignment horizontal="center" shrinkToFit="1"/>
    </xf>
    <xf numFmtId="172" fontId="44" fillId="0" borderId="32" xfId="0" applyNumberFormat="1" applyFont="1" applyBorder="1" applyAlignment="1">
      <alignment horizontal="center" shrinkToFit="1"/>
    </xf>
    <xf numFmtId="172" fontId="44" fillId="0" borderId="15" xfId="0" applyNumberFormat="1" applyFont="1" applyBorder="1" applyAlignment="1">
      <alignment horizontal="center" shrinkToFit="1"/>
    </xf>
    <xf numFmtId="1" fontId="44" fillId="0" borderId="76" xfId="0" applyNumberFormat="1" applyFont="1" applyBorder="1" applyAlignment="1" applyProtection="1">
      <alignment horizontal="center" shrinkToFit="1"/>
      <protection locked="0" hidden="1"/>
    </xf>
    <xf numFmtId="0" fontId="44" fillId="0" borderId="137" xfId="0" applyFont="1" applyBorder="1" applyAlignment="1">
      <alignment horizontal="center" wrapText="1"/>
    </xf>
    <xf numFmtId="0" fontId="13" fillId="0" borderId="14" xfId="0" applyFont="1" applyBorder="1" applyAlignment="1" applyProtection="1">
      <alignment horizontal="center" wrapText="1"/>
      <protection locked="0"/>
    </xf>
    <xf numFmtId="0" fontId="44" fillId="0" borderId="76" xfId="0" applyFont="1" applyBorder="1" applyAlignment="1" applyProtection="1">
      <alignment horizontal="center" wrapText="1"/>
      <protection locked="0"/>
    </xf>
    <xf numFmtId="0" fontId="1" fillId="7" borderId="66" xfId="0" applyFont="1" applyFill="1" applyBorder="1" applyAlignment="1" applyProtection="1">
      <alignment horizontal="center" wrapText="1"/>
      <protection hidden="1"/>
    </xf>
    <xf numFmtId="0" fontId="1" fillId="7" borderId="67" xfId="0" applyFont="1" applyFill="1" applyBorder="1" applyAlignment="1" applyProtection="1">
      <alignment horizontal="center" wrapText="1"/>
      <protection hidden="1"/>
    </xf>
    <xf numFmtId="0" fontId="1" fillId="7" borderId="28" xfId="0" applyFont="1" applyFill="1" applyBorder="1" applyAlignment="1" applyProtection="1">
      <alignment horizontal="center" wrapText="1"/>
      <protection hidden="1"/>
    </xf>
    <xf numFmtId="0" fontId="1" fillId="7" borderId="30" xfId="0" applyFont="1" applyFill="1" applyBorder="1" applyAlignment="1" applyProtection="1">
      <alignment horizontal="center" wrapText="1"/>
      <protection hidden="1"/>
    </xf>
    <xf numFmtId="0" fontId="7" fillId="0" borderId="14" xfId="0" applyFont="1" applyBorder="1" applyAlignment="1" applyProtection="1">
      <alignment horizontal="center" wrapText="1"/>
      <protection locked="0"/>
    </xf>
    <xf numFmtId="3" fontId="44" fillId="0" borderId="210" xfId="0" applyNumberFormat="1" applyFont="1" applyBorder="1" applyAlignment="1" applyProtection="1">
      <alignment horizontal="center" shrinkToFit="1"/>
      <protection locked="0" hidden="1"/>
    </xf>
    <xf numFmtId="3" fontId="44" fillId="0" borderId="211" xfId="0" applyNumberFormat="1" applyFont="1" applyBorder="1" applyAlignment="1" applyProtection="1">
      <alignment horizontal="center" shrinkToFit="1"/>
      <protection locked="0" hidden="1"/>
    </xf>
    <xf numFmtId="173" fontId="44" fillId="0" borderId="188" xfId="0" applyNumberFormat="1" applyFont="1" applyBorder="1" applyAlignment="1" applyProtection="1">
      <alignment horizontal="center" shrinkToFit="1"/>
      <protection locked="0" hidden="1"/>
    </xf>
    <xf numFmtId="167" fontId="43" fillId="7" borderId="82" xfId="0" applyNumberFormat="1" applyFont="1" applyFill="1" applyBorder="1" applyAlignment="1">
      <alignment horizontal="center" wrapText="1"/>
    </xf>
    <xf numFmtId="167" fontId="43" fillId="7" borderId="88" xfId="0" applyNumberFormat="1" applyFont="1" applyFill="1" applyBorder="1" applyAlignment="1">
      <alignment horizontal="center" wrapText="1"/>
    </xf>
    <xf numFmtId="167" fontId="43" fillId="7" borderId="47" xfId="0" applyNumberFormat="1" applyFont="1" applyFill="1" applyBorder="1" applyAlignment="1">
      <alignment horizontal="center" wrapText="1"/>
    </xf>
    <xf numFmtId="3" fontId="1" fillId="0" borderId="14" xfId="0" applyNumberFormat="1" applyFont="1" applyBorder="1" applyAlignment="1" applyProtection="1">
      <alignment horizontal="center" shrinkToFit="1"/>
      <protection locked="0" hidden="1"/>
    </xf>
    <xf numFmtId="3" fontId="44" fillId="0" borderId="188" xfId="0" applyNumberFormat="1" applyFont="1" applyBorder="1" applyAlignment="1" applyProtection="1">
      <alignment horizontal="center" shrinkToFit="1"/>
      <protection locked="0" hidden="1"/>
    </xf>
    <xf numFmtId="167" fontId="43" fillId="7" borderId="83" xfId="0" applyNumberFormat="1" applyFont="1" applyFill="1" applyBorder="1" applyAlignment="1" applyProtection="1">
      <alignment horizontal="center" shrinkToFit="1"/>
      <protection hidden="1"/>
    </xf>
    <xf numFmtId="167" fontId="43" fillId="7" borderId="14" xfId="0" applyNumberFormat="1" applyFont="1" applyFill="1" applyBorder="1" applyAlignment="1" applyProtection="1">
      <alignment horizontal="center" shrinkToFit="1"/>
      <protection hidden="1"/>
    </xf>
    <xf numFmtId="3" fontId="1" fillId="0" borderId="188" xfId="0" applyNumberFormat="1" applyFont="1" applyBorder="1" applyAlignment="1" applyProtection="1">
      <alignment horizontal="center" shrinkToFit="1"/>
      <protection locked="0" hidden="1"/>
    </xf>
    <xf numFmtId="167" fontId="1" fillId="0" borderId="83" xfId="0" applyNumberFormat="1" applyFont="1" applyBorder="1" applyAlignment="1" applyProtection="1">
      <alignment horizontal="center" shrinkToFit="1"/>
      <protection locked="0"/>
    </xf>
    <xf numFmtId="167" fontId="1" fillId="0" borderId="188" xfId="0" applyNumberFormat="1" applyFont="1" applyBorder="1" applyAlignment="1" applyProtection="1">
      <alignment horizontal="center" shrinkToFit="1"/>
      <protection locked="0"/>
    </xf>
    <xf numFmtId="167" fontId="43" fillId="7" borderId="182" xfId="0" applyNumberFormat="1" applyFont="1" applyFill="1" applyBorder="1" applyAlignment="1">
      <alignment horizontal="center" wrapText="1"/>
    </xf>
    <xf numFmtId="167" fontId="43" fillId="7" borderId="183" xfId="0" applyNumberFormat="1" applyFont="1" applyFill="1" applyBorder="1" applyAlignment="1">
      <alignment horizontal="center" wrapText="1"/>
    </xf>
    <xf numFmtId="167" fontId="43" fillId="7" borderId="184" xfId="0" applyNumberFormat="1" applyFont="1" applyFill="1" applyBorder="1" applyAlignment="1">
      <alignment horizontal="center" wrapText="1"/>
    </xf>
    <xf numFmtId="4" fontId="44" fillId="0" borderId="32" xfId="0" applyNumberFormat="1" applyFont="1" applyBorder="1" applyAlignment="1">
      <alignment horizontal="center" wrapText="1" shrinkToFit="1"/>
    </xf>
    <xf numFmtId="4" fontId="44" fillId="0" borderId="15" xfId="0" applyNumberFormat="1" applyFont="1" applyBorder="1" applyAlignment="1">
      <alignment horizontal="center" wrapText="1" shrinkToFit="1"/>
    </xf>
    <xf numFmtId="0" fontId="16" fillId="0" borderId="32" xfId="0" applyFont="1" applyBorder="1" applyAlignment="1">
      <alignment horizontal="center" shrinkToFit="1"/>
    </xf>
    <xf numFmtId="170" fontId="44" fillId="0" borderId="32" xfId="0" applyNumberFormat="1" applyFont="1" applyBorder="1" applyAlignment="1">
      <alignment horizontal="center" shrinkToFit="1"/>
    </xf>
    <xf numFmtId="170" fontId="44" fillId="0" borderId="15" xfId="0" applyNumberFormat="1" applyFont="1" applyBorder="1" applyAlignment="1">
      <alignment horizontal="center" shrinkToFit="1"/>
    </xf>
    <xf numFmtId="167" fontId="44" fillId="0" borderId="83" xfId="0" applyNumberFormat="1" applyFont="1" applyBorder="1" applyAlignment="1" applyProtection="1">
      <alignment horizontal="center" shrinkToFit="1"/>
      <protection locked="0"/>
    </xf>
    <xf numFmtId="167" fontId="44" fillId="0" borderId="188" xfId="0" applyNumberFormat="1" applyFont="1" applyBorder="1" applyAlignment="1" applyProtection="1">
      <alignment horizontal="center" shrinkToFit="1"/>
      <protection locked="0"/>
    </xf>
    <xf numFmtId="0" fontId="13" fillId="0" borderId="66" xfId="0" applyFont="1" applyBorder="1" applyAlignment="1" applyProtection="1">
      <alignment horizontal="center" wrapText="1"/>
      <protection locked="0"/>
    </xf>
    <xf numFmtId="0" fontId="7" fillId="0" borderId="66" xfId="0" applyFont="1" applyBorder="1" applyAlignment="1" applyProtection="1">
      <alignment horizontal="center" wrapText="1"/>
      <protection locked="0"/>
    </xf>
    <xf numFmtId="0" fontId="44" fillId="0" borderId="31" xfId="0" applyFont="1" applyBorder="1" applyAlignment="1" applyProtection="1">
      <alignment horizontal="center" wrapText="1"/>
      <protection locked="0"/>
    </xf>
    <xf numFmtId="0" fontId="44" fillId="0" borderId="0" xfId="0" applyFont="1" applyAlignment="1" applyProtection="1">
      <alignment horizontal="center" wrapText="1"/>
      <protection locked="0"/>
    </xf>
    <xf numFmtId="0" fontId="44" fillId="0" borderId="16" xfId="0" applyFont="1" applyBorder="1" applyAlignment="1" applyProtection="1">
      <alignment horizontal="center" wrapText="1"/>
      <protection locked="0"/>
    </xf>
    <xf numFmtId="173" fontId="44" fillId="0" borderId="216" xfId="0" applyNumberFormat="1" applyFont="1" applyBorder="1" applyAlignment="1" applyProtection="1">
      <alignment horizontal="center" shrinkToFit="1"/>
      <protection locked="0" hidden="1"/>
    </xf>
    <xf numFmtId="173" fontId="44" fillId="0" borderId="217" xfId="0" applyNumberFormat="1" applyFont="1" applyBorder="1" applyAlignment="1" applyProtection="1">
      <alignment horizontal="center" shrinkToFit="1"/>
      <protection locked="0" hidden="1"/>
    </xf>
    <xf numFmtId="167" fontId="43" fillId="7" borderId="273" xfId="0" applyNumberFormat="1" applyFont="1" applyFill="1" applyBorder="1" applyAlignment="1">
      <alignment horizontal="center" wrapText="1"/>
    </xf>
    <xf numFmtId="167" fontId="43" fillId="7" borderId="274" xfId="0" applyNumberFormat="1" applyFont="1" applyFill="1" applyBorder="1" applyAlignment="1">
      <alignment horizontal="center" wrapText="1"/>
    </xf>
    <xf numFmtId="167" fontId="43" fillId="7" borderId="275" xfId="0" applyNumberFormat="1" applyFont="1" applyFill="1" applyBorder="1" applyAlignment="1">
      <alignment horizontal="center" wrapText="1"/>
    </xf>
    <xf numFmtId="0" fontId="44" fillId="0" borderId="216" xfId="0" applyFont="1" applyBorder="1" applyAlignment="1" applyProtection="1">
      <alignment horizontal="center" wrapText="1"/>
      <protection locked="0"/>
    </xf>
    <xf numFmtId="1" fontId="44" fillId="0" borderId="216" xfId="0" applyNumberFormat="1" applyFont="1" applyBorder="1" applyAlignment="1" applyProtection="1">
      <alignment horizontal="center" shrinkToFit="1"/>
      <protection locked="0" hidden="1"/>
    </xf>
    <xf numFmtId="0" fontId="1" fillId="0" borderId="137" xfId="0" applyFont="1" applyBorder="1" applyAlignment="1">
      <alignment horizontal="center" wrapText="1"/>
    </xf>
    <xf numFmtId="0" fontId="1" fillId="0" borderId="18" xfId="0" applyFont="1" applyBorder="1" applyAlignment="1" applyProtection="1">
      <alignment horizontal="left"/>
      <protection locked="0"/>
    </xf>
    <xf numFmtId="0" fontId="1" fillId="0" borderId="19" xfId="0" applyFont="1" applyBorder="1" applyAlignment="1" applyProtection="1">
      <alignment horizontal="left"/>
      <protection locked="0"/>
    </xf>
    <xf numFmtId="167" fontId="1" fillId="0" borderId="17" xfId="0" applyNumberFormat="1" applyFont="1" applyBorder="1" applyAlignment="1" applyProtection="1">
      <alignment horizontal="left"/>
      <protection locked="0"/>
    </xf>
    <xf numFmtId="167" fontId="1" fillId="0" borderId="18" xfId="0" applyNumberFormat="1" applyFont="1" applyBorder="1" applyAlignment="1" applyProtection="1">
      <alignment horizontal="left"/>
      <protection locked="0"/>
    </xf>
    <xf numFmtId="167" fontId="1" fillId="0" borderId="19" xfId="0" applyNumberFormat="1" applyFont="1" applyBorder="1" applyAlignment="1" applyProtection="1">
      <alignment horizontal="left"/>
      <protection locked="0"/>
    </xf>
    <xf numFmtId="3" fontId="1" fillId="0" borderId="66" xfId="0" applyNumberFormat="1" applyFont="1" applyBorder="1" applyAlignment="1" applyProtection="1">
      <alignment horizontal="center" shrinkToFit="1"/>
      <protection locked="0" hidden="1"/>
    </xf>
    <xf numFmtId="3" fontId="1" fillId="0" borderId="69" xfId="0" applyNumberFormat="1" applyFont="1" applyBorder="1" applyAlignment="1" applyProtection="1">
      <alignment horizontal="center" shrinkToFit="1"/>
      <protection locked="0" hidden="1"/>
    </xf>
    <xf numFmtId="3" fontId="1" fillId="0" borderId="67" xfId="0" applyNumberFormat="1" applyFont="1" applyBorder="1" applyAlignment="1" applyProtection="1">
      <alignment horizontal="center" shrinkToFit="1"/>
      <protection locked="0" hidden="1"/>
    </xf>
    <xf numFmtId="3" fontId="1" fillId="0" borderId="288" xfId="0" applyNumberFormat="1" applyFont="1" applyBorder="1" applyAlignment="1" applyProtection="1">
      <alignment horizontal="center" shrinkToFit="1"/>
      <protection locked="0" hidden="1"/>
    </xf>
    <xf numFmtId="3" fontId="1" fillId="0" borderId="289" xfId="0" applyNumberFormat="1" applyFont="1" applyBorder="1" applyAlignment="1" applyProtection="1">
      <alignment horizontal="center" shrinkToFit="1"/>
      <protection locked="0" hidden="1"/>
    </xf>
    <xf numFmtId="3" fontId="1" fillId="0" borderId="290" xfId="0" applyNumberFormat="1" applyFont="1" applyBorder="1" applyAlignment="1" applyProtection="1">
      <alignment horizontal="center" shrinkToFit="1"/>
      <protection locked="0" hidden="1"/>
    </xf>
    <xf numFmtId="184" fontId="1" fillId="7" borderId="82" xfId="0" applyNumberFormat="1" applyFont="1" applyFill="1" applyBorder="1" applyAlignment="1">
      <alignment horizontal="center"/>
    </xf>
    <xf numFmtId="184" fontId="1" fillId="7" borderId="88" xfId="0" applyNumberFormat="1" applyFont="1" applyFill="1" applyBorder="1" applyAlignment="1">
      <alignment horizontal="center"/>
    </xf>
    <xf numFmtId="184" fontId="1" fillId="7" borderId="287" xfId="0" applyNumberFormat="1" applyFont="1" applyFill="1" applyBorder="1" applyAlignment="1">
      <alignment horizontal="center"/>
    </xf>
    <xf numFmtId="184" fontId="1" fillId="7" borderId="31" xfId="0" applyNumberFormat="1" applyFont="1" applyFill="1" applyBorder="1" applyAlignment="1">
      <alignment horizontal="center"/>
    </xf>
    <xf numFmtId="184" fontId="1" fillId="7" borderId="0" xfId="0" applyNumberFormat="1" applyFont="1" applyFill="1" applyAlignment="1">
      <alignment horizontal="center"/>
    </xf>
    <xf numFmtId="184" fontId="1" fillId="7" borderId="249" xfId="0" applyNumberFormat="1" applyFont="1" applyFill="1" applyBorder="1" applyAlignment="1">
      <alignment horizontal="center"/>
    </xf>
    <xf numFmtId="184" fontId="1" fillId="7" borderId="28" xfId="0" applyNumberFormat="1" applyFont="1" applyFill="1" applyBorder="1" applyAlignment="1">
      <alignment horizontal="center"/>
    </xf>
    <xf numFmtId="184" fontId="1" fillId="7" borderId="29" xfId="0" applyNumberFormat="1" applyFont="1" applyFill="1" applyBorder="1" applyAlignment="1">
      <alignment horizontal="center"/>
    </xf>
    <xf numFmtId="184" fontId="1" fillId="7" borderId="285" xfId="0" applyNumberFormat="1" applyFont="1" applyFill="1" applyBorder="1" applyAlignment="1">
      <alignment horizontal="center"/>
    </xf>
    <xf numFmtId="184" fontId="1" fillId="7" borderId="66" xfId="0" applyNumberFormat="1" applyFont="1" applyFill="1" applyBorder="1" applyAlignment="1">
      <alignment horizontal="center"/>
    </xf>
    <xf numFmtId="184" fontId="1" fillId="7" borderId="69" xfId="0" applyNumberFormat="1" applyFont="1" applyFill="1" applyBorder="1" applyAlignment="1">
      <alignment horizontal="center"/>
    </xf>
    <xf numFmtId="184" fontId="1" fillId="7" borderId="286" xfId="0" applyNumberFormat="1" applyFont="1" applyFill="1" applyBorder="1" applyAlignment="1">
      <alignment horizontal="center"/>
    </xf>
    <xf numFmtId="184" fontId="1" fillId="7" borderId="288" xfId="0" applyNumberFormat="1" applyFont="1" applyFill="1" applyBorder="1" applyAlignment="1">
      <alignment horizontal="center"/>
    </xf>
    <xf numFmtId="184" fontId="1" fillId="7" borderId="289" xfId="0" applyNumberFormat="1" applyFont="1" applyFill="1" applyBorder="1" applyAlignment="1">
      <alignment horizontal="center"/>
    </xf>
    <xf numFmtId="184" fontId="1" fillId="7" borderId="291" xfId="0" applyNumberFormat="1" applyFont="1" applyFill="1" applyBorder="1" applyAlignment="1">
      <alignment horizontal="center"/>
    </xf>
    <xf numFmtId="173" fontId="1" fillId="0" borderId="14" xfId="0" applyNumberFormat="1" applyFont="1" applyBorder="1" applyAlignment="1" applyProtection="1">
      <alignment horizontal="center" shrinkToFit="1"/>
      <protection locked="0" hidden="1"/>
    </xf>
    <xf numFmtId="3" fontId="1" fillId="0" borderId="82" xfId="0" applyNumberFormat="1" applyFont="1" applyBorder="1" applyAlignment="1" applyProtection="1">
      <alignment horizontal="center" shrinkToFit="1"/>
      <protection locked="0" hidden="1"/>
    </xf>
    <xf numFmtId="3" fontId="1" fillId="0" borderId="88" xfId="0" applyNumberFormat="1" applyFont="1" applyBorder="1" applyAlignment="1" applyProtection="1">
      <alignment horizontal="center" shrinkToFit="1"/>
      <protection locked="0" hidden="1"/>
    </xf>
    <xf numFmtId="3" fontId="1" fillId="0" borderId="47" xfId="0" applyNumberFormat="1" applyFont="1" applyBorder="1" applyAlignment="1" applyProtection="1">
      <alignment horizontal="center" shrinkToFit="1"/>
      <protection locked="0" hidden="1"/>
    </xf>
    <xf numFmtId="0" fontId="0" fillId="0" borderId="31" xfId="0" quotePrefix="1" applyBorder="1" applyAlignment="1">
      <alignment horizontal="center"/>
    </xf>
    <xf numFmtId="0" fontId="173" fillId="45" borderId="277" xfId="0" applyFont="1" applyFill="1" applyBorder="1" applyAlignment="1">
      <alignment horizontal="center" vertical="center"/>
    </xf>
    <xf numFmtId="0" fontId="173" fillId="45" borderId="0" xfId="0" applyFont="1" applyFill="1" applyAlignment="1">
      <alignment horizontal="center" vertical="center"/>
    </xf>
    <xf numFmtId="0" fontId="1" fillId="25" borderId="0" xfId="0" applyFont="1" applyFill="1" applyAlignment="1">
      <alignment horizontal="center" wrapText="1"/>
    </xf>
    <xf numFmtId="0" fontId="44" fillId="25" borderId="12" xfId="0" applyFont="1" applyFill="1" applyBorder="1" applyAlignment="1">
      <alignment horizontal="center" wrapText="1"/>
    </xf>
    <xf numFmtId="172" fontId="44" fillId="7" borderId="32" xfId="0" applyNumberFormat="1" applyFont="1" applyFill="1" applyBorder="1" applyAlignment="1">
      <alignment horizontal="center" shrinkToFit="1"/>
    </xf>
    <xf numFmtId="172" fontId="44" fillId="7" borderId="15" xfId="0" applyNumberFormat="1" applyFont="1" applyFill="1" applyBorder="1" applyAlignment="1">
      <alignment horizontal="center" shrinkToFit="1"/>
    </xf>
    <xf numFmtId="167" fontId="44" fillId="7" borderId="32" xfId="0" applyNumberFormat="1" applyFont="1" applyFill="1" applyBorder="1" applyAlignment="1">
      <alignment horizontal="center" shrinkToFit="1"/>
    </xf>
    <xf numFmtId="167" fontId="44" fillId="7" borderId="15" xfId="0" applyNumberFormat="1" applyFont="1" applyFill="1" applyBorder="1" applyAlignment="1">
      <alignment horizontal="center" shrinkToFit="1"/>
    </xf>
    <xf numFmtId="176" fontId="44" fillId="7" borderId="32" xfId="0" applyNumberFormat="1" applyFont="1" applyFill="1" applyBorder="1" applyAlignment="1">
      <alignment horizontal="center" shrinkToFit="1"/>
    </xf>
    <xf numFmtId="176" fontId="44" fillId="7" borderId="15" xfId="0" applyNumberFormat="1" applyFont="1" applyFill="1" applyBorder="1" applyAlignment="1">
      <alignment horizontal="center" shrinkToFit="1"/>
    </xf>
    <xf numFmtId="3" fontId="44" fillId="7" borderId="32" xfId="0" applyNumberFormat="1" applyFont="1" applyFill="1" applyBorder="1" applyAlignment="1">
      <alignment horizontal="center" shrinkToFit="1"/>
    </xf>
    <xf numFmtId="3" fontId="44" fillId="7" borderId="15" xfId="0" applyNumberFormat="1" applyFont="1" applyFill="1" applyBorder="1" applyAlignment="1">
      <alignment horizontal="center" shrinkToFit="1"/>
    </xf>
    <xf numFmtId="3" fontId="44" fillId="7" borderId="32" xfId="0" applyNumberFormat="1" applyFont="1" applyFill="1" applyBorder="1" applyAlignment="1">
      <alignment horizontal="center" wrapText="1" shrinkToFit="1"/>
    </xf>
    <xf numFmtId="3" fontId="44" fillId="7" borderId="15" xfId="0" applyNumberFormat="1" applyFont="1" applyFill="1" applyBorder="1" applyAlignment="1">
      <alignment horizontal="center" wrapText="1" shrinkToFit="1"/>
    </xf>
    <xf numFmtId="0" fontId="44" fillId="25" borderId="0" xfId="0" applyFont="1" applyFill="1" applyAlignment="1">
      <alignment horizontal="center" wrapText="1"/>
    </xf>
    <xf numFmtId="0" fontId="56" fillId="0" borderId="0" xfId="0" applyFont="1" applyAlignment="1">
      <alignment horizontal="center" wrapText="1"/>
    </xf>
    <xf numFmtId="0" fontId="56" fillId="0" borderId="12" xfId="0" applyFont="1" applyBorder="1" applyAlignment="1">
      <alignment horizontal="center" wrapText="1"/>
    </xf>
    <xf numFmtId="0" fontId="0" fillId="46" borderId="0" xfId="0" applyFill="1" applyAlignment="1">
      <alignment horizontal="center"/>
    </xf>
    <xf numFmtId="0" fontId="1" fillId="0" borderId="264" xfId="0" applyFont="1" applyBorder="1" applyAlignment="1" applyProtection="1">
      <alignment horizontal="center" wrapText="1"/>
      <protection locked="0" hidden="1"/>
    </xf>
    <xf numFmtId="0" fontId="1" fillId="0" borderId="265" xfId="0" applyFont="1" applyBorder="1" applyAlignment="1" applyProtection="1">
      <alignment horizontal="center" wrapText="1"/>
      <protection locked="0" hidden="1"/>
    </xf>
    <xf numFmtId="0" fontId="1" fillId="0" borderId="266" xfId="0" applyFont="1" applyBorder="1" applyAlignment="1" applyProtection="1">
      <alignment horizontal="center" wrapText="1"/>
      <protection locked="0" hidden="1"/>
    </xf>
    <xf numFmtId="0" fontId="56" fillId="0" borderId="14" xfId="0" applyFont="1" applyBorder="1" applyAlignment="1" applyProtection="1">
      <alignment horizontal="center" wrapText="1"/>
      <protection locked="0"/>
    </xf>
    <xf numFmtId="0" fontId="56" fillId="0" borderId="266" xfId="0" applyFont="1" applyBorder="1" applyAlignment="1" applyProtection="1">
      <alignment horizontal="center" wrapText="1"/>
      <protection locked="0"/>
    </xf>
    <xf numFmtId="3" fontId="1" fillId="0" borderId="15" xfId="0" applyNumberFormat="1" applyFont="1" applyBorder="1" applyAlignment="1" applyProtection="1">
      <alignment horizontal="center" wrapText="1"/>
      <protection locked="0" hidden="1"/>
    </xf>
    <xf numFmtId="3" fontId="1" fillId="0" borderId="266" xfId="0" applyNumberFormat="1" applyFont="1" applyBorder="1" applyAlignment="1" applyProtection="1">
      <alignment horizontal="center" wrapText="1"/>
      <protection locked="0" hidden="1"/>
    </xf>
    <xf numFmtId="0" fontId="1" fillId="0" borderId="263" xfId="0" applyFont="1" applyBorder="1" applyAlignment="1" applyProtection="1">
      <alignment horizontal="center" wrapText="1"/>
      <protection locked="0" hidden="1"/>
    </xf>
    <xf numFmtId="0" fontId="56" fillId="0" borderId="15" xfId="0" applyFont="1" applyBorder="1" applyAlignment="1" applyProtection="1">
      <alignment horizontal="center" wrapText="1"/>
      <protection locked="0"/>
    </xf>
    <xf numFmtId="1" fontId="1" fillId="0" borderId="31" xfId="0" applyNumberFormat="1" applyFont="1" applyBorder="1" applyAlignment="1" applyProtection="1">
      <alignment horizontal="center" shrinkToFit="1"/>
      <protection locked="0" hidden="1"/>
    </xf>
    <xf numFmtId="1" fontId="1" fillId="0" borderId="0" xfId="0" applyNumberFormat="1" applyFont="1" applyAlignment="1" applyProtection="1">
      <alignment horizontal="center" shrinkToFit="1"/>
      <protection locked="0" hidden="1"/>
    </xf>
    <xf numFmtId="1" fontId="1" fillId="0" borderId="16" xfId="0" applyNumberFormat="1" applyFont="1" applyBorder="1" applyAlignment="1" applyProtection="1">
      <alignment horizontal="center" shrinkToFit="1"/>
      <protection locked="0" hidden="1"/>
    </xf>
    <xf numFmtId="1" fontId="1" fillId="0" borderId="294" xfId="0" applyNumberFormat="1" applyFont="1" applyBorder="1" applyAlignment="1" applyProtection="1">
      <alignment horizontal="center" shrinkToFit="1"/>
      <protection locked="0" hidden="1"/>
    </xf>
    <xf numFmtId="1" fontId="1" fillId="0" borderId="295" xfId="0" applyNumberFormat="1" applyFont="1" applyBorder="1" applyAlignment="1" applyProtection="1">
      <alignment horizontal="center" shrinkToFit="1"/>
      <protection locked="0" hidden="1"/>
    </xf>
    <xf numFmtId="1" fontId="1" fillId="0" borderId="296" xfId="0" applyNumberFormat="1" applyFont="1" applyBorder="1" applyAlignment="1" applyProtection="1">
      <alignment horizontal="center" shrinkToFit="1"/>
      <protection locked="0" hidden="1"/>
    </xf>
    <xf numFmtId="1" fontId="1" fillId="0" borderId="29" xfId="0" applyNumberFormat="1" applyFont="1" applyBorder="1" applyAlignment="1" applyProtection="1">
      <alignment horizontal="center" shrinkToFit="1"/>
      <protection locked="0" hidden="1"/>
    </xf>
    <xf numFmtId="184" fontId="1" fillId="7" borderId="298" xfId="0" applyNumberFormat="1" applyFont="1" applyFill="1" applyBorder="1" applyAlignment="1">
      <alignment horizontal="center"/>
    </xf>
    <xf numFmtId="173" fontId="1" fillId="0" borderId="31" xfId="0" applyNumberFormat="1" applyFont="1" applyBorder="1" applyAlignment="1" applyProtection="1">
      <alignment horizontal="center" shrinkToFit="1"/>
      <protection locked="0" hidden="1"/>
    </xf>
    <xf numFmtId="173" fontId="1" fillId="0" borderId="0" xfId="0" applyNumberFormat="1" applyFont="1" applyAlignment="1" applyProtection="1">
      <alignment horizontal="center" shrinkToFit="1"/>
      <protection locked="0" hidden="1"/>
    </xf>
    <xf numFmtId="173" fontId="1" fillId="0" borderId="16" xfId="0" applyNumberFormat="1" applyFont="1" applyBorder="1" applyAlignment="1" applyProtection="1">
      <alignment horizontal="center" shrinkToFit="1"/>
      <protection locked="0" hidden="1"/>
    </xf>
    <xf numFmtId="173" fontId="1" fillId="0" borderId="29" xfId="0" applyNumberFormat="1" applyFont="1" applyBorder="1" applyAlignment="1" applyProtection="1">
      <alignment horizontal="center" shrinkToFit="1"/>
      <protection locked="0" hidden="1"/>
    </xf>
    <xf numFmtId="0" fontId="1" fillId="0" borderId="293" xfId="0" applyFont="1" applyBorder="1" applyAlignment="1" applyProtection="1">
      <alignment horizontal="center" wrapText="1"/>
      <protection locked="0" hidden="1"/>
    </xf>
    <xf numFmtId="0" fontId="1" fillId="0" borderId="93" xfId="0" applyFont="1" applyBorder="1" applyAlignment="1" applyProtection="1">
      <alignment horizontal="center" wrapText="1"/>
      <protection locked="0" hidden="1"/>
    </xf>
    <xf numFmtId="0" fontId="1" fillId="0" borderId="259" xfId="0" applyFont="1" applyBorder="1" applyAlignment="1" applyProtection="1">
      <alignment horizontal="center" wrapText="1"/>
      <protection hidden="1"/>
    </xf>
    <xf numFmtId="0" fontId="44" fillId="0" borderId="259" xfId="0" applyFont="1" applyBorder="1" applyAlignment="1" applyProtection="1">
      <alignment horizontal="center" wrapText="1"/>
      <protection hidden="1"/>
    </xf>
    <xf numFmtId="0" fontId="30" fillId="0" borderId="259" xfId="0" applyFont="1" applyBorder="1" applyAlignment="1" applyProtection="1">
      <alignment horizontal="center" wrapText="1"/>
      <protection hidden="1"/>
    </xf>
    <xf numFmtId="0" fontId="30" fillId="0" borderId="12" xfId="0" applyFont="1" applyBorder="1" applyAlignment="1" applyProtection="1">
      <alignment horizontal="center" wrapText="1"/>
      <protection hidden="1"/>
    </xf>
    <xf numFmtId="0" fontId="173" fillId="46" borderId="251" xfId="0" applyFont="1" applyFill="1" applyBorder="1" applyAlignment="1">
      <alignment horizontal="center" vertical="center"/>
    </xf>
    <xf numFmtId="0" fontId="173" fillId="46" borderId="0" xfId="0" applyFont="1" applyFill="1" applyAlignment="1">
      <alignment horizontal="center" vertical="center"/>
    </xf>
    <xf numFmtId="0" fontId="43" fillId="7" borderId="17" xfId="0" applyFont="1" applyFill="1" applyBorder="1" applyAlignment="1">
      <alignment horizontal="left"/>
    </xf>
    <xf numFmtId="0" fontId="43" fillId="7" borderId="18" xfId="0" applyFont="1" applyFill="1" applyBorder="1" applyAlignment="1">
      <alignment horizontal="left"/>
    </xf>
    <xf numFmtId="0" fontId="43" fillId="7" borderId="19" xfId="0" applyFont="1" applyFill="1" applyBorder="1" applyAlignment="1">
      <alignment horizontal="left"/>
    </xf>
    <xf numFmtId="3" fontId="1" fillId="0" borderId="17" xfId="0" applyNumberFormat="1" applyFont="1" applyBorder="1" applyAlignment="1" applyProtection="1">
      <alignment horizontal="left"/>
      <protection locked="0"/>
    </xf>
    <xf numFmtId="3" fontId="1" fillId="0" borderId="18" xfId="0" applyNumberFormat="1" applyFont="1" applyBorder="1" applyAlignment="1" applyProtection="1">
      <alignment horizontal="left"/>
      <protection locked="0"/>
    </xf>
    <xf numFmtId="3" fontId="1" fillId="0" borderId="19" xfId="0" applyNumberFormat="1" applyFont="1" applyBorder="1" applyAlignment="1" applyProtection="1">
      <alignment horizontal="left"/>
      <protection locked="0"/>
    </xf>
    <xf numFmtId="0" fontId="1" fillId="46" borderId="0" xfId="0" applyFont="1" applyFill="1" applyAlignment="1">
      <alignment horizontal="center" wrapText="1"/>
    </xf>
    <xf numFmtId="0" fontId="1" fillId="46" borderId="271" xfId="0" applyFont="1" applyFill="1" applyBorder="1" applyAlignment="1">
      <alignment horizontal="center" wrapText="1"/>
    </xf>
    <xf numFmtId="0" fontId="1" fillId="45" borderId="247" xfId="0" applyFont="1" applyFill="1" applyBorder="1" applyAlignment="1">
      <alignment horizontal="center"/>
    </xf>
    <xf numFmtId="0" fontId="1" fillId="46" borderId="0" xfId="0" applyFont="1" applyFill="1" applyAlignment="1">
      <alignment horizontal="center"/>
    </xf>
    <xf numFmtId="171" fontId="1" fillId="37" borderId="243" xfId="0" applyNumberFormat="1" applyFont="1" applyFill="1" applyBorder="1" applyAlignment="1">
      <alignment horizontal="center"/>
    </xf>
    <xf numFmtId="171" fontId="1" fillId="37" borderId="244" xfId="0" applyNumberFormat="1" applyFont="1" applyFill="1" applyBorder="1" applyAlignment="1">
      <alignment horizontal="center"/>
    </xf>
    <xf numFmtId="171" fontId="1" fillId="37" borderId="245" xfId="0" applyNumberFormat="1" applyFont="1" applyFill="1" applyBorder="1" applyAlignment="1">
      <alignment horizontal="center"/>
    </xf>
    <xf numFmtId="171" fontId="1" fillId="37" borderId="246" xfId="0" applyNumberFormat="1" applyFont="1" applyFill="1" applyBorder="1" applyAlignment="1">
      <alignment horizontal="center"/>
    </xf>
    <xf numFmtId="171" fontId="1" fillId="37" borderId="247" xfId="0" applyNumberFormat="1" applyFont="1" applyFill="1" applyBorder="1" applyAlignment="1">
      <alignment horizontal="center"/>
    </xf>
    <xf numFmtId="171" fontId="1" fillId="37" borderId="248" xfId="0" applyNumberFormat="1" applyFont="1" applyFill="1" applyBorder="1" applyAlignment="1">
      <alignment horizontal="center"/>
    </xf>
    <xf numFmtId="0" fontId="1" fillId="45" borderId="0" xfId="0" applyFont="1" applyFill="1" applyAlignment="1">
      <alignment horizontal="center" wrapText="1"/>
    </xf>
    <xf numFmtId="0" fontId="1" fillId="45" borderId="247" xfId="0" applyFont="1" applyFill="1" applyBorder="1" applyAlignment="1">
      <alignment horizontal="center" wrapText="1"/>
    </xf>
    <xf numFmtId="167" fontId="1" fillId="37" borderId="243" xfId="0" applyNumberFormat="1" applyFont="1" applyFill="1" applyBorder="1" applyAlignment="1">
      <alignment horizontal="center" wrapText="1"/>
    </xf>
    <xf numFmtId="167" fontId="1" fillId="37" borderId="244" xfId="0" applyNumberFormat="1" applyFont="1" applyFill="1" applyBorder="1" applyAlignment="1">
      <alignment horizontal="center" wrapText="1"/>
    </xf>
    <xf numFmtId="167" fontId="1" fillId="37" borderId="245" xfId="0" applyNumberFormat="1" applyFont="1" applyFill="1" applyBorder="1" applyAlignment="1">
      <alignment horizontal="center" wrapText="1"/>
    </xf>
    <xf numFmtId="167" fontId="1" fillId="37" borderId="246" xfId="0" applyNumberFormat="1" applyFont="1" applyFill="1" applyBorder="1" applyAlignment="1">
      <alignment horizontal="center" wrapText="1"/>
    </xf>
    <xf numFmtId="167" fontId="1" fillId="37" borderId="247" xfId="0" applyNumberFormat="1" applyFont="1" applyFill="1" applyBorder="1" applyAlignment="1">
      <alignment horizontal="center" wrapText="1"/>
    </xf>
    <xf numFmtId="167" fontId="1" fillId="37" borderId="248" xfId="0" applyNumberFormat="1" applyFont="1" applyFill="1" applyBorder="1" applyAlignment="1">
      <alignment horizontal="center" wrapText="1"/>
    </xf>
    <xf numFmtId="184" fontId="1" fillId="37" borderId="243" xfId="0" applyNumberFormat="1" applyFont="1" applyFill="1" applyBorder="1" applyAlignment="1">
      <alignment horizontal="center"/>
    </xf>
    <xf numFmtId="184" fontId="1" fillId="37" borderId="244" xfId="0" applyNumberFormat="1" applyFont="1" applyFill="1" applyBorder="1" applyAlignment="1">
      <alignment horizontal="center"/>
    </xf>
    <xf numFmtId="184" fontId="1" fillId="37" borderId="245" xfId="0" applyNumberFormat="1" applyFont="1" applyFill="1" applyBorder="1" applyAlignment="1">
      <alignment horizontal="center"/>
    </xf>
    <xf numFmtId="184" fontId="1" fillId="37" borderId="246" xfId="0" applyNumberFormat="1" applyFont="1" applyFill="1" applyBorder="1" applyAlignment="1">
      <alignment horizontal="center"/>
    </xf>
    <xf numFmtId="184" fontId="1" fillId="37" borderId="247" xfId="0" applyNumberFormat="1" applyFont="1" applyFill="1" applyBorder="1" applyAlignment="1">
      <alignment horizontal="center"/>
    </xf>
    <xf numFmtId="184" fontId="1" fillId="37" borderId="248" xfId="0" applyNumberFormat="1" applyFont="1" applyFill="1" applyBorder="1" applyAlignment="1">
      <alignment horizontal="center"/>
    </xf>
    <xf numFmtId="0" fontId="1" fillId="0" borderId="240" xfId="0" applyFont="1" applyBorder="1" applyAlignment="1" applyProtection="1">
      <alignment horizontal="center" wrapText="1"/>
      <protection locked="0" hidden="1"/>
    </xf>
    <xf numFmtId="0" fontId="1" fillId="0" borderId="241" xfId="0" applyFont="1" applyBorder="1" applyAlignment="1" applyProtection="1">
      <alignment horizontal="center" wrapText="1"/>
      <protection locked="0" hidden="1"/>
    </xf>
    <xf numFmtId="0" fontId="1" fillId="0" borderId="242" xfId="0" applyFont="1" applyBorder="1" applyAlignment="1" applyProtection="1">
      <alignment horizontal="center" wrapText="1"/>
      <protection locked="0" hidden="1"/>
    </xf>
    <xf numFmtId="0" fontId="56" fillId="0" borderId="242" xfId="0" applyFont="1" applyBorder="1" applyAlignment="1" applyProtection="1">
      <alignment horizontal="center" wrapText="1"/>
      <protection locked="0"/>
    </xf>
    <xf numFmtId="3" fontId="1" fillId="0" borderId="242" xfId="0" applyNumberFormat="1" applyFont="1" applyBorder="1" applyAlignment="1" applyProtection="1">
      <alignment horizontal="center" wrapText="1"/>
      <protection locked="0" hidden="1"/>
    </xf>
    <xf numFmtId="0" fontId="0" fillId="45" borderId="249" xfId="0" applyFill="1" applyBorder="1" applyAlignment="1">
      <alignment horizontal="center"/>
    </xf>
    <xf numFmtId="1" fontId="1" fillId="0" borderId="242" xfId="0" applyNumberFormat="1" applyFont="1" applyBorder="1" applyAlignment="1" applyProtection="1">
      <alignment horizontal="center" shrinkToFit="1"/>
      <protection locked="0" hidden="1"/>
    </xf>
    <xf numFmtId="173" fontId="1" fillId="0" borderId="242" xfId="0" applyNumberFormat="1" applyFont="1" applyBorder="1" applyAlignment="1" applyProtection="1">
      <alignment horizontal="center" shrinkToFit="1"/>
      <protection locked="0" hidden="1"/>
    </xf>
    <xf numFmtId="0" fontId="1" fillId="0" borderId="258" xfId="0" applyFont="1" applyBorder="1" applyAlignment="1" applyProtection="1">
      <alignment horizontal="center" wrapText="1"/>
      <protection hidden="1"/>
    </xf>
    <xf numFmtId="0" fontId="44" fillId="0" borderId="261" xfId="0" applyFont="1" applyBorder="1" applyAlignment="1" applyProtection="1">
      <alignment horizontal="center" wrapText="1"/>
      <protection hidden="1"/>
    </xf>
    <xf numFmtId="184" fontId="1" fillId="37" borderId="267" xfId="0" applyNumberFormat="1" applyFont="1" applyFill="1" applyBorder="1" applyAlignment="1">
      <alignment horizontal="center"/>
    </xf>
    <xf numFmtId="184" fontId="1" fillId="37" borderId="268" xfId="0" applyNumberFormat="1" applyFont="1" applyFill="1" applyBorder="1" applyAlignment="1">
      <alignment horizontal="center"/>
    </xf>
    <xf numFmtId="184" fontId="1" fillId="37" borderId="269" xfId="0" applyNumberFormat="1" applyFont="1" applyFill="1" applyBorder="1" applyAlignment="1">
      <alignment horizontal="center"/>
    </xf>
    <xf numFmtId="184" fontId="1" fillId="37" borderId="270" xfId="0" applyNumberFormat="1" applyFont="1" applyFill="1" applyBorder="1" applyAlignment="1">
      <alignment horizontal="center"/>
    </xf>
    <xf numFmtId="184" fontId="1" fillId="37" borderId="271" xfId="0" applyNumberFormat="1" applyFont="1" applyFill="1" applyBorder="1" applyAlignment="1">
      <alignment horizontal="center"/>
    </xf>
    <xf numFmtId="184" fontId="1" fillId="37" borderId="272" xfId="0" applyNumberFormat="1" applyFont="1" applyFill="1" applyBorder="1" applyAlignment="1">
      <alignment horizontal="center"/>
    </xf>
    <xf numFmtId="3" fontId="1" fillId="0" borderId="31" xfId="0" applyNumberFormat="1" applyFont="1" applyBorder="1" applyAlignment="1" applyProtection="1">
      <alignment horizontal="center" shrinkToFit="1"/>
      <protection locked="0" hidden="1"/>
    </xf>
    <xf numFmtId="3" fontId="1" fillId="0" borderId="0" xfId="0" applyNumberFormat="1" applyFont="1" applyAlignment="1" applyProtection="1">
      <alignment horizontal="center" shrinkToFit="1"/>
      <protection locked="0" hidden="1"/>
    </xf>
    <xf numFmtId="3" fontId="1" fillId="0" borderId="16" xfId="0" applyNumberFormat="1" applyFont="1" applyBorder="1" applyAlignment="1" applyProtection="1">
      <alignment horizontal="center" shrinkToFit="1"/>
      <protection locked="0" hidden="1"/>
    </xf>
    <xf numFmtId="3" fontId="1" fillId="0" borderId="28" xfId="0" applyNumberFormat="1" applyFont="1" applyBorder="1" applyAlignment="1" applyProtection="1">
      <alignment horizontal="center" shrinkToFit="1"/>
      <protection locked="0" hidden="1"/>
    </xf>
    <xf numFmtId="3" fontId="1" fillId="0" borderId="29" xfId="0" applyNumberFormat="1" applyFont="1" applyBorder="1" applyAlignment="1" applyProtection="1">
      <alignment horizontal="center" shrinkToFit="1"/>
      <protection locked="0" hidden="1"/>
    </xf>
    <xf numFmtId="3" fontId="1" fillId="0" borderId="30" xfId="0" applyNumberFormat="1" applyFont="1" applyBorder="1" applyAlignment="1" applyProtection="1">
      <alignment horizontal="center" shrinkToFit="1"/>
      <protection locked="0" hidden="1"/>
    </xf>
    <xf numFmtId="172" fontId="46" fillId="0" borderId="32" xfId="0" applyNumberFormat="1" applyFont="1" applyBorder="1" applyAlignment="1">
      <alignment horizontal="center" wrapText="1" shrinkToFit="1"/>
    </xf>
    <xf numFmtId="172" fontId="46" fillId="0" borderId="15" xfId="0" applyNumberFormat="1" applyFont="1" applyBorder="1" applyAlignment="1">
      <alignment horizontal="center" wrapText="1" shrinkToFit="1"/>
    </xf>
    <xf numFmtId="0" fontId="1" fillId="0" borderId="235" xfId="0" applyFont="1" applyBorder="1" applyAlignment="1">
      <alignment horizontal="center" wrapText="1"/>
    </xf>
    <xf numFmtId="0" fontId="1" fillId="0" borderId="236" xfId="0" applyFont="1" applyBorder="1" applyAlignment="1">
      <alignment horizontal="center" wrapText="1"/>
    </xf>
    <xf numFmtId="0" fontId="1" fillId="0" borderId="238" xfId="0" applyFont="1" applyBorder="1" applyAlignment="1">
      <alignment horizontal="center" wrapText="1"/>
    </xf>
    <xf numFmtId="0" fontId="1" fillId="0" borderId="235" xfId="0" applyFont="1" applyBorder="1" applyAlignment="1" applyProtection="1">
      <alignment horizontal="center" wrapText="1"/>
      <protection hidden="1"/>
    </xf>
    <xf numFmtId="0" fontId="1" fillId="0" borderId="12" xfId="0" applyFont="1" applyBorder="1" applyAlignment="1" applyProtection="1">
      <alignment horizontal="center" wrapText="1"/>
      <protection hidden="1"/>
    </xf>
    <xf numFmtId="0" fontId="44" fillId="0" borderId="235" xfId="0" applyFont="1" applyBorder="1" applyAlignment="1" applyProtection="1">
      <alignment horizontal="center" wrapText="1"/>
      <protection hidden="1"/>
    </xf>
    <xf numFmtId="0" fontId="1" fillId="0" borderId="234" xfId="0" applyFont="1" applyBorder="1" applyAlignment="1" applyProtection="1">
      <alignment horizontal="center" wrapText="1"/>
      <protection hidden="1"/>
    </xf>
    <xf numFmtId="0" fontId="44" fillId="0" borderId="237" xfId="0" applyFont="1" applyBorder="1" applyAlignment="1" applyProtection="1">
      <alignment horizontal="center" wrapText="1"/>
      <protection hidden="1"/>
    </xf>
    <xf numFmtId="0" fontId="30" fillId="0" borderId="235" xfId="0" applyFont="1" applyBorder="1" applyAlignment="1" applyProtection="1">
      <alignment horizontal="center" wrapText="1"/>
      <protection hidden="1"/>
    </xf>
    <xf numFmtId="184" fontId="1" fillId="7" borderId="86" xfId="0" applyNumberFormat="1" applyFont="1" applyFill="1" applyBorder="1" applyAlignment="1">
      <alignment horizontal="center"/>
    </xf>
    <xf numFmtId="184" fontId="1" fillId="7" borderId="10" xfId="0" applyNumberFormat="1" applyFont="1" applyFill="1" applyBorder="1" applyAlignment="1">
      <alignment horizontal="center"/>
    </xf>
    <xf numFmtId="184" fontId="1" fillId="7" borderId="284" xfId="0" applyNumberFormat="1" applyFont="1" applyFill="1" applyBorder="1" applyAlignment="1">
      <alignment horizontal="center"/>
    </xf>
    <xf numFmtId="3" fontId="1" fillId="0" borderId="86" xfId="0" applyNumberFormat="1" applyFont="1" applyBorder="1" applyAlignment="1" applyProtection="1">
      <alignment horizontal="center" shrinkToFit="1"/>
      <protection locked="0" hidden="1"/>
    </xf>
    <xf numFmtId="3" fontId="1" fillId="0" borderId="10" xfId="0" applyNumberFormat="1" applyFont="1" applyBorder="1" applyAlignment="1" applyProtection="1">
      <alignment horizontal="center" shrinkToFit="1"/>
      <protection locked="0" hidden="1"/>
    </xf>
    <xf numFmtId="3" fontId="1" fillId="0" borderId="87" xfId="0" applyNumberFormat="1" applyFont="1" applyBorder="1" applyAlignment="1" applyProtection="1">
      <alignment horizontal="center" shrinkToFit="1"/>
      <protection locked="0" hidden="1"/>
    </xf>
    <xf numFmtId="173" fontId="1" fillId="0" borderId="93" xfId="0" applyNumberFormat="1" applyFont="1" applyBorder="1" applyAlignment="1" applyProtection="1">
      <alignment horizontal="center" shrinkToFit="1"/>
      <protection locked="0" hidden="1"/>
    </xf>
    <xf numFmtId="1" fontId="1" fillId="0" borderId="93" xfId="0" applyNumberFormat="1" applyFont="1" applyBorder="1" applyAlignment="1" applyProtection="1">
      <alignment horizontal="center" shrinkToFit="1"/>
      <protection locked="0" hidden="1"/>
    </xf>
    <xf numFmtId="167" fontId="159" fillId="41" borderId="0" xfId="0" applyNumberFormat="1" applyFont="1" applyFill="1" applyAlignment="1">
      <alignment horizontal="center" vertical="center"/>
    </xf>
    <xf numFmtId="171" fontId="159" fillId="41" borderId="0" xfId="0" applyNumberFormat="1" applyFont="1" applyFill="1" applyAlignment="1">
      <alignment horizontal="center" vertical="center"/>
    </xf>
    <xf numFmtId="167" fontId="159" fillId="41" borderId="0" xfId="0" applyNumberFormat="1" applyFont="1" applyFill="1" applyAlignment="1">
      <alignment horizontal="center" vertical="center" wrapText="1"/>
    </xf>
    <xf numFmtId="0" fontId="78" fillId="0" borderId="0" xfId="0" applyFont="1" applyAlignment="1">
      <alignment horizontal="right" wrapText="1"/>
    </xf>
    <xf numFmtId="172" fontId="1" fillId="0" borderId="32" xfId="0" applyNumberFormat="1" applyFont="1" applyBorder="1" applyAlignment="1">
      <alignment horizontal="center" shrinkToFit="1"/>
    </xf>
    <xf numFmtId="0" fontId="1" fillId="0" borderId="239" xfId="0" applyFont="1" applyBorder="1" applyAlignment="1" applyProtection="1">
      <alignment horizontal="center" wrapText="1"/>
      <protection locked="0" hidden="1"/>
    </xf>
    <xf numFmtId="0" fontId="1" fillId="0" borderId="259" xfId="0" applyFont="1" applyBorder="1" applyAlignment="1">
      <alignment horizontal="center" wrapText="1"/>
    </xf>
    <xf numFmtId="0" fontId="1" fillId="0" borderId="260" xfId="0" applyFont="1" applyBorder="1" applyAlignment="1">
      <alignment horizontal="center" wrapText="1"/>
    </xf>
    <xf numFmtId="0" fontId="1" fillId="0" borderId="262" xfId="0" applyFont="1" applyBorder="1" applyAlignment="1">
      <alignment horizontal="center" wrapText="1"/>
    </xf>
    <xf numFmtId="184" fontId="1" fillId="7" borderId="182" xfId="0" applyNumberFormat="1" applyFont="1" applyFill="1" applyBorder="1" applyAlignment="1">
      <alignment horizontal="center"/>
    </xf>
    <xf numFmtId="184" fontId="1" fillId="7" borderId="183" xfId="0" applyNumberFormat="1" applyFont="1" applyFill="1" applyBorder="1" applyAlignment="1">
      <alignment horizontal="center"/>
    </xf>
    <xf numFmtId="184" fontId="1" fillId="7" borderId="297" xfId="0" applyNumberFormat="1" applyFont="1" applyFill="1" applyBorder="1" applyAlignment="1">
      <alignment horizontal="center"/>
    </xf>
    <xf numFmtId="3" fontId="1" fillId="0" borderId="182" xfId="0" applyNumberFormat="1" applyFont="1" applyBorder="1" applyAlignment="1" applyProtection="1">
      <alignment horizontal="center" shrinkToFit="1"/>
      <protection locked="0" hidden="1"/>
    </xf>
    <xf numFmtId="3" fontId="1" fillId="0" borderId="183" xfId="0" applyNumberFormat="1" applyFont="1" applyBorder="1" applyAlignment="1" applyProtection="1">
      <alignment horizontal="center" shrinkToFit="1"/>
      <protection locked="0" hidden="1"/>
    </xf>
    <xf numFmtId="3" fontId="1" fillId="0" borderId="184" xfId="0" applyNumberFormat="1" applyFont="1" applyBorder="1" applyAlignment="1" applyProtection="1">
      <alignment horizontal="center" shrinkToFit="1"/>
      <protection locked="0" hidden="1"/>
    </xf>
    <xf numFmtId="173" fontId="1" fillId="0" borderId="86" xfId="0" applyNumberFormat="1" applyFont="1" applyBorder="1" applyAlignment="1" applyProtection="1">
      <alignment horizontal="center" shrinkToFit="1"/>
      <protection locked="0" hidden="1"/>
    </xf>
    <xf numFmtId="173" fontId="1" fillId="0" borderId="10" xfId="0" applyNumberFormat="1" applyFont="1" applyBorder="1" applyAlignment="1" applyProtection="1">
      <alignment horizontal="center" shrinkToFit="1"/>
      <protection locked="0" hidden="1"/>
    </xf>
    <xf numFmtId="173" fontId="1" fillId="0" borderId="87" xfId="0" applyNumberFormat="1" applyFont="1" applyBorder="1" applyAlignment="1" applyProtection="1">
      <alignment horizontal="center" shrinkToFit="1"/>
      <protection locked="0" hidden="1"/>
    </xf>
    <xf numFmtId="1" fontId="1" fillId="0" borderId="10" xfId="0" applyNumberFormat="1" applyFont="1" applyBorder="1" applyAlignment="1" applyProtection="1">
      <alignment horizontal="center" shrinkToFit="1"/>
      <protection locked="0" hidden="1"/>
    </xf>
    <xf numFmtId="184" fontId="1" fillId="7" borderId="299" xfId="0" applyNumberFormat="1" applyFont="1" applyFill="1" applyBorder="1" applyAlignment="1">
      <alignment horizontal="center"/>
    </xf>
    <xf numFmtId="184" fontId="1" fillId="7" borderId="300" xfId="0" applyNumberFormat="1" applyFont="1" applyFill="1" applyBorder="1" applyAlignment="1">
      <alignment horizontal="center"/>
    </xf>
    <xf numFmtId="184" fontId="1" fillId="7" borderId="302" xfId="0" applyNumberFormat="1" applyFont="1" applyFill="1" applyBorder="1" applyAlignment="1">
      <alignment horizontal="center"/>
    </xf>
    <xf numFmtId="173" fontId="1" fillId="0" borderId="294" xfId="0" applyNumberFormat="1" applyFont="1" applyBorder="1" applyAlignment="1" applyProtection="1">
      <alignment horizontal="center" shrinkToFit="1"/>
      <protection locked="0" hidden="1"/>
    </xf>
    <xf numFmtId="173" fontId="1" fillId="0" borderId="295" xfId="0" applyNumberFormat="1" applyFont="1" applyBorder="1" applyAlignment="1" applyProtection="1">
      <alignment horizontal="center" shrinkToFit="1"/>
      <protection locked="0" hidden="1"/>
    </xf>
    <xf numFmtId="173" fontId="1" fillId="0" borderId="296" xfId="0" applyNumberFormat="1" applyFont="1" applyBorder="1" applyAlignment="1" applyProtection="1">
      <alignment horizontal="center" shrinkToFit="1"/>
      <protection locked="0" hidden="1"/>
    </xf>
    <xf numFmtId="3" fontId="1" fillId="0" borderId="299" xfId="0" applyNumberFormat="1" applyFont="1" applyBorder="1" applyAlignment="1" applyProtection="1">
      <alignment horizontal="center" shrinkToFit="1"/>
      <protection locked="0" hidden="1"/>
    </xf>
    <xf numFmtId="3" fontId="1" fillId="0" borderId="300" xfId="0" applyNumberFormat="1" applyFont="1" applyBorder="1" applyAlignment="1" applyProtection="1">
      <alignment horizontal="center" shrinkToFit="1"/>
      <protection locked="0" hidden="1"/>
    </xf>
    <xf numFmtId="3" fontId="1" fillId="0" borderId="301" xfId="0" applyNumberFormat="1" applyFont="1" applyBorder="1" applyAlignment="1" applyProtection="1">
      <alignment horizontal="center" shrinkToFit="1"/>
      <protection locked="0" hidden="1"/>
    </xf>
    <xf numFmtId="0" fontId="1" fillId="0" borderId="0" xfId="0" applyFont="1" applyAlignment="1">
      <alignment horizontal="center" vertical="center" wrapText="1"/>
    </xf>
    <xf numFmtId="182" fontId="1" fillId="0" borderId="158" xfId="0" applyNumberFormat="1" applyFont="1" applyBorder="1" applyAlignment="1" applyProtection="1">
      <alignment horizontal="center" wrapText="1"/>
      <protection locked="0" hidden="1"/>
    </xf>
    <xf numFmtId="0" fontId="1" fillId="0" borderId="10" xfId="0" applyFont="1" applyBorder="1" applyAlignment="1" applyProtection="1">
      <alignment horizontal="center" wrapText="1"/>
      <protection hidden="1"/>
    </xf>
    <xf numFmtId="0" fontId="35" fillId="7" borderId="67" xfId="0" applyFont="1" applyFill="1" applyBorder="1" applyAlignment="1" applyProtection="1">
      <alignment horizontal="center" wrapText="1"/>
      <protection hidden="1"/>
    </xf>
    <xf numFmtId="0" fontId="35" fillId="7" borderId="28" xfId="0" applyFont="1" applyFill="1" applyBorder="1" applyAlignment="1" applyProtection="1">
      <alignment horizontal="center" wrapText="1"/>
      <protection hidden="1"/>
    </xf>
    <xf numFmtId="0" fontId="35" fillId="7" borderId="30" xfId="0" applyFont="1" applyFill="1" applyBorder="1" applyAlignment="1" applyProtection="1">
      <alignment horizontal="center" wrapText="1"/>
      <protection hidden="1"/>
    </xf>
    <xf numFmtId="0" fontId="57" fillId="0" borderId="0" xfId="0" applyFont="1" applyAlignment="1">
      <alignment horizontal="center" vertical="center"/>
    </xf>
    <xf numFmtId="0" fontId="2" fillId="0" borderId="0" xfId="0" applyFont="1" applyAlignment="1">
      <alignment horizontal="center" wrapText="1"/>
    </xf>
    <xf numFmtId="0" fontId="2" fillId="0" borderId="12" xfId="0" applyFont="1" applyBorder="1" applyAlignment="1">
      <alignment horizontal="center" wrapText="1"/>
    </xf>
    <xf numFmtId="0" fontId="2" fillId="0" borderId="0" xfId="0" applyFont="1" applyAlignment="1">
      <alignment horizontal="center"/>
    </xf>
    <xf numFmtId="0" fontId="2" fillId="7" borderId="76" xfId="0" applyFont="1" applyFill="1" applyBorder="1" applyAlignment="1">
      <alignment horizontal="center" wrapText="1" shrinkToFit="1"/>
    </xf>
    <xf numFmtId="0" fontId="2" fillId="7" borderId="15" xfId="0" applyFont="1" applyFill="1" applyBorder="1" applyAlignment="1">
      <alignment horizontal="center" wrapText="1" shrinkToFit="1"/>
    </xf>
    <xf numFmtId="0" fontId="1" fillId="0" borderId="76"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2" fillId="37" borderId="76" xfId="0" applyFont="1" applyFill="1" applyBorder="1" applyAlignment="1" applyProtection="1">
      <alignment horizontal="center" wrapText="1"/>
      <protection hidden="1"/>
    </xf>
    <xf numFmtId="0" fontId="2" fillId="37" borderId="15" xfId="0" applyFont="1" applyFill="1" applyBorder="1" applyAlignment="1" applyProtection="1">
      <alignment horizontal="center" wrapText="1"/>
      <protection hidden="1"/>
    </xf>
    <xf numFmtId="0" fontId="1" fillId="0" borderId="76" xfId="0" applyFont="1" applyBorder="1" applyAlignment="1" applyProtection="1">
      <alignment horizontal="center" wrapText="1"/>
      <protection locked="0"/>
    </xf>
    <xf numFmtId="0" fontId="1" fillId="0" borderId="15" xfId="0" applyFont="1" applyBorder="1" applyAlignment="1" applyProtection="1">
      <alignment horizontal="center" wrapText="1"/>
      <protection locked="0"/>
    </xf>
    <xf numFmtId="0" fontId="2" fillId="0" borderId="14" xfId="0" applyFont="1" applyBorder="1" applyAlignment="1" applyProtection="1">
      <alignment horizontal="center" wrapText="1"/>
      <protection locked="0"/>
    </xf>
    <xf numFmtId="0" fontId="2" fillId="0" borderId="66" xfId="0" applyFont="1" applyBorder="1" applyAlignment="1" applyProtection="1">
      <alignment horizontal="center" wrapText="1"/>
      <protection locked="0" hidden="1"/>
    </xf>
    <xf numFmtId="0" fontId="2" fillId="0" borderId="69" xfId="0" applyFont="1" applyBorder="1" applyAlignment="1" applyProtection="1">
      <alignment horizontal="center" wrapText="1"/>
      <protection locked="0" hidden="1"/>
    </xf>
    <xf numFmtId="0" fontId="2" fillId="0" borderId="67" xfId="0" applyFont="1" applyBorder="1" applyAlignment="1" applyProtection="1">
      <alignment horizontal="center" wrapText="1"/>
      <protection locked="0" hidden="1"/>
    </xf>
    <xf numFmtId="0" fontId="2" fillId="0" borderId="28" xfId="0" applyFont="1" applyBorder="1" applyAlignment="1" applyProtection="1">
      <alignment horizontal="center" wrapText="1"/>
      <protection locked="0" hidden="1"/>
    </xf>
    <xf numFmtId="0" fontId="2" fillId="0" borderId="29" xfId="0" applyFont="1" applyBorder="1" applyAlignment="1" applyProtection="1">
      <alignment horizontal="center" wrapText="1"/>
      <protection locked="0" hidden="1"/>
    </xf>
    <xf numFmtId="0" fontId="2" fillId="0" borderId="30" xfId="0" applyFont="1" applyBorder="1" applyAlignment="1" applyProtection="1">
      <alignment horizontal="center" wrapText="1"/>
      <protection locked="0" hidden="1"/>
    </xf>
    <xf numFmtId="0" fontId="2" fillId="0" borderId="76" xfId="0" applyFont="1" applyBorder="1" applyAlignment="1" applyProtection="1">
      <alignment horizontal="center" wrapText="1"/>
      <protection locked="0"/>
    </xf>
    <xf numFmtId="0" fontId="2" fillId="0" borderId="15" xfId="0" applyFont="1" applyBorder="1" applyAlignment="1" applyProtection="1">
      <alignment horizontal="center" wrapText="1"/>
      <protection locked="0"/>
    </xf>
    <xf numFmtId="167" fontId="43" fillId="7" borderId="66" xfId="0" applyNumberFormat="1" applyFont="1" applyFill="1" applyBorder="1" applyAlignment="1">
      <alignment horizontal="center" shrinkToFit="1"/>
    </xf>
    <xf numFmtId="167" fontId="43" fillId="7" borderId="67" xfId="0" applyNumberFormat="1" applyFont="1" applyFill="1" applyBorder="1" applyAlignment="1">
      <alignment horizontal="center" shrinkToFit="1"/>
    </xf>
    <xf numFmtId="167" fontId="43" fillId="7" borderId="28" xfId="0" applyNumberFormat="1" applyFont="1" applyFill="1" applyBorder="1" applyAlignment="1">
      <alignment horizontal="center" shrinkToFit="1"/>
    </xf>
    <xf numFmtId="167" fontId="43" fillId="7" borderId="30" xfId="0" applyNumberFormat="1" applyFont="1" applyFill="1" applyBorder="1" applyAlignment="1">
      <alignment horizontal="center" shrinkToFit="1"/>
    </xf>
    <xf numFmtId="167" fontId="43" fillId="7" borderId="66" xfId="0" applyNumberFormat="1" applyFont="1" applyFill="1" applyBorder="1" applyAlignment="1" applyProtection="1">
      <alignment horizontal="center" wrapText="1"/>
      <protection hidden="1"/>
    </xf>
    <xf numFmtId="167" fontId="43" fillId="7" borderId="69" xfId="0" applyNumberFormat="1" applyFont="1" applyFill="1" applyBorder="1" applyAlignment="1" applyProtection="1">
      <alignment horizontal="center" wrapText="1"/>
      <protection hidden="1"/>
    </xf>
    <xf numFmtId="167" fontId="43" fillId="7" borderId="28" xfId="0" applyNumberFormat="1" applyFont="1" applyFill="1" applyBorder="1" applyAlignment="1" applyProtection="1">
      <alignment horizontal="center" wrapText="1"/>
      <protection hidden="1"/>
    </xf>
    <xf numFmtId="167" fontId="43" fillId="7" borderId="29" xfId="0" applyNumberFormat="1" applyFont="1" applyFill="1" applyBorder="1" applyAlignment="1" applyProtection="1">
      <alignment horizontal="center" wrapText="1"/>
      <protection hidden="1"/>
    </xf>
    <xf numFmtId="171" fontId="43" fillId="7" borderId="66" xfId="0" applyNumberFormat="1" applyFont="1" applyFill="1" applyBorder="1" applyAlignment="1">
      <alignment horizontal="center" shrinkToFit="1"/>
    </xf>
    <xf numFmtId="171" fontId="43" fillId="7" borderId="69" xfId="0" applyNumberFormat="1" applyFont="1" applyFill="1" applyBorder="1" applyAlignment="1">
      <alignment horizontal="center" shrinkToFit="1"/>
    </xf>
    <xf numFmtId="171" fontId="43" fillId="7" borderId="67" xfId="0" applyNumberFormat="1" applyFont="1" applyFill="1" applyBorder="1" applyAlignment="1">
      <alignment horizontal="center" shrinkToFit="1"/>
    </xf>
    <xf numFmtId="171" fontId="43" fillId="7" borderId="28" xfId="0" applyNumberFormat="1" applyFont="1" applyFill="1" applyBorder="1" applyAlignment="1">
      <alignment horizontal="center" shrinkToFit="1"/>
    </xf>
    <xf numFmtId="171" fontId="43" fillId="7" borderId="29" xfId="0" applyNumberFormat="1" applyFont="1" applyFill="1" applyBorder="1" applyAlignment="1">
      <alignment horizontal="center" shrinkToFit="1"/>
    </xf>
    <xf numFmtId="171" fontId="43" fillId="7" borderId="30" xfId="0" applyNumberFormat="1" applyFont="1" applyFill="1" applyBorder="1" applyAlignment="1">
      <alignment horizontal="center" shrinkToFit="1"/>
    </xf>
    <xf numFmtId="167" fontId="99" fillId="28" borderId="0" xfId="0" applyNumberFormat="1" applyFont="1" applyFill="1" applyAlignment="1">
      <alignment horizontal="center" vertical="center"/>
    </xf>
    <xf numFmtId="171" fontId="99" fillId="28" borderId="0" xfId="0" applyNumberFormat="1" applyFont="1" applyFill="1" applyAlignment="1">
      <alignment horizontal="center" vertical="center"/>
    </xf>
    <xf numFmtId="0" fontId="2" fillId="0" borderId="76" xfId="0" applyFont="1" applyBorder="1" applyAlignment="1" applyProtection="1">
      <alignment horizontal="center"/>
      <protection locked="0"/>
    </xf>
    <xf numFmtId="0" fontId="2" fillId="0" borderId="15" xfId="0" applyFont="1" applyBorder="1" applyAlignment="1" applyProtection="1">
      <alignment horizontal="center"/>
      <protection locked="0"/>
    </xf>
    <xf numFmtId="0" fontId="2" fillId="7" borderId="14" xfId="0" applyFont="1" applyFill="1" applyBorder="1" applyAlignment="1">
      <alignment horizontal="center" wrapText="1"/>
    </xf>
    <xf numFmtId="167" fontId="2" fillId="0" borderId="76" xfId="0" applyNumberFormat="1" applyFont="1" applyBorder="1" applyAlignment="1" applyProtection="1">
      <alignment horizontal="center" shrinkToFit="1"/>
      <protection locked="0"/>
    </xf>
    <xf numFmtId="167" fontId="2" fillId="0" borderId="15" xfId="0" applyNumberFormat="1" applyFont="1" applyBorder="1" applyAlignment="1" applyProtection="1">
      <alignment horizontal="center" shrinkToFit="1"/>
      <protection locked="0"/>
    </xf>
    <xf numFmtId="0" fontId="180" fillId="0" borderId="0" xfId="0" applyFont="1" applyAlignment="1">
      <alignment horizontal="center" wrapText="1"/>
    </xf>
    <xf numFmtId="0" fontId="44" fillId="7" borderId="31" xfId="0" applyFont="1" applyFill="1" applyBorder="1" applyAlignment="1">
      <alignment horizontal="center" wrapText="1"/>
    </xf>
    <xf numFmtId="0" fontId="44" fillId="7" borderId="0" xfId="0" applyFont="1" applyFill="1" applyAlignment="1">
      <alignment horizontal="center" wrapText="1"/>
    </xf>
    <xf numFmtId="0" fontId="44" fillId="7" borderId="16" xfId="0" applyFont="1" applyFill="1" applyBorder="1" applyAlignment="1">
      <alignment horizontal="center" wrapText="1"/>
    </xf>
    <xf numFmtId="0" fontId="44" fillId="7" borderId="28" xfId="0" applyFont="1" applyFill="1" applyBorder="1" applyAlignment="1">
      <alignment horizontal="center" wrapText="1"/>
    </xf>
    <xf numFmtId="0" fontId="44" fillId="7" borderId="29" xfId="0" applyFont="1" applyFill="1" applyBorder="1" applyAlignment="1">
      <alignment horizontal="center" wrapText="1"/>
    </xf>
    <xf numFmtId="0" fontId="44" fillId="7" borderId="30" xfId="0" applyFont="1" applyFill="1" applyBorder="1" applyAlignment="1">
      <alignment horizontal="center" wrapText="1"/>
    </xf>
    <xf numFmtId="0" fontId="44" fillId="7" borderId="31" xfId="0" applyFont="1" applyFill="1" applyBorder="1" applyAlignment="1">
      <alignment horizontal="center" wrapText="1" shrinkToFit="1"/>
    </xf>
    <xf numFmtId="0" fontId="44" fillId="7" borderId="16" xfId="0" applyFont="1" applyFill="1" applyBorder="1" applyAlignment="1">
      <alignment horizontal="center" wrapText="1" shrinkToFit="1"/>
    </xf>
    <xf numFmtId="0" fontId="44" fillId="7" borderId="28" xfId="0" applyFont="1" applyFill="1" applyBorder="1" applyAlignment="1">
      <alignment horizontal="center" wrapText="1" shrinkToFit="1"/>
    </xf>
    <xf numFmtId="0" fontId="44" fillId="7" borderId="30" xfId="0" applyFont="1" applyFill="1" applyBorder="1" applyAlignment="1">
      <alignment horizontal="center" wrapText="1" shrinkToFit="1"/>
    </xf>
    <xf numFmtId="0" fontId="44" fillId="0" borderId="31" xfId="0" applyFont="1" applyBorder="1" applyAlignment="1" applyProtection="1">
      <alignment horizontal="center" shrinkToFit="1"/>
      <protection locked="0"/>
    </xf>
    <xf numFmtId="0" fontId="44" fillId="0" borderId="16" xfId="0" applyFont="1" applyBorder="1" applyAlignment="1" applyProtection="1">
      <alignment horizontal="center" shrinkToFit="1"/>
      <protection locked="0"/>
    </xf>
    <xf numFmtId="0" fontId="44" fillId="0" borderId="28" xfId="0" applyFont="1" applyBorder="1" applyAlignment="1" applyProtection="1">
      <alignment horizontal="center" shrinkToFit="1"/>
      <protection locked="0"/>
    </xf>
    <xf numFmtId="0" fontId="44" fillId="0" borderId="30" xfId="0" applyFont="1" applyBorder="1" applyAlignment="1" applyProtection="1">
      <alignment horizontal="center" shrinkToFit="1"/>
      <protection locked="0"/>
    </xf>
    <xf numFmtId="0" fontId="5" fillId="0" borderId="31" xfId="0" applyFont="1" applyBorder="1" applyAlignment="1" applyProtection="1">
      <alignment horizontal="center" wrapText="1"/>
      <protection locked="0"/>
    </xf>
    <xf numFmtId="167" fontId="44" fillId="0" borderId="31" xfId="0" applyNumberFormat="1" applyFont="1" applyBorder="1" applyAlignment="1" applyProtection="1">
      <alignment horizontal="center" shrinkToFit="1"/>
      <protection locked="0"/>
    </xf>
    <xf numFmtId="167" fontId="44" fillId="0" borderId="16" xfId="0" applyNumberFormat="1" applyFont="1" applyBorder="1" applyAlignment="1" applyProtection="1">
      <alignment horizontal="center" shrinkToFit="1"/>
      <protection locked="0"/>
    </xf>
    <xf numFmtId="167" fontId="44" fillId="0" borderId="28" xfId="0" applyNumberFormat="1" applyFont="1" applyBorder="1" applyAlignment="1" applyProtection="1">
      <alignment horizontal="center" shrinkToFit="1"/>
      <protection locked="0"/>
    </xf>
    <xf numFmtId="167" fontId="44" fillId="0" borderId="30" xfId="0" applyNumberFormat="1" applyFont="1" applyBorder="1" applyAlignment="1" applyProtection="1">
      <alignment horizontal="center" shrinkToFit="1"/>
      <protection locked="0"/>
    </xf>
    <xf numFmtId="167" fontId="43" fillId="7" borderId="31" xfId="0" applyNumberFormat="1" applyFont="1" applyFill="1" applyBorder="1" applyAlignment="1">
      <alignment horizontal="center" shrinkToFit="1"/>
    </xf>
    <xf numFmtId="167" fontId="43" fillId="7" borderId="16" xfId="0" applyNumberFormat="1" applyFont="1" applyFill="1" applyBorder="1" applyAlignment="1">
      <alignment horizontal="center" shrinkToFit="1"/>
    </xf>
    <xf numFmtId="171" fontId="43" fillId="7" borderId="31" xfId="0" applyNumberFormat="1" applyFont="1" applyFill="1" applyBorder="1" applyAlignment="1">
      <alignment horizontal="center" shrinkToFit="1"/>
    </xf>
    <xf numFmtId="171" fontId="43" fillId="7" borderId="0" xfId="0" applyNumberFormat="1" applyFont="1" applyFill="1" applyAlignment="1">
      <alignment horizontal="center" shrinkToFit="1"/>
    </xf>
    <xf numFmtId="171" fontId="43" fillId="7" borderId="16" xfId="0" applyNumberFormat="1" applyFont="1" applyFill="1" applyBorder="1" applyAlignment="1">
      <alignment horizontal="center" shrinkToFit="1"/>
    </xf>
    <xf numFmtId="167" fontId="43" fillId="7" borderId="82" xfId="0" applyNumberFormat="1" applyFont="1" applyFill="1" applyBorder="1" applyAlignment="1" applyProtection="1">
      <alignment horizontal="center" wrapText="1" shrinkToFit="1"/>
      <protection hidden="1"/>
    </xf>
    <xf numFmtId="167" fontId="43" fillId="7" borderId="88" xfId="0" applyNumberFormat="1" applyFont="1" applyFill="1" applyBorder="1" applyAlignment="1" applyProtection="1">
      <alignment horizontal="center" wrapText="1" shrinkToFit="1"/>
      <protection hidden="1"/>
    </xf>
    <xf numFmtId="167" fontId="43" fillId="7" borderId="47" xfId="0" applyNumberFormat="1" applyFont="1" applyFill="1" applyBorder="1" applyAlignment="1" applyProtection="1">
      <alignment horizontal="center" wrapText="1" shrinkToFit="1"/>
      <protection hidden="1"/>
    </xf>
    <xf numFmtId="0" fontId="21" fillId="0" borderId="31" xfId="0" applyFont="1" applyBorder="1" applyAlignment="1" applyProtection="1">
      <alignment horizontal="center" wrapText="1"/>
      <protection locked="0"/>
    </xf>
    <xf numFmtId="169" fontId="43" fillId="7" borderId="31" xfId="0" applyNumberFormat="1" applyFont="1" applyFill="1" applyBorder="1" applyAlignment="1">
      <alignment horizontal="center" shrinkToFit="1"/>
    </xf>
    <xf numFmtId="169" fontId="43" fillId="7" borderId="16" xfId="0" applyNumberFormat="1" applyFont="1" applyFill="1" applyBorder="1" applyAlignment="1">
      <alignment horizontal="center" shrinkToFit="1"/>
    </xf>
    <xf numFmtId="169" fontId="43" fillId="7" borderId="28" xfId="0" applyNumberFormat="1" applyFont="1" applyFill="1" applyBorder="1" applyAlignment="1">
      <alignment horizontal="center" shrinkToFit="1"/>
    </xf>
    <xf numFmtId="169" fontId="43" fillId="7" borderId="30" xfId="0" applyNumberFormat="1" applyFont="1" applyFill="1" applyBorder="1" applyAlignment="1">
      <alignment horizontal="center" shrinkToFit="1"/>
    </xf>
    <xf numFmtId="167" fontId="43" fillId="7" borderId="0" xfId="0" applyNumberFormat="1" applyFont="1" applyFill="1" applyAlignment="1">
      <alignment horizontal="center" shrinkToFit="1"/>
    </xf>
    <xf numFmtId="167" fontId="43" fillId="7" borderId="29" xfId="0" applyNumberFormat="1" applyFont="1" applyFill="1" applyBorder="1" applyAlignment="1">
      <alignment horizontal="center" shrinkToFit="1"/>
    </xf>
    <xf numFmtId="0" fontId="44" fillId="7" borderId="69" xfId="0" applyFont="1" applyFill="1" applyBorder="1" applyAlignment="1">
      <alignment horizontal="center" wrapText="1"/>
    </xf>
    <xf numFmtId="190" fontId="44" fillId="7" borderId="69" xfId="0" applyNumberFormat="1" applyFont="1" applyFill="1" applyBorder="1" applyAlignment="1" applyProtection="1">
      <alignment horizontal="center" wrapText="1" shrinkToFit="1"/>
      <protection locked="0"/>
    </xf>
    <xf numFmtId="190" fontId="44" fillId="7" borderId="67" xfId="0" applyNumberFormat="1" applyFont="1" applyFill="1" applyBorder="1" applyAlignment="1" applyProtection="1">
      <alignment horizontal="center" wrapText="1" shrinkToFit="1"/>
      <protection locked="0"/>
    </xf>
    <xf numFmtId="190" fontId="44" fillId="7" borderId="29" xfId="0" applyNumberFormat="1" applyFont="1" applyFill="1" applyBorder="1" applyAlignment="1" applyProtection="1">
      <alignment horizontal="center" wrapText="1" shrinkToFit="1"/>
      <protection locked="0"/>
    </xf>
    <xf numFmtId="190" fontId="44" fillId="7" borderId="30" xfId="0" applyNumberFormat="1" applyFont="1" applyFill="1" applyBorder="1" applyAlignment="1" applyProtection="1">
      <alignment horizontal="center" wrapText="1" shrinkToFit="1"/>
      <protection locked="0"/>
    </xf>
    <xf numFmtId="0" fontId="44" fillId="0" borderId="182" xfId="0" applyFont="1" applyBorder="1" applyAlignment="1" applyProtection="1">
      <alignment horizontal="center" shrinkToFit="1"/>
      <protection locked="0"/>
    </xf>
    <xf numFmtId="0" fontId="44" fillId="0" borderId="184" xfId="0" applyFont="1" applyBorder="1" applyAlignment="1" applyProtection="1">
      <alignment horizontal="center" shrinkToFit="1"/>
      <protection locked="0"/>
    </xf>
    <xf numFmtId="0" fontId="44" fillId="0" borderId="82" xfId="0" applyFont="1" applyBorder="1" applyAlignment="1" applyProtection="1">
      <alignment horizontal="center" shrinkToFit="1"/>
      <protection locked="0"/>
    </xf>
    <xf numFmtId="0" fontId="44" fillId="0" borderId="47" xfId="0" applyFont="1" applyBorder="1" applyAlignment="1" applyProtection="1">
      <alignment horizontal="center" shrinkToFit="1"/>
      <protection locked="0"/>
    </xf>
    <xf numFmtId="0" fontId="1" fillId="0" borderId="31" xfId="0" applyFont="1" applyBorder="1" applyAlignment="1" applyProtection="1">
      <alignment horizontal="center" wrapText="1"/>
      <protection locked="0"/>
    </xf>
    <xf numFmtId="167" fontId="43" fillId="7" borderId="31" xfId="0" applyNumberFormat="1" applyFont="1" applyFill="1" applyBorder="1" applyAlignment="1">
      <alignment horizontal="center" wrapText="1" shrinkToFit="1"/>
    </xf>
    <xf numFmtId="167" fontId="43" fillId="7" borderId="0" xfId="0" applyNumberFormat="1" applyFont="1" applyFill="1" applyAlignment="1">
      <alignment horizontal="center" wrapText="1" shrinkToFit="1"/>
    </xf>
    <xf numFmtId="167" fontId="43" fillId="7" borderId="16" xfId="0" applyNumberFormat="1" applyFont="1" applyFill="1" applyBorder="1" applyAlignment="1">
      <alignment horizontal="center" wrapText="1" shrinkToFit="1"/>
    </xf>
    <xf numFmtId="167" fontId="43" fillId="7" borderId="28" xfId="0" applyNumberFormat="1" applyFont="1" applyFill="1" applyBorder="1" applyAlignment="1">
      <alignment horizontal="center" wrapText="1" shrinkToFit="1"/>
    </xf>
    <xf numFmtId="167" fontId="43" fillId="7" borderId="29" xfId="0" applyNumberFormat="1" applyFont="1" applyFill="1" applyBorder="1" applyAlignment="1">
      <alignment horizontal="center" wrapText="1" shrinkToFit="1"/>
    </xf>
    <xf numFmtId="167" fontId="43" fillId="7" borderId="30" xfId="0" applyNumberFormat="1" applyFont="1" applyFill="1" applyBorder="1" applyAlignment="1">
      <alignment horizontal="center" wrapText="1" shrinkToFit="1"/>
    </xf>
    <xf numFmtId="176" fontId="44" fillId="0" borderId="76" xfId="0" applyNumberFormat="1" applyFont="1" applyBorder="1" applyAlignment="1">
      <alignment horizontal="center" shrinkToFit="1"/>
    </xf>
    <xf numFmtId="167" fontId="0" fillId="0" borderId="32" xfId="0" applyNumberFormat="1" applyBorder="1" applyAlignment="1">
      <alignment horizontal="center" shrinkToFit="1"/>
    </xf>
    <xf numFmtId="167" fontId="0" fillId="0" borderId="15" xfId="0" applyNumberFormat="1" applyBorder="1" applyAlignment="1">
      <alignment horizontal="center" shrinkToFit="1"/>
    </xf>
    <xf numFmtId="0" fontId="29" fillId="0" borderId="31" xfId="0" applyFont="1" applyBorder="1" applyAlignment="1" applyProtection="1">
      <alignment horizontal="center" wrapText="1"/>
      <protection locked="0"/>
    </xf>
    <xf numFmtId="176" fontId="0" fillId="0" borderId="32" xfId="0" applyNumberFormat="1" applyBorder="1" applyAlignment="1">
      <alignment horizontal="center" shrinkToFit="1"/>
    </xf>
    <xf numFmtId="176" fontId="0" fillId="0" borderId="15" xfId="0" applyNumberFormat="1" applyBorder="1" applyAlignment="1">
      <alignment horizontal="center" shrinkToFit="1"/>
    </xf>
    <xf numFmtId="0" fontId="29" fillId="0" borderId="0" xfId="0" applyFont="1" applyAlignment="1">
      <alignment horizontal="center" wrapText="1"/>
    </xf>
    <xf numFmtId="0" fontId="44" fillId="0" borderId="31" xfId="0" applyFont="1" applyBorder="1" applyAlignment="1" applyProtection="1">
      <alignment horizontal="center" wrapText="1" shrinkToFit="1"/>
      <protection locked="0"/>
    </xf>
    <xf numFmtId="0" fontId="44" fillId="0" borderId="16" xfId="0" applyFont="1" applyBorder="1" applyAlignment="1" applyProtection="1">
      <alignment horizontal="center" wrapText="1" shrinkToFit="1"/>
      <protection locked="0"/>
    </xf>
    <xf numFmtId="0" fontId="44" fillId="0" borderId="28" xfId="0" applyFont="1" applyBorder="1" applyAlignment="1" applyProtection="1">
      <alignment horizontal="center" wrapText="1" shrinkToFit="1"/>
      <protection locked="0"/>
    </xf>
    <xf numFmtId="0" fontId="44" fillId="0" borderId="30" xfId="0" applyFont="1" applyBorder="1" applyAlignment="1" applyProtection="1">
      <alignment horizontal="center" wrapText="1" shrinkToFit="1"/>
      <protection locked="0"/>
    </xf>
    <xf numFmtId="0" fontId="1" fillId="0" borderId="0" xfId="0" applyFont="1" applyAlignment="1" applyProtection="1">
      <alignment horizontal="center" wrapText="1"/>
      <protection locked="0"/>
    </xf>
    <xf numFmtId="0" fontId="1" fillId="0" borderId="16" xfId="0" applyFont="1" applyBorder="1" applyAlignment="1" applyProtection="1">
      <alignment horizontal="center" wrapText="1"/>
      <protection locked="0"/>
    </xf>
    <xf numFmtId="0" fontId="1" fillId="0" borderId="31" xfId="0" applyFont="1" applyBorder="1" applyAlignment="1" applyProtection="1">
      <alignment horizontal="center" wrapText="1" shrinkToFit="1"/>
      <protection locked="0"/>
    </xf>
    <xf numFmtId="0" fontId="1" fillId="0" borderId="16" xfId="0" applyFont="1" applyBorder="1" applyAlignment="1" applyProtection="1">
      <alignment horizontal="center" wrapText="1" shrinkToFit="1"/>
      <protection locked="0"/>
    </xf>
    <xf numFmtId="0" fontId="1" fillId="0" borderId="28" xfId="0" applyFont="1" applyBorder="1" applyAlignment="1" applyProtection="1">
      <alignment horizontal="center" wrapText="1" shrinkToFit="1"/>
      <protection locked="0"/>
    </xf>
    <xf numFmtId="0" fontId="1" fillId="0" borderId="30" xfId="0" applyFont="1" applyBorder="1" applyAlignment="1" applyProtection="1">
      <alignment horizontal="center" wrapText="1" shrinkToFit="1"/>
      <protection locked="0"/>
    </xf>
    <xf numFmtId="0" fontId="1" fillId="0" borderId="31" xfId="0" applyFont="1" applyBorder="1" applyAlignment="1" applyProtection="1">
      <alignment horizontal="center" shrinkToFit="1"/>
      <protection locked="0"/>
    </xf>
    <xf numFmtId="0" fontId="1" fillId="0" borderId="16" xfId="0" applyFont="1" applyBorder="1" applyAlignment="1" applyProtection="1">
      <alignment horizontal="center" shrinkToFit="1"/>
      <protection locked="0"/>
    </xf>
    <xf numFmtId="0" fontId="1" fillId="0" borderId="28" xfId="0" applyFont="1" applyBorder="1" applyAlignment="1" applyProtection="1">
      <alignment horizontal="center" shrinkToFit="1"/>
      <protection locked="0"/>
    </xf>
    <xf numFmtId="0" fontId="1" fillId="0" borderId="30" xfId="0" applyFont="1" applyBorder="1" applyAlignment="1" applyProtection="1">
      <alignment horizontal="center" shrinkToFit="1"/>
      <protection locked="0"/>
    </xf>
    <xf numFmtId="167" fontId="1" fillId="0" borderId="31" xfId="0" applyNumberFormat="1" applyFont="1" applyBorder="1" applyAlignment="1" applyProtection="1">
      <alignment horizontal="center" shrinkToFit="1"/>
      <protection locked="0"/>
    </xf>
    <xf numFmtId="167" fontId="1" fillId="0" borderId="16" xfId="0" applyNumberFormat="1" applyFont="1" applyBorder="1" applyAlignment="1" applyProtection="1">
      <alignment horizontal="center" shrinkToFit="1"/>
      <protection locked="0"/>
    </xf>
    <xf numFmtId="167" fontId="1" fillId="0" borderId="28" xfId="0" applyNumberFormat="1" applyFont="1" applyBorder="1" applyAlignment="1" applyProtection="1">
      <alignment horizontal="center" shrinkToFit="1"/>
      <protection locked="0"/>
    </xf>
    <xf numFmtId="167" fontId="1" fillId="0" borderId="30" xfId="0" applyNumberFormat="1" applyFont="1" applyBorder="1" applyAlignment="1" applyProtection="1">
      <alignment horizontal="center" shrinkToFit="1"/>
      <protection locked="0"/>
    </xf>
    <xf numFmtId="2" fontId="1" fillId="0" borderId="32" xfId="0" applyNumberFormat="1" applyFont="1" applyBorder="1" applyAlignment="1">
      <alignment horizontal="center" shrinkToFit="1"/>
    </xf>
    <xf numFmtId="169" fontId="43" fillId="7" borderId="82" xfId="0" applyNumberFormat="1" applyFont="1" applyFill="1" applyBorder="1" applyAlignment="1">
      <alignment horizontal="center" shrinkToFit="1"/>
    </xf>
    <xf numFmtId="169" fontId="43" fillId="7" borderId="47" xfId="0" applyNumberFormat="1" applyFont="1" applyFill="1" applyBorder="1" applyAlignment="1">
      <alignment horizontal="center" shrinkToFit="1"/>
    </xf>
    <xf numFmtId="171" fontId="43" fillId="7" borderId="82" xfId="0" applyNumberFormat="1" applyFont="1" applyFill="1" applyBorder="1" applyAlignment="1">
      <alignment horizontal="center" shrinkToFit="1"/>
    </xf>
    <xf numFmtId="171" fontId="43" fillId="7" borderId="88" xfId="0" applyNumberFormat="1" applyFont="1" applyFill="1" applyBorder="1" applyAlignment="1">
      <alignment horizontal="center" shrinkToFit="1"/>
    </xf>
    <xf numFmtId="171" fontId="43" fillId="7" borderId="47" xfId="0" applyNumberFormat="1" applyFont="1" applyFill="1" applyBorder="1" applyAlignment="1">
      <alignment horizontal="center" shrinkToFit="1"/>
    </xf>
    <xf numFmtId="0" fontId="44" fillId="37" borderId="88" xfId="0" applyFont="1" applyFill="1" applyBorder="1" applyAlignment="1" applyProtection="1">
      <alignment horizontal="center" wrapText="1" shrinkToFit="1"/>
      <protection locked="0"/>
    </xf>
    <xf numFmtId="0" fontId="44" fillId="37" borderId="47" xfId="0" applyFont="1" applyFill="1" applyBorder="1" applyAlignment="1" applyProtection="1">
      <alignment horizontal="center" wrapText="1" shrinkToFit="1"/>
      <protection locked="0"/>
    </xf>
    <xf numFmtId="2" fontId="44" fillId="0" borderId="66" xfId="0" applyNumberFormat="1" applyFont="1" applyBorder="1" applyAlignment="1" applyProtection="1">
      <alignment horizontal="center" wrapText="1" shrinkToFit="1"/>
      <protection locked="0"/>
    </xf>
    <xf numFmtId="2" fontId="44" fillId="0" borderId="67" xfId="0" applyNumberFormat="1" applyFont="1" applyBorder="1" applyAlignment="1" applyProtection="1">
      <alignment horizontal="center" wrapText="1" shrinkToFit="1"/>
      <protection locked="0"/>
    </xf>
    <xf numFmtId="2" fontId="44" fillId="0" borderId="28" xfId="0" applyNumberFormat="1" applyFont="1" applyBorder="1" applyAlignment="1" applyProtection="1">
      <alignment horizontal="center" wrapText="1" shrinkToFit="1"/>
      <protection locked="0"/>
    </xf>
    <xf numFmtId="2" fontId="44" fillId="0" borderId="30" xfId="0" applyNumberFormat="1" applyFont="1" applyBorder="1" applyAlignment="1" applyProtection="1">
      <alignment horizontal="center" wrapText="1" shrinkToFit="1"/>
      <protection locked="0"/>
    </xf>
    <xf numFmtId="167" fontId="44" fillId="0" borderId="182" xfId="0" applyNumberFormat="1" applyFont="1" applyBorder="1" applyAlignment="1" applyProtection="1">
      <alignment horizontal="center" shrinkToFit="1"/>
      <protection locked="0"/>
    </xf>
    <xf numFmtId="167" fontId="44" fillId="0" borderId="184" xfId="0" applyNumberFormat="1" applyFont="1" applyBorder="1" applyAlignment="1" applyProtection="1">
      <alignment horizontal="center" shrinkToFit="1"/>
      <protection locked="0"/>
    </xf>
    <xf numFmtId="167" fontId="44" fillId="0" borderId="82" xfId="0" applyNumberFormat="1" applyFont="1" applyBorder="1" applyAlignment="1" applyProtection="1">
      <alignment horizontal="center" shrinkToFit="1"/>
      <protection locked="0"/>
    </xf>
    <xf numFmtId="167" fontId="44" fillId="0" borderId="47" xfId="0" applyNumberFormat="1" applyFont="1" applyBorder="1" applyAlignment="1" applyProtection="1">
      <alignment horizontal="center" shrinkToFit="1"/>
      <protection locked="0"/>
    </xf>
    <xf numFmtId="0" fontId="44" fillId="0" borderId="182" xfId="0" applyFont="1" applyBorder="1" applyAlignment="1" applyProtection="1">
      <alignment horizontal="center" wrapText="1"/>
      <protection locked="0"/>
    </xf>
    <xf numFmtId="0" fontId="44" fillId="0" borderId="183" xfId="0" applyFont="1" applyBorder="1" applyAlignment="1" applyProtection="1">
      <alignment horizontal="center" wrapText="1"/>
      <protection locked="0"/>
    </xf>
    <xf numFmtId="167" fontId="43" fillId="7" borderId="82" xfId="0" applyNumberFormat="1" applyFont="1" applyFill="1" applyBorder="1" applyAlignment="1">
      <alignment horizontal="center" wrapText="1" shrinkToFit="1"/>
    </xf>
    <xf numFmtId="167" fontId="43" fillId="7" borderId="88" xfId="0" applyNumberFormat="1" applyFont="1" applyFill="1" applyBorder="1" applyAlignment="1">
      <alignment horizontal="center" wrapText="1" shrinkToFit="1"/>
    </xf>
    <xf numFmtId="167" fontId="43" fillId="7" borderId="47" xfId="0" applyNumberFormat="1" applyFont="1" applyFill="1" applyBorder="1" applyAlignment="1">
      <alignment horizontal="center" wrapText="1" shrinkToFit="1"/>
    </xf>
    <xf numFmtId="169" fontId="43" fillId="7" borderId="182" xfId="0" applyNumberFormat="1" applyFont="1" applyFill="1" applyBorder="1" applyAlignment="1">
      <alignment horizontal="center" shrinkToFit="1"/>
    </xf>
    <xf numFmtId="169" fontId="43" fillId="7" borderId="184" xfId="0" applyNumberFormat="1" applyFont="1" applyFill="1" applyBorder="1" applyAlignment="1">
      <alignment horizontal="center" shrinkToFit="1"/>
    </xf>
    <xf numFmtId="2" fontId="44" fillId="0" borderId="31" xfId="0" applyNumberFormat="1" applyFont="1" applyBorder="1" applyAlignment="1" applyProtection="1">
      <alignment horizontal="center" shrinkToFit="1"/>
      <protection locked="0"/>
    </xf>
    <xf numFmtId="2" fontId="44" fillId="0" borderId="16" xfId="0" applyNumberFormat="1" applyFont="1" applyBorder="1" applyAlignment="1" applyProtection="1">
      <alignment horizontal="center" shrinkToFit="1"/>
      <protection locked="0"/>
    </xf>
    <xf numFmtId="2" fontId="44" fillId="0" borderId="28" xfId="0" applyNumberFormat="1" applyFont="1" applyBorder="1" applyAlignment="1" applyProtection="1">
      <alignment horizontal="center" shrinkToFit="1"/>
      <protection locked="0"/>
    </xf>
    <xf numFmtId="2" fontId="44" fillId="0" borderId="30" xfId="0" applyNumberFormat="1" applyFont="1" applyBorder="1" applyAlignment="1" applyProtection="1">
      <alignment horizontal="center" shrinkToFit="1"/>
      <protection locked="0"/>
    </xf>
    <xf numFmtId="0" fontId="6" fillId="0" borderId="0" xfId="0" applyFont="1" applyAlignment="1">
      <alignment horizontal="center" wrapText="1"/>
    </xf>
    <xf numFmtId="0" fontId="85" fillId="0" borderId="0" xfId="0" applyFont="1" applyAlignment="1">
      <alignment horizontal="center" vertical="center" wrapText="1"/>
    </xf>
    <xf numFmtId="49" fontId="44" fillId="0" borderId="32" xfId="0" applyNumberFormat="1" applyFont="1" applyBorder="1" applyAlignment="1">
      <alignment horizontal="center" wrapText="1" shrinkToFit="1"/>
    </xf>
    <xf numFmtId="49" fontId="44" fillId="0" borderId="15" xfId="0" applyNumberFormat="1" applyFont="1" applyBorder="1" applyAlignment="1">
      <alignment horizontal="center" wrapText="1" shrinkToFit="1"/>
    </xf>
    <xf numFmtId="176" fontId="44" fillId="0" borderId="32" xfId="0" applyNumberFormat="1" applyFont="1" applyBorder="1" applyAlignment="1">
      <alignment horizontal="center" wrapText="1" shrinkToFit="1"/>
    </xf>
    <xf numFmtId="176" fontId="44" fillId="0" borderId="15" xfId="0" applyNumberFormat="1" applyFont="1" applyBorder="1" applyAlignment="1">
      <alignment horizontal="center" wrapText="1" shrinkToFit="1"/>
    </xf>
    <xf numFmtId="178" fontId="44" fillId="0" borderId="32" xfId="0" applyNumberFormat="1" applyFont="1" applyBorder="1" applyAlignment="1">
      <alignment horizontal="center" wrapText="1" shrinkToFit="1"/>
    </xf>
    <xf numFmtId="178" fontId="44" fillId="0" borderId="15" xfId="0" applyNumberFormat="1" applyFont="1" applyBorder="1" applyAlignment="1">
      <alignment horizontal="center" wrapText="1" shrinkToFit="1"/>
    </xf>
    <xf numFmtId="3" fontId="44" fillId="0" borderId="32" xfId="0" applyNumberFormat="1" applyFont="1" applyBorder="1" applyAlignment="1" applyProtection="1">
      <alignment horizontal="center" shrinkToFit="1"/>
      <protection locked="0"/>
    </xf>
    <xf numFmtId="3" fontId="44" fillId="0" borderId="44" xfId="0" applyNumberFormat="1" applyFont="1" applyBorder="1" applyAlignment="1" applyProtection="1">
      <alignment horizontal="center" shrinkToFit="1"/>
      <protection locked="0"/>
    </xf>
    <xf numFmtId="3" fontId="44" fillId="0" borderId="15" xfId="0" applyNumberFormat="1" applyFont="1" applyBorder="1" applyAlignment="1" applyProtection="1">
      <alignment horizontal="center" shrinkToFit="1"/>
      <protection locked="0"/>
    </xf>
    <xf numFmtId="3" fontId="44" fillId="0" borderId="43" xfId="0" applyNumberFormat="1" applyFont="1" applyBorder="1" applyAlignment="1" applyProtection="1">
      <alignment horizontal="center" shrinkToFit="1"/>
      <protection locked="0"/>
    </xf>
    <xf numFmtId="167" fontId="44" fillId="0" borderId="32" xfId="0" applyNumberFormat="1" applyFont="1" applyBorder="1" applyAlignment="1" applyProtection="1">
      <alignment horizontal="center" shrinkToFit="1"/>
      <protection locked="0"/>
    </xf>
    <xf numFmtId="3" fontId="44" fillId="0" borderId="46" xfId="0" applyNumberFormat="1" applyFont="1" applyBorder="1" applyAlignment="1" applyProtection="1">
      <alignment horizontal="center" shrinkToFit="1"/>
      <protection locked="0"/>
    </xf>
    <xf numFmtId="3" fontId="44" fillId="0" borderId="45" xfId="0" applyNumberFormat="1" applyFont="1" applyBorder="1" applyAlignment="1" applyProtection="1">
      <alignment horizontal="center" shrinkToFit="1"/>
      <protection locked="0"/>
    </xf>
    <xf numFmtId="0" fontId="44" fillId="0" borderId="32" xfId="0" applyFont="1" applyBorder="1" applyAlignment="1" applyProtection="1">
      <alignment horizontal="center" wrapText="1"/>
      <protection locked="0"/>
    </xf>
    <xf numFmtId="0" fontId="44" fillId="0" borderId="15" xfId="0" applyFont="1" applyBorder="1" applyAlignment="1" applyProtection="1">
      <alignment horizontal="center" wrapText="1"/>
      <protection locked="0"/>
    </xf>
    <xf numFmtId="0" fontId="56" fillId="0" borderId="66" xfId="0" applyFont="1" applyBorder="1" applyAlignment="1" applyProtection="1">
      <alignment horizontal="center" wrapText="1"/>
      <protection locked="0"/>
    </xf>
    <xf numFmtId="0" fontId="56" fillId="0" borderId="69" xfId="0" applyFont="1" applyBorder="1" applyAlignment="1" applyProtection="1">
      <alignment horizontal="center" wrapText="1"/>
      <protection locked="0"/>
    </xf>
    <xf numFmtId="0" fontId="56" fillId="0" borderId="67" xfId="0" applyFont="1" applyBorder="1" applyAlignment="1" applyProtection="1">
      <alignment horizontal="center" wrapText="1"/>
      <protection locked="0"/>
    </xf>
    <xf numFmtId="0" fontId="56" fillId="0" borderId="28" xfId="0" applyFont="1" applyBorder="1" applyAlignment="1" applyProtection="1">
      <alignment horizontal="center" wrapText="1"/>
      <protection locked="0"/>
    </xf>
    <xf numFmtId="0" fontId="56" fillId="0" borderId="29" xfId="0" applyFont="1" applyBorder="1" applyAlignment="1" applyProtection="1">
      <alignment horizontal="center" wrapText="1"/>
      <protection locked="0"/>
    </xf>
    <xf numFmtId="0" fontId="56" fillId="0" borderId="30" xfId="0" applyFont="1" applyBorder="1" applyAlignment="1" applyProtection="1">
      <alignment horizontal="center" wrapText="1"/>
      <protection locked="0"/>
    </xf>
    <xf numFmtId="1" fontId="44" fillId="0" borderId="32" xfId="0" applyNumberFormat="1" applyFont="1" applyBorder="1" applyAlignment="1" applyProtection="1">
      <alignment horizontal="center" shrinkToFit="1"/>
      <protection locked="0"/>
    </xf>
    <xf numFmtId="1" fontId="44" fillId="0" borderId="15" xfId="0" applyNumberFormat="1" applyFont="1" applyBorder="1" applyAlignment="1" applyProtection="1">
      <alignment horizontal="center" shrinkToFit="1"/>
      <protection locked="0"/>
    </xf>
    <xf numFmtId="167" fontId="43" fillId="7" borderId="15" xfId="0" applyNumberFormat="1" applyFont="1" applyFill="1" applyBorder="1" applyAlignment="1">
      <alignment horizontal="center" shrinkToFit="1"/>
    </xf>
    <xf numFmtId="167" fontId="43" fillId="7" borderId="47" xfId="0" applyNumberFormat="1" applyFont="1" applyFill="1" applyBorder="1" applyAlignment="1">
      <alignment horizontal="center" shrinkToFit="1"/>
    </xf>
    <xf numFmtId="167" fontId="42" fillId="7" borderId="15" xfId="0" applyNumberFormat="1" applyFont="1" applyFill="1" applyBorder="1" applyAlignment="1">
      <alignment horizontal="center" wrapText="1"/>
    </xf>
    <xf numFmtId="167" fontId="42" fillId="7" borderId="14" xfId="0" applyNumberFormat="1" applyFont="1" applyFill="1" applyBorder="1" applyAlignment="1">
      <alignment horizontal="center" wrapText="1"/>
    </xf>
    <xf numFmtId="171" fontId="43" fillId="7" borderId="15" xfId="0" applyNumberFormat="1" applyFont="1" applyFill="1" applyBorder="1" applyAlignment="1">
      <alignment horizontal="center" shrinkToFit="1"/>
    </xf>
    <xf numFmtId="167" fontId="1" fillId="0" borderId="32" xfId="0" applyNumberFormat="1" applyFont="1" applyBorder="1" applyAlignment="1" applyProtection="1">
      <alignment horizontal="center" shrinkToFit="1"/>
      <protection locked="0"/>
    </xf>
    <xf numFmtId="1" fontId="1" fillId="0" borderId="32" xfId="0" applyNumberFormat="1" applyFont="1" applyBorder="1" applyAlignment="1" applyProtection="1">
      <alignment horizontal="center" shrinkToFit="1"/>
      <protection locked="0"/>
    </xf>
    <xf numFmtId="1" fontId="1" fillId="0" borderId="15" xfId="0" applyNumberFormat="1" applyFont="1" applyBorder="1" applyAlignment="1" applyProtection="1">
      <alignment horizontal="center" shrinkToFit="1"/>
      <protection locked="0"/>
    </xf>
    <xf numFmtId="3" fontId="1" fillId="0" borderId="32" xfId="0" applyNumberFormat="1" applyFont="1" applyBorder="1" applyAlignment="1" applyProtection="1">
      <alignment horizontal="center" shrinkToFit="1"/>
      <protection locked="0"/>
    </xf>
    <xf numFmtId="3" fontId="1" fillId="0" borderId="44" xfId="0" applyNumberFormat="1" applyFont="1" applyBorder="1" applyAlignment="1" applyProtection="1">
      <alignment horizontal="center" shrinkToFit="1"/>
      <protection locked="0"/>
    </xf>
    <xf numFmtId="3" fontId="1" fillId="0" borderId="15" xfId="0" applyNumberFormat="1" applyFont="1" applyBorder="1" applyAlignment="1" applyProtection="1">
      <alignment horizontal="center" shrinkToFit="1"/>
      <protection locked="0"/>
    </xf>
    <xf numFmtId="3" fontId="1" fillId="0" borderId="43" xfId="0" applyNumberFormat="1" applyFont="1" applyBorder="1" applyAlignment="1" applyProtection="1">
      <alignment horizontal="center" shrinkToFit="1"/>
      <protection locked="0"/>
    </xf>
    <xf numFmtId="0" fontId="1" fillId="0" borderId="32" xfId="0" applyFont="1" applyBorder="1" applyAlignment="1" applyProtection="1">
      <alignment horizontal="center" wrapText="1"/>
      <protection locked="0"/>
    </xf>
    <xf numFmtId="3" fontId="1" fillId="0" borderId="46" xfId="0" applyNumberFormat="1" applyFont="1" applyBorder="1" applyAlignment="1" applyProtection="1">
      <alignment horizontal="center" shrinkToFit="1"/>
      <protection locked="0"/>
    </xf>
    <xf numFmtId="3" fontId="1" fillId="0" borderId="45" xfId="0" applyNumberFormat="1" applyFont="1" applyBorder="1" applyAlignment="1" applyProtection="1">
      <alignment horizontal="center" shrinkToFit="1"/>
      <protection locked="0"/>
    </xf>
    <xf numFmtId="167" fontId="99" fillId="29" borderId="0" xfId="0" applyNumberFormat="1" applyFont="1" applyFill="1" applyAlignment="1">
      <alignment horizontal="center" vertical="center"/>
    </xf>
    <xf numFmtId="171" fontId="99" fillId="29" borderId="0" xfId="0" applyNumberFormat="1" applyFont="1" applyFill="1" applyAlignment="1">
      <alignment horizontal="center" vertical="center"/>
    </xf>
    <xf numFmtId="2" fontId="44" fillId="0" borderId="76" xfId="0" applyNumberFormat="1" applyFont="1" applyBorder="1" applyAlignment="1">
      <alignment horizontal="center" wrapText="1" shrinkToFit="1"/>
    </xf>
    <xf numFmtId="167" fontId="44" fillId="0" borderId="76" xfId="0" applyNumberFormat="1" applyFont="1" applyBorder="1" applyAlignment="1">
      <alignment horizontal="center"/>
    </xf>
    <xf numFmtId="167" fontId="44" fillId="0" borderId="15" xfId="0" applyNumberFormat="1" applyFont="1" applyBorder="1" applyAlignment="1">
      <alignment horizontal="center"/>
    </xf>
    <xf numFmtId="0" fontId="56" fillId="0" borderId="32" xfId="0" applyFont="1" applyBorder="1" applyAlignment="1" applyProtection="1">
      <alignment horizontal="center" wrapText="1"/>
      <protection locked="0"/>
    </xf>
    <xf numFmtId="0" fontId="44" fillId="0" borderId="32" xfId="0" applyFont="1" applyBorder="1" applyAlignment="1" applyProtection="1">
      <alignment horizontal="center" shrinkToFit="1"/>
      <protection locked="0"/>
    </xf>
    <xf numFmtId="0" fontId="44" fillId="0" borderId="15" xfId="0" applyFont="1" applyBorder="1" applyAlignment="1" applyProtection="1">
      <alignment horizontal="center" shrinkToFit="1"/>
      <protection locked="0"/>
    </xf>
    <xf numFmtId="0" fontId="149" fillId="0" borderId="0" xfId="0" applyFont="1" applyAlignment="1">
      <alignment horizontal="center" vertical="center" wrapText="1"/>
    </xf>
    <xf numFmtId="0" fontId="79" fillId="20" borderId="0" xfId="0" applyFont="1" applyFill="1" applyAlignment="1">
      <alignment horizontal="center" vertical="center"/>
    </xf>
    <xf numFmtId="189" fontId="1" fillId="0" borderId="17" xfId="6" applyNumberFormat="1" applyFont="1" applyFill="1" applyBorder="1" applyAlignment="1" applyProtection="1">
      <alignment horizontal="center"/>
      <protection locked="0" hidden="1"/>
    </xf>
    <xf numFmtId="189" fontId="1" fillId="0" borderId="18" xfId="6" applyNumberFormat="1" applyFont="1" applyFill="1" applyBorder="1" applyAlignment="1" applyProtection="1">
      <alignment horizontal="center"/>
      <protection locked="0" hidden="1"/>
    </xf>
    <xf numFmtId="189" fontId="1" fillId="0" borderId="19" xfId="6" applyNumberFormat="1" applyFont="1" applyFill="1" applyBorder="1" applyAlignment="1" applyProtection="1">
      <alignment horizontal="center"/>
      <protection locked="0" hidden="1"/>
    </xf>
    <xf numFmtId="167" fontId="1" fillId="0" borderId="17" xfId="0" applyNumberFormat="1" applyFont="1" applyBorder="1" applyAlignment="1" applyProtection="1">
      <alignment horizontal="center"/>
      <protection locked="0" hidden="1"/>
    </xf>
    <xf numFmtId="167" fontId="1" fillId="0" borderId="18" xfId="0" applyNumberFormat="1" applyFont="1" applyBorder="1" applyAlignment="1" applyProtection="1">
      <alignment horizontal="center"/>
      <protection locked="0" hidden="1"/>
    </xf>
    <xf numFmtId="167" fontId="1" fillId="0" borderId="19" xfId="0" applyNumberFormat="1" applyFont="1" applyBorder="1" applyAlignment="1" applyProtection="1">
      <alignment horizontal="center"/>
      <protection locked="0" hidden="1"/>
    </xf>
    <xf numFmtId="1" fontId="1" fillId="0" borderId="17" xfId="0" applyNumberFormat="1" applyFont="1" applyBorder="1" applyAlignment="1" applyProtection="1">
      <alignment horizontal="center"/>
      <protection locked="0" hidden="1"/>
    </xf>
    <xf numFmtId="1" fontId="1" fillId="0" borderId="18" xfId="0" applyNumberFormat="1" applyFont="1" applyBorder="1" applyAlignment="1" applyProtection="1">
      <alignment horizontal="center"/>
      <protection locked="0" hidden="1"/>
    </xf>
    <xf numFmtId="1" fontId="1" fillId="0" borderId="19" xfId="0" applyNumberFormat="1" applyFont="1" applyBorder="1" applyAlignment="1" applyProtection="1">
      <alignment horizontal="center"/>
      <protection locked="0" hidden="1"/>
    </xf>
    <xf numFmtId="0" fontId="159" fillId="20" borderId="40" xfId="0" applyFont="1" applyFill="1" applyBorder="1" applyAlignment="1">
      <alignment horizontal="center" vertical="center"/>
    </xf>
    <xf numFmtId="0" fontId="159" fillId="20" borderId="41" xfId="0" applyFont="1" applyFill="1" applyBorder="1" applyAlignment="1">
      <alignment horizontal="center" vertical="center"/>
    </xf>
    <xf numFmtId="167" fontId="159" fillId="20" borderId="60" xfId="0" applyNumberFormat="1" applyFont="1" applyFill="1" applyBorder="1" applyAlignment="1">
      <alignment horizontal="center" vertical="center"/>
    </xf>
    <xf numFmtId="167" fontId="159" fillId="20" borderId="61" xfId="0" applyNumberFormat="1" applyFont="1" applyFill="1" applyBorder="1" applyAlignment="1">
      <alignment horizontal="center" vertical="center"/>
    </xf>
    <xf numFmtId="167" fontId="159" fillId="20" borderId="63" xfId="0" applyNumberFormat="1" applyFont="1" applyFill="1" applyBorder="1" applyAlignment="1">
      <alignment horizontal="center" vertical="center"/>
    </xf>
    <xf numFmtId="167" fontId="159" fillId="20" borderId="64" xfId="0" applyNumberFormat="1" applyFont="1" applyFill="1" applyBorder="1" applyAlignment="1">
      <alignment horizontal="center" vertical="center"/>
    </xf>
    <xf numFmtId="0" fontId="164" fillId="0" borderId="0" xfId="0" applyFont="1" applyAlignment="1">
      <alignment horizontal="center"/>
    </xf>
    <xf numFmtId="0" fontId="165" fillId="0" borderId="0" xfId="0" applyFont="1" applyAlignment="1">
      <alignment horizontal="center" vertical="center" wrapText="1"/>
    </xf>
    <xf numFmtId="181" fontId="82" fillId="0" borderId="0" xfId="0" applyNumberFormat="1" applyFont="1" applyAlignment="1">
      <alignment horizontal="center" vertical="center" wrapText="1"/>
    </xf>
    <xf numFmtId="0" fontId="136" fillId="0" borderId="92" xfId="0" applyFont="1" applyBorder="1" applyAlignment="1">
      <alignment horizontal="right" vertical="center" indent="1"/>
    </xf>
    <xf numFmtId="0" fontId="136" fillId="0" borderId="0" xfId="0" applyFont="1" applyAlignment="1">
      <alignment horizontal="right" vertical="center" indent="1"/>
    </xf>
    <xf numFmtId="188" fontId="99" fillId="20" borderId="39" xfId="0" applyNumberFormat="1" applyFont="1" applyFill="1" applyBorder="1" applyAlignment="1">
      <alignment horizontal="center" vertical="center"/>
    </xf>
    <xf numFmtId="188" fontId="147" fillId="40" borderId="39" xfId="0" applyNumberFormat="1" applyFont="1" applyFill="1" applyBorder="1" applyAlignment="1">
      <alignment horizontal="center" vertical="center"/>
    </xf>
    <xf numFmtId="0" fontId="141" fillId="0" borderId="90" xfId="0" applyFont="1" applyBorder="1" applyAlignment="1">
      <alignment horizontal="left"/>
    </xf>
    <xf numFmtId="0" fontId="141" fillId="0" borderId="0" xfId="0" applyFont="1" applyAlignment="1">
      <alignment horizontal="left"/>
    </xf>
    <xf numFmtId="0" fontId="148" fillId="0" borderId="0" xfId="0" applyFont="1" applyAlignment="1">
      <alignment horizontal="center"/>
    </xf>
    <xf numFmtId="171" fontId="77" fillId="0" borderId="0" xfId="0" applyNumberFormat="1" applyFont="1" applyAlignment="1">
      <alignment horizontal="center" vertical="top"/>
    </xf>
    <xf numFmtId="0" fontId="121" fillId="0" borderId="0" xfId="0" applyFont="1" applyAlignment="1">
      <alignment horizontal="center" vertical="center"/>
    </xf>
    <xf numFmtId="181" fontId="121" fillId="0" borderId="0" xfId="0" applyNumberFormat="1" applyFont="1" applyAlignment="1">
      <alignment horizontal="center"/>
    </xf>
    <xf numFmtId="0" fontId="120" fillId="0" borderId="0" xfId="0" applyFont="1" applyAlignment="1">
      <alignment horizontal="center" vertical="top"/>
    </xf>
    <xf numFmtId="0" fontId="149" fillId="0" borderId="0" xfId="0" applyFont="1" applyAlignment="1">
      <alignment horizontal="center" vertical="center"/>
    </xf>
    <xf numFmtId="0" fontId="136" fillId="0" borderId="91" xfId="0" applyFont="1" applyBorder="1" applyAlignment="1">
      <alignment horizontal="right" vertical="center" indent="1"/>
    </xf>
    <xf numFmtId="167" fontId="99" fillId="20" borderId="39" xfId="0" applyNumberFormat="1" applyFont="1" applyFill="1" applyBorder="1" applyAlignment="1">
      <alignment horizontal="center" vertical="center"/>
    </xf>
    <xf numFmtId="167" fontId="147" fillId="40" borderId="39" xfId="0" applyNumberFormat="1" applyFont="1" applyFill="1" applyBorder="1" applyAlignment="1">
      <alignment horizontal="center" vertical="center"/>
    </xf>
    <xf numFmtId="9" fontId="99" fillId="20" borderId="39" xfId="0" applyNumberFormat="1" applyFont="1" applyFill="1" applyBorder="1" applyAlignment="1">
      <alignment horizontal="center" vertical="center"/>
    </xf>
    <xf numFmtId="9" fontId="147" fillId="40" borderId="39" xfId="0" applyNumberFormat="1" applyFont="1" applyFill="1" applyBorder="1" applyAlignment="1">
      <alignment horizontal="center" vertical="center"/>
    </xf>
    <xf numFmtId="0" fontId="149" fillId="0" borderId="0" xfId="0" applyFont="1" applyAlignment="1">
      <alignment horizontal="center"/>
    </xf>
    <xf numFmtId="2" fontId="149" fillId="0" borderId="0" xfId="0" applyNumberFormat="1" applyFont="1" applyAlignment="1">
      <alignment horizontal="center" vertical="center"/>
    </xf>
    <xf numFmtId="0" fontId="99" fillId="20" borderId="39" xfId="0" applyFont="1" applyFill="1" applyBorder="1" applyAlignment="1">
      <alignment horizontal="center" vertical="center"/>
    </xf>
    <xf numFmtId="0" fontId="147" fillId="40" borderId="39" xfId="0" applyFont="1" applyFill="1" applyBorder="1" applyAlignment="1">
      <alignment horizontal="center" vertical="center"/>
    </xf>
    <xf numFmtId="166" fontId="44" fillId="0" borderId="0" xfId="0" applyNumberFormat="1" applyFont="1" applyAlignment="1">
      <alignment horizontal="left"/>
    </xf>
    <xf numFmtId="175" fontId="44" fillId="0" borderId="0" xfId="0" applyNumberFormat="1" applyFont="1" applyAlignment="1">
      <alignment horizontal="left"/>
    </xf>
    <xf numFmtId="0" fontId="147" fillId="40" borderId="194" xfId="0" applyFont="1" applyFill="1" applyBorder="1" applyAlignment="1">
      <alignment horizontal="left" vertical="center"/>
    </xf>
    <xf numFmtId="0" fontId="147" fillId="40" borderId="195" xfId="0" applyFont="1" applyFill="1" applyBorder="1" applyAlignment="1">
      <alignment horizontal="left" vertical="center"/>
    </xf>
    <xf numFmtId="0" fontId="147" fillId="40" borderId="42" xfId="0" applyFont="1" applyFill="1" applyBorder="1" applyAlignment="1">
      <alignment horizontal="left" vertical="center"/>
    </xf>
    <xf numFmtId="0" fontId="147" fillId="40" borderId="39" xfId="0" applyFont="1" applyFill="1" applyBorder="1" applyAlignment="1">
      <alignment horizontal="left" vertical="center"/>
    </xf>
    <xf numFmtId="167" fontId="147" fillId="40" borderId="195" xfId="0" applyNumberFormat="1" applyFont="1" applyFill="1" applyBorder="1" applyAlignment="1">
      <alignment horizontal="center" vertical="center"/>
    </xf>
    <xf numFmtId="0" fontId="147" fillId="40" borderId="195" xfId="0" applyFont="1" applyFill="1" applyBorder="1" applyAlignment="1">
      <alignment horizontal="center" vertical="center"/>
    </xf>
    <xf numFmtId="167" fontId="77" fillId="0" borderId="0" xfId="0" applyNumberFormat="1" applyFont="1" applyAlignment="1">
      <alignment horizontal="center"/>
    </xf>
    <xf numFmtId="0" fontId="142" fillId="0" borderId="0" xfId="0" applyFont="1" applyAlignment="1">
      <alignment horizontal="center" vertical="center"/>
    </xf>
    <xf numFmtId="0" fontId="43" fillId="0" borderId="0" xfId="0" applyFont="1" applyAlignment="1">
      <alignment horizontal="center" vertical="center" wrapText="1"/>
    </xf>
    <xf numFmtId="0" fontId="157" fillId="34" borderId="0" xfId="0" applyFont="1" applyFill="1" applyAlignment="1">
      <alignment horizontal="left"/>
    </xf>
    <xf numFmtId="0" fontId="82" fillId="0" borderId="0" xfId="0" applyFont="1" applyAlignment="1">
      <alignment horizontal="right"/>
    </xf>
    <xf numFmtId="0" fontId="31" fillId="0" borderId="0" xfId="0" applyFont="1" applyAlignment="1">
      <alignment horizontal="left"/>
    </xf>
    <xf numFmtId="0" fontId="144" fillId="20" borderId="0" xfId="0" applyFont="1" applyFill="1" applyAlignment="1">
      <alignment horizontal="left" vertical="center"/>
    </xf>
    <xf numFmtId="0" fontId="146" fillId="20" borderId="0" xfId="0" applyFont="1" applyFill="1" applyAlignment="1">
      <alignment horizontal="left" vertical="center"/>
    </xf>
    <xf numFmtId="0" fontId="133" fillId="0" borderId="0" xfId="0" applyFont="1" applyAlignment="1">
      <alignment horizontal="center" vertical="center" wrapText="1"/>
    </xf>
    <xf numFmtId="0" fontId="99" fillId="20" borderId="60" xfId="0" applyFont="1" applyFill="1" applyBorder="1" applyAlignment="1">
      <alignment horizontal="center" vertical="center" wrapText="1"/>
    </xf>
    <xf numFmtId="0" fontId="99" fillId="20" borderId="61" xfId="0" applyFont="1" applyFill="1" applyBorder="1" applyAlignment="1">
      <alignment horizontal="center" vertical="center" wrapText="1"/>
    </xf>
    <xf numFmtId="0" fontId="99" fillId="20" borderId="204" xfId="0" applyFont="1" applyFill="1" applyBorder="1" applyAlignment="1">
      <alignment horizontal="center" vertical="center" wrapText="1"/>
    </xf>
    <xf numFmtId="0" fontId="99" fillId="20" borderId="63" xfId="0" applyFont="1" applyFill="1" applyBorder="1" applyAlignment="1">
      <alignment horizontal="center" vertical="center" wrapText="1"/>
    </xf>
    <xf numFmtId="0" fontId="99" fillId="20" borderId="64" xfId="0" applyFont="1" applyFill="1" applyBorder="1" applyAlignment="1">
      <alignment horizontal="center" vertical="center" wrapText="1"/>
    </xf>
    <xf numFmtId="0" fontId="99" fillId="20" borderId="194" xfId="0" applyFont="1" applyFill="1" applyBorder="1" applyAlignment="1">
      <alignment horizontal="center" vertical="center" wrapText="1"/>
    </xf>
    <xf numFmtId="10" fontId="99" fillId="20" borderId="39" xfId="0" applyNumberFormat="1" applyFont="1" applyFill="1" applyBorder="1" applyAlignment="1">
      <alignment horizontal="center" vertical="center"/>
    </xf>
    <xf numFmtId="0" fontId="44" fillId="0" borderId="54" xfId="0" applyFont="1" applyBorder="1" applyAlignment="1">
      <alignment horizontal="center" vertical="top"/>
    </xf>
    <xf numFmtId="0" fontId="128" fillId="0" borderId="51" xfId="0" applyFont="1" applyBorder="1" applyAlignment="1">
      <alignment horizontal="center" vertical="center" wrapText="1"/>
    </xf>
    <xf numFmtId="0" fontId="128" fillId="0" borderId="0" xfId="0" applyFont="1" applyAlignment="1">
      <alignment horizontal="center" vertical="center" wrapText="1"/>
    </xf>
    <xf numFmtId="0" fontId="128" fillId="0" borderId="52" xfId="0" applyFont="1" applyBorder="1" applyAlignment="1">
      <alignment horizontal="center" vertical="center" wrapText="1"/>
    </xf>
    <xf numFmtId="0" fontId="128" fillId="0" borderId="53" xfId="0" applyFont="1" applyBorder="1" applyAlignment="1">
      <alignment horizontal="center" vertical="center" wrapText="1"/>
    </xf>
    <xf numFmtId="0" fontId="128" fillId="0" borderId="54" xfId="0" applyFont="1" applyBorder="1" applyAlignment="1">
      <alignment horizontal="center" vertical="center" wrapText="1"/>
    </xf>
    <xf numFmtId="0" fontId="128" fillId="0" borderId="55" xfId="0" applyFont="1" applyBorder="1" applyAlignment="1">
      <alignment horizontal="center" vertical="center" wrapText="1"/>
    </xf>
    <xf numFmtId="0" fontId="44" fillId="0" borderId="0" xfId="0" applyFont="1" applyAlignment="1">
      <alignment horizontal="left" vertical="top" wrapText="1"/>
    </xf>
    <xf numFmtId="0" fontId="44" fillId="0" borderId="52" xfId="0" applyFont="1" applyBorder="1" applyAlignment="1">
      <alignment horizontal="left" vertical="top" wrapText="1"/>
    </xf>
    <xf numFmtId="0" fontId="133" fillId="0" borderId="0" xfId="0" applyFont="1" applyAlignment="1">
      <alignment horizontal="center" vertical="center"/>
    </xf>
    <xf numFmtId="0" fontId="20" fillId="0" borderId="0" xfId="0" applyFont="1" applyAlignment="1">
      <alignment vertical="top" wrapText="1"/>
    </xf>
    <xf numFmtId="0" fontId="20" fillId="0" borderId="52" xfId="0" applyFont="1" applyBorder="1" applyAlignment="1">
      <alignment vertical="top" wrapText="1"/>
    </xf>
    <xf numFmtId="0" fontId="86" fillId="0" borderId="0" xfId="1" applyFont="1" applyBorder="1"/>
    <xf numFmtId="0" fontId="86" fillId="0" borderId="52" xfId="1" applyFont="1" applyBorder="1"/>
    <xf numFmtId="0" fontId="102" fillId="0" borderId="0" xfId="1" applyFont="1" applyFill="1" applyBorder="1" applyAlignment="1">
      <alignment horizontal="left" vertical="top" wrapText="1"/>
    </xf>
    <xf numFmtId="0" fontId="43" fillId="0" borderId="0" xfId="0" applyFont="1" applyAlignment="1">
      <alignment horizontal="center" vertical="top"/>
    </xf>
    <xf numFmtId="0" fontId="20" fillId="0" borderId="0" xfId="0" applyFont="1" applyAlignment="1">
      <alignment horizontal="left" vertical="top" wrapText="1"/>
    </xf>
    <xf numFmtId="0" fontId="102" fillId="0" borderId="0" xfId="1" applyFont="1" applyFill="1" applyBorder="1" applyAlignment="1">
      <alignment horizontal="left" vertical="top"/>
    </xf>
    <xf numFmtId="0" fontId="1" fillId="0" borderId="0" xfId="0" applyFont="1" applyAlignment="1">
      <alignment horizontal="left" vertical="top" wrapText="1"/>
    </xf>
    <xf numFmtId="0" fontId="120" fillId="36" borderId="0" xfId="0" applyFont="1" applyFill="1" applyAlignment="1">
      <alignment horizontal="left" vertical="center" wrapText="1"/>
    </xf>
    <xf numFmtId="0" fontId="44" fillId="36" borderId="0" xfId="0" applyFont="1" applyFill="1" applyAlignment="1">
      <alignment horizontal="left" vertical="top"/>
    </xf>
    <xf numFmtId="0" fontId="76" fillId="35" borderId="65" xfId="0" applyFont="1" applyFill="1" applyBorder="1" applyAlignment="1">
      <alignment horizontal="left" vertical="top"/>
    </xf>
    <xf numFmtId="0" fontId="124" fillId="35" borderId="65" xfId="0" applyFont="1" applyFill="1" applyBorder="1" applyAlignment="1">
      <alignment horizontal="left" vertical="top"/>
    </xf>
    <xf numFmtId="171" fontId="76" fillId="35" borderId="65" xfId="0" applyNumberFormat="1" applyFont="1" applyFill="1" applyBorder="1" applyAlignment="1">
      <alignment horizontal="left" vertical="top"/>
    </xf>
    <xf numFmtId="167" fontId="76" fillId="35" borderId="65" xfId="0" applyNumberFormat="1" applyFont="1" applyFill="1" applyBorder="1" applyAlignment="1">
      <alignment horizontal="left" vertical="top"/>
    </xf>
    <xf numFmtId="0" fontId="43" fillId="36" borderId="0" xfId="0" applyFont="1" applyFill="1" applyAlignment="1">
      <alignment horizontal="left" vertical="top"/>
    </xf>
    <xf numFmtId="0" fontId="120" fillId="36" borderId="0" xfId="0" applyFont="1" applyFill="1" applyAlignment="1">
      <alignment horizontal="left" vertical="top"/>
    </xf>
    <xf numFmtId="171" fontId="57" fillId="35" borderId="65" xfId="0" applyNumberFormat="1" applyFont="1" applyFill="1" applyBorder="1" applyAlignment="1">
      <alignment horizontal="left" vertical="top"/>
    </xf>
    <xf numFmtId="0" fontId="57" fillId="35" borderId="0" xfId="0" applyFont="1" applyFill="1" applyAlignment="1">
      <alignment horizontal="left" vertical="top" wrapText="1"/>
    </xf>
    <xf numFmtId="175" fontId="44" fillId="36" borderId="0" xfId="0" applyNumberFormat="1" applyFont="1" applyFill="1" applyAlignment="1">
      <alignment horizontal="left" vertical="top"/>
    </xf>
    <xf numFmtId="167" fontId="57" fillId="35" borderId="65" xfId="0" applyNumberFormat="1" applyFont="1" applyFill="1" applyBorder="1" applyAlignment="1">
      <alignment horizontal="left" vertical="top"/>
    </xf>
    <xf numFmtId="0" fontId="76" fillId="35" borderId="65" xfId="0" applyFont="1" applyFill="1" applyBorder="1" applyAlignment="1">
      <alignment vertical="top"/>
    </xf>
    <xf numFmtId="175" fontId="57" fillId="35" borderId="0" xfId="0" applyNumberFormat="1" applyFont="1" applyFill="1" applyAlignment="1">
      <alignment horizontal="left" vertical="top" wrapText="1"/>
    </xf>
    <xf numFmtId="14" fontId="44" fillId="36" borderId="0" xfId="2" applyNumberFormat="1" applyFont="1" applyFill="1" applyAlignment="1" applyProtection="1">
      <alignment horizontal="left" vertical="top"/>
      <protection locked="0"/>
    </xf>
    <xf numFmtId="0" fontId="49" fillId="36" borderId="0" xfId="2" applyFont="1" applyFill="1" applyAlignment="1" applyProtection="1">
      <alignment horizontal="center" vertical="center" wrapText="1"/>
    </xf>
    <xf numFmtId="0" fontId="44" fillId="36" borderId="0" xfId="2" applyFont="1" applyFill="1" applyAlignment="1" applyProtection="1">
      <alignment horizontal="left" vertical="top"/>
      <protection locked="0"/>
    </xf>
    <xf numFmtId="0" fontId="50" fillId="36" borderId="0" xfId="2" applyFont="1" applyFill="1" applyAlignment="1" applyProtection="1">
      <alignment horizontal="left" vertical="top"/>
    </xf>
    <xf numFmtId="0" fontId="120" fillId="0" borderId="0" xfId="0" applyFont="1" applyAlignment="1">
      <alignment horizontal="center" vertical="center"/>
    </xf>
    <xf numFmtId="0" fontId="43" fillId="0" borderId="0" xfId="0" applyFont="1" applyAlignment="1">
      <alignment horizontal="center" vertical="center"/>
    </xf>
    <xf numFmtId="0" fontId="44" fillId="0" borderId="0" xfId="2" applyFont="1" applyAlignment="1" applyProtection="1">
      <alignment horizontal="center" vertical="center" wrapText="1"/>
    </xf>
    <xf numFmtId="14" fontId="123" fillId="0" borderId="0" xfId="0" applyNumberFormat="1" applyFont="1" applyAlignment="1" applyProtection="1">
      <alignment horizontal="center" wrapText="1"/>
      <protection locked="0"/>
    </xf>
    <xf numFmtId="14" fontId="123" fillId="0" borderId="21" xfId="0" applyNumberFormat="1" applyFont="1" applyBorder="1" applyAlignment="1" applyProtection="1">
      <alignment horizontal="center" wrapText="1"/>
      <protection locked="0"/>
    </xf>
    <xf numFmtId="0" fontId="121" fillId="0" borderId="0" xfId="0" applyFont="1" applyAlignment="1">
      <alignment horizontal="center"/>
    </xf>
    <xf numFmtId="0" fontId="44" fillId="0" borderId="0" xfId="2" applyFont="1" applyAlignment="1" applyProtection="1">
      <alignment horizontal="center" vertical="top"/>
    </xf>
    <xf numFmtId="0" fontId="81" fillId="0" borderId="0" xfId="0" applyFont="1" applyAlignment="1">
      <alignment horizontal="center"/>
    </xf>
    <xf numFmtId="0" fontId="118" fillId="20" borderId="0" xfId="0" applyFont="1" applyFill="1" applyAlignment="1">
      <alignment horizontal="left" vertical="center"/>
    </xf>
    <xf numFmtId="0" fontId="119" fillId="34" borderId="0" xfId="0" applyFont="1" applyFill="1" applyAlignment="1">
      <alignment horizontal="left" vertical="center"/>
    </xf>
    <xf numFmtId="0" fontId="171" fillId="20" borderId="0" xfId="0" applyFont="1" applyFill="1" applyAlignment="1">
      <alignment horizontal="left" vertical="center" wrapText="1"/>
    </xf>
    <xf numFmtId="0" fontId="77" fillId="35" borderId="0" xfId="0" applyFont="1" applyFill="1" applyAlignment="1">
      <alignment horizontal="left" vertical="center" wrapText="1"/>
    </xf>
    <xf numFmtId="0" fontId="76" fillId="35" borderId="0" xfId="0" applyFont="1" applyFill="1" applyAlignment="1">
      <alignment horizontal="left" vertical="top" wrapText="1"/>
    </xf>
    <xf numFmtId="0" fontId="84" fillId="0" borderId="0" xfId="0" applyFont="1" applyAlignment="1">
      <alignment horizontal="left" vertical="center" wrapText="1"/>
    </xf>
    <xf numFmtId="0" fontId="172" fillId="20" borderId="0" xfId="0" applyFont="1" applyFill="1" applyAlignment="1">
      <alignment horizontal="left" vertical="center" wrapText="1"/>
    </xf>
    <xf numFmtId="0" fontId="43" fillId="0" borderId="0" xfId="0" applyFont="1" applyAlignment="1">
      <alignment horizontal="center"/>
    </xf>
    <xf numFmtId="0" fontId="56" fillId="0" borderId="0" xfId="0" applyFont="1" applyAlignment="1">
      <alignment horizontal="justify" vertical="top" wrapText="1"/>
    </xf>
    <xf numFmtId="0" fontId="121" fillId="0" borderId="0" xfId="0" applyFont="1" applyAlignment="1">
      <alignment horizontal="center" wrapText="1"/>
    </xf>
    <xf numFmtId="0" fontId="123" fillId="0" borderId="0" xfId="0" applyFont="1" applyAlignment="1" applyProtection="1">
      <alignment horizontal="center" wrapText="1"/>
      <protection locked="0"/>
    </xf>
    <xf numFmtId="0" fontId="123" fillId="0" borderId="21" xfId="0" applyFont="1" applyBorder="1" applyAlignment="1" applyProtection="1">
      <alignment horizontal="center" wrapText="1"/>
      <protection locked="0"/>
    </xf>
    <xf numFmtId="0" fontId="44" fillId="0" borderId="0" xfId="0" applyFont="1" applyAlignment="1">
      <alignment horizontal="left" vertical="center" wrapText="1"/>
    </xf>
    <xf numFmtId="0" fontId="125" fillId="0" borderId="0" xfId="0" applyFont="1" applyAlignment="1">
      <alignment horizontal="left" vertical="top"/>
    </xf>
    <xf numFmtId="0" fontId="43" fillId="0" borderId="0" xfId="0" applyFont="1" applyAlignment="1">
      <alignment horizontal="left" vertical="top"/>
    </xf>
    <xf numFmtId="0" fontId="119" fillId="8" borderId="0" xfId="0" applyFont="1" applyFill="1" applyAlignment="1">
      <alignment horizontal="left" vertical="center"/>
    </xf>
    <xf numFmtId="0" fontId="12" fillId="0" borderId="0" xfId="0" applyFont="1" applyAlignment="1">
      <alignment horizontal="left" wrapText="1"/>
    </xf>
    <xf numFmtId="0" fontId="44" fillId="18" borderId="39" xfId="0" applyFont="1" applyFill="1" applyBorder="1"/>
    <xf numFmtId="0" fontId="88" fillId="8" borderId="40" xfId="0" applyFont="1" applyFill="1" applyBorder="1" applyAlignment="1">
      <alignment vertical="center"/>
    </xf>
    <xf numFmtId="0" fontId="88" fillId="8" borderId="41" xfId="0" applyFont="1" applyFill="1" applyBorder="1" applyAlignment="1">
      <alignment vertical="center"/>
    </xf>
    <xf numFmtId="175" fontId="44" fillId="3" borderId="39" xfId="0" applyNumberFormat="1" applyFont="1" applyFill="1" applyBorder="1" applyAlignment="1">
      <alignment horizontal="left" vertical="top"/>
    </xf>
    <xf numFmtId="0" fontId="44" fillId="3" borderId="39" xfId="0" applyFont="1" applyFill="1" applyBorder="1" applyAlignment="1">
      <alignment horizontal="left" vertical="top"/>
    </xf>
    <xf numFmtId="0" fontId="44" fillId="3" borderId="39" xfId="0" applyFont="1" applyFill="1" applyBorder="1"/>
    <xf numFmtId="166" fontId="44" fillId="3" borderId="39" xfId="0" applyNumberFormat="1" applyFont="1" applyFill="1" applyBorder="1" applyAlignment="1">
      <alignment horizontal="left" vertical="top"/>
    </xf>
    <xf numFmtId="0" fontId="14" fillId="3" borderId="39" xfId="0" applyFont="1" applyFill="1" applyBorder="1"/>
    <xf numFmtId="0" fontId="44" fillId="9" borderId="61" xfId="0" applyFont="1" applyFill="1" applyBorder="1" applyAlignment="1">
      <alignment horizontal="left" vertical="top" wrapText="1"/>
    </xf>
    <xf numFmtId="0" fontId="44" fillId="9" borderId="0" xfId="0" applyFont="1" applyFill="1" applyAlignment="1">
      <alignment horizontal="left" vertical="top" wrapText="1"/>
    </xf>
    <xf numFmtId="0" fontId="15" fillId="14" borderId="39" xfId="0" applyFont="1" applyFill="1" applyBorder="1"/>
    <xf numFmtId="0" fontId="44" fillId="14" borderId="39" xfId="0" applyFont="1" applyFill="1" applyBorder="1"/>
    <xf numFmtId="14" fontId="44" fillId="15" borderId="39" xfId="0" applyNumberFormat="1" applyFont="1" applyFill="1" applyBorder="1" applyAlignment="1">
      <alignment horizontal="left" vertical="top"/>
    </xf>
    <xf numFmtId="0" fontId="44" fillId="15" borderId="39" xfId="0" applyFont="1" applyFill="1" applyBorder="1"/>
    <xf numFmtId="0" fontId="44" fillId="15" borderId="39" xfId="0" applyFont="1" applyFill="1" applyBorder="1" applyAlignment="1">
      <alignment horizontal="left" vertical="top"/>
    </xf>
    <xf numFmtId="0" fontId="44" fillId="17" borderId="40" xfId="0" applyFont="1" applyFill="1" applyBorder="1" applyAlignment="1">
      <alignment horizontal="left" vertical="top"/>
    </xf>
    <xf numFmtId="0" fontId="44" fillId="17" borderId="42" xfId="0" applyFont="1" applyFill="1" applyBorder="1" applyAlignment="1">
      <alignment horizontal="left" vertical="top"/>
    </xf>
    <xf numFmtId="0" fontId="44" fillId="17" borderId="41" xfId="0" applyFont="1" applyFill="1" applyBorder="1" applyAlignment="1">
      <alignment horizontal="left" vertical="top"/>
    </xf>
    <xf numFmtId="175" fontId="44" fillId="17" borderId="40" xfId="0" applyNumberFormat="1" applyFont="1" applyFill="1" applyBorder="1" applyAlignment="1">
      <alignment horizontal="left" vertical="top"/>
    </xf>
    <xf numFmtId="175" fontId="44" fillId="17" borderId="41" xfId="0" applyNumberFormat="1" applyFont="1" applyFill="1" applyBorder="1" applyAlignment="1">
      <alignment horizontal="left" vertical="top"/>
    </xf>
    <xf numFmtId="175" fontId="44" fillId="17" borderId="42" xfId="0" applyNumberFormat="1" applyFont="1" applyFill="1" applyBorder="1" applyAlignment="1">
      <alignment horizontal="left" vertical="top"/>
    </xf>
    <xf numFmtId="14" fontId="44" fillId="17" borderId="40" xfId="0" applyNumberFormat="1" applyFont="1" applyFill="1" applyBorder="1" applyAlignment="1">
      <alignment horizontal="left" vertical="top"/>
    </xf>
    <xf numFmtId="14" fontId="44" fillId="17" borderId="41" xfId="0" applyNumberFormat="1" applyFont="1" applyFill="1" applyBorder="1" applyAlignment="1">
      <alignment horizontal="left" vertical="top"/>
    </xf>
    <xf numFmtId="14" fontId="44" fillId="17" borderId="42" xfId="0" applyNumberFormat="1" applyFont="1" applyFill="1" applyBorder="1" applyAlignment="1">
      <alignment horizontal="left" vertical="top"/>
    </xf>
    <xf numFmtId="0" fontId="44" fillId="17" borderId="40" xfId="0" applyFont="1" applyFill="1" applyBorder="1" applyAlignment="1">
      <alignment horizontal="left"/>
    </xf>
    <xf numFmtId="0" fontId="44" fillId="17" borderId="41" xfId="0" applyFont="1" applyFill="1" applyBorder="1" applyAlignment="1">
      <alignment horizontal="left"/>
    </xf>
    <xf numFmtId="0" fontId="44" fillId="17" borderId="42" xfId="0" applyFont="1" applyFill="1" applyBorder="1" applyAlignment="1">
      <alignment horizontal="left"/>
    </xf>
    <xf numFmtId="0" fontId="44" fillId="18" borderId="39" xfId="0" applyFont="1" applyFill="1" applyBorder="1" applyAlignment="1">
      <alignment horizontal="left" vertical="top"/>
    </xf>
    <xf numFmtId="0" fontId="44" fillId="14" borderId="39" xfId="0" applyFont="1" applyFill="1" applyBorder="1" applyAlignment="1">
      <alignment horizontal="left" vertical="top"/>
    </xf>
    <xf numFmtId="175" fontId="44" fillId="14" borderId="39" xfId="0" applyNumberFormat="1" applyFont="1" applyFill="1" applyBorder="1" applyAlignment="1">
      <alignment horizontal="left" vertical="top"/>
    </xf>
    <xf numFmtId="166" fontId="44" fillId="14" borderId="39" xfId="0" applyNumberFormat="1" applyFont="1" applyFill="1" applyBorder="1" applyAlignment="1">
      <alignment horizontal="left" vertical="top"/>
    </xf>
    <xf numFmtId="0" fontId="88" fillId="8" borderId="39" xfId="0" applyFont="1" applyFill="1" applyBorder="1" applyAlignment="1">
      <alignment vertical="center"/>
    </xf>
    <xf numFmtId="0" fontId="44" fillId="16" borderId="39" xfId="0" applyFont="1" applyFill="1" applyBorder="1" applyAlignment="1">
      <alignment horizontal="left" vertical="top"/>
    </xf>
    <xf numFmtId="0" fontId="44" fillId="16" borderId="40" xfId="0" applyFont="1" applyFill="1" applyBorder="1" applyAlignment="1">
      <alignment horizontal="left" vertical="top"/>
    </xf>
    <xf numFmtId="0" fontId="44" fillId="16" borderId="41" xfId="0" applyFont="1" applyFill="1" applyBorder="1" applyAlignment="1">
      <alignment horizontal="left" vertical="top"/>
    </xf>
    <xf numFmtId="0" fontId="44" fillId="16" borderId="42" xfId="0" applyFont="1" applyFill="1" applyBorder="1" applyAlignment="1">
      <alignment horizontal="left" vertical="top"/>
    </xf>
    <xf numFmtId="14" fontId="44" fillId="16" borderId="40" xfId="0" applyNumberFormat="1" applyFont="1" applyFill="1" applyBorder="1" applyAlignment="1">
      <alignment horizontal="left" vertical="top"/>
    </xf>
    <xf numFmtId="14" fontId="44" fillId="16" borderId="41" xfId="0" applyNumberFormat="1" applyFont="1" applyFill="1" applyBorder="1" applyAlignment="1">
      <alignment horizontal="left" vertical="top"/>
    </xf>
    <xf numFmtId="14" fontId="44" fillId="16" borderId="42" xfId="0" applyNumberFormat="1" applyFont="1" applyFill="1" applyBorder="1" applyAlignment="1">
      <alignment horizontal="left" vertical="top"/>
    </xf>
    <xf numFmtId="0" fontId="81" fillId="0" borderId="0" xfId="0" applyFont="1" applyAlignment="1">
      <alignment horizontal="center" vertical="center"/>
    </xf>
    <xf numFmtId="0" fontId="44" fillId="13" borderId="39" xfId="0" applyFont="1" applyFill="1" applyBorder="1" applyAlignment="1">
      <alignment horizontal="left" vertical="top"/>
    </xf>
    <xf numFmtId="166" fontId="44" fillId="15" borderId="39" xfId="0" applyNumberFormat="1" applyFont="1" applyFill="1" applyBorder="1" applyAlignment="1">
      <alignment horizontal="left" vertical="top"/>
    </xf>
    <xf numFmtId="0" fontId="44" fillId="13" borderId="39" xfId="0" applyFont="1" applyFill="1" applyBorder="1"/>
    <xf numFmtId="166" fontId="44" fillId="18" borderId="39" xfId="0" applyNumberFormat="1" applyFont="1" applyFill="1" applyBorder="1" applyAlignment="1">
      <alignment horizontal="left" vertical="top"/>
    </xf>
    <xf numFmtId="0" fontId="44" fillId="18" borderId="40" xfId="0" applyFont="1" applyFill="1" applyBorder="1" applyAlignment="1">
      <alignment horizontal="left" vertical="top"/>
    </xf>
    <xf numFmtId="0" fontId="44" fillId="18" borderId="41" xfId="0" applyFont="1" applyFill="1" applyBorder="1" applyAlignment="1">
      <alignment horizontal="left" vertical="top"/>
    </xf>
    <xf numFmtId="0" fontId="44" fillId="18" borderId="42" xfId="0" applyFont="1" applyFill="1" applyBorder="1" applyAlignment="1">
      <alignment horizontal="left" vertical="top"/>
    </xf>
    <xf numFmtId="0" fontId="44" fillId="17" borderId="39" xfId="0" applyFont="1" applyFill="1" applyBorder="1" applyAlignment="1">
      <alignment horizontal="left" vertical="top"/>
    </xf>
    <xf numFmtId="166" fontId="44" fillId="17" borderId="40" xfId="0" applyNumberFormat="1" applyFont="1" applyFill="1" applyBorder="1" applyAlignment="1">
      <alignment horizontal="left" vertical="top"/>
    </xf>
    <xf numFmtId="166" fontId="44" fillId="17" borderId="42" xfId="0" applyNumberFormat="1" applyFont="1" applyFill="1" applyBorder="1" applyAlignment="1">
      <alignment horizontal="left" vertical="top"/>
    </xf>
    <xf numFmtId="167" fontId="57" fillId="7" borderId="40" xfId="0" applyNumberFormat="1" applyFont="1" applyFill="1" applyBorder="1" applyAlignment="1">
      <alignment horizontal="left" vertical="top"/>
    </xf>
    <xf numFmtId="167" fontId="57" fillId="7" borderId="41" xfId="0" applyNumberFormat="1" applyFont="1" applyFill="1" applyBorder="1" applyAlignment="1">
      <alignment horizontal="left" vertical="top"/>
    </xf>
    <xf numFmtId="167" fontId="57" fillId="7" borderId="42" xfId="0" applyNumberFormat="1" applyFont="1" applyFill="1" applyBorder="1" applyAlignment="1">
      <alignment horizontal="left" vertical="top"/>
    </xf>
    <xf numFmtId="0" fontId="44" fillId="0" borderId="39" xfId="0" applyFont="1" applyBorder="1" applyAlignment="1" applyProtection="1">
      <alignment horizontal="left" vertical="top"/>
      <protection locked="0"/>
    </xf>
    <xf numFmtId="3" fontId="57" fillId="7" borderId="39" xfId="0" applyNumberFormat="1" applyFont="1" applyFill="1" applyBorder="1" applyAlignment="1">
      <alignment horizontal="left" vertical="top"/>
    </xf>
    <xf numFmtId="4" fontId="57" fillId="7" borderId="39" xfId="0" applyNumberFormat="1" applyFont="1" applyFill="1" applyBorder="1" applyAlignment="1">
      <alignment horizontal="left" vertical="top"/>
    </xf>
    <xf numFmtId="0" fontId="1" fillId="13" borderId="39" xfId="0" applyFont="1" applyFill="1" applyBorder="1"/>
    <xf numFmtId="175" fontId="44" fillId="15" borderId="39" xfId="0" applyNumberFormat="1" applyFont="1" applyFill="1" applyBorder="1" applyAlignment="1">
      <alignment horizontal="left" vertical="top"/>
    </xf>
    <xf numFmtId="0" fontId="57" fillId="7" borderId="39" xfId="0" applyFont="1" applyFill="1" applyBorder="1"/>
    <xf numFmtId="168" fontId="44" fillId="0" borderId="39" xfId="0" applyNumberFormat="1" applyFont="1" applyBorder="1" applyAlignment="1" applyProtection="1">
      <alignment horizontal="left" vertical="top"/>
      <protection locked="0"/>
    </xf>
    <xf numFmtId="0" fontId="57" fillId="7" borderId="39" xfId="0" applyFont="1" applyFill="1" applyBorder="1" applyAlignment="1">
      <alignment horizontal="left" vertical="top"/>
    </xf>
    <xf numFmtId="167" fontId="57" fillId="7" borderId="39" xfId="0" applyNumberFormat="1" applyFont="1" applyFill="1" applyBorder="1" applyAlignment="1">
      <alignment horizontal="left" vertical="top"/>
    </xf>
    <xf numFmtId="0" fontId="9" fillId="17" borderId="40" xfId="0" applyFont="1" applyFill="1" applyBorder="1" applyAlignment="1">
      <alignment horizontal="left"/>
    </xf>
    <xf numFmtId="0" fontId="9" fillId="17" borderId="41" xfId="0" applyFont="1" applyFill="1" applyBorder="1" applyAlignment="1">
      <alignment horizontal="left"/>
    </xf>
    <xf numFmtId="0" fontId="9" fillId="17" borderId="42" xfId="0" applyFont="1" applyFill="1" applyBorder="1" applyAlignment="1">
      <alignment horizontal="left"/>
    </xf>
    <xf numFmtId="0" fontId="44" fillId="17" borderId="39" xfId="0" applyFont="1" applyFill="1" applyBorder="1"/>
    <xf numFmtId="0" fontId="44" fillId="16" borderId="40" xfId="0" applyFont="1" applyFill="1" applyBorder="1" applyAlignment="1">
      <alignment horizontal="left"/>
    </xf>
    <xf numFmtId="0" fontId="44" fillId="16" borderId="41" xfId="0" applyFont="1" applyFill="1" applyBorder="1" applyAlignment="1">
      <alignment horizontal="left"/>
    </xf>
    <xf numFmtId="0" fontId="44" fillId="16" borderId="42" xfId="0" applyFont="1" applyFill="1" applyBorder="1" applyAlignment="1">
      <alignment horizontal="left"/>
    </xf>
    <xf numFmtId="0" fontId="9" fillId="16" borderId="39" xfId="0" applyFont="1" applyFill="1" applyBorder="1"/>
    <xf numFmtId="0" fontId="44" fillId="16" borderId="39" xfId="0" applyFont="1" applyFill="1" applyBorder="1"/>
    <xf numFmtId="177" fontId="57" fillId="7" borderId="39" xfId="0" applyNumberFormat="1" applyFont="1" applyFill="1" applyBorder="1" applyAlignment="1">
      <alignment horizontal="left" vertical="top"/>
    </xf>
    <xf numFmtId="14" fontId="57" fillId="7" borderId="40" xfId="0" applyNumberFormat="1" applyFont="1" applyFill="1" applyBorder="1" applyAlignment="1">
      <alignment horizontal="left" vertical="top"/>
    </xf>
    <xf numFmtId="14" fontId="57" fillId="7" borderId="41" xfId="0" applyNumberFormat="1" applyFont="1" applyFill="1" applyBorder="1" applyAlignment="1">
      <alignment horizontal="left" vertical="top"/>
    </xf>
    <xf numFmtId="14" fontId="57" fillId="7" borderId="42" xfId="0" applyNumberFormat="1" applyFont="1" applyFill="1" applyBorder="1" applyAlignment="1">
      <alignment horizontal="left" vertical="top"/>
    </xf>
    <xf numFmtId="49" fontId="1" fillId="0" borderId="40" xfId="0" applyNumberFormat="1" applyFont="1" applyBorder="1" applyAlignment="1" applyProtection="1">
      <alignment horizontal="left" vertical="top"/>
      <protection locked="0"/>
    </xf>
    <xf numFmtId="49" fontId="22" fillId="0" borderId="41" xfId="0" applyNumberFormat="1" applyFont="1" applyBorder="1" applyAlignment="1" applyProtection="1">
      <alignment horizontal="left" vertical="top"/>
      <protection locked="0"/>
    </xf>
    <xf numFmtId="49" fontId="22" fillId="0" borderId="42" xfId="0" applyNumberFormat="1" applyFont="1" applyBorder="1" applyAlignment="1" applyProtection="1">
      <alignment horizontal="left" vertical="top"/>
      <protection locked="0"/>
    </xf>
    <xf numFmtId="49" fontId="44" fillId="0" borderId="40" xfId="0" applyNumberFormat="1" applyFont="1" applyBorder="1" applyAlignment="1" applyProtection="1">
      <alignment horizontal="left" vertical="top"/>
      <protection locked="0"/>
    </xf>
    <xf numFmtId="49" fontId="44" fillId="0" borderId="41" xfId="0" applyNumberFormat="1" applyFont="1" applyBorder="1" applyAlignment="1" applyProtection="1">
      <alignment horizontal="left" vertical="top"/>
      <protection locked="0"/>
    </xf>
    <xf numFmtId="49" fontId="44" fillId="0" borderId="42" xfId="0" applyNumberFormat="1" applyFont="1" applyBorder="1" applyAlignment="1" applyProtection="1">
      <alignment horizontal="left" vertical="top"/>
      <protection locked="0"/>
    </xf>
    <xf numFmtId="0" fontId="44" fillId="0" borderId="40" xfId="0" applyFont="1" applyBorder="1" applyAlignment="1" applyProtection="1">
      <alignment horizontal="left" vertical="top"/>
      <protection locked="0"/>
    </xf>
    <xf numFmtId="0" fontId="44" fillId="0" borderId="41" xfId="0" applyFont="1" applyBorder="1" applyAlignment="1" applyProtection="1">
      <alignment horizontal="left" vertical="top"/>
      <protection locked="0"/>
    </xf>
    <xf numFmtId="0" fontId="44" fillId="0" borderId="42" xfId="0" applyFont="1" applyBorder="1" applyAlignment="1" applyProtection="1">
      <alignment horizontal="left" vertical="top"/>
      <protection locked="0"/>
    </xf>
    <xf numFmtId="9" fontId="44" fillId="0" borderId="40" xfId="0" applyNumberFormat="1" applyFont="1" applyBorder="1" applyAlignment="1" applyProtection="1">
      <alignment horizontal="left" vertical="top"/>
      <protection locked="0"/>
    </xf>
    <xf numFmtId="0" fontId="14" fillId="16" borderId="40" xfId="0" applyFont="1" applyFill="1" applyBorder="1"/>
    <xf numFmtId="0" fontId="14" fillId="16" borderId="41" xfId="0" applyFont="1" applyFill="1" applyBorder="1"/>
    <xf numFmtId="0" fontId="14" fillId="16" borderId="42" xfId="0" applyFont="1" applyFill="1" applyBorder="1"/>
    <xf numFmtId="1" fontId="57" fillId="7" borderId="39" xfId="0" applyNumberFormat="1" applyFont="1" applyFill="1" applyBorder="1" applyAlignment="1">
      <alignment horizontal="left" vertical="top"/>
    </xf>
    <xf numFmtId="167" fontId="57" fillId="7" borderId="40" xfId="0" applyNumberFormat="1" applyFont="1" applyFill="1" applyBorder="1" applyAlignment="1" applyProtection="1">
      <alignment horizontal="left" vertical="top"/>
      <protection locked="0"/>
    </xf>
    <xf numFmtId="167" fontId="57" fillId="7" borderId="41" xfId="0" applyNumberFormat="1" applyFont="1" applyFill="1" applyBorder="1" applyAlignment="1" applyProtection="1">
      <alignment horizontal="left" vertical="top"/>
      <protection locked="0"/>
    </xf>
    <xf numFmtId="167" fontId="57" fillId="7" borderId="42" xfId="0" applyNumberFormat="1" applyFont="1" applyFill="1" applyBorder="1" applyAlignment="1" applyProtection="1">
      <alignment horizontal="left" vertical="top"/>
      <protection locked="0"/>
    </xf>
    <xf numFmtId="0" fontId="57" fillId="7" borderId="40" xfId="0" applyFont="1" applyFill="1" applyBorder="1"/>
    <xf numFmtId="0" fontId="57" fillId="7" borderId="41" xfId="0" applyFont="1" applyFill="1" applyBorder="1"/>
    <xf numFmtId="0" fontId="57" fillId="7" borderId="42" xfId="0" applyFont="1" applyFill="1" applyBorder="1"/>
    <xf numFmtId="175" fontId="44" fillId="16" borderId="40" xfId="0" applyNumberFormat="1" applyFont="1" applyFill="1" applyBorder="1" applyAlignment="1">
      <alignment horizontal="left" vertical="top"/>
    </xf>
    <xf numFmtId="175" fontId="44" fillId="16" borderId="41" xfId="0" applyNumberFormat="1" applyFont="1" applyFill="1" applyBorder="1" applyAlignment="1">
      <alignment horizontal="left" vertical="top"/>
    </xf>
    <xf numFmtId="175" fontId="44" fillId="16" borderId="42" xfId="0" applyNumberFormat="1" applyFont="1" applyFill="1" applyBorder="1" applyAlignment="1">
      <alignment horizontal="left" vertical="top"/>
    </xf>
    <xf numFmtId="180" fontId="44" fillId="17" borderId="40" xfId="0" applyNumberFormat="1" applyFont="1" applyFill="1" applyBorder="1" applyAlignment="1">
      <alignment horizontal="left" vertical="top"/>
    </xf>
    <xf numFmtId="180" fontId="44" fillId="17" borderId="41" xfId="0" applyNumberFormat="1" applyFont="1" applyFill="1" applyBorder="1" applyAlignment="1">
      <alignment horizontal="left" vertical="top"/>
    </xf>
    <xf numFmtId="180" fontId="44" fillId="17" borderId="42" xfId="0" applyNumberFormat="1" applyFont="1" applyFill="1" applyBorder="1" applyAlignment="1">
      <alignment horizontal="left" vertical="top"/>
    </xf>
    <xf numFmtId="0" fontId="9" fillId="16" borderId="40" xfId="0" applyFont="1" applyFill="1" applyBorder="1"/>
    <xf numFmtId="0" fontId="9" fillId="16" borderId="41" xfId="0" applyFont="1" applyFill="1" applyBorder="1"/>
    <xf numFmtId="0" fontId="9" fillId="16" borderId="42" xfId="0" applyFont="1" applyFill="1" applyBorder="1"/>
    <xf numFmtId="175" fontId="9" fillId="16" borderId="40" xfId="0" applyNumberFormat="1" applyFont="1" applyFill="1" applyBorder="1" applyAlignment="1">
      <alignment horizontal="left" vertical="top"/>
    </xf>
    <xf numFmtId="175" fontId="9" fillId="16" borderId="41" xfId="0" applyNumberFormat="1" applyFont="1" applyFill="1" applyBorder="1" applyAlignment="1">
      <alignment horizontal="left" vertical="top"/>
    </xf>
    <xf numFmtId="175" fontId="9" fillId="16" borderId="42" xfId="0" applyNumberFormat="1" applyFont="1" applyFill="1" applyBorder="1" applyAlignment="1">
      <alignment horizontal="left" vertical="top"/>
    </xf>
  </cellXfs>
  <cellStyles count="12">
    <cellStyle name="40% - Accent3" xfId="8" builtinId="39"/>
    <cellStyle name="Comma" xfId="7" builtinId="3"/>
    <cellStyle name="Currency" xfId="11" builtinId="4"/>
    <cellStyle name="Hyperlink" xfId="1" builtinId="8"/>
    <cellStyle name="Normal" xfId="0" builtinId="0"/>
    <cellStyle name="Normal 10" xfId="4" xr:uid="{00000000-0005-0000-0000-000004000000}"/>
    <cellStyle name="Normal 2" xfId="5" xr:uid="{00000000-0005-0000-0000-000005000000}"/>
    <cellStyle name="Normal 2 4 17" xfId="10" xr:uid="{00000000-0005-0000-0000-000006000000}"/>
    <cellStyle name="Normal 25" xfId="2" xr:uid="{00000000-0005-0000-0000-000007000000}"/>
    <cellStyle name="Normal 3" xfId="9" xr:uid="{00000000-0005-0000-0000-000008000000}"/>
    <cellStyle name="Percent" xfId="6" builtinId="5"/>
    <cellStyle name="Percent 3" xfId="3" xr:uid="{00000000-0005-0000-0000-00000A000000}"/>
  </cellStyles>
  <dxfs count="1289">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fgColor rgb="FFFAF5D6"/>
          <bgColor rgb="FFFAF5D6"/>
        </patternFill>
      </fill>
    </dxf>
    <dxf>
      <fill>
        <patternFill>
          <bgColor rgb="FFFAF5D6"/>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rgb="FF00B050"/>
      </font>
    </dxf>
    <dxf>
      <font>
        <b/>
        <i/>
        <color rgb="FFFF0000"/>
      </font>
    </dxf>
    <dxf>
      <font>
        <color rgb="FF92D050"/>
      </font>
    </dxf>
    <dxf>
      <font>
        <color rgb="FFF7941E"/>
      </font>
    </dxf>
    <dxf>
      <font>
        <color rgb="FFC4123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14996795556505021"/>
        </patternFill>
      </fill>
    </dxf>
    <dxf>
      <font>
        <color auto="1"/>
      </font>
      <fill>
        <patternFill>
          <bgColor theme="0" tint="-0.14996795556505021"/>
        </patternFill>
      </fill>
    </dxf>
    <dxf>
      <numFmt numFmtId="190" formatCode="0.00\ &quot;HP&quot;"/>
      <fill>
        <patternFill patternType="none">
          <bgColor auto="1"/>
        </patternFill>
      </fill>
    </dxf>
    <dxf>
      <numFmt numFmtId="0" formatCode="General"/>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rgb="FFFFFF00"/>
        </patternFill>
      </fill>
    </dxf>
    <dxf>
      <numFmt numFmtId="191" formatCode="0.0\ &quot;SEER2&quot;"/>
    </dxf>
    <dxf>
      <font>
        <color auto="1"/>
      </font>
      <numFmt numFmtId="192" formatCode="0.0\ &quot;IEER&quot;"/>
      <fill>
        <patternFill patternType="none">
          <bgColor auto="1"/>
        </patternFill>
      </fill>
    </dxf>
    <dxf>
      <numFmt numFmtId="193" formatCode="0.0\ &quot;SEER&quot;"/>
    </dxf>
    <dxf>
      <numFmt numFmtId="194" formatCode="0.00\ &quot;kW/ton&quot;"/>
    </dxf>
    <dxf>
      <fill>
        <patternFill>
          <bgColor theme="0" tint="-0.1499679555650502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ill>
        <gradientFill degree="180">
          <stop position="0">
            <color theme="0"/>
          </stop>
          <stop position="1">
            <color rgb="FF7BC143"/>
          </stop>
        </gradientFill>
      </fill>
    </dxf>
    <dxf>
      <font>
        <color rgb="FFFF0000"/>
      </font>
    </dxf>
    <dxf>
      <font>
        <color rgb="FFFF0000"/>
      </font>
    </dxf>
    <dxf>
      <numFmt numFmtId="173" formatCode="###\ &quot;W&quot;"/>
      <fill>
        <patternFill>
          <bgColor theme="9" tint="0.79998168889431442"/>
        </patternFill>
      </fill>
    </dxf>
    <dxf>
      <numFmt numFmtId="195" formatCode="####.#\ \W"/>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numFmt numFmtId="195" formatCode="####.#\ \W"/>
    </dxf>
    <dxf>
      <numFmt numFmtId="195" formatCode="####.#\ \W"/>
    </dxf>
    <dxf>
      <numFmt numFmtId="173" formatCode="###\ &quot;W&quot;"/>
      <fill>
        <patternFill>
          <bgColor theme="9" tint="0.79998168889431442"/>
        </patternFill>
      </fill>
    </dxf>
    <dxf>
      <fill>
        <patternFill>
          <bgColor theme="5" tint="0.59996337778862885"/>
        </pattern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theme="5" tint="-0.24994659260841701"/>
      </font>
      <fill>
        <patternFill patternType="none">
          <bgColor auto="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color rgb="FFFF0000"/>
      </font>
    </dxf>
    <dxf>
      <numFmt numFmtId="195" formatCode="####.#\ \W"/>
    </dxf>
    <dxf>
      <numFmt numFmtId="173" formatCode="###\ &quot;W&quot;"/>
      <fill>
        <patternFill>
          <bgColor theme="9" tint="0.79998168889431442"/>
        </patternFill>
      </fill>
    </dxf>
    <dxf>
      <fill>
        <patternFill>
          <bgColor theme="5" tint="0.59996337778862885"/>
        </patternFill>
      </fill>
    </dxf>
    <dxf>
      <numFmt numFmtId="173" formatCode="###\ &quot;W&quot;"/>
      <fill>
        <patternFill>
          <bgColor theme="9" tint="0.79998168889431442"/>
        </patternFill>
      </fill>
    </dxf>
    <dxf>
      <fill>
        <patternFill>
          <bgColor theme="5" tint="0.59996337778862885"/>
        </patternFill>
      </fill>
    </dxf>
    <dxf>
      <font>
        <b/>
        <i val="0"/>
        <color rgb="FFFF0000"/>
      </font>
    </dxf>
    <dxf>
      <font>
        <b/>
        <i val="0"/>
        <color rgb="FFFF0000"/>
      </font>
    </dxf>
    <dxf>
      <font>
        <b/>
        <i val="0"/>
        <color rgb="FFFF0000"/>
      </font>
      <fill>
        <patternFill>
          <bgColor rgb="FFFFFF00"/>
        </patternFill>
      </fill>
    </dxf>
    <dxf>
      <fill>
        <patternFill>
          <bgColor theme="5" tint="0.59996337778862885"/>
        </patternFill>
      </fill>
    </dxf>
    <dxf>
      <font>
        <b/>
        <i val="0"/>
        <color rgb="FFFF0000"/>
      </font>
    </dxf>
    <dxf>
      <fill>
        <patternFill>
          <bgColor theme="5" tint="0.59996337778862885"/>
        </patternFill>
      </fill>
    </dxf>
    <dxf>
      <fill>
        <patternFill>
          <bgColor theme="7"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gradientFill degree="180">
          <stop position="0">
            <color theme="0"/>
          </stop>
          <stop position="1">
            <color rgb="FF7BC143"/>
          </stop>
        </gradientFill>
      </fill>
    </dxf>
    <dxf>
      <font>
        <b/>
        <i val="0"/>
        <color rgb="FFFF0000"/>
      </font>
    </dxf>
    <dxf>
      <font>
        <b/>
        <i val="0"/>
        <color rgb="FFFF0000"/>
      </font>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font>
        <b/>
        <i val="0"/>
        <color rgb="FFFF0000"/>
      </font>
    </dxf>
    <dxf>
      <font>
        <b/>
        <i val="0"/>
        <color rgb="FFFF0000"/>
      </font>
    </dxf>
    <dxf>
      <font>
        <b/>
        <i val="0"/>
        <color rgb="FFEE3224"/>
      </font>
    </dxf>
    <dxf>
      <font>
        <b/>
        <i val="0"/>
        <color rgb="FFEE3224"/>
      </font>
    </dxf>
    <dxf>
      <font>
        <b/>
        <i val="0"/>
        <color rgb="FFFF0000"/>
      </font>
    </dxf>
    <dxf>
      <font>
        <b/>
        <i val="0"/>
        <color rgb="FFFF0000"/>
      </font>
    </dxf>
    <dxf>
      <font>
        <b/>
        <i val="0"/>
        <color rgb="FFFF0000"/>
      </font>
      <fill>
        <patternFill>
          <bgColor rgb="FFFFFF00"/>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ill>
        <gradientFill degree="180">
          <stop position="0">
            <color theme="0"/>
          </stop>
          <stop position="1">
            <color rgb="FF7BC143"/>
          </stop>
        </gradientFill>
      </fill>
    </dxf>
    <dxf>
      <fill>
        <gradientFill degree="270">
          <stop position="0">
            <color theme="0"/>
          </stop>
          <stop position="1">
            <color rgb="FF7BC143"/>
          </stop>
        </gradientFill>
      </fill>
    </dxf>
    <dxf>
      <fill>
        <gradientFill degree="90">
          <stop position="0">
            <color theme="0"/>
          </stop>
          <stop position="1">
            <color rgb="FF7BC143"/>
          </stop>
        </gradient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gradientFill>
          <stop position="0">
            <color theme="0"/>
          </stop>
          <stop position="1">
            <color rgb="FF7BC143"/>
          </stop>
        </gradientFill>
      </fill>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numFmt numFmtId="173" formatCode="###\ &quot;W&quot;"/>
      <fill>
        <patternFill>
          <bgColor theme="9" tint="0.79998168889431442"/>
        </patternFill>
      </fill>
    </dxf>
    <dxf>
      <numFmt numFmtId="195" formatCode="####.#\ \W"/>
    </dxf>
    <dxf>
      <numFmt numFmtId="173" formatCode="###\ &quot;W&quot;"/>
      <fill>
        <patternFill>
          <bgColor theme="9" tint="0.79998168889431442"/>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theme="9" tint="-0.24994659260841701"/>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color rgb="FFFF0000"/>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ont>
        <color theme="0"/>
      </font>
      <border>
        <left/>
        <right/>
        <top/>
        <bottom/>
        <vertical/>
        <horizontal/>
      </border>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rgb="FFFFFF0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tint="-0.24994659260841701"/>
      </font>
      <fill>
        <patternFill>
          <bgColor theme="0" tint="-0.24994659260841701"/>
        </patternFill>
      </fill>
    </dxf>
    <dxf>
      <font>
        <color theme="0"/>
      </font>
      <border>
        <left/>
        <right/>
        <top/>
        <bottom/>
        <vertical/>
        <horizontal/>
      </border>
    </dxf>
    <dxf>
      <fill>
        <patternFill>
          <bgColor rgb="FFFFFF00"/>
        </patternFill>
      </fill>
    </dxf>
    <dxf>
      <font>
        <b/>
        <i val="0"/>
        <color rgb="FFFF0000"/>
      </font>
    </dxf>
    <dxf>
      <fill>
        <patternFill>
          <bgColor rgb="FFFFFF00"/>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color rgb="FFFF0000"/>
      </font>
    </dxf>
    <dxf>
      <font>
        <b/>
        <i val="0"/>
        <color rgb="FFFF0000"/>
      </font>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73" formatCode="###\ &quot;W&quot;"/>
      <fill>
        <patternFill>
          <bgColor theme="9" tint="0.79998168889431442"/>
        </patternFill>
      </fill>
    </dxf>
    <dxf>
      <numFmt numFmtId="195" formatCode="####.#\ \W"/>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ill>
        <patternFill>
          <bgColor theme="5" tint="0.59996337778862885"/>
        </patternFill>
      </fill>
    </dxf>
    <dxf>
      <numFmt numFmtId="173" formatCode="###\ &quot;W&quot;"/>
      <fill>
        <patternFill>
          <bgColor theme="9" tint="0.79998168889431442"/>
        </patternFill>
      </fill>
    </dxf>
    <dxf>
      <numFmt numFmtId="195"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5" formatCode="####.#\ \W"/>
    </dxf>
    <dxf>
      <numFmt numFmtId="173" formatCode="###\ &quot;W&quot;"/>
      <fill>
        <patternFill>
          <bgColor theme="9"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ont>
        <b/>
        <i val="0"/>
        <color rgb="FFFF0000"/>
      </font>
    </dxf>
    <dxf>
      <font>
        <b/>
        <i val="0"/>
        <color rgb="FFFF0000"/>
      </font>
    </dxf>
    <dxf>
      <numFmt numFmtId="173" formatCode="###\ &quot;W&quot;"/>
      <fill>
        <patternFill>
          <bgColor theme="9" tint="0.79998168889431442"/>
        </patternFill>
      </fill>
    </dxf>
    <dxf>
      <numFmt numFmtId="195" formatCode="####.#\ \W"/>
    </dxf>
    <dxf>
      <numFmt numFmtId="173" formatCode="###\ &quot;W&quot;"/>
      <fill>
        <patternFill>
          <bgColor theme="9" tint="0.79998168889431442"/>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theme="0"/>
      </font>
      <fill>
        <patternFill patternType="none">
          <bgColor auto="1"/>
        </patternFill>
      </fill>
      <border>
        <left/>
        <right/>
        <bottom/>
        <vertical/>
        <horizontal/>
      </border>
    </dxf>
    <dxf>
      <font>
        <color theme="0"/>
      </font>
      <fill>
        <patternFill patternType="none">
          <bgColor auto="1"/>
        </patternFill>
      </fill>
      <border>
        <left/>
        <right/>
        <top/>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ont>
        <color rgb="FF72CDF4"/>
      </font>
    </dxf>
    <dxf>
      <font>
        <color rgb="FF72CDF4"/>
      </font>
    </dxf>
    <dxf>
      <font>
        <color rgb="FF72CDF4"/>
      </font>
    </dxf>
    <dxf>
      <font>
        <color rgb="FF72CDF4"/>
      </font>
      <fill>
        <patternFill>
          <bgColor rgb="FF72CDF4"/>
        </patternFill>
      </fill>
      <border>
        <left/>
        <right/>
        <top/>
        <bottom/>
        <vertical/>
        <horizontal/>
      </border>
    </dxf>
    <dxf>
      <font>
        <color rgb="FF72CDF4"/>
      </font>
      <fill>
        <patternFill>
          <bgColor rgb="FF72CDF4"/>
        </patternFill>
      </fill>
      <border>
        <left/>
        <right/>
        <top/>
        <bottom/>
      </border>
    </dxf>
    <dxf>
      <font>
        <color rgb="FF72CDF4"/>
      </font>
      <fill>
        <patternFill>
          <bgColor rgb="FF72CDF4"/>
        </patternFill>
      </fill>
      <border>
        <left/>
        <right/>
        <top/>
        <bottom/>
        <vertical/>
        <horizontal/>
      </border>
    </dxf>
    <dxf>
      <font>
        <color rgb="FF72CDF4"/>
      </font>
      <fill>
        <patternFill>
          <bgColor rgb="FF72CDF4"/>
        </patternFill>
      </fill>
      <border>
        <left/>
        <right/>
        <top/>
        <bottom/>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5" tint="0.59996337778862885"/>
        </patternFill>
      </fill>
    </dxf>
    <dxf>
      <font>
        <b/>
        <i val="0"/>
        <color rgb="FFFF0000"/>
      </font>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FF000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color rgb="FFFF0000"/>
      </font>
    </dxf>
    <dxf>
      <font>
        <b/>
        <i val="0"/>
        <color theme="5" tint="-0.24994659260841701"/>
      </font>
    </dxf>
    <dxf>
      <font>
        <b val="0"/>
        <i val="0"/>
        <color auto="1"/>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font>
        <b val="0"/>
        <i val="0"/>
        <strike val="0"/>
        <condense val="0"/>
        <extend val="0"/>
        <outline val="0"/>
        <shadow val="0"/>
        <u val="none"/>
        <vertAlign val="baseline"/>
        <sz val="8"/>
        <color theme="1"/>
        <name val="Calibri Light"/>
        <scheme val="none"/>
      </font>
      <numFmt numFmtId="2" formatCode="0.00"/>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alignment horizontal="general" vertical="bottom" textRotation="0" wrapText="1" indent="0" justifyLastLine="0" shrinkToFit="0" readingOrder="0"/>
      <protection locked="1" hidden="0"/>
    </dxf>
    <dxf>
      <numFmt numFmtId="178" formatCode="0.0000000000"/>
    </dxf>
    <dxf>
      <numFmt numFmtId="176" formatCode="0.0000"/>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fill>
        <patternFill patternType="solid">
          <fgColor indexed="64"/>
          <bgColor theme="4" tint="0.59999389629810485"/>
        </patternFill>
      </fill>
    </dxf>
    <dxf>
      <numFmt numFmtId="170" formatCode="0.000"/>
    </dxf>
    <dxf>
      <numFmt numFmtId="170" formatCode="0.000"/>
    </dxf>
    <dxf>
      <numFmt numFmtId="170" formatCode="0.000"/>
    </dxf>
    <dxf>
      <font>
        <b val="0"/>
        <i val="0"/>
        <strike/>
        <condense val="0"/>
        <extend val="0"/>
        <outline val="0"/>
        <shadow val="0"/>
        <u val="none"/>
        <vertAlign val="baseline"/>
        <sz val="11"/>
        <color rgb="FFFF0000"/>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outline val="0"/>
        <shadow val="0"/>
        <u val="none"/>
        <vertAlign val="baseline"/>
        <sz val="11"/>
        <color rgb="FFFF0000"/>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ill>
        <patternFill patternType="none">
          <fgColor indexed="64"/>
          <bgColor indexed="65"/>
        </patternFill>
      </fill>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theme="0"/>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b val="0"/>
        <i val="0"/>
        <strike val="0"/>
        <condense val="0"/>
        <extend val="0"/>
        <outline val="0"/>
        <shadow val="0"/>
        <u val="none"/>
        <vertAlign val="baseline"/>
        <sz val="10"/>
        <color auto="1"/>
        <name val="Calibri Light"/>
        <family val="2"/>
        <scheme val="none"/>
      </font>
      <numFmt numFmtId="0" formatCode="General"/>
      <alignment horizontal="general" vertical="bottom" textRotation="0" wrapText="0" indent="0" justifyLastLine="0" shrinkToFit="0" readingOrder="0"/>
      <border diagonalUp="0" diagonalDown="0" outline="0">
        <left/>
        <right/>
        <top style="thin">
          <color theme="9"/>
        </top>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theme="0"/>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numFmt numFmtId="30" formatCode="@"/>
      <alignment horizontal="left" vertical="bottom" textRotation="0" wrapText="0" indent="0" justifyLastLine="0" shrinkToFit="0" readingOrder="0"/>
    </dxf>
    <dxf>
      <font>
        <strike val="0"/>
        <outline val="0"/>
        <shadow val="0"/>
        <u val="none"/>
        <vertAlign val="baseline"/>
        <sz val="10"/>
        <color auto="1"/>
        <name val="Calibri Light"/>
        <family val="2"/>
        <scheme val="none"/>
      </font>
      <alignment horizontal="left" vertical="bottom" textRotation="0" wrapText="0" indent="0" justifyLastLine="0" shrinkToFit="0" readingOrder="0"/>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0"/>
        <color theme="0"/>
        <name val="Calibri Light"/>
        <family val="2"/>
        <scheme val="none"/>
      </font>
      <fill>
        <patternFill patternType="none">
          <fgColor indexed="64"/>
          <bgColor indexed="65"/>
        </patternFill>
      </fill>
    </dxf>
    <dxf>
      <fill>
        <patternFill patternType="none">
          <fgColor indexed="64"/>
          <bgColor indexed="65"/>
        </patternFill>
      </fill>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b val="0"/>
        <i val="0"/>
        <strike val="0"/>
        <condense val="0"/>
        <extend val="0"/>
        <outline val="0"/>
        <shadow val="0"/>
        <u val="none"/>
        <vertAlign val="baseline"/>
        <sz val="10"/>
        <color auto="1"/>
        <name val="Calibri Light"/>
        <family val="2"/>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font>
        <strike val="0"/>
        <outline val="0"/>
        <shadow val="0"/>
        <u val="none"/>
        <vertAlign val="baseline"/>
        <sz val="10"/>
        <color auto="1"/>
        <name val="Calibri Light"/>
        <family val="2"/>
        <scheme val="none"/>
      </font>
    </dxf>
    <dxf>
      <border outline="0">
        <top style="thin">
          <color theme="4" tint="0.39997558519241921"/>
        </top>
      </border>
    </dxf>
    <dxf>
      <font>
        <strike val="0"/>
        <outline val="0"/>
        <shadow val="0"/>
        <u val="none"/>
        <vertAlign val="baseline"/>
        <sz val="10"/>
        <color auto="1"/>
        <name val="Calibri Light"/>
        <family val="2"/>
        <scheme val="none"/>
      </font>
    </dxf>
    <dxf>
      <border outline="0">
        <bottom style="thin">
          <color theme="4" tint="0.39997558519241921"/>
        </bottom>
      </border>
    </dxf>
    <dxf>
      <font>
        <b/>
        <i val="0"/>
        <strike val="0"/>
        <condense val="0"/>
        <extend val="0"/>
        <outline val="0"/>
        <shadow val="0"/>
        <u val="none"/>
        <vertAlign val="baseline"/>
        <sz val="10"/>
        <color theme="0"/>
        <name val="Calibri Light"/>
        <family val="2"/>
        <scheme val="none"/>
      </font>
      <numFmt numFmtId="0" formatCode="General"/>
      <fill>
        <patternFill patternType="solid">
          <fgColor theme="4"/>
          <bgColor theme="4"/>
        </patternFill>
      </fill>
      <alignment horizontal="general" vertical="bottom" textRotation="0" wrapText="1"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ont>
        <b val="0"/>
        <i val="0"/>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font>
    </dxf>
    <dxf>
      <font>
        <b val="0"/>
      </font>
    </dxf>
    <dxf>
      <font>
        <b val="0"/>
        <i val="0"/>
        <strike val="0"/>
        <condense val="0"/>
        <extend val="0"/>
        <outline val="0"/>
        <shadow val="0"/>
        <u val="none"/>
        <vertAlign val="baseline"/>
        <sz val="10"/>
        <color theme="1"/>
        <name val="Calibri Light"/>
        <scheme val="none"/>
      </font>
    </dxf>
    <dxf>
      <font>
        <b val="0"/>
      </font>
    </dxf>
    <dxf>
      <font>
        <b val="0"/>
      </font>
    </dxf>
    <dxf>
      <font>
        <b val="0"/>
        <i val="0"/>
        <strike val="0"/>
        <condense val="0"/>
        <extend val="0"/>
        <outline val="0"/>
        <shadow val="0"/>
        <u val="none"/>
        <vertAlign val="baseline"/>
        <sz val="10"/>
        <color theme="0"/>
        <name val="Calibri Light"/>
        <scheme val="none"/>
      </font>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ertAlign val="baseline"/>
        <sz val="10"/>
        <color auto="1"/>
        <name val="Calibri Light"/>
        <family val="2"/>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theme="0"/>
        <name val="Calibri Light"/>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0"/>
        <color rgb="FFFF0000"/>
        <name val="Calibri Light"/>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i val="0"/>
        <strike val="0"/>
        <outline val="0"/>
        <shadow val="0"/>
        <u val="none"/>
        <vertAlign val="baseline"/>
        <sz val="10"/>
        <name val="Calibri Light"/>
        <family val="2"/>
        <scheme val="none"/>
      </font>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1B6CB5"/>
      <color rgb="FFFF9FA1"/>
      <color rgb="FF439639"/>
      <color rgb="FF1F4E78"/>
      <color rgb="FF17375E"/>
      <color rgb="FF72CDF4"/>
      <color rgb="FFC61D10"/>
      <color rgb="FFEE3224"/>
      <color rgb="FF7F7F7F"/>
      <color rgb="FFD98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97228445569026E-2"/>
          <c:y val="2.7703704026873187E-2"/>
          <c:w val="0.88439324854623558"/>
          <c:h val="0.77314850712334204"/>
        </c:manualLayout>
      </c:layout>
      <c:lineChart>
        <c:grouping val="standard"/>
        <c:varyColors val="0"/>
        <c:ser>
          <c:idx val="0"/>
          <c:order val="0"/>
          <c:tx>
            <c:strRef>
              <c:f>'M06-S01-2'!$AT$12</c:f>
              <c:strCache>
                <c:ptCount val="1"/>
                <c:pt idx="0">
                  <c:v>Cumulative Cost</c:v>
                </c:pt>
              </c:strCache>
            </c:strRef>
          </c:tx>
          <c:spPr>
            <a:ln w="28575" cap="rnd">
              <a:solidFill>
                <a:srgbClr val="17375E"/>
              </a:solidFill>
              <a:round/>
            </a:ln>
            <a:effectLst/>
          </c:spPr>
          <c:marker>
            <c:symbol val="circle"/>
            <c:size val="5"/>
            <c:spPr>
              <a:solidFill>
                <a:srgbClr val="17375E"/>
              </a:solidFill>
              <a:ln w="9525">
                <a:solidFill>
                  <a:srgbClr val="17375E"/>
                </a:solidFill>
              </a:ln>
              <a:effectLst/>
            </c:spPr>
          </c:marker>
          <c:cat>
            <c:strRef>
              <c:f>'M06-S01-2'!$AU$11:$AY$11</c:f>
              <c:strCache>
                <c:ptCount val="5"/>
                <c:pt idx="0">
                  <c:v>Year 1</c:v>
                </c:pt>
                <c:pt idx="1">
                  <c:v>Year 2</c:v>
                </c:pt>
                <c:pt idx="2">
                  <c:v>Year 3</c:v>
                </c:pt>
                <c:pt idx="3">
                  <c:v>Year 4</c:v>
                </c:pt>
                <c:pt idx="4">
                  <c:v>Year 5</c:v>
                </c:pt>
              </c:strCache>
            </c:strRef>
          </c:cat>
          <c:val>
            <c:numRef>
              <c:f>'M06-S01-2'!$AU$12:$AY$12</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ADEB-4805-883B-2C83800B8C08}"/>
            </c:ext>
          </c:extLst>
        </c:ser>
        <c:ser>
          <c:idx val="1"/>
          <c:order val="1"/>
          <c:tx>
            <c:strRef>
              <c:f>'M06-S01-2'!$AT$13</c:f>
              <c:strCache>
                <c:ptCount val="1"/>
                <c:pt idx="0">
                  <c:v>Cumulative Savings</c:v>
                </c:pt>
              </c:strCache>
            </c:strRef>
          </c:tx>
          <c:spPr>
            <a:ln w="28575" cap="rnd">
              <a:solidFill>
                <a:srgbClr val="EE3224"/>
              </a:solidFill>
              <a:round/>
            </a:ln>
            <a:effectLst/>
          </c:spPr>
          <c:marker>
            <c:symbol val="circle"/>
            <c:size val="5"/>
            <c:spPr>
              <a:solidFill>
                <a:srgbClr val="EE3224"/>
              </a:solidFill>
              <a:ln w="9525">
                <a:solidFill>
                  <a:srgbClr val="EE3224"/>
                </a:solidFill>
              </a:ln>
              <a:effectLst/>
            </c:spPr>
          </c:marker>
          <c:cat>
            <c:strRef>
              <c:f>'M06-S01-2'!$AU$11:$AY$11</c:f>
              <c:strCache>
                <c:ptCount val="5"/>
                <c:pt idx="0">
                  <c:v>Year 1</c:v>
                </c:pt>
                <c:pt idx="1">
                  <c:v>Year 2</c:v>
                </c:pt>
                <c:pt idx="2">
                  <c:v>Year 3</c:v>
                </c:pt>
                <c:pt idx="3">
                  <c:v>Year 4</c:v>
                </c:pt>
                <c:pt idx="4">
                  <c:v>Year 5</c:v>
                </c:pt>
              </c:strCache>
            </c:strRef>
          </c:cat>
          <c:val>
            <c:numRef>
              <c:f>'M06-S01-2'!$AU$13:$AY$13</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ADEB-4805-883B-2C83800B8C0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669254928"/>
        <c:axId val="610822704"/>
      </c:lineChart>
      <c:catAx>
        <c:axId val="669254928"/>
        <c:scaling>
          <c:orientation val="minMax"/>
        </c:scaling>
        <c:delete val="0"/>
        <c:axPos val="b"/>
        <c:numFmt formatCode="General" sourceLinked="1"/>
        <c:majorTickMark val="none"/>
        <c:minorTickMark val="none"/>
        <c:tickLblPos val="nextTo"/>
        <c:spPr>
          <a:noFill/>
          <a:ln w="9525" cap="flat" cmpd="sng" algn="ctr">
            <a:solidFill>
              <a:srgbClr val="1B6CB5"/>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822704"/>
        <c:crosses val="autoZero"/>
        <c:auto val="1"/>
        <c:lblAlgn val="ctr"/>
        <c:lblOffset val="100"/>
        <c:noMultiLvlLbl val="0"/>
      </c:catAx>
      <c:valAx>
        <c:axId val="610822704"/>
        <c:scaling>
          <c:orientation val="minMax"/>
        </c:scaling>
        <c:delete val="0"/>
        <c:axPos val="l"/>
        <c:majorGridlines>
          <c:spPr>
            <a:ln w="9525" cap="flat" cmpd="sng" algn="ctr">
              <a:solidFill>
                <a:srgbClr val="1B6CB5"/>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Cost or Savings</a:t>
                </a:r>
              </a:p>
            </c:rich>
          </c:tx>
          <c:layout>
            <c:manualLayout>
              <c:xMode val="edge"/>
              <c:yMode val="edge"/>
              <c:x val="2.6518878958077311E-2"/>
              <c:y val="0.324555840578135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69254928"/>
        <c:crosses val="autoZero"/>
        <c:crossBetween val="between"/>
      </c:valAx>
      <c:dTable>
        <c:showHorzBorder val="1"/>
        <c:showVertBorder val="1"/>
        <c:showOutline val="1"/>
        <c:showKeys val="1"/>
        <c:spPr>
          <a:noFill/>
          <a:ln w="9525" cap="flat" cmpd="sng" algn="ctr">
            <a:no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a:glow rad="101600">
        <a:srgbClr val="1B6CB5">
          <a:alpha val="60000"/>
        </a:srgbClr>
      </a:glo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99" lockText="1" noThreeD="1"/>
</file>

<file path=xl/ctrlProps/ctrlProp13.xml><?xml version="1.0" encoding="utf-8"?>
<formControlPr xmlns="http://schemas.microsoft.com/office/spreadsheetml/2009/9/main" objectType="CheckBox" fmlaLink="AU14" lockText="1" noThreeD="1"/>
</file>

<file path=xl/ctrlProps/ctrlProp14.xml><?xml version="1.0" encoding="utf-8"?>
<formControlPr xmlns="http://schemas.microsoft.com/office/spreadsheetml/2009/9/main" objectType="CheckBox" fmlaLink="$BB$27" lockText="1" noThreeD="1"/>
</file>

<file path=xl/ctrlProps/ctrlProp15.xml><?xml version="1.0" encoding="utf-8"?>
<formControlPr xmlns="http://schemas.microsoft.com/office/spreadsheetml/2009/9/main" objectType="CheckBox" fmlaLink="$BB$82" lockText="1" noThreeD="1"/>
</file>

<file path=xl/ctrlProps/ctrlProp16.xml><?xml version="1.0" encoding="utf-8"?>
<formControlPr xmlns="http://schemas.microsoft.com/office/spreadsheetml/2009/9/main" objectType="CheckBox" fmlaLink="$AU$16" lockText="1" noThreeD="1"/>
</file>

<file path=xl/ctrlProps/ctrlProp17.xml><?xml version="1.0" encoding="utf-8"?>
<formControlPr xmlns="http://schemas.microsoft.com/office/spreadsheetml/2009/9/main" objectType="CheckBox" fmlaLink="$AV$16"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fmlaLink="TEMPLATE!$C$197" lockText="1" noThreeD="1"/>
</file>

<file path=xl/ctrlProps/ctrlProp21.xml><?xml version="1.0" encoding="utf-8"?>
<formControlPr xmlns="http://schemas.microsoft.com/office/spreadsheetml/2009/9/main" objectType="CheckBox" fmlaLink="TEMPLATE!$C$198"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5.svg"/><Relationship Id="rId26" Type="http://schemas.openxmlformats.org/officeDocument/2006/relationships/image" Target="../media/image13.svg"/><Relationship Id="rId3" Type="http://schemas.openxmlformats.org/officeDocument/2006/relationships/hyperlink" Target="#'M01-S08'!A1"/><Relationship Id="rId21" Type="http://schemas.openxmlformats.org/officeDocument/2006/relationships/image" Target="../media/image8.png"/><Relationship Id="rId7" Type="http://schemas.openxmlformats.org/officeDocument/2006/relationships/hyperlink" Target="#'M03-S01'!A1"/><Relationship Id="rId12" Type="http://schemas.openxmlformats.org/officeDocument/2006/relationships/hyperlink" Target="#'M01-S04'!A1"/><Relationship Id="rId17" Type="http://schemas.openxmlformats.org/officeDocument/2006/relationships/image" Target="../media/image4.png"/><Relationship Id="rId25" Type="http://schemas.openxmlformats.org/officeDocument/2006/relationships/image" Target="../media/image12.png"/><Relationship Id="rId2" Type="http://schemas.openxmlformats.org/officeDocument/2006/relationships/hyperlink" Target="#'M01-S07'!A1"/><Relationship Id="rId16" Type="http://schemas.openxmlformats.org/officeDocument/2006/relationships/image" Target="../media/image3.svg"/><Relationship Id="rId20" Type="http://schemas.openxmlformats.org/officeDocument/2006/relationships/image" Target="../media/image7.svg"/><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24" Type="http://schemas.openxmlformats.org/officeDocument/2006/relationships/image" Target="../media/image11.svg"/><Relationship Id="rId5" Type="http://schemas.openxmlformats.org/officeDocument/2006/relationships/hyperlink" Target="#'M01-S01'!A1"/><Relationship Id="rId15" Type="http://schemas.openxmlformats.org/officeDocument/2006/relationships/image" Target="../media/image2.png"/><Relationship Id="rId23" Type="http://schemas.openxmlformats.org/officeDocument/2006/relationships/image" Target="../media/image10.png"/><Relationship Id="rId10" Type="http://schemas.openxmlformats.org/officeDocument/2006/relationships/hyperlink" Target="#'M06-S01'!A1"/><Relationship Id="rId19" Type="http://schemas.openxmlformats.org/officeDocument/2006/relationships/image" Target="../media/image6.png"/><Relationship Id="rId4" Type="http://schemas.openxmlformats.org/officeDocument/2006/relationships/hyperlink" Target="#'M01-S02'!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9.svg"/></Relationships>
</file>

<file path=xl/drawings/_rels/drawing10.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4-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0" Type="http://schemas.openxmlformats.org/officeDocument/2006/relationships/hyperlink" Target="#'M02-S02'!A1"/><Relationship Id="rId4" Type="http://schemas.openxmlformats.org/officeDocument/2006/relationships/hyperlink" Target="#'M03-S01'!A1"/><Relationship Id="rId9" Type="http://schemas.openxmlformats.org/officeDocument/2006/relationships/hyperlink" Target="#'M06-S01'!A1"/><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18" Type="http://schemas.openxmlformats.org/officeDocument/2006/relationships/hyperlink" Target="#'M02-S01'!L33"/><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17" Type="http://schemas.openxmlformats.org/officeDocument/2006/relationships/hyperlink" Target="#'M01-S04'!A1"/><Relationship Id="rId2" Type="http://schemas.openxmlformats.org/officeDocument/2006/relationships/hyperlink" Target="#'M02-S01'!A1"/><Relationship Id="rId16" Type="http://schemas.openxmlformats.org/officeDocument/2006/relationships/hyperlink" Target="#'M02-S04'!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3-S01-2'!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image" Target="../media/image1.png"/><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3'!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4'!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hyperlink" Target="#'M03-S08'!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7'!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4'!A1"/><Relationship Id="rId6" Type="http://schemas.openxmlformats.org/officeDocument/2006/relationships/hyperlink" Target="#'M05-S01'!A1"/><Relationship Id="rId11" Type="http://schemas.openxmlformats.org/officeDocument/2006/relationships/hyperlink" Target="#'M03-S05'!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hyperlink" Target="#'M03-S08'!A1"/><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6" Type="http://schemas.openxmlformats.org/officeDocument/2006/relationships/hyperlink" Target="#'M02-S01'!L33"/><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5" Type="http://schemas.openxmlformats.org/officeDocument/2006/relationships/hyperlink" Target="#'M01-S04'!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7'!A1"/><Relationship Id="rId5" Type="http://schemas.openxmlformats.org/officeDocument/2006/relationships/hyperlink" Target="#'M05-S01'!A1"/><Relationship Id="rId15" Type="http://schemas.openxmlformats.org/officeDocument/2006/relationships/hyperlink" Target="#'M02-S01'!L33"/><Relationship Id="rId10" Type="http://schemas.openxmlformats.org/officeDocument/2006/relationships/hyperlink" Target="#'M03-S05'!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1-S04'!A1"/></Relationships>
</file>

<file path=xl/drawings/_rels/drawing17.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3-S05'!A1"/><Relationship Id="rId2" Type="http://schemas.openxmlformats.org/officeDocument/2006/relationships/hyperlink" Target="#'M01-S01'!A1"/><Relationship Id="rId1" Type="http://schemas.openxmlformats.org/officeDocument/2006/relationships/hyperlink" Target="#'M03-S07'!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4'!A1"/><Relationship Id="rId4" Type="http://schemas.openxmlformats.org/officeDocument/2006/relationships/hyperlink" Target="#'M03-S01'!A1"/><Relationship Id="rId9" Type="http://schemas.openxmlformats.org/officeDocument/2006/relationships/hyperlink" Target="#'M03-S03'!A1"/><Relationship Id="rId14" Type="http://schemas.openxmlformats.org/officeDocument/2006/relationships/hyperlink" Target="#'M02-S01'!L33"/></Relationships>
</file>

<file path=xl/drawings/_rels/drawing18.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8'!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19.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1.png"/><Relationship Id="rId3" Type="http://schemas.openxmlformats.org/officeDocument/2006/relationships/hyperlink" Target="#'M03-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2-S01'!A1"/><Relationship Id="rId1" Type="http://schemas.openxmlformats.org/officeDocument/2006/relationships/hyperlink" Target="#'M01-S01'!A1"/><Relationship Id="rId6" Type="http://schemas.openxmlformats.org/officeDocument/2006/relationships/hyperlink" Target="#'M06-S01'!A1"/><Relationship Id="rId11" Type="http://schemas.openxmlformats.org/officeDocument/2006/relationships/hyperlink" Target="#'M03-S05'!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4-S01'!A1"/><Relationship Id="rId9" Type="http://schemas.openxmlformats.org/officeDocument/2006/relationships/hyperlink" Target="#'M03-S04'!A1"/><Relationship Id="rId14" Type="http://schemas.openxmlformats.org/officeDocument/2006/relationships/hyperlink" Target="#'M02-S01'!L33"/></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2'!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3'!A1"/><Relationship Id="rId1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3'!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4'!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7'!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6'!A1"/><Relationship Id="rId2" Type="http://schemas.openxmlformats.org/officeDocument/2006/relationships/hyperlink" Target="#'M04-S04'!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5'!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3'!A1"/><Relationship Id="rId4" Type="http://schemas.openxmlformats.org/officeDocument/2006/relationships/hyperlink" Target="#'M02-S01'!A1"/><Relationship Id="rId9" Type="http://schemas.openxmlformats.org/officeDocument/2006/relationships/hyperlink" Target="#'M04-S02'!A1"/><Relationship Id="rId14" Type="http://schemas.openxmlformats.org/officeDocument/2006/relationships/image" Target="../media/image1.png"/></Relationships>
</file>

<file path=xl/drawings/_rels/drawing23.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5'!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6'!A1"/><Relationship Id="rId14"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8" Type="http://schemas.openxmlformats.org/officeDocument/2006/relationships/hyperlink" Target="#'M06-S01'!A1"/><Relationship Id="rId13" Type="http://schemas.openxmlformats.org/officeDocument/2006/relationships/hyperlink" Target="#'M04-S04'!A1"/><Relationship Id="rId3" Type="http://schemas.openxmlformats.org/officeDocument/2006/relationships/hyperlink" Target="#'M01-S01'!A1"/><Relationship Id="rId7" Type="http://schemas.openxmlformats.org/officeDocument/2006/relationships/hyperlink" Target="#'M05-S01'!A1"/><Relationship Id="rId12" Type="http://schemas.openxmlformats.org/officeDocument/2006/relationships/hyperlink" Target="#'M04-S03'!A1"/><Relationship Id="rId2" Type="http://schemas.openxmlformats.org/officeDocument/2006/relationships/hyperlink" Target="#'M04-S06'!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4-S01'!A1"/><Relationship Id="rId11" Type="http://schemas.openxmlformats.org/officeDocument/2006/relationships/hyperlink" Target="#'M04-S02'!A1"/><Relationship Id="rId5" Type="http://schemas.openxmlformats.org/officeDocument/2006/relationships/hyperlink" Target="#'M03-S01'!A1"/><Relationship Id="rId15" Type="http://schemas.openxmlformats.org/officeDocument/2006/relationships/hyperlink" Target="#'M01-S04'!A1"/><Relationship Id="rId10" Type="http://schemas.openxmlformats.org/officeDocument/2006/relationships/hyperlink" Target="#'M04-S07'!A1"/><Relationship Id="rId4" Type="http://schemas.openxmlformats.org/officeDocument/2006/relationships/hyperlink" Target="#'M02-S01'!A1"/><Relationship Id="rId9" Type="http://schemas.openxmlformats.org/officeDocument/2006/relationships/hyperlink" Target="#'M04-S05'!A1"/><Relationship Id="rId14"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4-S07'!A1"/><Relationship Id="rId13" Type="http://schemas.openxmlformats.org/officeDocument/2006/relationships/hyperlink" Target="#'M04-S04'!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3'!A1"/><Relationship Id="rId2" Type="http://schemas.openxmlformats.org/officeDocument/2006/relationships/hyperlink" Target="#'M01-S01'!A1"/><Relationship Id="rId16" Type="http://schemas.openxmlformats.org/officeDocument/2006/relationships/hyperlink" Target="#'M02-S01'!L33"/><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hyperlink" Target="#'M01-S04'!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hyperlink" Target="#'M04-S06'!A1"/><Relationship Id="rId14"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8" Type="http://schemas.openxmlformats.org/officeDocument/2006/relationships/hyperlink" Target="#'M04-S06'!A1"/><Relationship Id="rId13" Type="http://schemas.openxmlformats.org/officeDocument/2006/relationships/image" Target="../media/image25.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4'!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4-S03'!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4-S02'!A1"/><Relationship Id="rId4" Type="http://schemas.openxmlformats.org/officeDocument/2006/relationships/hyperlink" Target="#'M03-S01'!A1"/><Relationship Id="rId9" Type="http://schemas.openxmlformats.org/officeDocument/2006/relationships/hyperlink" Target="#'M04-S05'!A1"/><Relationship Id="rId14" Type="http://schemas.openxmlformats.org/officeDocument/2006/relationships/hyperlink" Target="#'M01-S04'!A1"/></Relationships>
</file>

<file path=xl/drawings/_rels/drawing27.xml.rels><?xml version="1.0" encoding="UTF-8" standalone="yes"?>
<Relationships xmlns="http://schemas.openxmlformats.org/package/2006/relationships"><Relationship Id="rId8" Type="http://schemas.openxmlformats.org/officeDocument/2006/relationships/hyperlink" Target="#'M04-S07'!A1"/><Relationship Id="rId13" Type="http://schemas.openxmlformats.org/officeDocument/2006/relationships/hyperlink" Target="#'M05-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2'!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image" Target="../media/image1.png"/><Relationship Id="rId14" Type="http://schemas.openxmlformats.org/officeDocument/2006/relationships/hyperlink" Target="#'M05-S07'!A1"/></Relationships>
</file>

<file path=xl/drawings/_rels/drawing28.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5-S03'!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5-S05'!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18" Type="http://schemas.openxmlformats.org/officeDocument/2006/relationships/image" Target="../media/image15.png"/><Relationship Id="rId26" Type="http://schemas.openxmlformats.org/officeDocument/2006/relationships/image" Target="../media/image19.png"/><Relationship Id="rId3" Type="http://schemas.openxmlformats.org/officeDocument/2006/relationships/hyperlink" Target="#'M01-S08'!A1"/><Relationship Id="rId21" Type="http://schemas.openxmlformats.org/officeDocument/2006/relationships/hyperlink" Target="https://www.ameren.com/missouri/business/energy-efficiency/retro-commissioning" TargetMode="External"/><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hyperlink" Target="https://www.ameren.com/missouri/business/energy-efficiency/custom-incentive" TargetMode="External"/><Relationship Id="rId25" Type="http://schemas.openxmlformats.org/officeDocument/2006/relationships/hyperlink" Target="https://www2.ameren.com/common/login/login?target=https://www2.ameren.com/prot/common/ViewBill.aspx" TargetMode="External"/><Relationship Id="rId2" Type="http://schemas.openxmlformats.org/officeDocument/2006/relationships/hyperlink" Target="#'M01-S07'!A1"/><Relationship Id="rId16" Type="http://schemas.openxmlformats.org/officeDocument/2006/relationships/image" Target="../media/image14.png"/><Relationship Id="rId20" Type="http://schemas.openxmlformats.org/officeDocument/2006/relationships/image" Target="../media/image16.png"/><Relationship Id="rId29" Type="http://schemas.openxmlformats.org/officeDocument/2006/relationships/hyperlink" Target="https://www.sba.gov/managing-business/running-business/energy-efficiency"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24" Type="http://schemas.openxmlformats.org/officeDocument/2006/relationships/image" Target="../media/image18.png"/><Relationship Id="rId32" Type="http://schemas.openxmlformats.org/officeDocument/2006/relationships/image" Target="../media/image22.png"/><Relationship Id="rId5" Type="http://schemas.openxmlformats.org/officeDocument/2006/relationships/hyperlink" Target="#'M01-S01'!A1"/><Relationship Id="rId15" Type="http://schemas.openxmlformats.org/officeDocument/2006/relationships/hyperlink" Target="mailto:BizSavers@ameren.com" TargetMode="External"/><Relationship Id="rId23" Type="http://schemas.openxmlformats.org/officeDocument/2006/relationships/hyperlink" Target="http://www.tradeallynetwork.com/" TargetMode="External"/><Relationship Id="rId28" Type="http://schemas.openxmlformats.org/officeDocument/2006/relationships/image" Target="../media/image20.png"/><Relationship Id="rId10" Type="http://schemas.openxmlformats.org/officeDocument/2006/relationships/hyperlink" Target="#'M06-S01'!A1"/><Relationship Id="rId19" Type="http://schemas.openxmlformats.org/officeDocument/2006/relationships/hyperlink" Target="https://www.ameren.com/missouri/business/energy-efficiency/standard-incentive" TargetMode="External"/><Relationship Id="rId31" Type="http://schemas.openxmlformats.org/officeDocument/2006/relationships/hyperlink" Target="https://www.ameren.com/missouri/business/energy-efficiency/small-business-direct-install" TargetMode="External"/><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image" Target="../media/image1.png"/><Relationship Id="rId22" Type="http://schemas.openxmlformats.org/officeDocument/2006/relationships/image" Target="../media/image17.png"/><Relationship Id="rId27" Type="http://schemas.openxmlformats.org/officeDocument/2006/relationships/hyperlink" Target="https://www.energystar.gov/buildings/facility-owners-and-managers/small-biz" TargetMode="External"/><Relationship Id="rId30" Type="http://schemas.openxmlformats.org/officeDocument/2006/relationships/image" Target="../media/image21.png"/></Relationships>
</file>

<file path=xl/drawings/_rels/drawing30.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image" Target="../media/image1.png"/><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7'!A1"/><Relationship Id="rId2" Type="http://schemas.openxmlformats.org/officeDocument/2006/relationships/hyperlink" Target="#'M01-S01'!A1"/><Relationship Id="rId1" Type="http://schemas.openxmlformats.org/officeDocument/2006/relationships/hyperlink" Target="#'M05-S04'!A1"/><Relationship Id="rId6" Type="http://schemas.openxmlformats.org/officeDocument/2006/relationships/hyperlink" Target="#'M05-S01'!A1"/><Relationship Id="rId11" Type="http://schemas.openxmlformats.org/officeDocument/2006/relationships/hyperlink" Target="#'M05-S06'!A1"/><Relationship Id="rId5" Type="http://schemas.openxmlformats.org/officeDocument/2006/relationships/hyperlink" Target="#'M04-S01'!A1"/><Relationship Id="rId10" Type="http://schemas.openxmlformats.org/officeDocument/2006/relationships/hyperlink" Target="#'M05-S05'!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hyperlink" Target="#'M02-S01'!L33"/></Relationships>
</file>

<file path=xl/drawings/_rels/drawing31.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6'!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5-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5-S05'!A1"/><Relationship Id="rId2" Type="http://schemas.openxmlformats.org/officeDocument/2006/relationships/hyperlink" Target="#'M01-S01'!A1"/><Relationship Id="rId1" Type="http://schemas.openxmlformats.org/officeDocument/2006/relationships/hyperlink" Target="#'M05-S07'!A1"/><Relationship Id="rId6" Type="http://schemas.openxmlformats.org/officeDocument/2006/relationships/hyperlink" Target="#'M05-S01'!A1"/><Relationship Id="rId11" Type="http://schemas.openxmlformats.org/officeDocument/2006/relationships/hyperlink" Target="#'M05-S04'!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3'!A1"/><Relationship Id="rId4" Type="http://schemas.openxmlformats.org/officeDocument/2006/relationships/hyperlink" Target="#'M03-S01'!A1"/><Relationship Id="rId9" Type="http://schemas.openxmlformats.org/officeDocument/2006/relationships/hyperlink" Target="#'M05-S02'!A1"/><Relationship Id="rId1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6-S01'!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5" Type="http://schemas.openxmlformats.org/officeDocument/2006/relationships/hyperlink" Target="#'M02-S01'!L33"/><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6-S01'!A1"/><Relationship Id="rId18" Type="http://schemas.openxmlformats.org/officeDocument/2006/relationships/image" Target="../media/image29.png"/><Relationship Id="rId3" Type="http://schemas.openxmlformats.org/officeDocument/2006/relationships/hyperlink" Target="#'M05-S06'!A1"/><Relationship Id="rId21" Type="http://schemas.openxmlformats.org/officeDocument/2006/relationships/hyperlink" Target="#'M06-S01-2'!A1"/><Relationship Id="rId7" Type="http://schemas.openxmlformats.org/officeDocument/2006/relationships/hyperlink" Target="#'M06-S02'!A1"/><Relationship Id="rId12" Type="http://schemas.openxmlformats.org/officeDocument/2006/relationships/hyperlink" Target="#'M05-S01'!A1"/><Relationship Id="rId17" Type="http://schemas.openxmlformats.org/officeDocument/2006/relationships/image" Target="../media/image28.png"/><Relationship Id="rId2" Type="http://schemas.openxmlformats.org/officeDocument/2006/relationships/hyperlink" Target="#'M06-S04'!A1"/><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hyperlink" Target="#'M06-S05'!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26.png"/><Relationship Id="rId10" Type="http://schemas.openxmlformats.org/officeDocument/2006/relationships/hyperlink" Target="#'M03-S01'!A1"/><Relationship Id="rId19" Type="http://schemas.openxmlformats.org/officeDocument/2006/relationships/image" Target="../media/image30.png"/><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image" Target="../media/image1.png"/><Relationship Id="rId22" Type="http://schemas.openxmlformats.org/officeDocument/2006/relationships/hyperlink" Target="http://www.tradeallynetwork.com" TargetMode="External"/></Relationships>
</file>

<file path=xl/drawings/_rels/drawing35.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6-S02'!A1"/><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6-S01'!A1"/><Relationship Id="rId2" Type="http://schemas.openxmlformats.org/officeDocument/2006/relationships/hyperlink" Target="#'M06-S05'!A1"/><Relationship Id="rId1" Type="http://schemas.openxmlformats.org/officeDocument/2006/relationships/hyperlink" Target="#'M06-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chart" Target="../charts/chart1.xml"/><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image" Target="../media/image1.png"/></Relationships>
</file>

<file path=xl/drawings/_rels/drawing3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ailto:BizSavers@ameren.com" TargetMode="External"/><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image" Target="../media/image1.png"/><Relationship Id="rId2" Type="http://schemas.openxmlformats.org/officeDocument/2006/relationships/hyperlink" Target="#'M05-S06'!A1"/><Relationship Id="rId16" Type="http://schemas.openxmlformats.org/officeDocument/2006/relationships/hyperlink" Target="#'M02-S04'!A1"/><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hyperlink" Target="#'M02-S02'!A1"/></Relationships>
</file>

<file path=xl/drawings/_rels/drawing3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6-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2" Type="http://schemas.openxmlformats.org/officeDocument/2006/relationships/hyperlink" Target="#'M05-S06'!A1"/><Relationship Id="rId16" Type="http://schemas.openxmlformats.org/officeDocument/2006/relationships/hyperlink" Target="mailto:BizSavers@ameren.com" TargetMode="External"/><Relationship Id="rId1" Type="http://schemas.openxmlformats.org/officeDocument/2006/relationships/hyperlink" Target="#'M06-S05'!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26.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1.png"/></Relationships>
</file>

<file path=xl/drawings/_rels/drawing3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5-S05'!A1"/><Relationship Id="rId18" Type="http://schemas.openxmlformats.org/officeDocument/2006/relationships/hyperlink" Target="#'M02-S04'!A1"/><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6-S02'!A1"/><Relationship Id="rId17" Type="http://schemas.openxmlformats.org/officeDocument/2006/relationships/hyperlink" Target="mailto:BizSavers@ameren.com" TargetMode="External"/><Relationship Id="rId2" Type="http://schemas.openxmlformats.org/officeDocument/2006/relationships/hyperlink" Target="#'M05-S06'!A1"/><Relationship Id="rId16" Type="http://schemas.openxmlformats.org/officeDocument/2006/relationships/image" Target="../media/image26.png"/><Relationship Id="rId1" Type="http://schemas.openxmlformats.org/officeDocument/2006/relationships/hyperlink" Target="#'M06-S04'!A1"/><Relationship Id="rId6" Type="http://schemas.openxmlformats.org/officeDocument/2006/relationships/hyperlink" Target="#'M01-S01'!A1"/><Relationship Id="rId11" Type="http://schemas.openxmlformats.org/officeDocument/2006/relationships/hyperlink" Target="#'M06-S01'!A1"/><Relationship Id="rId5" Type="http://schemas.openxmlformats.org/officeDocument/2006/relationships/hyperlink" Target="#'M05-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32.png"/></Relationships>
</file>

<file path=xl/drawings/_rels/drawing3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5-S06'!A1"/><Relationship Id="rId3" Type="http://schemas.openxmlformats.org/officeDocument/2006/relationships/hyperlink" Target="#'M05-S03'!A1"/><Relationship Id="rId7" Type="http://schemas.openxmlformats.org/officeDocument/2006/relationships/hyperlink" Target="#'M03-S01'!A1"/><Relationship Id="rId12" Type="http://schemas.openxmlformats.org/officeDocument/2006/relationships/hyperlink" Target="#'M06-S07'!A1"/><Relationship Id="rId2" Type="http://schemas.openxmlformats.org/officeDocument/2006/relationships/hyperlink" Target="#'M06-S04'!A1"/><Relationship Id="rId1" Type="http://schemas.openxmlformats.org/officeDocument/2006/relationships/hyperlink" Target="#'M06-S05'!A1"/><Relationship Id="rId6" Type="http://schemas.openxmlformats.org/officeDocument/2006/relationships/hyperlink" Target="#'M02-S01'!A1"/><Relationship Id="rId11" Type="http://schemas.openxmlformats.org/officeDocument/2006/relationships/hyperlink" Target="#'M06-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5-S08'!A1"/><Relationship Id="rId9" Type="http://schemas.openxmlformats.org/officeDocument/2006/relationships/hyperlink" Target="#'M05-S01'!A1"/><Relationship Id="rId1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4'!A1"/><Relationship Id="rId18" Type="http://schemas.openxmlformats.org/officeDocument/2006/relationships/hyperlink" Target="https://www.tradeallynetwork.com/wp-content/uploads/Standard_Brochure_Print_Current.pdf" TargetMode="External"/><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3'!A1"/><Relationship Id="rId17" Type="http://schemas.openxmlformats.org/officeDocument/2006/relationships/image" Target="../media/image23.tmp"/><Relationship Id="rId2" Type="http://schemas.openxmlformats.org/officeDocument/2006/relationships/hyperlink" Target="#'M01-S07'!A1"/><Relationship Id="rId16" Type="http://schemas.openxmlformats.org/officeDocument/2006/relationships/hyperlink" Target="https://www.tradeallynetwork.com/wp-content/uploads/Custom_Flyer_Print_Current.pdf"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2'!A1"/><Relationship Id="rId5" Type="http://schemas.openxmlformats.org/officeDocument/2006/relationships/hyperlink" Target="#'M01-S01'!A1"/><Relationship Id="rId15" Type="http://schemas.openxmlformats.org/officeDocument/2006/relationships/hyperlink" Target="https://q9u5x5a2.ssl.hwcdn.net/-/Media/Missouri-Site/Files/energy-efficiency/Standard%20incentives.pdf?la=en" TargetMode="External"/><Relationship Id="rId10" Type="http://schemas.openxmlformats.org/officeDocument/2006/relationships/hyperlink" Target="#'M06-S01'!A1"/><Relationship Id="rId19" Type="http://schemas.openxmlformats.org/officeDocument/2006/relationships/image" Target="../media/image24.tmp"/><Relationship Id="rId4" Type="http://schemas.openxmlformats.org/officeDocument/2006/relationships/hyperlink" Target="#'M01-S05'!A1"/><Relationship Id="rId9" Type="http://schemas.openxmlformats.org/officeDocument/2006/relationships/hyperlink" Target="#'M05-S01'!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4-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3-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2-S01'!A1"/><Relationship Id="rId9" Type="http://schemas.openxmlformats.org/officeDocument/2006/relationships/hyperlink" Target="#'M06-S01'!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5'!A1"/><Relationship Id="rId5" Type="http://schemas.openxmlformats.org/officeDocument/2006/relationships/hyperlink" Target="#'M01-S01'!A1"/><Relationship Id="rId15" Type="http://schemas.openxmlformats.org/officeDocument/2006/relationships/image" Target="../media/image1.png"/><Relationship Id="rId10" Type="http://schemas.openxmlformats.org/officeDocument/2006/relationships/hyperlink" Target="#'M06-S01'!A1"/><Relationship Id="rId4" Type="http://schemas.openxmlformats.org/officeDocument/2006/relationships/hyperlink" Target="#'M02-S02'!A1"/><Relationship Id="rId9" Type="http://schemas.openxmlformats.org/officeDocument/2006/relationships/hyperlink" Target="#'M05-S01'!A1"/><Relationship Id="rId14" Type="http://schemas.openxmlformats.org/officeDocument/2006/relationships/hyperlink" Target="#'M01-S05'!A1"/></Relationships>
</file>

<file path=xl/drawings/_rels/drawing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3'!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5'!A1"/><Relationship Id="rId9" Type="http://schemas.openxmlformats.org/officeDocument/2006/relationships/hyperlink" Target="#'M05-S01'!A1"/><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4'!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3'!A1"/><Relationship Id="rId9" Type="http://schemas.openxmlformats.org/officeDocument/2006/relationships/hyperlink" Target="#'M05-S01'!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2-S03'!A1"/><Relationship Id="rId3" Type="http://schemas.openxmlformats.org/officeDocument/2006/relationships/hyperlink" Target="#'M02-S08'!A1"/><Relationship Id="rId7" Type="http://schemas.openxmlformats.org/officeDocument/2006/relationships/hyperlink" Target="#'M03-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2'!A1"/><Relationship Id="rId5" Type="http://schemas.openxmlformats.org/officeDocument/2006/relationships/hyperlink" Target="#'M01-S01'!A1"/><Relationship Id="rId10" Type="http://schemas.openxmlformats.org/officeDocument/2006/relationships/hyperlink" Target="#'M06-S01'!A1"/><Relationship Id="rId4" Type="http://schemas.openxmlformats.org/officeDocument/2006/relationships/hyperlink" Target="#'M02-S04'!A1"/><Relationship Id="rId9" Type="http://schemas.openxmlformats.org/officeDocument/2006/relationships/hyperlink" Target="#'M05-S01'!A1"/><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7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7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700-000002000000}"/>
            </a:ext>
          </a:extLst>
        </xdr:cNvPr>
        <xdr:cNvSpPr>
          <a:spLocks noChangeAspect="1"/>
        </xdr:cNvSpPr>
      </xdr:nvSpPr>
      <xdr:spPr>
        <a:xfrm>
          <a:off x="12887325" y="1801272"/>
          <a:ext cx="627520" cy="400049"/>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13129</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700-000003000000}"/>
            </a:ext>
          </a:extLst>
        </xdr:cNvPr>
        <xdr:cNvSpPr/>
      </xdr:nvSpPr>
      <xdr:spPr>
        <a:xfrm>
          <a:off x="2210180" y="330420"/>
          <a:ext cx="1271363" cy="59120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13129</xdr:colOff>
      <xdr:row>1</xdr:row>
      <xdr:rowOff>4090</xdr:rowOff>
    </xdr:from>
    <xdr:to>
      <xdr:col>14</xdr:col>
      <xdr:colOff>315515</xdr:colOff>
      <xdr:row>4</xdr:row>
      <xdr:rowOff>4090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700-000004000000}"/>
            </a:ext>
          </a:extLst>
        </xdr:cNvPr>
        <xdr:cNvSpPr/>
      </xdr:nvSpPr>
      <xdr:spPr>
        <a:xfrm>
          <a:off x="3483801" y="206496"/>
          <a:ext cx="1248933"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14</xdr:col>
      <xdr:colOff>309546</xdr:colOff>
      <xdr:row>1</xdr:row>
      <xdr:rowOff>4090</xdr:rowOff>
    </xdr:from>
    <xdr:to>
      <xdr:col>18</xdr:col>
      <xdr:colOff>313434</xdr:colOff>
      <xdr:row>4</xdr:row>
      <xdr:rowOff>4090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700-000008000000}"/>
            </a:ext>
          </a:extLst>
        </xdr:cNvPr>
        <xdr:cNvSpPr/>
      </xdr:nvSpPr>
      <xdr:spPr>
        <a:xfrm>
          <a:off x="4723891" y="201159"/>
          <a:ext cx="1265129" cy="59120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73374F-13AD-4ED7-B372-CA238C6BD5B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4090</xdr:rowOff>
    </xdr:from>
    <xdr:to>
      <xdr:col>23</xdr:col>
      <xdr:colOff>1</xdr:colOff>
      <xdr:row>4</xdr:row>
      <xdr:rowOff>4090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700-000005000000}"/>
            </a:ext>
          </a:extLst>
        </xdr:cNvPr>
        <xdr:cNvSpPr/>
      </xdr:nvSpPr>
      <xdr:spPr>
        <a:xfrm>
          <a:off x="5990897"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6D1A1DA-71B8-4F1A-9393-EAE51FA7DEC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4090</xdr:rowOff>
    </xdr:from>
    <xdr:to>
      <xdr:col>26</xdr:col>
      <xdr:colOff>313764</xdr:colOff>
      <xdr:row>4</xdr:row>
      <xdr:rowOff>4090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700-000006000000}"/>
            </a:ext>
          </a:extLst>
        </xdr:cNvPr>
        <xdr:cNvSpPr/>
      </xdr:nvSpPr>
      <xdr:spPr>
        <a:xfrm>
          <a:off x="7252138" y="201159"/>
          <a:ext cx="125969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171A07-CF89-4AA1-9DD4-2FBECD93E19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313764</xdr:colOff>
      <xdr:row>1</xdr:row>
      <xdr:rowOff>4090</xdr:rowOff>
    </xdr:from>
    <xdr:to>
      <xdr:col>30</xdr:col>
      <xdr:colOff>313765</xdr:colOff>
      <xdr:row>4</xdr:row>
      <xdr:rowOff>4090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700-000007000000}"/>
            </a:ext>
          </a:extLst>
        </xdr:cNvPr>
        <xdr:cNvSpPr/>
      </xdr:nvSpPr>
      <xdr:spPr>
        <a:xfrm>
          <a:off x="8511833" y="20115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9F5098-1D4A-4BC8-B84D-8B318A4FBA2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7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700-00000A000000}"/>
            </a:ext>
          </a:extLst>
        </xdr:cNvPr>
        <xdr:cNvSpPr/>
      </xdr:nvSpPr>
      <xdr:spPr>
        <a:xfrm>
          <a:off x="314325" y="800101"/>
          <a:ext cx="13515975" cy="600074"/>
        </a:xfrm>
        <a:prstGeom prst="round2SameRect">
          <a:avLst/>
        </a:prstGeom>
        <a:solidFill>
          <a:srgbClr val="EE3224"/>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7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4"/>
          <a:extLst>
            <a:ext uri="{FF2B5EF4-FFF2-40B4-BE49-F238E27FC236}">
              <a16:creationId xmlns:a16="http://schemas.microsoft.com/office/drawing/2014/main" id="{00000000-0008-0000-0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8</xdr:row>
      <xdr:rowOff>0</xdr:rowOff>
    </xdr:from>
    <xdr:to>
      <xdr:col>44</xdr:col>
      <xdr:colOff>0</xdr:colOff>
      <xdr:row>62</xdr:row>
      <xdr:rowOff>0</xdr:rowOff>
    </xdr:to>
    <xdr:sp macro="" textlink="">
      <xdr:nvSpPr>
        <xdr:cNvPr id="19" name="BORDER">
          <a:extLst>
            <a:ext uri="{FF2B5EF4-FFF2-40B4-BE49-F238E27FC236}">
              <a16:creationId xmlns:a16="http://schemas.microsoft.com/office/drawing/2014/main" id="{00000000-0008-0000-0700-000013000000}"/>
            </a:ext>
          </a:extLst>
        </xdr:cNvPr>
        <xdr:cNvSpPr/>
      </xdr:nvSpPr>
      <xdr:spPr>
        <a:xfrm>
          <a:off x="314323" y="1613647"/>
          <a:ext cx="13502530" cy="5446059"/>
        </a:xfrm>
        <a:prstGeom prst="frame">
          <a:avLst>
            <a:gd name="adj1" fmla="val 97"/>
          </a:avLst>
        </a:prstGeom>
        <a:noFill/>
        <a:ln w="12700" cap="flat" cmpd="sng" algn="ctr">
          <a:solidFill>
            <a:srgbClr val="1B6CB5"/>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700-000015000000}"/>
            </a:ext>
          </a:extLst>
        </xdr:cNvPr>
        <xdr:cNvSpPr/>
      </xdr:nvSpPr>
      <xdr:spPr>
        <a:xfrm>
          <a:off x="313765" y="1411941"/>
          <a:ext cx="13503088" cy="201706"/>
        </a:xfrm>
        <a:prstGeom prst="rect">
          <a:avLst/>
        </a:prstGeom>
        <a:solidFill>
          <a:srgbClr val="1B6CB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a:extLst>
            <a:ext uri="{FF2B5EF4-FFF2-40B4-BE49-F238E27FC236}">
              <a16:creationId xmlns:a16="http://schemas.microsoft.com/office/drawing/2014/main" id="{00000000-0008-0000-0700-000059000000}"/>
            </a:ext>
          </a:extLst>
        </xdr:cNvPr>
        <xdr:cNvSpPr/>
      </xdr:nvSpPr>
      <xdr:spPr>
        <a:xfrm>
          <a:off x="11923059" y="201706"/>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2720</xdr:colOff>
      <xdr:row>12</xdr:row>
      <xdr:rowOff>0</xdr:rowOff>
    </xdr:from>
    <xdr:to>
      <xdr:col>15</xdr:col>
      <xdr:colOff>2720</xdr:colOff>
      <xdr:row>19</xdr:row>
      <xdr:rowOff>0</xdr:rowOff>
    </xdr:to>
    <xdr:grpSp>
      <xdr:nvGrpSpPr>
        <xdr:cNvPr id="36" name="READY">
          <a:extLst>
            <a:ext uri="{FF2B5EF4-FFF2-40B4-BE49-F238E27FC236}">
              <a16:creationId xmlns:a16="http://schemas.microsoft.com/office/drawing/2014/main" id="{00000000-0008-0000-0700-000024000000}"/>
            </a:ext>
          </a:extLst>
        </xdr:cNvPr>
        <xdr:cNvGrpSpPr/>
      </xdr:nvGrpSpPr>
      <xdr:grpSpPr>
        <a:xfrm>
          <a:off x="630249" y="2420471"/>
          <a:ext cx="4078942" cy="1411941"/>
          <a:chOff x="627529" y="5244353"/>
          <a:chExt cx="4078942" cy="1411941"/>
        </a:xfrm>
      </xdr:grpSpPr>
      <xdr:sp macro="" textlink="">
        <xdr:nvSpPr>
          <xdr:cNvPr id="30" name="Rectangle: Rounded Corners 29">
            <a:extLst>
              <a:ext uri="{FF2B5EF4-FFF2-40B4-BE49-F238E27FC236}">
                <a16:creationId xmlns:a16="http://schemas.microsoft.com/office/drawing/2014/main" id="{00000000-0008-0000-0700-00001E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Graphic 26" descr="Money">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29546" y="5567082"/>
            <a:ext cx="685800" cy="685800"/>
          </a:xfrm>
          <a:prstGeom prst="rect">
            <a:avLst/>
          </a:prstGeom>
        </xdr:spPr>
      </xdr:pic>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1">
                    <a:lumMod val="75000"/>
                    <a:lumOff val="25000"/>
                  </a:schemeClr>
                </a:solidFill>
                <a:effectLst/>
                <a:latin typeface="Arial" panose="020B0604020202020204" pitchFamily="34" charset="0"/>
                <a:ea typeface="+mn-ea"/>
                <a:cs typeface="Arial" panose="020B0604020202020204" pitchFamily="34" charset="0"/>
              </a:rPr>
              <a:t>Welcome</a:t>
            </a:r>
            <a:r>
              <a:rPr lang="en-US" sz="1000" b="0" baseline="0">
                <a:solidFill>
                  <a:schemeClr val="tx1">
                    <a:lumMod val="75000"/>
                    <a:lumOff val="25000"/>
                  </a:schemeClr>
                </a:solidFill>
                <a:effectLst/>
                <a:latin typeface="Arial" panose="020B0604020202020204" pitchFamily="34" charset="0"/>
                <a:ea typeface="+mn-ea"/>
                <a:cs typeface="Arial" panose="020B0604020202020204" pitchFamily="34" charset="0"/>
              </a:rPr>
              <a:t> to Ameren Missouri's </a:t>
            </a:r>
            <a:r>
              <a:rPr lang="en-US" sz="1000" b="1" i="1" baseline="0">
                <a:solidFill>
                  <a:schemeClr val="tx1">
                    <a:lumMod val="75000"/>
                    <a:lumOff val="25000"/>
                  </a:schemeClr>
                </a:solidFill>
                <a:effectLst/>
                <a:latin typeface="Arial" panose="020B0604020202020204" pitchFamily="34" charset="0"/>
                <a:ea typeface="+mn-ea"/>
                <a:cs typeface="Arial" panose="020B0604020202020204" pitchFamily="34" charset="0"/>
              </a:rPr>
              <a:t>BizSavers </a:t>
            </a:r>
            <a:r>
              <a:rPr lang="en-US" sz="1000" b="0" i="0" baseline="0">
                <a:solidFill>
                  <a:schemeClr val="tx1">
                    <a:lumMod val="75000"/>
                    <a:lumOff val="25000"/>
                  </a:schemeClr>
                </a:solidFill>
                <a:effectLst/>
                <a:latin typeface="Arial" panose="020B0604020202020204" pitchFamily="34" charset="0"/>
                <a:ea typeface="+mn-ea"/>
                <a:cs typeface="Arial" panose="020B0604020202020204" pitchFamily="34" charset="0"/>
              </a:rPr>
              <a:t>Program's Incentive Application. This application will get you started in earning cash incentives for your energy efficiency projects and increasing your bottom line!</a:t>
            </a:r>
            <a:endParaRPr lang="en-US" sz="1000">
              <a:solidFill>
                <a:schemeClr val="tx1">
                  <a:lumMod val="75000"/>
                  <a:lumOff val="25000"/>
                </a:schemeClr>
              </a:solidFill>
              <a:effectLst/>
              <a:latin typeface="Arial" panose="020B0604020202020204" pitchFamily="34" charset="0"/>
              <a:cs typeface="Arial" panose="020B0604020202020204" pitchFamily="34" charset="0"/>
            </a:endParaRPr>
          </a:p>
          <a:p>
            <a:endParaRPr lang="en-US" sz="1100"/>
          </a:p>
        </xdr:txBody>
      </xdr:sp>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Are You Ready</a:t>
            </a:r>
            <a:r>
              <a:rPr lang="en-US" sz="1800" b="1" i="0" baseline="0">
                <a:solidFill>
                  <a:srgbClr val="C00000"/>
                </a:solidFill>
                <a:latin typeface="Arial" panose="020B0604020202020204" pitchFamily="34" charset="0"/>
                <a:cs typeface="Arial" panose="020B0604020202020204" pitchFamily="34" charset="0"/>
              </a:rPr>
              <a:t> to Save?</a:t>
            </a:r>
            <a:endParaRPr lang="en-US" sz="1800" b="1" i="0">
              <a:solidFill>
                <a:srgbClr val="C00000"/>
              </a:solidFill>
              <a:latin typeface="Arial" panose="020B0604020202020204" pitchFamily="34" charset="0"/>
              <a:cs typeface="Arial" panose="020B0604020202020204" pitchFamily="34" charset="0"/>
            </a:endParaRPr>
          </a:p>
        </xdr:txBody>
      </xdr:sp>
    </xdr:grpSp>
    <xdr:clientData/>
  </xdr:twoCellAnchor>
  <xdr:twoCellAnchor>
    <xdr:from>
      <xdr:col>16</xdr:col>
      <xdr:colOff>0</xdr:colOff>
      <xdr:row>12</xdr:row>
      <xdr:rowOff>1</xdr:rowOff>
    </xdr:from>
    <xdr:to>
      <xdr:col>29</xdr:col>
      <xdr:colOff>0</xdr:colOff>
      <xdr:row>19</xdr:row>
      <xdr:rowOff>1</xdr:rowOff>
    </xdr:to>
    <xdr:grpSp>
      <xdr:nvGrpSpPr>
        <xdr:cNvPr id="37" name="NAVIGATE">
          <a:extLst>
            <a:ext uri="{FF2B5EF4-FFF2-40B4-BE49-F238E27FC236}">
              <a16:creationId xmlns:a16="http://schemas.microsoft.com/office/drawing/2014/main" id="{00000000-0008-0000-0700-000025000000}"/>
            </a:ext>
          </a:extLst>
        </xdr:cNvPr>
        <xdr:cNvGrpSpPr/>
      </xdr:nvGrpSpPr>
      <xdr:grpSpPr>
        <a:xfrm>
          <a:off x="5020235" y="2420472"/>
          <a:ext cx="4078941" cy="1411941"/>
          <a:chOff x="5020235" y="5244353"/>
          <a:chExt cx="4078941" cy="1411941"/>
        </a:xfrm>
      </xdr:grpSpPr>
      <xdr:sp macro="" textlink="">
        <xdr:nvSpPr>
          <xdr:cNvPr id="39" name="Rectangle: Rounded Corners 38">
            <a:extLst>
              <a:ext uri="{FF2B5EF4-FFF2-40B4-BE49-F238E27FC236}">
                <a16:creationId xmlns:a16="http://schemas.microsoft.com/office/drawing/2014/main" id="{00000000-0008-0000-0700-000027000000}"/>
              </a:ext>
            </a:extLst>
          </xdr:cNvPr>
          <xdr:cNvSpPr/>
        </xdr:nvSpPr>
        <xdr:spPr>
          <a:xfrm>
            <a:off x="5020235" y="5244353"/>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5961529"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How to Navigate</a:t>
            </a:r>
          </a:p>
        </xdr:txBody>
      </xdr:sp>
      <xdr:pic>
        <xdr:nvPicPr>
          <xdr:cNvPr id="33" name="Graphic 32" descr="Direction">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5109882" y="5569324"/>
            <a:ext cx="685800" cy="685800"/>
          </a:xfrm>
          <a:prstGeom prst="rect">
            <a:avLst/>
          </a:prstGeom>
        </xdr:spPr>
      </xdr:pic>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5961528" y="5647766"/>
            <a:ext cx="3137648" cy="1008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Just click the arrows in the</a:t>
            </a:r>
            <a:r>
              <a:rPr lang="en-US" sz="1000" b="0" baseline="0">
                <a:solidFill>
                  <a:schemeClr val="dk1"/>
                </a:solidFill>
                <a:effectLst/>
                <a:latin typeface="Arial" panose="020B0604020202020204" pitchFamily="34" charset="0"/>
                <a:ea typeface="+mn-ea"/>
                <a:cs typeface="Arial" panose="020B0604020202020204" pitchFamily="34" charset="0"/>
              </a:rPr>
              <a:t> top corners of the pages to navigate throughout the application. You can also navigate directly to the various tabs by clicking the various tabs at the top of the page.</a:t>
            </a:r>
            <a:endParaRPr lang="en-US" sz="1000">
              <a:effectLst/>
              <a:latin typeface="Arial" panose="020B0604020202020204" pitchFamily="34" charset="0"/>
              <a:cs typeface="Arial" panose="020B0604020202020204" pitchFamily="34" charset="0"/>
            </a:endParaRPr>
          </a:p>
          <a:p>
            <a:endParaRPr lang="en-US" sz="1100"/>
          </a:p>
        </xdr:txBody>
      </xdr:sp>
    </xdr:grpSp>
    <xdr:clientData/>
  </xdr:twoCellAnchor>
  <xdr:twoCellAnchor>
    <xdr:from>
      <xdr:col>29</xdr:col>
      <xdr:colOff>308456</xdr:colOff>
      <xdr:row>12</xdr:row>
      <xdr:rowOff>0</xdr:rowOff>
    </xdr:from>
    <xdr:to>
      <xdr:col>42</xdr:col>
      <xdr:colOff>308455</xdr:colOff>
      <xdr:row>19</xdr:row>
      <xdr:rowOff>0</xdr:rowOff>
    </xdr:to>
    <xdr:grpSp>
      <xdr:nvGrpSpPr>
        <xdr:cNvPr id="47" name="PREAPPROVALREQD">
          <a:extLst>
            <a:ext uri="{FF2B5EF4-FFF2-40B4-BE49-F238E27FC236}">
              <a16:creationId xmlns:a16="http://schemas.microsoft.com/office/drawing/2014/main" id="{00000000-0008-0000-0700-00002F000000}"/>
            </a:ext>
          </a:extLst>
        </xdr:cNvPr>
        <xdr:cNvGrpSpPr/>
      </xdr:nvGrpSpPr>
      <xdr:grpSpPr>
        <a:xfrm>
          <a:off x="9407632" y="2420471"/>
          <a:ext cx="4078941" cy="1411941"/>
          <a:chOff x="9407632" y="2420471"/>
          <a:chExt cx="4078941" cy="1411941"/>
        </a:xfrm>
      </xdr:grpSpPr>
      <xdr:sp macro="" textlink="">
        <xdr:nvSpPr>
          <xdr:cNvPr id="49" name="Rectangle: Rounded Corners 48">
            <a:extLst>
              <a:ext uri="{FF2B5EF4-FFF2-40B4-BE49-F238E27FC236}">
                <a16:creationId xmlns:a16="http://schemas.microsoft.com/office/drawing/2014/main" id="{00000000-0008-0000-0700-000031000000}"/>
              </a:ext>
            </a:extLst>
          </xdr:cNvPr>
          <xdr:cNvSpPr/>
        </xdr:nvSpPr>
        <xdr:spPr>
          <a:xfrm>
            <a:off x="9407632" y="2420471"/>
            <a:ext cx="4078941"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0348926" y="2420471"/>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Is Pre-Approval Required?</a:t>
            </a:r>
          </a:p>
        </xdr:txBody>
      </xdr:sp>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10348925" y="2823883"/>
            <a:ext cx="3137648"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Most Standard Incentive measure</a:t>
            </a:r>
            <a:r>
              <a:rPr lang="en-US" sz="1000" b="0" baseline="0">
                <a:solidFill>
                  <a:schemeClr val="dk1"/>
                </a:solidFill>
                <a:effectLst/>
                <a:latin typeface="Arial" panose="020B0604020202020204" pitchFamily="34" charset="0"/>
                <a:ea typeface="+mn-ea"/>
                <a:cs typeface="Arial" panose="020B0604020202020204" pitchFamily="34" charset="0"/>
              </a:rPr>
              <a:t> do not require pre-approval. However, several standard pre-approval measures can take your energy savings even further by offering incentives per watt saved. Furthermore, all Custom Incentive measure require pre-approval prior to purchasing equipment.</a:t>
            </a:r>
            <a:endParaRPr lang="en-US" sz="1000">
              <a:effectLst/>
              <a:latin typeface="Arial" panose="020B0604020202020204" pitchFamily="34" charset="0"/>
              <a:cs typeface="Arial" panose="020B0604020202020204" pitchFamily="34" charset="0"/>
            </a:endParaRPr>
          </a:p>
          <a:p>
            <a:endParaRPr lang="en-US" sz="1100"/>
          </a:p>
        </xdr:txBody>
      </xdr:sp>
      <xdr:pic>
        <xdr:nvPicPr>
          <xdr:cNvPr id="41" name="Graphic 40" descr="Checklist">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9567581" y="2776817"/>
            <a:ext cx="685800" cy="685800"/>
          </a:xfrm>
          <a:prstGeom prst="rect">
            <a:avLst/>
          </a:prstGeom>
        </xdr:spPr>
      </xdr:pic>
    </xdr:grpSp>
    <xdr:clientData/>
  </xdr:twoCellAnchor>
  <xdr:twoCellAnchor>
    <xdr:from>
      <xdr:col>2</xdr:col>
      <xdr:colOff>0</xdr:colOff>
      <xdr:row>20</xdr:row>
      <xdr:rowOff>33618</xdr:rowOff>
    </xdr:from>
    <xdr:to>
      <xdr:col>15</xdr:col>
      <xdr:colOff>0</xdr:colOff>
      <xdr:row>27</xdr:row>
      <xdr:rowOff>33618</xdr:rowOff>
    </xdr:to>
    <xdr:grpSp>
      <xdr:nvGrpSpPr>
        <xdr:cNvPr id="60" name="INCENTIVES">
          <a:extLst>
            <a:ext uri="{FF2B5EF4-FFF2-40B4-BE49-F238E27FC236}">
              <a16:creationId xmlns:a16="http://schemas.microsoft.com/office/drawing/2014/main" id="{00000000-0008-0000-0700-00003C000000}"/>
            </a:ext>
          </a:extLst>
        </xdr:cNvPr>
        <xdr:cNvGrpSpPr/>
      </xdr:nvGrpSpPr>
      <xdr:grpSpPr>
        <a:xfrm>
          <a:off x="627529" y="4067736"/>
          <a:ext cx="4078942" cy="1411941"/>
          <a:chOff x="627529" y="5446059"/>
          <a:chExt cx="4078942" cy="1411941"/>
        </a:xfrm>
      </xdr:grpSpPr>
      <xdr:grpSp>
        <xdr:nvGrpSpPr>
          <xdr:cNvPr id="55" name="Group 54">
            <a:extLst>
              <a:ext uri="{FF2B5EF4-FFF2-40B4-BE49-F238E27FC236}">
                <a16:creationId xmlns:a16="http://schemas.microsoft.com/office/drawing/2014/main" id="{00000000-0008-0000-0700-000037000000}"/>
              </a:ext>
            </a:extLst>
          </xdr:cNvPr>
          <xdr:cNvGrpSpPr/>
        </xdr:nvGrpSpPr>
        <xdr:grpSpPr>
          <a:xfrm>
            <a:off x="627529" y="5446059"/>
            <a:ext cx="4078942" cy="1411941"/>
            <a:chOff x="627529" y="5244353"/>
            <a:chExt cx="4078942" cy="1411941"/>
          </a:xfrm>
        </xdr:grpSpPr>
        <xdr:sp macro="" textlink="">
          <xdr:nvSpPr>
            <xdr:cNvPr id="56" name="Rectangle: Rounded Corners 55">
              <a:extLst>
                <a:ext uri="{FF2B5EF4-FFF2-40B4-BE49-F238E27FC236}">
                  <a16:creationId xmlns:a16="http://schemas.microsoft.com/office/drawing/2014/main" id="{00000000-0008-0000-0700-000038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Custom</a:t>
              </a:r>
              <a:r>
                <a:rPr lang="en-US" sz="1000" b="0" baseline="0">
                  <a:solidFill>
                    <a:schemeClr val="dk1"/>
                  </a:solidFill>
                  <a:effectLst/>
                  <a:latin typeface="Arial" panose="020B0604020202020204" pitchFamily="34" charset="0"/>
                  <a:ea typeface="+mn-ea"/>
                  <a:cs typeface="Arial" panose="020B0604020202020204" pitchFamily="34" charset="0"/>
                </a:rPr>
                <a:t> Incentives require pre-approval before purchase and are calculated based on the project's energy savings and cost. Standard Incentives are based on a per-unit basis (for fast track measures) or on energy savings (for pre-approval measures).</a:t>
              </a:r>
              <a:endParaRPr lang="en-US" sz="1100"/>
            </a:p>
          </xdr:txBody>
        </xdr:sp>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Our Incentives</a:t>
              </a:r>
            </a:p>
          </xdr:txBody>
        </xdr:sp>
      </xdr:grpSp>
      <xdr:pic>
        <xdr:nvPicPr>
          <xdr:cNvPr id="54" name="Graphic 53" descr="Calculator">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32266" y="5849471"/>
            <a:ext cx="685800" cy="685800"/>
          </a:xfrm>
          <a:prstGeom prst="rect">
            <a:avLst/>
          </a:prstGeom>
        </xdr:spPr>
      </xdr:pic>
    </xdr:grpSp>
    <xdr:clientData/>
  </xdr:twoCellAnchor>
  <xdr:twoCellAnchor>
    <xdr:from>
      <xdr:col>15</xdr:col>
      <xdr:colOff>305108</xdr:colOff>
      <xdr:row>20</xdr:row>
      <xdr:rowOff>0</xdr:rowOff>
    </xdr:from>
    <xdr:to>
      <xdr:col>28</xdr:col>
      <xdr:colOff>305109</xdr:colOff>
      <xdr:row>27</xdr:row>
      <xdr:rowOff>0</xdr:rowOff>
    </xdr:to>
    <xdr:grpSp>
      <xdr:nvGrpSpPr>
        <xdr:cNvPr id="63" name="NEEDHELP">
          <a:extLst>
            <a:ext uri="{FF2B5EF4-FFF2-40B4-BE49-F238E27FC236}">
              <a16:creationId xmlns:a16="http://schemas.microsoft.com/office/drawing/2014/main" id="{00000000-0008-0000-0700-00003F000000}"/>
            </a:ext>
          </a:extLst>
        </xdr:cNvPr>
        <xdr:cNvGrpSpPr/>
      </xdr:nvGrpSpPr>
      <xdr:grpSpPr>
        <a:xfrm>
          <a:off x="5011579" y="4034118"/>
          <a:ext cx="4078942" cy="1411941"/>
          <a:chOff x="5020235" y="5244353"/>
          <a:chExt cx="4078942" cy="1411941"/>
        </a:xfrm>
      </xdr:grpSpPr>
      <xdr:grpSp>
        <xdr:nvGrpSpPr>
          <xdr:cNvPr id="65" name="Group 64">
            <a:extLst>
              <a:ext uri="{FF2B5EF4-FFF2-40B4-BE49-F238E27FC236}">
                <a16:creationId xmlns:a16="http://schemas.microsoft.com/office/drawing/2014/main" id="{00000000-0008-0000-0700-000041000000}"/>
              </a:ext>
            </a:extLst>
          </xdr:cNvPr>
          <xdr:cNvGrpSpPr/>
        </xdr:nvGrpSpPr>
        <xdr:grpSpPr>
          <a:xfrm>
            <a:off x="5020235" y="5244353"/>
            <a:ext cx="4078942" cy="1411941"/>
            <a:chOff x="627529" y="5244353"/>
            <a:chExt cx="4078942" cy="1411941"/>
          </a:xfrm>
        </xdr:grpSpPr>
        <xdr:sp macro="" textlink="">
          <xdr:nvSpPr>
            <xdr:cNvPr id="68" name="Rectangle: Rounded Corners 67">
              <a:extLst>
                <a:ext uri="{FF2B5EF4-FFF2-40B4-BE49-F238E27FC236}">
                  <a16:creationId xmlns:a16="http://schemas.microsoft.com/office/drawing/2014/main" id="{00000000-0008-0000-0700-000044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dk1"/>
                  </a:solidFill>
                  <a:effectLst/>
                  <a:latin typeface="Arial" panose="020B0604020202020204" pitchFamily="34" charset="0"/>
                  <a:ea typeface="+mn-ea"/>
                  <a:cs typeface="Arial" panose="020B0604020202020204" pitchFamily="34" charset="0"/>
                </a:rPr>
                <a:t>We want to help you earn cash incentives by saving</a:t>
              </a:r>
              <a:r>
                <a:rPr lang="en-US" sz="1000" b="0" baseline="0">
                  <a:solidFill>
                    <a:schemeClr val="dk1"/>
                  </a:solidFill>
                  <a:effectLst/>
                  <a:latin typeface="Arial" panose="020B0604020202020204" pitchFamily="34" charset="0"/>
                  <a:ea typeface="+mn-ea"/>
                  <a:cs typeface="Arial" panose="020B0604020202020204" pitchFamily="34" charset="0"/>
                </a:rPr>
                <a:t> energy at your facility. If you get stuck, contact us using the information below. Wer'e happy to help.</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Toll-Free 866-941-7299</a:t>
              </a:r>
            </a:p>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BizSavers@ameren.com</a:t>
              </a:r>
            </a:p>
            <a:p>
              <a:endParaRPr lang="en-US" sz="1100"/>
            </a:p>
          </xdr:txBody>
        </xdr:sp>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Need Help?</a:t>
              </a:r>
            </a:p>
          </xdr:txBody>
        </xdr:sp>
      </xdr:grpSp>
      <xdr:pic>
        <xdr:nvPicPr>
          <xdr:cNvPr id="62" name="Graphic 61" descr="Telephone">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5199529" y="5647765"/>
            <a:ext cx="685800" cy="685800"/>
          </a:xfrm>
          <a:prstGeom prst="rect">
            <a:avLst/>
          </a:prstGeom>
        </xdr:spPr>
      </xdr:pic>
    </xdr:grpSp>
    <xdr:clientData/>
  </xdr:twoCellAnchor>
  <xdr:twoCellAnchor>
    <xdr:from>
      <xdr:col>28</xdr:col>
      <xdr:colOff>287781</xdr:colOff>
      <xdr:row>19</xdr:row>
      <xdr:rowOff>25961</xdr:rowOff>
    </xdr:from>
    <xdr:to>
      <xdr:col>42</xdr:col>
      <xdr:colOff>305047</xdr:colOff>
      <xdr:row>27</xdr:row>
      <xdr:rowOff>0</xdr:rowOff>
    </xdr:to>
    <xdr:grpSp>
      <xdr:nvGrpSpPr>
        <xdr:cNvPr id="82" name="PROGRAMUPDATES">
          <a:extLst>
            <a:ext uri="{FF2B5EF4-FFF2-40B4-BE49-F238E27FC236}">
              <a16:creationId xmlns:a16="http://schemas.microsoft.com/office/drawing/2014/main" id="{00000000-0008-0000-0700-000052000000}"/>
            </a:ext>
          </a:extLst>
        </xdr:cNvPr>
        <xdr:cNvGrpSpPr/>
      </xdr:nvGrpSpPr>
      <xdr:grpSpPr>
        <a:xfrm>
          <a:off x="9073193" y="3858373"/>
          <a:ext cx="4409972" cy="1587686"/>
          <a:chOff x="9081910" y="5068608"/>
          <a:chExt cx="4409972" cy="1587686"/>
        </a:xfrm>
      </xdr:grpSpPr>
      <xdr:grpSp>
        <xdr:nvGrpSpPr>
          <xdr:cNvPr id="80" name="Group 79">
            <a:extLst>
              <a:ext uri="{FF2B5EF4-FFF2-40B4-BE49-F238E27FC236}">
                <a16:creationId xmlns:a16="http://schemas.microsoft.com/office/drawing/2014/main" id="{00000000-0008-0000-0700-000050000000}"/>
              </a:ext>
            </a:extLst>
          </xdr:cNvPr>
          <xdr:cNvGrpSpPr/>
        </xdr:nvGrpSpPr>
        <xdr:grpSpPr>
          <a:xfrm>
            <a:off x="9422465" y="5244353"/>
            <a:ext cx="4069417" cy="1411941"/>
            <a:chOff x="9422465" y="5244353"/>
            <a:chExt cx="4069417" cy="1411941"/>
          </a:xfrm>
        </xdr:grpSpPr>
        <xdr:grpSp>
          <xdr:nvGrpSpPr>
            <xdr:cNvPr id="74" name="Group 73">
              <a:extLst>
                <a:ext uri="{FF2B5EF4-FFF2-40B4-BE49-F238E27FC236}">
                  <a16:creationId xmlns:a16="http://schemas.microsoft.com/office/drawing/2014/main" id="{00000000-0008-0000-0700-00004A000000}"/>
                </a:ext>
              </a:extLst>
            </xdr:cNvPr>
            <xdr:cNvGrpSpPr/>
          </xdr:nvGrpSpPr>
          <xdr:grpSpPr>
            <a:xfrm>
              <a:off x="9422465" y="5244353"/>
              <a:ext cx="4069417" cy="1411941"/>
              <a:chOff x="627529" y="5244353"/>
              <a:chExt cx="4078942" cy="1411941"/>
            </a:xfrm>
          </xdr:grpSpPr>
          <xdr:sp macro="" textlink="">
            <xdr:nvSpPr>
              <xdr:cNvPr id="76" name="Rectangle: Rounded Corners 75">
                <a:extLst>
                  <a:ext uri="{FF2B5EF4-FFF2-40B4-BE49-F238E27FC236}">
                    <a16:creationId xmlns:a16="http://schemas.microsoft.com/office/drawing/2014/main" id="{00000000-0008-0000-0700-00004C000000}"/>
                  </a:ext>
                </a:extLst>
              </xdr:cNvPr>
              <xdr:cNvSpPr/>
            </xdr:nvSpPr>
            <xdr:spPr>
              <a:xfrm>
                <a:off x="627529" y="5244353"/>
                <a:ext cx="4078942" cy="1411941"/>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1568824" y="5647765"/>
                <a:ext cx="3137646"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a:effectLst/>
                    <a:latin typeface="Arial" panose="020B0604020202020204" pitchFamily="34" charset="0"/>
                    <a:cs typeface="Arial" panose="020B0604020202020204" pitchFamily="34" charset="0"/>
                  </a:rPr>
                  <a:t>We have new incentive rates for linear lighting, HID</a:t>
                </a:r>
                <a:r>
                  <a:rPr lang="en-US" sz="1000" baseline="0">
                    <a:effectLst/>
                    <a:latin typeface="Arial" panose="020B0604020202020204" pitchFamily="34" charset="0"/>
                    <a:cs typeface="Arial" panose="020B0604020202020204" pitchFamily="34" charset="0"/>
                  </a:rPr>
                  <a:t> lighting, HVAC equipment, and air compressors!</a:t>
                </a:r>
                <a:endParaRPr lang="en-US" sz="1100"/>
              </a:p>
            </xdr:txBody>
          </xdr:sp>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1568823" y="5244353"/>
                <a:ext cx="3137647" cy="4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1800" b="1" i="0">
                    <a:solidFill>
                      <a:srgbClr val="C00000"/>
                    </a:solidFill>
                    <a:latin typeface="Arial" panose="020B0604020202020204" pitchFamily="34" charset="0"/>
                    <a:cs typeface="Arial" panose="020B0604020202020204" pitchFamily="34" charset="0"/>
                  </a:rPr>
                  <a:t>Program Updates</a:t>
                </a:r>
              </a:p>
            </xdr:txBody>
          </xdr:sp>
        </xdr:grpSp>
        <xdr:pic>
          <xdr:nvPicPr>
            <xdr:cNvPr id="72" name="Graphic 71" descr="Megaphone">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9586115" y="5600700"/>
              <a:ext cx="685800" cy="685800"/>
            </a:xfrm>
            <a:prstGeom prst="rect">
              <a:avLst/>
            </a:prstGeom>
          </xdr:spPr>
        </xdr:pic>
      </xdr:grpSp>
      <xdr:sp macro="" textlink="">
        <xdr:nvSpPr>
          <xdr:cNvPr id="81" name="TextBox 80">
            <a:extLst>
              <a:ext uri="{FF2B5EF4-FFF2-40B4-BE49-F238E27FC236}">
                <a16:creationId xmlns:a16="http://schemas.microsoft.com/office/drawing/2014/main" id="{00000000-0008-0000-0700-000051000000}"/>
              </a:ext>
            </a:extLst>
          </xdr:cNvPr>
          <xdr:cNvSpPr txBox="1"/>
        </xdr:nvSpPr>
        <xdr:spPr>
          <a:xfrm rot="20120951">
            <a:off x="9081910" y="5068608"/>
            <a:ext cx="1274196" cy="727584"/>
          </a:xfrm>
          <a:prstGeom prst="irregularSeal1">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bg1"/>
                </a:solidFill>
                <a:latin typeface="Arial" panose="020B0604020202020204" pitchFamily="34" charset="0"/>
                <a:cs typeface="Arial" panose="020B0604020202020204" pitchFamily="34" charset="0"/>
              </a:rPr>
              <a:t>NEW!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10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10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0</xdr:colOff>
      <xdr:row>4</xdr:row>
      <xdr:rowOff>0</xdr:rowOff>
    </xdr:to>
    <xdr:sp macro="" textlink="MAIN3">
      <xdr:nvSpPr>
        <xdr:cNvPr id="8" name="MENU3">
          <a:hlinkClick xmlns:r="http://schemas.openxmlformats.org/officeDocument/2006/relationships" r:id="rId4"/>
          <a:extLst>
            <a:ext uri="{FF2B5EF4-FFF2-40B4-BE49-F238E27FC236}">
              <a16:creationId xmlns:a16="http://schemas.microsoft.com/office/drawing/2014/main" id="{00000000-0008-0000-1000-000008000000}"/>
            </a:ext>
          </a:extLst>
        </xdr:cNvPr>
        <xdr:cNvSpPr/>
      </xdr:nvSpPr>
      <xdr:spPr>
        <a:xfrm>
          <a:off x="4725867" y="197827"/>
          <a:ext cx="1260229"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A3B5FBF-4195-4A4D-95DD-E1644749B9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7327</xdr:rowOff>
    </xdr:from>
    <xdr:to>
      <xdr:col>23</xdr:col>
      <xdr:colOff>0</xdr:colOff>
      <xdr:row>4</xdr:row>
      <xdr:rowOff>7327</xdr:rowOff>
    </xdr:to>
    <xdr:sp macro="" textlink="MAIN4">
      <xdr:nvSpPr>
        <xdr:cNvPr id="5" name="MENU4">
          <a:hlinkClick xmlns:r="http://schemas.openxmlformats.org/officeDocument/2006/relationships" r:id="rId7"/>
          <a:extLst>
            <a:ext uri="{FF2B5EF4-FFF2-40B4-BE49-F238E27FC236}">
              <a16:creationId xmlns:a16="http://schemas.microsoft.com/office/drawing/2014/main" id="{00000000-0008-0000-1000-000005000000}"/>
            </a:ext>
          </a:extLst>
        </xdr:cNvPr>
        <xdr:cNvSpPr/>
      </xdr:nvSpPr>
      <xdr:spPr>
        <a:xfrm>
          <a:off x="5986096" y="205154"/>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5B6497D-3986-4212-AAD9-5EA90C786614}"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10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B705D59-98E6-4BC0-95D3-33BEE122FB18}"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10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6672458-9EB9-40FD-A73A-79FEB071C2B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a:extLst>
            <a:ext uri="{FF2B5EF4-FFF2-40B4-BE49-F238E27FC236}">
              <a16:creationId xmlns:a16="http://schemas.microsoft.com/office/drawing/2014/main" id="{00000000-0008-0000-10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2550</xdr:colOff>
      <xdr:row>4</xdr:row>
      <xdr:rowOff>196068</xdr:rowOff>
    </xdr:from>
    <xdr:to>
      <xdr:col>17</xdr:col>
      <xdr:colOff>1002</xdr:colOff>
      <xdr:row>7</xdr:row>
      <xdr:rowOff>0</xdr:rowOff>
    </xdr:to>
    <xdr:sp macro="" textlink="M2S5">
      <xdr:nvSpPr>
        <xdr:cNvPr id="15" name="SUBMENU5">
          <a:hlinkClick xmlns:r="http://schemas.openxmlformats.org/officeDocument/2006/relationships" r:id="rId11"/>
          <a:extLst>
            <a:ext uri="{FF2B5EF4-FFF2-40B4-BE49-F238E27FC236}">
              <a16:creationId xmlns:a16="http://schemas.microsoft.com/office/drawing/2014/main" id="{00000000-0008-0000-1000-00000F000000}"/>
            </a:ext>
          </a:extLst>
        </xdr:cNvPr>
        <xdr:cNvSpPr/>
      </xdr:nvSpPr>
      <xdr:spPr>
        <a:xfrm>
          <a:off x="3786274" y="984344"/>
          <a:ext cx="1575004" cy="39513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196068</xdr:rowOff>
    </xdr:from>
    <xdr:to>
      <xdr:col>21</xdr:col>
      <xdr:colOff>315310</xdr:colOff>
      <xdr:row>7</xdr:row>
      <xdr:rowOff>758</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1000-00000D000000}"/>
            </a:ext>
          </a:extLst>
        </xdr:cNvPr>
        <xdr:cNvSpPr/>
      </xdr:nvSpPr>
      <xdr:spPr>
        <a:xfrm>
          <a:off x="5360276" y="984344"/>
          <a:ext cx="1576551" cy="39589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21</xdr:col>
      <xdr:colOff>315310</xdr:colOff>
      <xdr:row>5</xdr:row>
      <xdr:rowOff>51480</xdr:rowOff>
    </xdr:from>
    <xdr:to>
      <xdr:col>26</xdr:col>
      <xdr:colOff>313764</xdr:colOff>
      <xdr:row>7</xdr:row>
      <xdr:rowOff>50800</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1000-00000E000000}"/>
            </a:ext>
          </a:extLst>
        </xdr:cNvPr>
        <xdr:cNvSpPr/>
      </xdr:nvSpPr>
      <xdr:spPr>
        <a:xfrm>
          <a:off x="6936827" y="1036825"/>
          <a:ext cx="1575006" cy="393458"/>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39</xdr:row>
          <xdr:rowOff>9525</xdr:rowOff>
        </xdr:from>
        <xdr:to>
          <xdr:col>3</xdr:col>
          <xdr:colOff>0</xdr:colOff>
          <xdr:row>41</xdr:row>
          <xdr:rowOff>0</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0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0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36" name="MENU3">
          <a:hlinkClick xmlns:r="http://schemas.openxmlformats.org/officeDocument/2006/relationships" r:id="rId3"/>
          <a:extLst>
            <a:ext uri="{FF2B5EF4-FFF2-40B4-BE49-F238E27FC236}">
              <a16:creationId xmlns:a16="http://schemas.microsoft.com/office/drawing/2014/main" id="{00000000-0008-0000-1100-000024000000}"/>
            </a:ext>
          </a:extLst>
        </xdr:cNvPr>
        <xdr:cNvSpPr/>
      </xdr:nvSpPr>
      <xdr:spPr>
        <a:xfrm>
          <a:off x="4729655" y="330418"/>
          <a:ext cx="1261243" cy="457859"/>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100-000005000000}"/>
            </a:ext>
          </a:extLst>
        </xdr:cNvPr>
        <xdr:cNvSpPr/>
      </xdr:nvSpPr>
      <xdr:spPr>
        <a:xfrm>
          <a:off x="5962504" y="201706"/>
          <a:ext cx="1254084"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100-000006000000}"/>
            </a:ext>
          </a:extLst>
        </xdr:cNvPr>
        <xdr:cNvSpPr/>
      </xdr:nvSpPr>
      <xdr:spPr>
        <a:xfrm>
          <a:off x="7238025"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1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7" hidden="1">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8" hidden="1">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4" y="806825"/>
          <a:ext cx="627529"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100-00000B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100-00000C000000}"/>
            </a:ext>
          </a:extLst>
        </xdr:cNvPr>
        <xdr:cNvSpPr/>
      </xdr:nvSpPr>
      <xdr:spPr>
        <a:xfrm>
          <a:off x="2198904" y="1007529"/>
          <a:ext cx="1568822"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3328</xdr:colOff>
      <xdr:row>4</xdr:row>
      <xdr:rowOff>196826</xdr:rowOff>
    </xdr:from>
    <xdr:to>
      <xdr:col>17</xdr:col>
      <xdr:colOff>5102</xdr:colOff>
      <xdr:row>6</xdr:row>
      <xdr:rowOff>197827</xdr:rowOff>
    </xdr:to>
    <xdr:sp macro="" textlink="M3S3">
      <xdr:nvSpPr>
        <xdr:cNvPr id="17" name="SUBMENU3">
          <a:hlinkClick xmlns:r="http://schemas.openxmlformats.org/officeDocument/2006/relationships" r:id="rId8"/>
          <a:extLst>
            <a:ext uri="{FF2B5EF4-FFF2-40B4-BE49-F238E27FC236}">
              <a16:creationId xmlns:a16="http://schemas.microsoft.com/office/drawing/2014/main" id="{00000000-0008-0000-1100-000011000000}"/>
            </a:ext>
          </a:extLst>
        </xdr:cNvPr>
        <xdr:cNvSpPr/>
      </xdr:nvSpPr>
      <xdr:spPr>
        <a:xfrm>
          <a:off x="3768504" y="1003650"/>
          <a:ext cx="157059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196826</xdr:rowOff>
    </xdr:from>
    <xdr:to>
      <xdr:col>22</xdr:col>
      <xdr:colOff>2550</xdr:colOff>
      <xdr:row>6</xdr:row>
      <xdr:rowOff>197827</xdr:rowOff>
    </xdr:to>
    <xdr:sp macro="" textlink="M3S4">
      <xdr:nvSpPr>
        <xdr:cNvPr id="13" name="SUBMENU4">
          <a:hlinkClick xmlns:r="http://schemas.openxmlformats.org/officeDocument/2006/relationships" r:id="rId9"/>
          <a:extLst>
            <a:ext uri="{FF2B5EF4-FFF2-40B4-BE49-F238E27FC236}">
              <a16:creationId xmlns:a16="http://schemas.microsoft.com/office/drawing/2014/main" id="{00000000-0008-0000-1100-00000D000000}"/>
            </a:ext>
          </a:extLst>
        </xdr:cNvPr>
        <xdr:cNvSpPr/>
      </xdr:nvSpPr>
      <xdr:spPr>
        <a:xfrm>
          <a:off x="5336551" y="1003650"/>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1922</xdr:colOff>
      <xdr:row>4</xdr:row>
      <xdr:rowOff>195507</xdr:rowOff>
    </xdr:from>
    <xdr:to>
      <xdr:col>26</xdr:col>
      <xdr:colOff>313764</xdr:colOff>
      <xdr:row>6</xdr:row>
      <xdr:rowOff>196827</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100-00000F000000}"/>
            </a:ext>
          </a:extLst>
        </xdr:cNvPr>
        <xdr:cNvSpPr/>
      </xdr:nvSpPr>
      <xdr:spPr>
        <a:xfrm>
          <a:off x="6904746" y="1002331"/>
          <a:ext cx="1566900"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802220F-67C2-458F-BD13-EBFAC07DCE45}"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4472</xdr:colOff>
      <xdr:row>4</xdr:row>
      <xdr:rowOff>195507</xdr:rowOff>
    </xdr:from>
    <xdr:to>
      <xdr:col>32</xdr:col>
      <xdr:colOff>2550</xdr:colOff>
      <xdr:row>6</xdr:row>
      <xdr:rowOff>196827</xdr:rowOff>
    </xdr:to>
    <xdr:sp macro="" textlink="M3S5">
      <xdr:nvSpPr>
        <xdr:cNvPr id="14" name="SUBMENU5">
          <a:hlinkClick xmlns:r="http://schemas.openxmlformats.org/officeDocument/2006/relationships" r:id="rId11"/>
          <a:extLst>
            <a:ext uri="{FF2B5EF4-FFF2-40B4-BE49-F238E27FC236}">
              <a16:creationId xmlns:a16="http://schemas.microsoft.com/office/drawing/2014/main" id="{00000000-0008-0000-1100-00000E000000}"/>
            </a:ext>
          </a:extLst>
        </xdr:cNvPr>
        <xdr:cNvSpPr/>
      </xdr:nvSpPr>
      <xdr:spPr>
        <a:xfrm>
          <a:off x="8476119" y="1002331"/>
          <a:ext cx="1566902" cy="40473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2550</xdr:colOff>
      <xdr:row>4</xdr:row>
      <xdr:rowOff>191947</xdr:rowOff>
    </xdr:from>
    <xdr:to>
      <xdr:col>37</xdr:col>
      <xdr:colOff>3496</xdr:colOff>
      <xdr:row>6</xdr:row>
      <xdr:rowOff>192948</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100-000020000000}"/>
            </a:ext>
          </a:extLst>
        </xdr:cNvPr>
        <xdr:cNvSpPr/>
      </xdr:nvSpPr>
      <xdr:spPr>
        <a:xfrm>
          <a:off x="10043021" y="998771"/>
          <a:ext cx="1569769"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3350</xdr:colOff>
      <xdr:row>4</xdr:row>
      <xdr:rowOff>195826</xdr:rowOff>
    </xdr:from>
    <xdr:to>
      <xdr:col>42</xdr:col>
      <xdr:colOff>2550</xdr:colOff>
      <xdr:row>6</xdr:row>
      <xdr:rowOff>196827</xdr:rowOff>
    </xdr:to>
    <xdr:sp macro="" textlink="M3S8">
      <xdr:nvSpPr>
        <xdr:cNvPr id="31" name="SUBMENU8">
          <a:hlinkClick xmlns:r="http://schemas.openxmlformats.org/officeDocument/2006/relationships" r:id="rId13"/>
          <a:extLst>
            <a:ext uri="{FF2B5EF4-FFF2-40B4-BE49-F238E27FC236}">
              <a16:creationId xmlns:a16="http://schemas.microsoft.com/office/drawing/2014/main" id="{00000000-0008-0000-1100-00001F000000}"/>
            </a:ext>
          </a:extLst>
        </xdr:cNvPr>
        <xdr:cNvSpPr/>
      </xdr:nvSpPr>
      <xdr:spPr>
        <a:xfrm>
          <a:off x="11612644" y="1002650"/>
          <a:ext cx="1568024"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2549</xdr:colOff>
      <xdr:row>4</xdr:row>
      <xdr:rowOff>0</xdr:rowOff>
    </xdr:from>
    <xdr:to>
      <xdr:col>43</xdr:col>
      <xdr:colOff>311460</xdr:colOff>
      <xdr:row>7</xdr:row>
      <xdr:rowOff>4636</xdr:rowOff>
    </xdr:to>
    <xdr:sp macro="" textlink="">
      <xdr:nvSpPr>
        <xdr:cNvPr id="25" name="TOPRIBBON">
          <a:extLst>
            <a:ext uri="{FF2B5EF4-FFF2-40B4-BE49-F238E27FC236}">
              <a16:creationId xmlns:a16="http://schemas.microsoft.com/office/drawing/2014/main" id="{00000000-0008-0000-1100-000019000000}"/>
            </a:ext>
          </a:extLst>
        </xdr:cNvPr>
        <xdr:cNvSpPr/>
      </xdr:nvSpPr>
      <xdr:spPr>
        <a:xfrm>
          <a:off x="13180667" y="806824"/>
          <a:ext cx="622675" cy="609753"/>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200023</xdr:rowOff>
    </xdr:from>
    <xdr:to>
      <xdr:col>44</xdr:col>
      <xdr:colOff>0</xdr:colOff>
      <xdr:row>83</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611964"/>
          <a:ext cx="13491324" cy="155330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43" name="LOGO">
          <a:extLst>
            <a:ext uri="{FF2B5EF4-FFF2-40B4-BE49-F238E27FC236}">
              <a16:creationId xmlns:a16="http://schemas.microsoft.com/office/drawing/2014/main" id="{00000000-0008-0000-1100-00002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6" name="MENU7">
          <a:extLst>
            <a:ext uri="{FF2B5EF4-FFF2-40B4-BE49-F238E27FC236}">
              <a16:creationId xmlns:a16="http://schemas.microsoft.com/office/drawing/2014/main" id="{00000000-0008-0000-1100-00001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1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17</xdr:col>
      <xdr:colOff>2551</xdr:colOff>
      <xdr:row>13</xdr:row>
      <xdr:rowOff>192936</xdr:rowOff>
    </xdr:from>
    <xdr:to>
      <xdr:col>29</xdr:col>
      <xdr:colOff>1</xdr:colOff>
      <xdr:row>16</xdr:row>
      <xdr:rowOff>184165</xdr:rowOff>
    </xdr:to>
    <xdr:sp macro="" textlink="">
      <xdr:nvSpPr>
        <xdr:cNvPr id="28" name="TextBox 27">
          <a:hlinkClick xmlns:r="http://schemas.openxmlformats.org/officeDocument/2006/relationships" r:id="rId15" tooltip="A lighting redesign involves permanently adding or removing fixtures"/>
          <a:extLst>
            <a:ext uri="{FF2B5EF4-FFF2-40B4-BE49-F238E27FC236}">
              <a16:creationId xmlns:a16="http://schemas.microsoft.com/office/drawing/2014/main" id="{00000000-0008-0000-1100-00001C000000}"/>
            </a:ext>
          </a:extLst>
        </xdr:cNvPr>
        <xdr:cNvSpPr txBox="1"/>
      </xdr:nvSpPr>
      <xdr:spPr>
        <a:xfrm>
          <a:off x="5336551" y="2815112"/>
          <a:ext cx="3762626" cy="596347"/>
        </a:xfrm>
        <a:prstGeom prst="roundRect">
          <a:avLst/>
        </a:prstGeom>
        <a:solidFill>
          <a:srgbClr val="1B6CB5"/>
        </a:solidFill>
        <a:ln w="12700"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i="0" u="sng">
              <a:solidFill>
                <a:schemeClr val="bg1"/>
              </a:solidFill>
              <a:latin typeface="Arial" panose="020B0604020202020204" pitchFamily="34" charset="0"/>
              <a:cs typeface="Arial" panose="020B0604020202020204" pitchFamily="34" charset="0"/>
            </a:rPr>
            <a:t>Click</a:t>
          </a:r>
          <a:r>
            <a:rPr lang="en-US" sz="1400" b="1" i="0" u="sng" baseline="0">
              <a:solidFill>
                <a:schemeClr val="bg1"/>
              </a:solidFill>
              <a:latin typeface="Arial" panose="020B0604020202020204" pitchFamily="34" charset="0"/>
              <a:cs typeface="Arial" panose="020B0604020202020204" pitchFamily="34" charset="0"/>
            </a:rPr>
            <a:t> here to go the redesign worksheet</a:t>
          </a:r>
        </a:p>
      </xdr:txBody>
    </xdr:sp>
    <xdr:clientData/>
  </xdr:twoCellAnchor>
  <xdr:twoCellAnchor editAs="oneCell">
    <xdr:from>
      <xdr:col>41</xdr:col>
      <xdr:colOff>0</xdr:colOff>
      <xdr:row>9</xdr:row>
      <xdr:rowOff>1521</xdr:rowOff>
    </xdr:from>
    <xdr:to>
      <xdr:col>42</xdr:col>
      <xdr:colOff>313195</xdr:colOff>
      <xdr:row>11</xdr:row>
      <xdr:rowOff>1520</xdr:rowOff>
    </xdr:to>
    <xdr:sp macro="" textlink="">
      <xdr:nvSpPr>
        <xdr:cNvPr id="29" name="NEXT">
          <a:hlinkClick xmlns:r="http://schemas.openxmlformats.org/officeDocument/2006/relationships" r:id="rId7"/>
          <a:extLst>
            <a:ext uri="{FF2B5EF4-FFF2-40B4-BE49-F238E27FC236}">
              <a16:creationId xmlns:a16="http://schemas.microsoft.com/office/drawing/2014/main" id="{00000000-0008-0000-1100-00001D000000}"/>
            </a:ext>
          </a:extLst>
        </xdr:cNvPr>
        <xdr:cNvSpPr>
          <a:spLocks noChangeAspect="1"/>
        </xdr:cNvSpPr>
      </xdr:nvSpPr>
      <xdr:spPr>
        <a:xfrm>
          <a:off x="12864353" y="1816874"/>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9</xdr:row>
      <xdr:rowOff>1521</xdr:rowOff>
    </xdr:from>
    <xdr:to>
      <xdr:col>3</xdr:col>
      <xdr:colOff>312005</xdr:colOff>
      <xdr:row>11</xdr:row>
      <xdr:rowOff>3202</xdr:rowOff>
    </xdr:to>
    <xdr:sp macro="" textlink="">
      <xdr:nvSpPr>
        <xdr:cNvPr id="30" name="BACK">
          <a:hlinkClick xmlns:r="http://schemas.openxmlformats.org/officeDocument/2006/relationships" r:id="rId16"/>
          <a:extLst>
            <a:ext uri="{FF2B5EF4-FFF2-40B4-BE49-F238E27FC236}">
              <a16:creationId xmlns:a16="http://schemas.microsoft.com/office/drawing/2014/main" id="{00000000-0008-0000-1100-00001E000000}"/>
            </a:ext>
          </a:extLst>
        </xdr:cNvPr>
        <xdr:cNvSpPr>
          <a:spLocks noChangeAspect="1"/>
        </xdr:cNvSpPr>
      </xdr:nvSpPr>
      <xdr:spPr>
        <a:xfrm>
          <a:off x="627529" y="1816874"/>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5</xdr:col>
      <xdr:colOff>-1</xdr:colOff>
      <xdr:row>10</xdr:row>
      <xdr:rowOff>11206</xdr:rowOff>
    </xdr:from>
    <xdr:to>
      <xdr:col>9</xdr:col>
      <xdr:colOff>0</xdr:colOff>
      <xdr:row>13</xdr:row>
      <xdr:rowOff>11207</xdr:rowOff>
    </xdr:to>
    <xdr:sp macro="" textlink="">
      <xdr:nvSpPr>
        <xdr:cNvPr id="2" name="TextBox 1">
          <a:hlinkClick xmlns:r="http://schemas.openxmlformats.org/officeDocument/2006/relationships" r:id="rId17"/>
          <a:extLst>
            <a:ext uri="{FF2B5EF4-FFF2-40B4-BE49-F238E27FC236}">
              <a16:creationId xmlns:a16="http://schemas.microsoft.com/office/drawing/2014/main" id="{00000000-0008-0000-1100-000002000000}"/>
            </a:ext>
          </a:extLst>
        </xdr:cNvPr>
        <xdr:cNvSpPr txBox="1"/>
      </xdr:nvSpPr>
      <xdr:spPr>
        <a:xfrm>
          <a:off x="1568823" y="2028265"/>
          <a:ext cx="1255059" cy="605118"/>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endParaRPr lang="en-US" sz="1100"/>
        </a:p>
      </xdr:txBody>
    </xdr:sp>
    <xdr:clientData/>
  </xdr:twoCellAnchor>
  <xdr:twoCellAnchor>
    <xdr:from>
      <xdr:col>36</xdr:col>
      <xdr:colOff>302559</xdr:colOff>
      <xdr:row>13</xdr:row>
      <xdr:rowOff>0</xdr:rowOff>
    </xdr:from>
    <xdr:to>
      <xdr:col>43</xdr:col>
      <xdr:colOff>0</xdr:colOff>
      <xdr:row>17</xdr:row>
      <xdr:rowOff>1</xdr:rowOff>
    </xdr:to>
    <xdr:sp macro="" textlink="$AU$14">
      <xdr:nvSpPr>
        <xdr:cNvPr id="20" name="TextBox 19" hidden="1">
          <a:hlinkClick xmlns:r="http://schemas.openxmlformats.org/officeDocument/2006/relationships" r:id="rId18"/>
          <a:extLst>
            <a:ext uri="{FF2B5EF4-FFF2-40B4-BE49-F238E27FC236}">
              <a16:creationId xmlns:a16="http://schemas.microsoft.com/office/drawing/2014/main" id="{00000000-0008-0000-1100-000014000000}"/>
            </a:ext>
          </a:extLst>
        </xdr:cNvPr>
        <xdr:cNvSpPr txBox="1"/>
      </xdr:nvSpPr>
      <xdr:spPr>
        <a:xfrm>
          <a:off x="11598088" y="2622176"/>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E8C5FA-02D4-4F8B-B9C6-EFC5065F8E49}"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37</xdr:col>
      <xdr:colOff>0</xdr:colOff>
      <xdr:row>13</xdr:row>
      <xdr:rowOff>11207</xdr:rowOff>
    </xdr:from>
    <xdr:to>
      <xdr:col>43</xdr:col>
      <xdr:colOff>11206</xdr:colOff>
      <xdr:row>17</xdr:row>
      <xdr:rowOff>11208</xdr:rowOff>
    </xdr:to>
    <xdr:sp macro="" textlink="$AU$14">
      <xdr:nvSpPr>
        <xdr:cNvPr id="33" name="TextBox 32">
          <a:hlinkClick xmlns:r="http://schemas.openxmlformats.org/officeDocument/2006/relationships" r:id="rId18"/>
          <a:extLst>
            <a:ext uri="{FF2B5EF4-FFF2-40B4-BE49-F238E27FC236}">
              <a16:creationId xmlns:a16="http://schemas.microsoft.com/office/drawing/2014/main" id="{00000000-0008-0000-1100-000021000000}"/>
            </a:ext>
          </a:extLst>
        </xdr:cNvPr>
        <xdr:cNvSpPr txBox="1"/>
      </xdr:nvSpPr>
      <xdr:spPr>
        <a:xfrm>
          <a:off x="11609294" y="263338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3457576" y="200025"/>
          <a:ext cx="125729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133349</xdr:rowOff>
    </xdr:from>
    <xdr:to>
      <xdr:col>19</xdr:col>
      <xdr:colOff>1</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4714875" y="333374"/>
          <a:ext cx="1257301" cy="466727"/>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9E1770E-6191-4FC2-84D1-3F426E841A31}"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0</xdr:rowOff>
    </xdr:from>
    <xdr:to>
      <xdr:col>23</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200-000006000000}"/>
            </a:ext>
          </a:extLst>
        </xdr:cNvPr>
        <xdr:cNvSpPr/>
      </xdr:nvSpPr>
      <xdr:spPr>
        <a:xfrm>
          <a:off x="5973150" y="200025"/>
          <a:ext cx="1256325"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E2A0FAA-A00A-4F6E-A65C-8B6DE4D2E376}"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313764</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200-000007000000}"/>
            </a:ext>
          </a:extLst>
        </xdr:cNvPr>
        <xdr:cNvSpPr/>
      </xdr:nvSpPr>
      <xdr:spPr>
        <a:xfrm>
          <a:off x="7228914"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E98CD59-D0D5-4DDA-8EA6-BC7AE56001B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200-000008000000}"/>
            </a:ext>
          </a:extLst>
        </xdr:cNvPr>
        <xdr:cNvSpPr/>
      </xdr:nvSpPr>
      <xdr:spPr>
        <a:xfrm>
          <a:off x="8486776"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51EEF97-B8BC-4D9A-AC05-3DB0BAC5680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7" hidden="1">
          <a:extLst>
            <a:ext uri="{FF2B5EF4-FFF2-40B4-BE49-F238E27FC236}">
              <a16:creationId xmlns:a16="http://schemas.microsoft.com/office/drawing/2014/main" id="{00000000-0008-0000-12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APPLICATION REVIEW</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8" hidden="1">
          <a:extLst>
            <a:ext uri="{FF2B5EF4-FFF2-40B4-BE49-F238E27FC236}">
              <a16:creationId xmlns:a16="http://schemas.microsoft.com/office/drawing/2014/main" id="{00000000-0008-0000-12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2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200-00000C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C63C138-7201-4DDE-9005-9F3CA06C126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3" name="SUBMENU2" hidden="1">
          <a:hlinkClick xmlns:r="http://schemas.openxmlformats.org/officeDocument/2006/relationships" r:id="rId8"/>
          <a:extLst>
            <a:ext uri="{FF2B5EF4-FFF2-40B4-BE49-F238E27FC236}">
              <a16:creationId xmlns:a16="http://schemas.microsoft.com/office/drawing/2014/main" id="{00000000-0008-0000-1200-00000D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FEE8F5-CED6-4B61-B752-D376C2ECA5A1}"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5</xdr:row>
      <xdr:rowOff>0</xdr:rowOff>
    </xdr:from>
    <xdr:to>
      <xdr:col>17</xdr:col>
      <xdr:colOff>2551</xdr:colOff>
      <xdr:row>7</xdr:row>
      <xdr:rowOff>1000</xdr:rowOff>
    </xdr:to>
    <xdr:sp macro="" textlink="M3S3">
      <xdr:nvSpPr>
        <xdr:cNvPr id="14" name="SUBMENU3" hidden="1">
          <a:hlinkClick xmlns:r="http://schemas.openxmlformats.org/officeDocument/2006/relationships" r:id="rId9"/>
          <a:extLst>
            <a:ext uri="{FF2B5EF4-FFF2-40B4-BE49-F238E27FC236}">
              <a16:creationId xmlns:a16="http://schemas.microsoft.com/office/drawing/2014/main" id="{00000000-0008-0000-1200-00000E000000}"/>
            </a:ext>
          </a:extLst>
        </xdr:cNvPr>
        <xdr:cNvSpPr/>
      </xdr:nvSpPr>
      <xdr:spPr>
        <a:xfrm>
          <a:off x="3774597" y="1000125"/>
          <a:ext cx="1571479"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1C2694-8DDC-42DF-B9B2-CB884C6F89B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hidden="1">
          <a:hlinkClick xmlns:r="http://schemas.openxmlformats.org/officeDocument/2006/relationships" r:id="rId10"/>
          <a:extLst>
            <a:ext uri="{FF2B5EF4-FFF2-40B4-BE49-F238E27FC236}">
              <a16:creationId xmlns:a16="http://schemas.microsoft.com/office/drawing/2014/main" id="{00000000-0008-0000-12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896D804-0DD5-45CE-AAC8-251EF0AE8BA9}"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xdr:colOff>
      <xdr:row>5</xdr:row>
      <xdr:rowOff>0</xdr:rowOff>
    </xdr:from>
    <xdr:to>
      <xdr:col>26</xdr:col>
      <xdr:colOff>313764</xdr:colOff>
      <xdr:row>7</xdr:row>
      <xdr:rowOff>1000</xdr:rowOff>
    </xdr:to>
    <xdr:sp macro="" textlink="M3S5">
      <xdr:nvSpPr>
        <xdr:cNvPr id="16" name="SUBMENU5" hidden="1">
          <a:hlinkClick xmlns:r="http://schemas.openxmlformats.org/officeDocument/2006/relationships" r:id="rId11"/>
          <a:extLst>
            <a:ext uri="{FF2B5EF4-FFF2-40B4-BE49-F238E27FC236}">
              <a16:creationId xmlns:a16="http://schemas.microsoft.com/office/drawing/2014/main" id="{00000000-0008-0000-1200-000010000000}"/>
            </a:ext>
          </a:extLst>
        </xdr:cNvPr>
        <xdr:cNvSpPr/>
      </xdr:nvSpPr>
      <xdr:spPr>
        <a:xfrm>
          <a:off x="6915149" y="1000125"/>
          <a:ext cx="1571065"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1D8A402-42A7-4EFF-9959-C113AEACA0F2}"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31</xdr:col>
      <xdr:colOff>313762</xdr:colOff>
      <xdr:row>7</xdr:row>
      <xdr:rowOff>1000</xdr:rowOff>
    </xdr:to>
    <xdr:sp macro="" textlink="M4S6">
      <xdr:nvSpPr>
        <xdr:cNvPr id="17" name="SUBMENU6" hidden="1">
          <a:extLst>
            <a:ext uri="{FF2B5EF4-FFF2-40B4-BE49-F238E27FC236}">
              <a16:creationId xmlns:a16="http://schemas.microsoft.com/office/drawing/2014/main" id="{00000000-0008-0000-1200-000011000000}"/>
            </a:ext>
          </a:extLst>
        </xdr:cNvPr>
        <xdr:cNvSpPr/>
      </xdr:nvSpPr>
      <xdr:spPr>
        <a:xfrm>
          <a:off x="8486775" y="1000125"/>
          <a:ext cx="1571062"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9915E05-0258-4832-8826-5C69FE9218AA}" type="TxLink">
            <a:rPr lang="en-US" sz="1100" b="0" i="0" u="none" strike="noStrike">
              <a:solidFill>
                <a:srgbClr val="000000"/>
              </a:solidFill>
              <a:latin typeface="Calibri"/>
              <a:cs typeface="Calibri"/>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314738</xdr:colOff>
      <xdr:row>4</xdr:row>
      <xdr:rowOff>0</xdr:rowOff>
    </xdr:from>
    <xdr:to>
      <xdr:col>44</xdr:col>
      <xdr:colOff>2719</xdr:colOff>
      <xdr:row>7</xdr:row>
      <xdr:rowOff>4636</xdr:rowOff>
    </xdr:to>
    <xdr:sp macro="" textlink="">
      <xdr:nvSpPr>
        <xdr:cNvPr id="18" name="TOPRIBBON">
          <a:extLst>
            <a:ext uri="{FF2B5EF4-FFF2-40B4-BE49-F238E27FC236}">
              <a16:creationId xmlns:a16="http://schemas.microsoft.com/office/drawing/2014/main" id="{00000000-0008-0000-1200-000012000000}"/>
            </a:ext>
          </a:extLst>
        </xdr:cNvPr>
        <xdr:cNvSpPr/>
      </xdr:nvSpPr>
      <xdr:spPr>
        <a:xfrm>
          <a:off x="13219042" y="795130"/>
          <a:ext cx="632199" cy="60098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31</xdr:col>
      <xdr:colOff>311213</xdr:colOff>
      <xdr:row>5</xdr:row>
      <xdr:rowOff>0</xdr:rowOff>
    </xdr:from>
    <xdr:to>
      <xdr:col>37</xdr:col>
      <xdr:colOff>314</xdr:colOff>
      <xdr:row>7</xdr:row>
      <xdr:rowOff>1000</xdr:rowOff>
    </xdr:to>
    <xdr:sp macro="" textlink="M4S7">
      <xdr:nvSpPr>
        <xdr:cNvPr id="19" name="SUBMENU7" hidden="1">
          <a:extLst>
            <a:ext uri="{FF2B5EF4-FFF2-40B4-BE49-F238E27FC236}">
              <a16:creationId xmlns:a16="http://schemas.microsoft.com/office/drawing/2014/main" id="{00000000-0008-0000-1200-000013000000}"/>
            </a:ext>
          </a:extLst>
        </xdr:cNvPr>
        <xdr:cNvSpPr/>
      </xdr:nvSpPr>
      <xdr:spPr>
        <a:xfrm>
          <a:off x="10055288" y="1000125"/>
          <a:ext cx="1575051"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0ED03E-94C8-45AC-A8BC-736CE21D091D}" type="TxLink">
            <a:rPr lang="en-US" sz="1100" b="0" i="0" u="none" strike="noStrike">
              <a:solidFill>
                <a:srgbClr val="000000"/>
              </a:solidFill>
              <a:latin typeface="Calibri"/>
              <a:cs typeface="Calibri"/>
            </a:rPr>
            <a:pPr algn="ctr"/>
            <a:t>High Volume, Low Speed Fans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76</xdr:row>
      <xdr:rowOff>0</xdr:rowOff>
    </xdr:to>
    <xdr:sp macro="" textlink="">
      <xdr:nvSpPr>
        <xdr:cNvPr id="20" name="BORDER">
          <a:extLst>
            <a:ext uri="{FF2B5EF4-FFF2-40B4-BE49-F238E27FC236}">
              <a16:creationId xmlns:a16="http://schemas.microsoft.com/office/drawing/2014/main" id="{00000000-0008-0000-1200-000014000000}"/>
            </a:ext>
          </a:extLst>
        </xdr:cNvPr>
        <xdr:cNvSpPr/>
      </xdr:nvSpPr>
      <xdr:spPr>
        <a:xfrm>
          <a:off x="314323" y="1611964"/>
          <a:ext cx="13491324" cy="13717683"/>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37</xdr:col>
      <xdr:colOff>559</xdr:colOff>
      <xdr:row>1</xdr:row>
      <xdr:rowOff>0</xdr:rowOff>
    </xdr:from>
    <xdr:to>
      <xdr:col>42</xdr:col>
      <xdr:colOff>559</xdr:colOff>
      <xdr:row>4</xdr:row>
      <xdr:rowOff>0</xdr:rowOff>
    </xdr:to>
    <xdr:sp macro="" textlink="MAIN7">
      <xdr:nvSpPr>
        <xdr:cNvPr id="23" name="MENU7">
          <a:extLst>
            <a:ext uri="{FF2B5EF4-FFF2-40B4-BE49-F238E27FC236}">
              <a16:creationId xmlns:a16="http://schemas.microsoft.com/office/drawing/2014/main" id="{00000000-0008-0000-1200-000017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12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2</xdr:col>
      <xdr:colOff>2720</xdr:colOff>
      <xdr:row>9</xdr:row>
      <xdr:rowOff>0</xdr:rowOff>
    </xdr:from>
    <xdr:to>
      <xdr:col>4</xdr:col>
      <xdr:colOff>960</xdr:colOff>
      <xdr:row>11</xdr:row>
      <xdr:rowOff>1681</xdr:rowOff>
    </xdr:to>
    <xdr:sp macro="" textlink="">
      <xdr:nvSpPr>
        <xdr:cNvPr id="25" name="BACK">
          <a:hlinkClick xmlns:r="http://schemas.openxmlformats.org/officeDocument/2006/relationships" r:id="rId4"/>
          <a:extLst>
            <a:ext uri="{FF2B5EF4-FFF2-40B4-BE49-F238E27FC236}">
              <a16:creationId xmlns:a16="http://schemas.microsoft.com/office/drawing/2014/main" id="{00000000-0008-0000-1200-000019000000}"/>
            </a:ext>
          </a:extLst>
        </xdr:cNvPr>
        <xdr:cNvSpPr>
          <a:spLocks noChangeAspect="1"/>
        </xdr:cNvSpPr>
      </xdr:nvSpPr>
      <xdr:spPr>
        <a:xfrm>
          <a:off x="630249" y="1815353"/>
          <a:ext cx="625770" cy="405093"/>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0</xdr:rowOff>
    </xdr:from>
    <xdr:to>
      <xdr:col>8</xdr:col>
      <xdr:colOff>0</xdr:colOff>
      <xdr:row>12</xdr:row>
      <xdr:rowOff>-1</xdr:rowOff>
    </xdr:to>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1448110" y="1613647"/>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Measures</a:t>
          </a: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7" name="SUBMENU8" hidden="1">
          <a:hlinkClick xmlns:r="http://schemas.openxmlformats.org/officeDocument/2006/relationships" r:id="rId1"/>
          <a:extLst>
            <a:ext uri="{FF2B5EF4-FFF2-40B4-BE49-F238E27FC236}">
              <a16:creationId xmlns:a16="http://schemas.microsoft.com/office/drawing/2014/main" id="{00000000-0008-0000-1200-00001B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28" name="SUBMENU8" hidden="1">
          <a:hlinkClick xmlns:r="http://schemas.openxmlformats.org/officeDocument/2006/relationships" r:id="rId1"/>
          <a:extLst>
            <a:ext uri="{FF2B5EF4-FFF2-40B4-BE49-F238E27FC236}">
              <a16:creationId xmlns:a16="http://schemas.microsoft.com/office/drawing/2014/main" id="{00000000-0008-0000-1200-00001C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29" name="SUBMENU7" hidden="1">
          <a:hlinkClick xmlns:r="http://schemas.openxmlformats.org/officeDocument/2006/relationships" r:id="rId13"/>
          <a:extLst>
            <a:ext uri="{FF2B5EF4-FFF2-40B4-BE49-F238E27FC236}">
              <a16:creationId xmlns:a16="http://schemas.microsoft.com/office/drawing/2014/main" id="{00000000-0008-0000-1200-00001D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0" name="SUBMENU8" hidden="1">
          <a:hlinkClick xmlns:r="http://schemas.openxmlformats.org/officeDocument/2006/relationships" r:id="rId1"/>
          <a:extLst>
            <a:ext uri="{FF2B5EF4-FFF2-40B4-BE49-F238E27FC236}">
              <a16:creationId xmlns:a16="http://schemas.microsoft.com/office/drawing/2014/main" id="{00000000-0008-0000-1200-00001E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1" name="SUBMENU8" hidden="1">
          <a:hlinkClick xmlns:r="http://schemas.openxmlformats.org/officeDocument/2006/relationships" r:id="rId1"/>
          <a:extLst>
            <a:ext uri="{FF2B5EF4-FFF2-40B4-BE49-F238E27FC236}">
              <a16:creationId xmlns:a16="http://schemas.microsoft.com/office/drawing/2014/main" id="{00000000-0008-0000-1200-00001F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4</xdr:row>
      <xdr:rowOff>196826</xdr:rowOff>
    </xdr:from>
    <xdr:to>
      <xdr:col>37</xdr:col>
      <xdr:colOff>2866</xdr:colOff>
      <xdr:row>6</xdr:row>
      <xdr:rowOff>197827</xdr:rowOff>
    </xdr:to>
    <xdr:sp macro="" textlink="M3S7">
      <xdr:nvSpPr>
        <xdr:cNvPr id="32" name="SUBMENU7" hidden="1">
          <a:hlinkClick xmlns:r="http://schemas.openxmlformats.org/officeDocument/2006/relationships" r:id="rId13"/>
          <a:extLst>
            <a:ext uri="{FF2B5EF4-FFF2-40B4-BE49-F238E27FC236}">
              <a16:creationId xmlns:a16="http://schemas.microsoft.com/office/drawing/2014/main" id="{00000000-0008-0000-1200-000020000000}"/>
            </a:ext>
          </a:extLst>
        </xdr:cNvPr>
        <xdr:cNvSpPr/>
      </xdr:nvSpPr>
      <xdr:spPr>
        <a:xfrm>
          <a:off x="10058400" y="996926"/>
          <a:ext cx="1574491"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3" name="SUBMENU8" hidden="1">
          <a:hlinkClick xmlns:r="http://schemas.openxmlformats.org/officeDocument/2006/relationships" r:id="rId1"/>
          <a:extLst>
            <a:ext uri="{FF2B5EF4-FFF2-40B4-BE49-F238E27FC236}">
              <a16:creationId xmlns:a16="http://schemas.microsoft.com/office/drawing/2014/main" id="{00000000-0008-0000-1200-000021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4" name="SUBMENU8" hidden="1">
          <a:hlinkClick xmlns:r="http://schemas.openxmlformats.org/officeDocument/2006/relationships" r:id="rId1"/>
          <a:extLst>
            <a:ext uri="{FF2B5EF4-FFF2-40B4-BE49-F238E27FC236}">
              <a16:creationId xmlns:a16="http://schemas.microsoft.com/office/drawing/2014/main" id="{00000000-0008-0000-1200-00002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5" name="SUBMENU8" hidden="1">
          <a:hlinkClick xmlns:r="http://schemas.openxmlformats.org/officeDocument/2006/relationships" r:id="rId1"/>
          <a:extLst>
            <a:ext uri="{FF2B5EF4-FFF2-40B4-BE49-F238E27FC236}">
              <a16:creationId xmlns:a16="http://schemas.microsoft.com/office/drawing/2014/main" id="{00000000-0008-0000-1200-000023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6" name="SUBMENU8" hidden="1">
          <a:hlinkClick xmlns:r="http://schemas.openxmlformats.org/officeDocument/2006/relationships" r:id="rId1"/>
          <a:extLst>
            <a:ext uri="{FF2B5EF4-FFF2-40B4-BE49-F238E27FC236}">
              <a16:creationId xmlns:a16="http://schemas.microsoft.com/office/drawing/2014/main" id="{00000000-0008-0000-12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7" name="SUBMENU8" hidden="1">
          <a:hlinkClick xmlns:r="http://schemas.openxmlformats.org/officeDocument/2006/relationships" r:id="rId1"/>
          <a:extLst>
            <a:ext uri="{FF2B5EF4-FFF2-40B4-BE49-F238E27FC236}">
              <a16:creationId xmlns:a16="http://schemas.microsoft.com/office/drawing/2014/main" id="{00000000-0008-0000-1200-00002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38" name="SUBMENU8" hidden="1">
          <a:hlinkClick xmlns:r="http://schemas.openxmlformats.org/officeDocument/2006/relationships" r:id="rId1"/>
          <a:extLst>
            <a:ext uri="{FF2B5EF4-FFF2-40B4-BE49-F238E27FC236}">
              <a16:creationId xmlns:a16="http://schemas.microsoft.com/office/drawing/2014/main" id="{00000000-0008-0000-1200-000026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314325</xdr:colOff>
          <xdr:row>14</xdr:row>
          <xdr:rowOff>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12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3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300-000005000000}"/>
            </a:ext>
          </a:extLst>
        </xdr:cNvPr>
        <xdr:cNvSpPr/>
      </xdr:nvSpPr>
      <xdr:spPr>
        <a:xfrm>
          <a:off x="34575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714</xdr:colOff>
      <xdr:row>1</xdr:row>
      <xdr:rowOff>133349</xdr:rowOff>
    </xdr:from>
    <xdr:to>
      <xdr:col>19</xdr:col>
      <xdr:colOff>0</xdr:colOff>
      <xdr:row>4</xdr:row>
      <xdr:rowOff>3810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300-000009000000}"/>
            </a:ext>
          </a:extLst>
        </xdr:cNvPr>
        <xdr:cNvSpPr/>
      </xdr:nvSpPr>
      <xdr:spPr>
        <a:xfrm>
          <a:off x="4733448" y="335755"/>
          <a:ext cx="1261349" cy="477680"/>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0EBCC6C-3300-4D6F-84AC-C88002018CD5}"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0</xdr:row>
      <xdr:rowOff>200526</xdr:rowOff>
    </xdr:from>
    <xdr:to>
      <xdr:col>23</xdr:col>
      <xdr:colOff>0</xdr:colOff>
      <xdr:row>3</xdr:row>
      <xdr:rowOff>200524</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300-000006000000}"/>
            </a:ext>
          </a:extLst>
        </xdr:cNvPr>
        <xdr:cNvSpPr/>
      </xdr:nvSpPr>
      <xdr:spPr>
        <a:xfrm>
          <a:off x="6000750" y="200526"/>
          <a:ext cx="1263316" cy="60157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DA41D6A-B9CA-4D25-BCAA-B3BF561A636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3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85D00DB-826D-4AD5-A916-21BE6777E3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3</xdr:colOff>
      <xdr:row>1</xdr:row>
      <xdr:rowOff>1</xdr:rowOff>
    </xdr:from>
    <xdr:to>
      <xdr:col>31</xdr:col>
      <xdr:colOff>3</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300-000008000000}"/>
            </a:ext>
          </a:extLst>
        </xdr:cNvPr>
        <xdr:cNvSpPr/>
      </xdr:nvSpPr>
      <xdr:spPr>
        <a:xfrm>
          <a:off x="8471650"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5E8A12-3147-4135-997D-918A90DD58A8}"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3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3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1546</xdr:rowOff>
    </xdr:from>
    <xdr:to>
      <xdr:col>7</xdr:col>
      <xdr:colOff>457</xdr:colOff>
      <xdr:row>7</xdr:row>
      <xdr:rowOff>0</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300-00000C000000}"/>
            </a:ext>
          </a:extLst>
        </xdr:cNvPr>
        <xdr:cNvSpPr/>
      </xdr:nvSpPr>
      <xdr:spPr>
        <a:xfrm>
          <a:off x="632198" y="995459"/>
          <a:ext cx="1571433" cy="39601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50799</xdr:rowOff>
    </xdr:from>
    <xdr:to>
      <xdr:col>12</xdr:col>
      <xdr:colOff>2550</xdr:colOff>
      <xdr:row>7</xdr:row>
      <xdr:rowOff>46426</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300-00000D000000}"/>
            </a:ext>
          </a:extLst>
        </xdr:cNvPr>
        <xdr:cNvSpPr/>
      </xdr:nvSpPr>
      <xdr:spPr>
        <a:xfrm>
          <a:off x="2205725" y="1044712"/>
          <a:ext cx="1573695" cy="393192"/>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2697</xdr:colOff>
      <xdr:row>4</xdr:row>
      <xdr:rowOff>200705</xdr:rowOff>
    </xdr:from>
    <xdr:to>
      <xdr:col>17</xdr:col>
      <xdr:colOff>2551</xdr:colOff>
      <xdr:row>7</xdr:row>
      <xdr:rowOff>0</xdr:rowOff>
    </xdr:to>
    <xdr:sp macro="" textlink="M3S3">
      <xdr:nvSpPr>
        <xdr:cNvPr id="14" name="SUBMENU3">
          <a:hlinkClick xmlns:r="http://schemas.openxmlformats.org/officeDocument/2006/relationships" r:id="rId1"/>
          <a:extLst>
            <a:ext uri="{FF2B5EF4-FFF2-40B4-BE49-F238E27FC236}">
              <a16:creationId xmlns:a16="http://schemas.microsoft.com/office/drawing/2014/main" id="{00000000-0008-0000-1300-00000E000000}"/>
            </a:ext>
          </a:extLst>
        </xdr:cNvPr>
        <xdr:cNvSpPr/>
      </xdr:nvSpPr>
      <xdr:spPr>
        <a:xfrm>
          <a:off x="3774597" y="1000805"/>
          <a:ext cx="1571479"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BB1BB7-7B3A-44A8-AA7A-DA6B2229A10B}"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-1</xdr:colOff>
      <xdr:row>7</xdr:row>
      <xdr:rowOff>1000</xdr:rowOff>
    </xdr:to>
    <xdr:sp macro="" textlink="M3S4">
      <xdr:nvSpPr>
        <xdr:cNvPr id="15" name="SUBMENU4">
          <a:hlinkClick xmlns:r="http://schemas.openxmlformats.org/officeDocument/2006/relationships" r:id="rId9"/>
          <a:extLst>
            <a:ext uri="{FF2B5EF4-FFF2-40B4-BE49-F238E27FC236}">
              <a16:creationId xmlns:a16="http://schemas.microsoft.com/office/drawing/2014/main" id="{00000000-0008-0000-1300-00000F000000}"/>
            </a:ext>
          </a:extLst>
        </xdr:cNvPr>
        <xdr:cNvSpPr/>
      </xdr:nvSpPr>
      <xdr:spPr>
        <a:xfrm>
          <a:off x="5343525" y="1000125"/>
          <a:ext cx="1571624" cy="40105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039DE11-3FE9-43A7-83E4-10A049EB0D87}"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7</xdr:colOff>
      <xdr:row>5</xdr:row>
      <xdr:rowOff>178</xdr:rowOff>
    </xdr:from>
    <xdr:to>
      <xdr:col>27</xdr:col>
      <xdr:colOff>3</xdr:colOff>
      <xdr:row>7</xdr:row>
      <xdr:rowOff>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300-000011000000}"/>
            </a:ext>
          </a:extLst>
        </xdr:cNvPr>
        <xdr:cNvSpPr/>
      </xdr:nvSpPr>
      <xdr:spPr>
        <a:xfrm>
          <a:off x="6948244" y="1002810"/>
          <a:ext cx="157914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42A33A0-B6A6-4EAC-8EBF-317F39E4DC08}"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2063</xdr:colOff>
      <xdr:row>5</xdr:row>
      <xdr:rowOff>0</xdr:rowOff>
    </xdr:from>
    <xdr:to>
      <xdr:col>31</xdr:col>
      <xdr:colOff>315829</xdr:colOff>
      <xdr:row>6</xdr:row>
      <xdr:rowOff>200348</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300-000010000000}"/>
            </a:ext>
          </a:extLst>
        </xdr:cNvPr>
        <xdr:cNvSpPr/>
      </xdr:nvSpPr>
      <xdr:spPr>
        <a:xfrm>
          <a:off x="8529445" y="1002632"/>
          <a:ext cx="1577081"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C955E4-3B77-4348-89C1-22EF92EB424C}"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310899</xdr:colOff>
      <xdr:row>4</xdr:row>
      <xdr:rowOff>200705</xdr:rowOff>
    </xdr:from>
    <xdr:to>
      <xdr:col>37</xdr:col>
      <xdr:colOff>0</xdr:colOff>
      <xdr:row>7</xdr:row>
      <xdr:rowOff>0</xdr:rowOff>
    </xdr:to>
    <xdr:sp macro="" textlink="M3S7">
      <xdr:nvSpPr>
        <xdr:cNvPr id="19" name="SUBMENU7">
          <a:hlinkClick xmlns:r="http://schemas.openxmlformats.org/officeDocument/2006/relationships" r:id="rId12"/>
          <a:extLst>
            <a:ext uri="{FF2B5EF4-FFF2-40B4-BE49-F238E27FC236}">
              <a16:creationId xmlns:a16="http://schemas.microsoft.com/office/drawing/2014/main" id="{00000000-0008-0000-1300-000013000000}"/>
            </a:ext>
          </a:extLst>
        </xdr:cNvPr>
        <xdr:cNvSpPr/>
      </xdr:nvSpPr>
      <xdr:spPr>
        <a:xfrm>
          <a:off x="10054974" y="1000805"/>
          <a:ext cx="1575051"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83ABF9E-D7D8-4FBB-B952-CD7D61D2008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0</xdr:colOff>
      <xdr:row>5</xdr:row>
      <xdr:rowOff>0</xdr:rowOff>
    </xdr:from>
    <xdr:to>
      <xdr:col>42</xdr:col>
      <xdr:colOff>2151</xdr:colOff>
      <xdr:row>6</xdr:row>
      <xdr:rowOff>193937</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300-00001D000000}"/>
            </a:ext>
          </a:extLst>
        </xdr:cNvPr>
        <xdr:cNvSpPr/>
      </xdr:nvSpPr>
      <xdr:spPr>
        <a:xfrm>
          <a:off x="11609294" y="1008529"/>
          <a:ext cx="157097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201706</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300-000012000000}"/>
            </a:ext>
          </a:extLst>
        </xdr:cNvPr>
        <xdr:cNvSpPr/>
      </xdr:nvSpPr>
      <xdr:spPr>
        <a:xfrm>
          <a:off x="13379824" y="806824"/>
          <a:ext cx="428542"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79</xdr:row>
      <xdr:rowOff>0</xdr:rowOff>
    </xdr:to>
    <xdr:sp macro="" textlink="">
      <xdr:nvSpPr>
        <xdr:cNvPr id="20" name="BORDER">
          <a:extLst>
            <a:ext uri="{FF2B5EF4-FFF2-40B4-BE49-F238E27FC236}">
              <a16:creationId xmlns:a16="http://schemas.microsoft.com/office/drawing/2014/main" id="{00000000-0008-0000-1300-000014000000}"/>
            </a:ext>
          </a:extLst>
        </xdr:cNvPr>
        <xdr:cNvSpPr/>
      </xdr:nvSpPr>
      <xdr:spPr>
        <a:xfrm>
          <a:off x="314323" y="1611965"/>
          <a:ext cx="13491324" cy="14322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4"/>
          <a:extLst>
            <a:ext uri="{FF2B5EF4-FFF2-40B4-BE49-F238E27FC236}">
              <a16:creationId xmlns:a16="http://schemas.microsoft.com/office/drawing/2014/main" id="{00000000-0008-0000-13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3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3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7" name="MENU7">
          <a:extLst>
            <a:ext uri="{FF2B5EF4-FFF2-40B4-BE49-F238E27FC236}">
              <a16:creationId xmlns:a16="http://schemas.microsoft.com/office/drawing/2014/main" id="{00000000-0008-0000-1300-00001B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10</xdr:row>
      <xdr:rowOff>0</xdr:rowOff>
    </xdr:from>
    <xdr:to>
      <xdr:col>9</xdr:col>
      <xdr:colOff>0</xdr:colOff>
      <xdr:row>13</xdr:row>
      <xdr:rowOff>2</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300-00001A000000}"/>
            </a:ext>
          </a:extLst>
        </xdr:cNvPr>
        <xdr:cNvSpPr txBox="1"/>
      </xdr:nvSpPr>
      <xdr:spPr>
        <a:xfrm>
          <a:off x="1568823" y="2017059"/>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4">
      <xdr:nvSpPr>
        <xdr:cNvPr id="28" name="TextBox 27">
          <a:hlinkClick xmlns:r="http://schemas.openxmlformats.org/officeDocument/2006/relationships" r:id="rId16"/>
          <a:extLst>
            <a:ext uri="{FF2B5EF4-FFF2-40B4-BE49-F238E27FC236}">
              <a16:creationId xmlns:a16="http://schemas.microsoft.com/office/drawing/2014/main" id="{00000000-0008-0000-13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1"/>
          <a:extLst>
            <a:ext uri="{FF2B5EF4-FFF2-40B4-BE49-F238E27FC236}">
              <a16:creationId xmlns:a16="http://schemas.microsoft.com/office/drawing/2014/main" id="{00000000-0008-0000-14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9" name="MENU3">
          <a:hlinkClick xmlns:r="http://schemas.openxmlformats.org/officeDocument/2006/relationships" r:id="rId4"/>
          <a:extLst>
            <a:ext uri="{FF2B5EF4-FFF2-40B4-BE49-F238E27FC236}">
              <a16:creationId xmlns:a16="http://schemas.microsoft.com/office/drawing/2014/main" id="{00000000-0008-0000-1400-000009000000}"/>
            </a:ext>
          </a:extLst>
        </xdr:cNvPr>
        <xdr:cNvSpPr/>
      </xdr:nvSpPr>
      <xdr:spPr>
        <a:xfrm>
          <a:off x="4732734" y="335757"/>
          <a:ext cx="1262064" cy="473868"/>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5994797" y="202407"/>
          <a:ext cx="1262062" cy="607220"/>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7216588" y="201706"/>
          <a:ext cx="125505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400-000008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4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400-00000B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191486</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400-00000C000000}"/>
            </a:ext>
          </a:extLst>
        </xdr:cNvPr>
        <xdr:cNvSpPr/>
      </xdr:nvSpPr>
      <xdr:spPr>
        <a:xfrm>
          <a:off x="630249" y="1008529"/>
          <a:ext cx="1566561" cy="39319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400-00000D000000}"/>
            </a:ext>
          </a:extLst>
        </xdr:cNvPr>
        <xdr:cNvSpPr/>
      </xdr:nvSpPr>
      <xdr:spPr>
        <a:xfrm>
          <a:off x="2207955" y="988134"/>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51480</xdr:rowOff>
    </xdr:from>
    <xdr:to>
      <xdr:col>17</xdr:col>
      <xdr:colOff>17055</xdr:colOff>
      <xdr:row>7</xdr:row>
      <xdr:rowOff>103883</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400-00000E000000}"/>
            </a:ext>
          </a:extLst>
        </xdr:cNvPr>
        <xdr:cNvSpPr/>
      </xdr:nvSpPr>
      <xdr:spPr>
        <a:xfrm>
          <a:off x="3767728" y="1060009"/>
          <a:ext cx="1583327" cy="455815"/>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17055</xdr:colOff>
      <xdr:row>5</xdr:row>
      <xdr:rowOff>3636</xdr:rowOff>
    </xdr:from>
    <xdr:to>
      <xdr:col>22</xdr:col>
      <xdr:colOff>17054</xdr:colOff>
      <xdr:row>7</xdr:row>
      <xdr:rowOff>4637</xdr:rowOff>
    </xdr:to>
    <xdr:sp macro="" textlink="M3S4">
      <xdr:nvSpPr>
        <xdr:cNvPr id="15" name="SUBMENU4">
          <a:hlinkClick xmlns:r="http://schemas.openxmlformats.org/officeDocument/2006/relationships" r:id="rId1"/>
          <a:extLst>
            <a:ext uri="{FF2B5EF4-FFF2-40B4-BE49-F238E27FC236}">
              <a16:creationId xmlns:a16="http://schemas.microsoft.com/office/drawing/2014/main" id="{00000000-0008-0000-1400-00000F000000}"/>
            </a:ext>
          </a:extLst>
        </xdr:cNvPr>
        <xdr:cNvSpPr/>
      </xdr:nvSpPr>
      <xdr:spPr>
        <a:xfrm>
          <a:off x="5351055" y="1012165"/>
          <a:ext cx="1568823"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17060</xdr:colOff>
      <xdr:row>5</xdr:row>
      <xdr:rowOff>3636</xdr:rowOff>
    </xdr:from>
    <xdr:to>
      <xdr:col>27</xdr:col>
      <xdr:colOff>17056</xdr:colOff>
      <xdr:row>7</xdr:row>
      <xdr:rowOff>3880</xdr:rowOff>
    </xdr:to>
    <xdr:sp macro="" textlink="M3S6">
      <xdr:nvSpPr>
        <xdr:cNvPr id="17" name="SUBMENU6">
          <a:hlinkClick xmlns:r="http://schemas.openxmlformats.org/officeDocument/2006/relationships" r:id="rId10"/>
          <a:extLst>
            <a:ext uri="{FF2B5EF4-FFF2-40B4-BE49-F238E27FC236}">
              <a16:creationId xmlns:a16="http://schemas.microsoft.com/office/drawing/2014/main" id="{00000000-0008-0000-1400-000011000000}"/>
            </a:ext>
          </a:extLst>
        </xdr:cNvPr>
        <xdr:cNvSpPr/>
      </xdr:nvSpPr>
      <xdr:spPr>
        <a:xfrm>
          <a:off x="6919884" y="1012165"/>
          <a:ext cx="1568819" cy="40365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17056</xdr:colOff>
      <xdr:row>5</xdr:row>
      <xdr:rowOff>3879</xdr:rowOff>
    </xdr:from>
    <xdr:to>
      <xdr:col>32</xdr:col>
      <xdr:colOff>17057</xdr:colOff>
      <xdr:row>7</xdr:row>
      <xdr:rowOff>4881</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400-000010000000}"/>
            </a:ext>
          </a:extLst>
        </xdr:cNvPr>
        <xdr:cNvSpPr/>
      </xdr:nvSpPr>
      <xdr:spPr>
        <a:xfrm>
          <a:off x="8488703" y="1012408"/>
          <a:ext cx="1568825" cy="4044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14504</xdr:colOff>
      <xdr:row>5</xdr:row>
      <xdr:rowOff>3636</xdr:rowOff>
    </xdr:from>
    <xdr:to>
      <xdr:col>37</xdr:col>
      <xdr:colOff>17371</xdr:colOff>
      <xdr:row>7</xdr:row>
      <xdr:rowOff>4637</xdr:rowOff>
    </xdr:to>
    <xdr:sp macro="" textlink="M3S7">
      <xdr:nvSpPr>
        <xdr:cNvPr id="32" name="SUBMENU7">
          <a:hlinkClick xmlns:r="http://schemas.openxmlformats.org/officeDocument/2006/relationships" r:id="rId12"/>
          <a:extLst>
            <a:ext uri="{FF2B5EF4-FFF2-40B4-BE49-F238E27FC236}">
              <a16:creationId xmlns:a16="http://schemas.microsoft.com/office/drawing/2014/main" id="{00000000-0008-0000-1400-000020000000}"/>
            </a:ext>
          </a:extLst>
        </xdr:cNvPr>
        <xdr:cNvSpPr/>
      </xdr:nvSpPr>
      <xdr:spPr>
        <a:xfrm>
          <a:off x="10054975" y="1012165"/>
          <a:ext cx="1571690"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17225</xdr:colOff>
      <xdr:row>5</xdr:row>
      <xdr:rowOff>7515</xdr:rowOff>
    </xdr:from>
    <xdr:to>
      <xdr:col>42</xdr:col>
      <xdr:colOff>14503</xdr:colOff>
      <xdr:row>7</xdr:row>
      <xdr:rowOff>3879</xdr:rowOff>
    </xdr:to>
    <xdr:sp macro="" textlink="M3S8">
      <xdr:nvSpPr>
        <xdr:cNvPr id="29" name="SUBMENU8">
          <a:hlinkClick xmlns:r="http://schemas.openxmlformats.org/officeDocument/2006/relationships" r:id="rId13"/>
          <a:extLst>
            <a:ext uri="{FF2B5EF4-FFF2-40B4-BE49-F238E27FC236}">
              <a16:creationId xmlns:a16="http://schemas.microsoft.com/office/drawing/2014/main" id="{00000000-0008-0000-1400-00001D000000}"/>
            </a:ext>
          </a:extLst>
        </xdr:cNvPr>
        <xdr:cNvSpPr/>
      </xdr:nvSpPr>
      <xdr:spPr>
        <a:xfrm>
          <a:off x="11626519" y="1016044"/>
          <a:ext cx="1566102" cy="39977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315514</xdr:colOff>
      <xdr:row>4</xdr:row>
      <xdr:rowOff>0</xdr:rowOff>
    </xdr:from>
    <xdr:to>
      <xdr:col>44</xdr:col>
      <xdr:colOff>2718</xdr:colOff>
      <xdr:row>6</xdr:row>
      <xdr:rowOff>201705</xdr:rowOff>
    </xdr:to>
    <xdr:sp macro="" textlink="">
      <xdr:nvSpPr>
        <xdr:cNvPr id="18" name="TOPRIBBON">
          <a:extLst>
            <a:ext uri="{FF2B5EF4-FFF2-40B4-BE49-F238E27FC236}">
              <a16:creationId xmlns:a16="http://schemas.microsoft.com/office/drawing/2014/main" id="{00000000-0008-0000-1400-000012000000}"/>
            </a:ext>
          </a:extLst>
        </xdr:cNvPr>
        <xdr:cNvSpPr/>
      </xdr:nvSpPr>
      <xdr:spPr>
        <a:xfrm>
          <a:off x="13251655" y="809625"/>
          <a:ext cx="633751" cy="606518"/>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400-000014000000}"/>
            </a:ext>
          </a:extLst>
        </xdr:cNvPr>
        <xdr:cNvSpPr/>
      </xdr:nvSpPr>
      <xdr:spPr>
        <a:xfrm>
          <a:off x="314323" y="1600199"/>
          <a:ext cx="13515977" cy="142017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8"/>
          <a:extLst>
            <a:ext uri="{FF2B5EF4-FFF2-40B4-BE49-F238E27FC236}">
              <a16:creationId xmlns:a16="http://schemas.microsoft.com/office/drawing/2014/main" id="{00000000-0008-0000-14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4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3" name="LOGO">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4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4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4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313764</xdr:colOff>
      <xdr:row>9</xdr:row>
      <xdr:rowOff>0</xdr:rowOff>
    </xdr:from>
    <xdr:to>
      <xdr:col>39</xdr:col>
      <xdr:colOff>313763</xdr:colOff>
      <xdr:row>13</xdr:row>
      <xdr:rowOff>2</xdr:rowOff>
    </xdr:to>
    <xdr:sp macro="" textlink="$AU$14">
      <xdr:nvSpPr>
        <xdr:cNvPr id="28" name="TextBox 27" hidden="1">
          <a:hlinkClick xmlns:r="http://schemas.openxmlformats.org/officeDocument/2006/relationships" r:id="rId16"/>
          <a:extLst>
            <a:ext uri="{FF2B5EF4-FFF2-40B4-BE49-F238E27FC236}">
              <a16:creationId xmlns:a16="http://schemas.microsoft.com/office/drawing/2014/main" id="{00000000-0008-0000-1400-00001C000000}"/>
            </a:ext>
          </a:extLst>
        </xdr:cNvPr>
        <xdr:cNvSpPr txBox="1"/>
      </xdr:nvSpPr>
      <xdr:spPr>
        <a:xfrm>
          <a:off x="10981764" y="1815353"/>
          <a:ext cx="1568823"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35</xdr:col>
      <xdr:colOff>0</xdr:colOff>
      <xdr:row>10</xdr:row>
      <xdr:rowOff>0</xdr:rowOff>
    </xdr:from>
    <xdr:to>
      <xdr:col>41</xdr:col>
      <xdr:colOff>11206</xdr:colOff>
      <xdr:row>14</xdr:row>
      <xdr:rowOff>2</xdr:rowOff>
    </xdr:to>
    <xdr:sp macro="" textlink="$AU$14">
      <xdr:nvSpPr>
        <xdr:cNvPr id="30" name="TextBox 29">
          <a:hlinkClick xmlns:r="http://schemas.openxmlformats.org/officeDocument/2006/relationships" r:id="rId16"/>
          <a:extLst>
            <a:ext uri="{FF2B5EF4-FFF2-40B4-BE49-F238E27FC236}">
              <a16:creationId xmlns:a16="http://schemas.microsoft.com/office/drawing/2014/main" id="{00000000-0008-0000-1400-00001E000000}"/>
            </a:ext>
          </a:extLst>
        </xdr:cNvPr>
        <xdr:cNvSpPr txBox="1"/>
      </xdr:nvSpPr>
      <xdr:spPr>
        <a:xfrm>
          <a:off x="10981765" y="2017059"/>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xdr:rowOff>
    </xdr:from>
    <xdr:to>
      <xdr:col>15</xdr:col>
      <xdr:colOff>2</xdr:colOff>
      <xdr:row>4</xdr:row>
      <xdr:rowOff>1</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346563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133350</xdr:rowOff>
    </xdr:from>
    <xdr:to>
      <xdr:col>19</xdr:col>
      <xdr:colOff>0</xdr:colOff>
      <xdr:row>4</xdr:row>
      <xdr:rowOff>0</xdr:rowOff>
    </xdr:to>
    <xdr:sp macro="" textlink="MAIN3">
      <xdr:nvSpPr>
        <xdr:cNvPr id="8" name="MENU3">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4725865" y="331177"/>
          <a:ext cx="1260231" cy="460131"/>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6D7EBF-660E-42F6-9E41-21CF9F428180}" type="TxLink">
            <a:rPr lang="en-US" sz="1100" b="0" i="0" u="none" strike="noStrike">
              <a:solidFill>
                <a:srgbClr val="000000"/>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2C30454D-56A2-4BF7-868D-472D3AEC08E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0</xdr:colOff>
      <xdr:row>4</xdr:row>
      <xdr:rowOff>0</xdr:rowOff>
    </xdr:to>
    <xdr:sp macro="" textlink="MAIN5">
      <xdr:nvSpPr>
        <xdr:cNvPr id="6" name="MENU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7246327"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D338C58-E7FC-4C0D-B29D-DC4BD376335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8F01275-86FE-42C0-95CF-35ADBC3EAB5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4814</xdr:colOff>
      <xdr:row>5</xdr:row>
      <xdr:rowOff>4636</xdr:rowOff>
    </xdr:from>
    <xdr:to>
      <xdr:col>7</xdr:col>
      <xdr:colOff>2551</xdr:colOff>
      <xdr:row>7</xdr:row>
      <xdr:rowOff>1937</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500-00000B000000}"/>
            </a:ext>
          </a:extLst>
        </xdr:cNvPr>
        <xdr:cNvSpPr/>
      </xdr:nvSpPr>
      <xdr:spPr>
        <a:xfrm>
          <a:off x="633464" y="1004761"/>
          <a:ext cx="1569362" cy="3973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312961</xdr:colOff>
      <xdr:row>5</xdr:row>
      <xdr:rowOff>13127</xdr:rowOff>
    </xdr:from>
    <xdr:to>
      <xdr:col>16</xdr:col>
      <xdr:colOff>308152</xdr:colOff>
      <xdr:row>7</xdr:row>
      <xdr:rowOff>5830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500-00000D000000}"/>
            </a:ext>
          </a:extLst>
        </xdr:cNvPr>
        <xdr:cNvSpPr/>
      </xdr:nvSpPr>
      <xdr:spPr>
        <a:xfrm>
          <a:off x="3764373" y="1021656"/>
          <a:ext cx="1564014" cy="39611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0750CD-130C-4B0B-9EE2-C4705407E52D}"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308152</xdr:colOff>
      <xdr:row>5</xdr:row>
      <xdr:rowOff>65179</xdr:rowOff>
    </xdr:from>
    <xdr:to>
      <xdr:col>21</xdr:col>
      <xdr:colOff>308151</xdr:colOff>
      <xdr:row>7</xdr:row>
      <xdr:rowOff>115670</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500-00000E000000}"/>
            </a:ext>
          </a:extLst>
        </xdr:cNvPr>
        <xdr:cNvSpPr/>
      </xdr:nvSpPr>
      <xdr:spPr>
        <a:xfrm>
          <a:off x="5328387" y="1073708"/>
          <a:ext cx="1568823" cy="45390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911A7F5-6EBE-45D6-96D6-780FA12D18D5}"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308157</xdr:colOff>
      <xdr:row>5</xdr:row>
      <xdr:rowOff>11205</xdr:rowOff>
    </xdr:from>
    <xdr:to>
      <xdr:col>26</xdr:col>
      <xdr:colOff>308153</xdr:colOff>
      <xdr:row>7</xdr:row>
      <xdr:rowOff>3689</xdr:rowOff>
    </xdr:to>
    <xdr:sp macro="" textlink="M3S6">
      <xdr:nvSpPr>
        <xdr:cNvPr id="16" name="SUBMENU6">
          <a:hlinkClick xmlns:r="http://schemas.openxmlformats.org/officeDocument/2006/relationships" r:id="rId10"/>
          <a:extLst>
            <a:ext uri="{FF2B5EF4-FFF2-40B4-BE49-F238E27FC236}">
              <a16:creationId xmlns:a16="http://schemas.microsoft.com/office/drawing/2014/main" id="{00000000-0008-0000-1500-000010000000}"/>
            </a:ext>
          </a:extLst>
        </xdr:cNvPr>
        <xdr:cNvSpPr/>
      </xdr:nvSpPr>
      <xdr:spPr>
        <a:xfrm>
          <a:off x="6897216" y="1019734"/>
          <a:ext cx="1568819"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40B66C-EDAD-47A3-B21A-E1DCAE608C3A}"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308153</xdr:colOff>
      <xdr:row>5</xdr:row>
      <xdr:rowOff>11205</xdr:rowOff>
    </xdr:from>
    <xdr:to>
      <xdr:col>31</xdr:col>
      <xdr:colOff>308153</xdr:colOff>
      <xdr:row>7</xdr:row>
      <xdr:rowOff>3689</xdr:rowOff>
    </xdr:to>
    <xdr:sp macro="" textlink="M3S5">
      <xdr:nvSpPr>
        <xdr:cNvPr id="15" name="SUBMENU5">
          <a:hlinkClick xmlns:r="http://schemas.openxmlformats.org/officeDocument/2006/relationships" r:id="rId11"/>
          <a:extLst>
            <a:ext uri="{FF2B5EF4-FFF2-40B4-BE49-F238E27FC236}">
              <a16:creationId xmlns:a16="http://schemas.microsoft.com/office/drawing/2014/main" id="{00000000-0008-0000-1500-00000F000000}"/>
            </a:ext>
          </a:extLst>
        </xdr:cNvPr>
        <xdr:cNvSpPr/>
      </xdr:nvSpPr>
      <xdr:spPr>
        <a:xfrm>
          <a:off x="8466035" y="1019734"/>
          <a:ext cx="1568824" cy="39589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06144FA-C558-43CD-9A4A-895FD14F45A0}"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305600</xdr:colOff>
      <xdr:row>5</xdr:row>
      <xdr:rowOff>15841</xdr:rowOff>
    </xdr:from>
    <xdr:to>
      <xdr:col>36</xdr:col>
      <xdr:colOff>308467</xdr:colOff>
      <xdr:row>7</xdr:row>
      <xdr:rowOff>3689</xdr:rowOff>
    </xdr:to>
    <xdr:sp macro="" textlink="M3S7">
      <xdr:nvSpPr>
        <xdr:cNvPr id="18" name="SUBMENU7">
          <a:hlinkClick xmlns:r="http://schemas.openxmlformats.org/officeDocument/2006/relationships" r:id="rId12"/>
          <a:extLst>
            <a:ext uri="{FF2B5EF4-FFF2-40B4-BE49-F238E27FC236}">
              <a16:creationId xmlns:a16="http://schemas.microsoft.com/office/drawing/2014/main" id="{00000000-0008-0000-1500-000012000000}"/>
            </a:ext>
          </a:extLst>
        </xdr:cNvPr>
        <xdr:cNvSpPr/>
      </xdr:nvSpPr>
      <xdr:spPr>
        <a:xfrm>
          <a:off x="10032306" y="1024370"/>
          <a:ext cx="1571690" cy="391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ACD723-B878-4FC1-8FC0-53C0C1E882A6}"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308319</xdr:colOff>
      <xdr:row>5</xdr:row>
      <xdr:rowOff>10205</xdr:rowOff>
    </xdr:from>
    <xdr:to>
      <xdr:col>41</xdr:col>
      <xdr:colOff>305598</xdr:colOff>
      <xdr:row>7</xdr:row>
      <xdr:rowOff>11205</xdr:rowOff>
    </xdr:to>
    <xdr:sp macro="" textlink="M3S8">
      <xdr:nvSpPr>
        <xdr:cNvPr id="2" name="SUBMENU8">
          <a:hlinkClick xmlns:r="http://schemas.openxmlformats.org/officeDocument/2006/relationships" r:id="rId13"/>
          <a:extLst>
            <a:ext uri="{FF2B5EF4-FFF2-40B4-BE49-F238E27FC236}">
              <a16:creationId xmlns:a16="http://schemas.microsoft.com/office/drawing/2014/main" id="{00000000-0008-0000-1500-000002000000}"/>
            </a:ext>
          </a:extLst>
        </xdr:cNvPr>
        <xdr:cNvSpPr/>
      </xdr:nvSpPr>
      <xdr:spPr>
        <a:xfrm>
          <a:off x="11603848" y="1018734"/>
          <a:ext cx="156610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280147</xdr:colOff>
      <xdr:row>4</xdr:row>
      <xdr:rowOff>0</xdr:rowOff>
    </xdr:from>
    <xdr:to>
      <xdr:col>44</xdr:col>
      <xdr:colOff>4813</xdr:colOff>
      <xdr:row>6</xdr:row>
      <xdr:rowOff>201705</xdr:rowOff>
    </xdr:to>
    <xdr:sp macro="" textlink="">
      <xdr:nvSpPr>
        <xdr:cNvPr id="17" name="TOPRIBBON">
          <a:extLst>
            <a:ext uri="{FF2B5EF4-FFF2-40B4-BE49-F238E27FC236}">
              <a16:creationId xmlns:a16="http://schemas.microsoft.com/office/drawing/2014/main" id="{00000000-0008-0000-1500-000011000000}"/>
            </a:ext>
          </a:extLst>
        </xdr:cNvPr>
        <xdr:cNvSpPr/>
      </xdr:nvSpPr>
      <xdr:spPr>
        <a:xfrm>
          <a:off x="13458265" y="806824"/>
          <a:ext cx="352195"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15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absolute">
    <xdr:from>
      <xdr:col>40</xdr:col>
      <xdr:colOff>311045</xdr:colOff>
      <xdr:row>9</xdr:row>
      <xdr:rowOff>1521</xdr:rowOff>
    </xdr:from>
    <xdr:to>
      <xdr:col>42</xdr:col>
      <xdr:colOff>310475</xdr:colOff>
      <xdr:row>11</xdr:row>
      <xdr:rowOff>1520</xdr:rowOff>
    </xdr:to>
    <xdr:sp macro="" textlink="">
      <xdr:nvSpPr>
        <xdr:cNvPr id="21" name="NEXT">
          <a:hlinkClick xmlns:r="http://schemas.openxmlformats.org/officeDocument/2006/relationships" r:id="rId10"/>
          <a:extLst>
            <a:ext uri="{FF2B5EF4-FFF2-40B4-BE49-F238E27FC236}">
              <a16:creationId xmlns:a16="http://schemas.microsoft.com/office/drawing/2014/main" id="{00000000-0008-0000-1500-000015000000}"/>
            </a:ext>
          </a:extLst>
        </xdr:cNvPr>
        <xdr:cNvSpPr>
          <a:spLocks noChangeAspect="1"/>
        </xdr:cNvSpPr>
      </xdr:nvSpPr>
      <xdr:spPr>
        <a:xfrm>
          <a:off x="12884045" y="1801746"/>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2" name="BACK">
          <a:hlinkClick xmlns:r="http://schemas.openxmlformats.org/officeDocument/2006/relationships" r:id="rId8"/>
          <a:extLst>
            <a:ext uri="{FF2B5EF4-FFF2-40B4-BE49-F238E27FC236}">
              <a16:creationId xmlns:a16="http://schemas.microsoft.com/office/drawing/2014/main" id="{00000000-0008-0000-1500-000016000000}"/>
            </a:ext>
          </a:extLst>
        </xdr:cNvPr>
        <xdr:cNvSpPr>
          <a:spLocks noChangeAspect="1"/>
        </xdr:cNvSpPr>
      </xdr:nvSpPr>
      <xdr:spPr>
        <a:xfrm>
          <a:off x="628650" y="1800225"/>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8</xdr:row>
      <xdr:rowOff>0</xdr:rowOff>
    </xdr:from>
    <xdr:to>
      <xdr:col>43</xdr:col>
      <xdr:colOff>313207</xdr:colOff>
      <xdr:row>79</xdr:row>
      <xdr:rowOff>0</xdr:rowOff>
    </xdr:to>
    <xdr:sp macro="" textlink="">
      <xdr:nvSpPr>
        <xdr:cNvPr id="23" name="BORDER">
          <a:extLst>
            <a:ext uri="{FF2B5EF4-FFF2-40B4-BE49-F238E27FC236}">
              <a16:creationId xmlns:a16="http://schemas.microsoft.com/office/drawing/2014/main" id="{00000000-0008-0000-1500-000017000000}"/>
            </a:ext>
          </a:extLst>
        </xdr:cNvPr>
        <xdr:cNvSpPr/>
      </xdr:nvSpPr>
      <xdr:spPr>
        <a:xfrm>
          <a:off x="313765" y="1613647"/>
          <a:ext cx="13491324" cy="143211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268941</xdr:colOff>
      <xdr:row>1</xdr:row>
      <xdr:rowOff>11206</xdr:rowOff>
    </xdr:from>
    <xdr:to>
      <xdr:col>43</xdr:col>
      <xdr:colOff>268941</xdr:colOff>
      <xdr:row>4</xdr:row>
      <xdr:rowOff>11206</xdr:rowOff>
    </xdr:to>
    <xdr:sp macro="" textlink="MAIN7">
      <xdr:nvSpPr>
        <xdr:cNvPr id="25" name="MENU7">
          <a:extLst>
            <a:ext uri="{FF2B5EF4-FFF2-40B4-BE49-F238E27FC236}">
              <a16:creationId xmlns:a16="http://schemas.microsoft.com/office/drawing/2014/main" id="{00000000-0008-0000-1500-000019000000}"/>
            </a:ext>
          </a:extLst>
        </xdr:cNvPr>
        <xdr:cNvSpPr/>
      </xdr:nvSpPr>
      <xdr:spPr>
        <a:xfrm>
          <a:off x="12192000"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5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34</xdr:col>
      <xdr:colOff>0</xdr:colOff>
      <xdr:row>9</xdr:row>
      <xdr:rowOff>0</xdr:rowOff>
    </xdr:from>
    <xdr:to>
      <xdr:col>40</xdr:col>
      <xdr:colOff>11206</xdr:colOff>
      <xdr:row>13</xdr:row>
      <xdr:rowOff>2</xdr:rowOff>
    </xdr:to>
    <xdr:sp macro="" textlink="$AU$14">
      <xdr:nvSpPr>
        <xdr:cNvPr id="27" name="TextBox 26" hidden="1">
          <a:hlinkClick xmlns:r="http://schemas.openxmlformats.org/officeDocument/2006/relationships" r:id="rId16"/>
          <a:extLst>
            <a:ext uri="{FF2B5EF4-FFF2-40B4-BE49-F238E27FC236}">
              <a16:creationId xmlns:a16="http://schemas.microsoft.com/office/drawing/2014/main" id="{00000000-0008-0000-15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34</xdr:col>
      <xdr:colOff>152400</xdr:colOff>
      <xdr:row>9</xdr:row>
      <xdr:rowOff>152400</xdr:rowOff>
    </xdr:from>
    <xdr:to>
      <xdr:col>40</xdr:col>
      <xdr:colOff>163606</xdr:colOff>
      <xdr:row>13</xdr:row>
      <xdr:rowOff>152402</xdr:rowOff>
    </xdr:to>
    <xdr:sp macro="" textlink="$AU$14">
      <xdr:nvSpPr>
        <xdr:cNvPr id="29" name="TextBox 28">
          <a:hlinkClick xmlns:r="http://schemas.openxmlformats.org/officeDocument/2006/relationships" r:id="rId16"/>
          <a:extLst>
            <a:ext uri="{FF2B5EF4-FFF2-40B4-BE49-F238E27FC236}">
              <a16:creationId xmlns:a16="http://schemas.microsoft.com/office/drawing/2014/main" id="{00000000-0008-0000-1500-00001D000000}"/>
            </a:ext>
          </a:extLst>
        </xdr:cNvPr>
        <xdr:cNvSpPr txBox="1"/>
      </xdr:nvSpPr>
      <xdr:spPr>
        <a:xfrm>
          <a:off x="10820400" y="19677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BAB01A-D6F1-410B-BDE6-232B8D58B149}" type="TxLink">
            <a:rPr lang="en-US" sz="1050" b="1" i="0" u="none" strike="noStrike">
              <a:solidFill>
                <a:schemeClr val="bg1"/>
              </a:solidFill>
              <a:latin typeface="Arial"/>
              <a:cs typeface="Arial"/>
            </a:rPr>
            <a:pPr algn="ctr"/>
            <a:t>CLICK HERE to update install status.</a:t>
          </a:fld>
          <a:endParaRPr lang="en-US" sz="1050" b="1">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133351</xdr:rowOff>
    </xdr:from>
    <xdr:to>
      <xdr:col>19</xdr:col>
      <xdr:colOff>1</xdr:colOff>
      <xdr:row>4</xdr:row>
      <xdr:rowOff>0</xdr:rowOff>
    </xdr:to>
    <xdr:sp macro="" textlink="MAIN3">
      <xdr:nvSpPr>
        <xdr:cNvPr id="5" name="MENU3">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4716065" y="333376"/>
          <a:ext cx="1256111" cy="466724"/>
        </a:xfrm>
        <a:prstGeom prst="round2SameRect">
          <a:avLst/>
        </a:prstGeom>
        <a:solidFill>
          <a:srgbClr val="72CDF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B8DDE31-F96F-4CB0-86C8-299F6D5E3917}"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2</xdr:rowOff>
    </xdr:to>
    <xdr:sp macro="" textlink="MAIN4">
      <xdr:nvSpPr>
        <xdr:cNvPr id="6" name="MENU4">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5972175" y="200026"/>
          <a:ext cx="1258490" cy="60007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572E0AB-6B83-4701-8836-A17332A3FA1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313764</xdr:colOff>
      <xdr:row>4</xdr:row>
      <xdr:rowOff>0</xdr:rowOff>
    </xdr:to>
    <xdr:sp macro="" textlink="MAIN5">
      <xdr:nvSpPr>
        <xdr:cNvPr id="7" name="MENU5">
          <a:hlinkClick xmlns:r="http://schemas.openxmlformats.org/officeDocument/2006/relationships" r:id="rId5"/>
          <a:extLst>
            <a:ext uri="{FF2B5EF4-FFF2-40B4-BE49-F238E27FC236}">
              <a16:creationId xmlns:a16="http://schemas.microsoft.com/office/drawing/2014/main" id="{00000000-0008-0000-1600-000007000000}"/>
            </a:ext>
          </a:extLst>
        </xdr:cNvPr>
        <xdr:cNvSpPr/>
      </xdr:nvSpPr>
      <xdr:spPr>
        <a:xfrm>
          <a:off x="7229475" y="200025"/>
          <a:ext cx="12567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C59846-129D-4078-B5C0-A22148A9A0AC}"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8" name="MENU6">
          <a:hlinkClick xmlns:r="http://schemas.openxmlformats.org/officeDocument/2006/relationships" r:id="rId6"/>
          <a:extLst>
            <a:ext uri="{FF2B5EF4-FFF2-40B4-BE49-F238E27FC236}">
              <a16:creationId xmlns:a16="http://schemas.microsoft.com/office/drawing/2014/main" id="{00000000-0008-0000-1600-000008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71A6602-F7CD-44F1-A324-83F18EAEC4C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600-00000A000000}"/>
            </a:ext>
          </a:extLst>
        </xdr:cNvPr>
        <xdr:cNvSpPr/>
      </xdr:nvSpPr>
      <xdr:spPr>
        <a:xfrm>
          <a:off x="313764" y="800101"/>
          <a:ext cx="628650" cy="600074"/>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7</xdr:row>
      <xdr:rowOff>2923</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600-00000B000000}"/>
            </a:ext>
          </a:extLst>
        </xdr:cNvPr>
        <xdr:cNvSpPr/>
      </xdr:nvSpPr>
      <xdr:spPr>
        <a:xfrm>
          <a:off x="633751" y="1012031"/>
          <a:ext cx="1575315" cy="4077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Linear-LED or Redesign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196826</xdr:rowOff>
    </xdr:from>
    <xdr:to>
      <xdr:col>12</xdr:col>
      <xdr:colOff>2550</xdr:colOff>
      <xdr:row>6</xdr:row>
      <xdr:rowOff>194364</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2202826" y="996926"/>
          <a:ext cx="1571624" cy="3975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Interior Fast Track Linear-LED</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313449</xdr:colOff>
      <xdr:row>4</xdr:row>
      <xdr:rowOff>186562</xdr:rowOff>
    </xdr:from>
    <xdr:to>
      <xdr:col>16</xdr:col>
      <xdr:colOff>312521</xdr:colOff>
      <xdr:row>6</xdr:row>
      <xdr:rowOff>191441</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3764861" y="993386"/>
          <a:ext cx="1567895" cy="40829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7BE751-CC3A-4A12-A0CD-B3E61F725C94}"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313447</xdr:colOff>
      <xdr:row>4</xdr:row>
      <xdr:rowOff>186562</xdr:rowOff>
    </xdr:from>
    <xdr:to>
      <xdr:col>21</xdr:col>
      <xdr:colOff>312520</xdr:colOff>
      <xdr:row>6</xdr:row>
      <xdr:rowOff>194364</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600-00000E000000}"/>
            </a:ext>
          </a:extLst>
        </xdr:cNvPr>
        <xdr:cNvSpPr/>
      </xdr:nvSpPr>
      <xdr:spPr>
        <a:xfrm>
          <a:off x="5333682" y="993386"/>
          <a:ext cx="1567897" cy="4112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B7E291-0DCF-4DE0-A73C-EB72F933E740}"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312520</xdr:colOff>
      <xdr:row>5</xdr:row>
      <xdr:rowOff>41214</xdr:rowOff>
    </xdr:from>
    <xdr:to>
      <xdr:col>26</xdr:col>
      <xdr:colOff>311593</xdr:colOff>
      <xdr:row>7</xdr:row>
      <xdr:rowOff>93617</xdr:rowOff>
    </xdr:to>
    <xdr:sp macro="" textlink="M3S6">
      <xdr:nvSpPr>
        <xdr:cNvPr id="16" name="SUBMENU6">
          <a:extLst>
            <a:ext uri="{FF2B5EF4-FFF2-40B4-BE49-F238E27FC236}">
              <a16:creationId xmlns:a16="http://schemas.microsoft.com/office/drawing/2014/main" id="{00000000-0008-0000-1600-000010000000}"/>
            </a:ext>
          </a:extLst>
        </xdr:cNvPr>
        <xdr:cNvSpPr/>
      </xdr:nvSpPr>
      <xdr:spPr>
        <a:xfrm>
          <a:off x="6901579" y="1049743"/>
          <a:ext cx="1567896"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9F690A6-0B25-4913-91BC-289271BEF353}"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b="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311593</xdr:colOff>
      <xdr:row>4</xdr:row>
      <xdr:rowOff>183097</xdr:rowOff>
    </xdr:from>
    <xdr:to>
      <xdr:col>31</xdr:col>
      <xdr:colOff>311639</xdr:colOff>
      <xdr:row>6</xdr:row>
      <xdr:rowOff>194363</xdr:rowOff>
    </xdr:to>
    <xdr:sp macro="" textlink="M3S5">
      <xdr:nvSpPr>
        <xdr:cNvPr id="15" name="SUBMENU5">
          <a:hlinkClick xmlns:r="http://schemas.openxmlformats.org/officeDocument/2006/relationships" r:id="rId10"/>
          <a:extLst>
            <a:ext uri="{FF2B5EF4-FFF2-40B4-BE49-F238E27FC236}">
              <a16:creationId xmlns:a16="http://schemas.microsoft.com/office/drawing/2014/main" id="{00000000-0008-0000-1600-00000F000000}"/>
            </a:ext>
          </a:extLst>
        </xdr:cNvPr>
        <xdr:cNvSpPr/>
      </xdr:nvSpPr>
      <xdr:spPr>
        <a:xfrm>
          <a:off x="8469475" y="989921"/>
          <a:ext cx="1568870" cy="41467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534A23-5A86-4002-AFBF-36165C09D2BA}"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310897</xdr:colOff>
      <xdr:row>4</xdr:row>
      <xdr:rowOff>186561</xdr:rowOff>
    </xdr:from>
    <xdr:to>
      <xdr:col>37</xdr:col>
      <xdr:colOff>0</xdr:colOff>
      <xdr:row>6</xdr:row>
      <xdr:rowOff>194364</xdr:rowOff>
    </xdr:to>
    <xdr:sp macro="" textlink="M3S7">
      <xdr:nvSpPr>
        <xdr:cNvPr id="18" name="SUBMENU7">
          <a:hlinkClick xmlns:r="http://schemas.openxmlformats.org/officeDocument/2006/relationships" r:id="rId11"/>
          <a:extLst>
            <a:ext uri="{FF2B5EF4-FFF2-40B4-BE49-F238E27FC236}">
              <a16:creationId xmlns:a16="http://schemas.microsoft.com/office/drawing/2014/main" id="{00000000-0008-0000-1600-000012000000}"/>
            </a:ext>
          </a:extLst>
        </xdr:cNvPr>
        <xdr:cNvSpPr/>
      </xdr:nvSpPr>
      <xdr:spPr>
        <a:xfrm>
          <a:off x="10037603" y="993385"/>
          <a:ext cx="1571691" cy="41121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8CDDA82-EC1C-42BC-84B3-6B7B1A79475A}"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313619</xdr:colOff>
      <xdr:row>4</xdr:row>
      <xdr:rowOff>193362</xdr:rowOff>
    </xdr:from>
    <xdr:to>
      <xdr:col>41</xdr:col>
      <xdr:colOff>310897</xdr:colOff>
      <xdr:row>6</xdr:row>
      <xdr:rowOff>194364</xdr:rowOff>
    </xdr:to>
    <xdr:sp macro="" textlink="M3S8">
      <xdr:nvSpPr>
        <xdr:cNvPr id="2" name="SUBMENU8">
          <a:hlinkClick xmlns:r="http://schemas.openxmlformats.org/officeDocument/2006/relationships" r:id="rId12"/>
          <a:extLst>
            <a:ext uri="{FF2B5EF4-FFF2-40B4-BE49-F238E27FC236}">
              <a16:creationId xmlns:a16="http://schemas.microsoft.com/office/drawing/2014/main" id="{00000000-0008-0000-1600-000002000000}"/>
            </a:ext>
          </a:extLst>
        </xdr:cNvPr>
        <xdr:cNvSpPr/>
      </xdr:nvSpPr>
      <xdr:spPr>
        <a:xfrm>
          <a:off x="11609148" y="1000186"/>
          <a:ext cx="1566102" cy="404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42</xdr:col>
      <xdr:colOff>78440</xdr:colOff>
      <xdr:row>4</xdr:row>
      <xdr:rowOff>0</xdr:rowOff>
    </xdr:from>
    <xdr:to>
      <xdr:col>44</xdr:col>
      <xdr:colOff>2718</xdr:colOff>
      <xdr:row>6</xdr:row>
      <xdr:rowOff>201705</xdr:rowOff>
    </xdr:to>
    <xdr:sp macro="" textlink="">
      <xdr:nvSpPr>
        <xdr:cNvPr id="17" name="TOPRIBBON">
          <a:extLst>
            <a:ext uri="{FF2B5EF4-FFF2-40B4-BE49-F238E27FC236}">
              <a16:creationId xmlns:a16="http://schemas.microsoft.com/office/drawing/2014/main" id="{00000000-0008-0000-1600-000011000000}"/>
            </a:ext>
          </a:extLst>
        </xdr:cNvPr>
        <xdr:cNvSpPr/>
      </xdr:nvSpPr>
      <xdr:spPr>
        <a:xfrm>
          <a:off x="13256558" y="806824"/>
          <a:ext cx="551807" cy="605116"/>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600-000014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6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6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4"/>
          <a:extLst>
            <a:ext uri="{FF2B5EF4-FFF2-40B4-BE49-F238E27FC236}">
              <a16:creationId xmlns:a16="http://schemas.microsoft.com/office/drawing/2014/main" id="{00000000-0008-0000-16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0">
      <xdr:nvSpPr>
        <xdr:cNvPr id="25" name="TextBox 24" hidden="1">
          <a:hlinkClick xmlns:r="http://schemas.openxmlformats.org/officeDocument/2006/relationships" r:id="rId15"/>
          <a:extLst>
            <a:ext uri="{FF2B5EF4-FFF2-40B4-BE49-F238E27FC236}">
              <a16:creationId xmlns:a16="http://schemas.microsoft.com/office/drawing/2014/main" id="{00000000-0008-0000-16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121BC2D-87D9-41F0-8352-C419C880EEFB}"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41</xdr:col>
      <xdr:colOff>18571</xdr:colOff>
      <xdr:row>9</xdr:row>
      <xdr:rowOff>3202</xdr:rowOff>
    </xdr:from>
    <xdr:to>
      <xdr:col>43</xdr:col>
      <xdr:colOff>19122</xdr:colOff>
      <xdr:row>11</xdr:row>
      <xdr:rowOff>4476</xdr:rowOff>
    </xdr:to>
    <xdr:sp macro="" textlink="">
      <xdr:nvSpPr>
        <xdr:cNvPr id="26" name="NEXT">
          <a:hlinkClick xmlns:r="http://schemas.openxmlformats.org/officeDocument/2006/relationships" r:id="rId10"/>
          <a:extLst>
            <a:ext uri="{FF2B5EF4-FFF2-40B4-BE49-F238E27FC236}">
              <a16:creationId xmlns:a16="http://schemas.microsoft.com/office/drawing/2014/main" id="{00000000-0008-0000-1600-00001A000000}"/>
            </a:ext>
          </a:extLst>
        </xdr:cNvPr>
        <xdr:cNvSpPr>
          <a:spLocks noChangeAspect="1"/>
        </xdr:cNvSpPr>
      </xdr:nvSpPr>
      <xdr:spPr>
        <a:xfrm>
          <a:off x="12882924" y="1818555"/>
          <a:ext cx="62808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1681</xdr:rowOff>
    </xdr:from>
    <xdr:to>
      <xdr:col>3</xdr:col>
      <xdr:colOff>312565</xdr:colOff>
      <xdr:row>11</xdr:row>
      <xdr:rowOff>0</xdr:rowOff>
    </xdr:to>
    <xdr:sp macro="" textlink="">
      <xdr:nvSpPr>
        <xdr:cNvPr id="27" name="BACK">
          <a:hlinkClick xmlns:r="http://schemas.openxmlformats.org/officeDocument/2006/relationships" r:id="rId9"/>
          <a:extLst>
            <a:ext uri="{FF2B5EF4-FFF2-40B4-BE49-F238E27FC236}">
              <a16:creationId xmlns:a16="http://schemas.microsoft.com/office/drawing/2014/main" id="{00000000-0008-0000-1600-00001B000000}"/>
            </a:ext>
          </a:extLst>
        </xdr:cNvPr>
        <xdr:cNvSpPr>
          <a:spLocks noChangeAspect="1"/>
        </xdr:cNvSpPr>
      </xdr:nvSpPr>
      <xdr:spPr>
        <a:xfrm>
          <a:off x="627529" y="1817034"/>
          <a:ext cx="626330" cy="40173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34</xdr:col>
      <xdr:colOff>0</xdr:colOff>
      <xdr:row>9</xdr:row>
      <xdr:rowOff>0</xdr:rowOff>
    </xdr:from>
    <xdr:to>
      <xdr:col>40</xdr:col>
      <xdr:colOff>11206</xdr:colOff>
      <xdr:row>13</xdr:row>
      <xdr:rowOff>2</xdr:rowOff>
    </xdr:to>
    <xdr:sp macro="" textlink="$AU$10">
      <xdr:nvSpPr>
        <xdr:cNvPr id="28" name="TextBox 27">
          <a:hlinkClick xmlns:r="http://schemas.openxmlformats.org/officeDocument/2006/relationships" r:id="rId15"/>
          <a:extLst>
            <a:ext uri="{FF2B5EF4-FFF2-40B4-BE49-F238E27FC236}">
              <a16:creationId xmlns:a16="http://schemas.microsoft.com/office/drawing/2014/main" id="{00000000-0008-0000-1600-00001C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997DB07-DA95-419C-9C7E-CB71F7ABE132}" type="TxLink">
            <a:rPr lang="en-US" sz="1050" b="1" i="0" u="none" strike="noStrike">
              <a:solidFill>
                <a:schemeClr val="bg1"/>
              </a:solidFill>
              <a:latin typeface="Arial" panose="020B0604020202020204" pitchFamily="34" charset="0"/>
              <a:cs typeface="Arial" panose="020B0604020202020204" pitchFamily="34" charset="0"/>
            </a:rPr>
            <a:pPr algn="ctr"/>
            <a:t>CLICK HERE to update install status.</a:t>
          </a:fld>
          <a:endParaRPr lang="en-US" sz="105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7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5" name="NEXT">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6" name="MENU1">
          <a:hlinkClick xmlns:r="http://schemas.openxmlformats.org/officeDocument/2006/relationships" r:id="rId2"/>
          <a:extLst>
            <a:ext uri="{FF2B5EF4-FFF2-40B4-BE49-F238E27FC236}">
              <a16:creationId xmlns:a16="http://schemas.microsoft.com/office/drawing/2014/main" id="{00000000-0008-0000-1700-000006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7" name="MENU2">
          <a:hlinkClick xmlns:r="http://schemas.openxmlformats.org/officeDocument/2006/relationships" r:id="rId3"/>
          <a:extLst>
            <a:ext uri="{FF2B5EF4-FFF2-40B4-BE49-F238E27FC236}">
              <a16:creationId xmlns:a16="http://schemas.microsoft.com/office/drawing/2014/main" id="{00000000-0008-0000-1700-000007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8" name="MENU3">
          <a:hlinkClick xmlns:r="http://schemas.openxmlformats.org/officeDocument/2006/relationships" r:id="rId4"/>
          <a:extLst>
            <a:ext uri="{FF2B5EF4-FFF2-40B4-BE49-F238E27FC236}">
              <a16:creationId xmlns:a16="http://schemas.microsoft.com/office/drawing/2014/main" id="{00000000-0008-0000-1700-000008000000}"/>
            </a:ext>
          </a:extLst>
        </xdr:cNvPr>
        <xdr:cNvSpPr/>
      </xdr:nvSpPr>
      <xdr:spPr>
        <a:xfrm>
          <a:off x="4725866" y="331177"/>
          <a:ext cx="1259911" cy="460131"/>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3" name="MENU4">
          <a:hlinkClick xmlns:r="http://schemas.openxmlformats.org/officeDocument/2006/relationships" r:id="rId5"/>
          <a:extLst>
            <a:ext uri="{FF2B5EF4-FFF2-40B4-BE49-F238E27FC236}">
              <a16:creationId xmlns:a16="http://schemas.microsoft.com/office/drawing/2014/main" id="{00000000-0008-0000-1700-000003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9" name="MENU5">
          <a:hlinkClick xmlns:r="http://schemas.openxmlformats.org/officeDocument/2006/relationships" r:id="rId6"/>
          <a:extLst>
            <a:ext uri="{FF2B5EF4-FFF2-40B4-BE49-F238E27FC236}">
              <a16:creationId xmlns:a16="http://schemas.microsoft.com/office/drawing/2014/main" id="{00000000-0008-0000-1700-000009000000}"/>
            </a:ext>
          </a:extLst>
        </xdr:cNvPr>
        <xdr:cNvSpPr/>
      </xdr:nvSpPr>
      <xdr:spPr>
        <a:xfrm>
          <a:off x="7252138"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10" name="MENU6">
          <a:hlinkClick xmlns:r="http://schemas.openxmlformats.org/officeDocument/2006/relationships" r:id="rId7"/>
          <a:extLst>
            <a:ext uri="{FF2B5EF4-FFF2-40B4-BE49-F238E27FC236}">
              <a16:creationId xmlns:a16="http://schemas.microsoft.com/office/drawing/2014/main" id="{00000000-0008-0000-1700-00000A000000}"/>
            </a:ext>
          </a:extLst>
        </xdr:cNvPr>
        <xdr:cNvSpPr/>
      </xdr:nvSpPr>
      <xdr:spPr>
        <a:xfrm>
          <a:off x="8513379" y="197069"/>
          <a:ext cx="1261241" cy="591207"/>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1" name="MENU7">
          <a:extLst>
            <a:ext uri="{FF2B5EF4-FFF2-40B4-BE49-F238E27FC236}">
              <a16:creationId xmlns:a16="http://schemas.microsoft.com/office/drawing/2014/main" id="{00000000-0008-0000-1700-00000B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2" name="SUBMENU1">
          <a:hlinkClick xmlns:r="http://schemas.openxmlformats.org/officeDocument/2006/relationships" r:id="rId4"/>
          <a:extLst>
            <a:ext uri="{FF2B5EF4-FFF2-40B4-BE49-F238E27FC236}">
              <a16:creationId xmlns:a16="http://schemas.microsoft.com/office/drawing/2014/main" id="{00000000-0008-0000-1700-00000C000000}"/>
            </a:ext>
          </a:extLst>
        </xdr:cNvPr>
        <xdr:cNvSpPr/>
      </xdr:nvSpPr>
      <xdr:spPr>
        <a:xfrm>
          <a:off x="630743" y="992014"/>
          <a:ext cx="1572364"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3" name="SUBMENU2">
          <a:hlinkClick xmlns:r="http://schemas.openxmlformats.org/officeDocument/2006/relationships" r:id="rId8"/>
          <a:extLst>
            <a:ext uri="{FF2B5EF4-FFF2-40B4-BE49-F238E27FC236}">
              <a16:creationId xmlns:a16="http://schemas.microsoft.com/office/drawing/2014/main" id="{00000000-0008-0000-1700-00000D000000}"/>
            </a:ext>
          </a:extLst>
        </xdr:cNvPr>
        <xdr:cNvSpPr/>
      </xdr:nvSpPr>
      <xdr:spPr>
        <a:xfrm>
          <a:off x="2209424" y="1006248"/>
          <a:ext cx="1576165" cy="4034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5492</xdr:colOff>
      <xdr:row>5</xdr:row>
      <xdr:rowOff>1878</xdr:rowOff>
    </xdr:from>
    <xdr:to>
      <xdr:col>17</xdr:col>
      <xdr:colOff>9436</xdr:colOff>
      <xdr:row>7</xdr:row>
      <xdr:rowOff>2878</xdr:rowOff>
    </xdr:to>
    <xdr:sp macro="" textlink="M3S3">
      <xdr:nvSpPr>
        <xdr:cNvPr id="14" name="SUBMENU3">
          <a:hlinkClick xmlns:r="http://schemas.openxmlformats.org/officeDocument/2006/relationships" r:id="rId9"/>
          <a:extLst>
            <a:ext uri="{FF2B5EF4-FFF2-40B4-BE49-F238E27FC236}">
              <a16:creationId xmlns:a16="http://schemas.microsoft.com/office/drawing/2014/main" id="{00000000-0008-0000-1700-00000E000000}"/>
            </a:ext>
          </a:extLst>
        </xdr:cNvPr>
        <xdr:cNvSpPr/>
      </xdr:nvSpPr>
      <xdr:spPr>
        <a:xfrm>
          <a:off x="3770668"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9436</xdr:colOff>
      <xdr:row>5</xdr:row>
      <xdr:rowOff>2879</xdr:rowOff>
    </xdr:from>
    <xdr:to>
      <xdr:col>22</xdr:col>
      <xdr:colOff>13380</xdr:colOff>
      <xdr:row>7</xdr:row>
      <xdr:rowOff>2880</xdr:rowOff>
    </xdr:to>
    <xdr:sp macro="" textlink="M3S4">
      <xdr:nvSpPr>
        <xdr:cNvPr id="15" name="SUBMENU4">
          <a:hlinkClick xmlns:r="http://schemas.openxmlformats.org/officeDocument/2006/relationships" r:id="rId10"/>
          <a:extLst>
            <a:ext uri="{FF2B5EF4-FFF2-40B4-BE49-F238E27FC236}">
              <a16:creationId xmlns:a16="http://schemas.microsoft.com/office/drawing/2014/main" id="{00000000-0008-0000-1700-00000F000000}"/>
            </a:ext>
          </a:extLst>
        </xdr:cNvPr>
        <xdr:cNvSpPr/>
      </xdr:nvSpPr>
      <xdr:spPr>
        <a:xfrm>
          <a:off x="5343436" y="1011408"/>
          <a:ext cx="1572768" cy="40341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13380</xdr:colOff>
      <xdr:row>5</xdr:row>
      <xdr:rowOff>2878</xdr:rowOff>
    </xdr:from>
    <xdr:to>
      <xdr:col>27</xdr:col>
      <xdr:colOff>17325</xdr:colOff>
      <xdr:row>6</xdr:row>
      <xdr:rowOff>200704</xdr:rowOff>
    </xdr:to>
    <xdr:sp macro="" textlink="M3S6">
      <xdr:nvSpPr>
        <xdr:cNvPr id="20" name="SUBMENU6">
          <a:hlinkClick xmlns:r="http://schemas.openxmlformats.org/officeDocument/2006/relationships" r:id="rId11"/>
          <a:extLst>
            <a:ext uri="{FF2B5EF4-FFF2-40B4-BE49-F238E27FC236}">
              <a16:creationId xmlns:a16="http://schemas.microsoft.com/office/drawing/2014/main" id="{00000000-0008-0000-1700-000014000000}"/>
            </a:ext>
          </a:extLst>
        </xdr:cNvPr>
        <xdr:cNvSpPr/>
      </xdr:nvSpPr>
      <xdr:spPr>
        <a:xfrm>
          <a:off x="6916204" y="1011407"/>
          <a:ext cx="1572768" cy="3995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17326</xdr:colOff>
      <xdr:row>5</xdr:row>
      <xdr:rowOff>54355</xdr:rowOff>
    </xdr:from>
    <xdr:to>
      <xdr:col>32</xdr:col>
      <xdr:colOff>21270</xdr:colOff>
      <xdr:row>7</xdr:row>
      <xdr:rowOff>106758</xdr:rowOff>
    </xdr:to>
    <xdr:sp macro="" textlink="M3S5">
      <xdr:nvSpPr>
        <xdr:cNvPr id="19" name="SUBMENU5">
          <a:hlinkClick xmlns:r="http://schemas.openxmlformats.org/officeDocument/2006/relationships" r:id="rId12"/>
          <a:extLst>
            <a:ext uri="{FF2B5EF4-FFF2-40B4-BE49-F238E27FC236}">
              <a16:creationId xmlns:a16="http://schemas.microsoft.com/office/drawing/2014/main" id="{00000000-0008-0000-1700-000013000000}"/>
            </a:ext>
          </a:extLst>
        </xdr:cNvPr>
        <xdr:cNvSpPr/>
      </xdr:nvSpPr>
      <xdr:spPr>
        <a:xfrm>
          <a:off x="8488973" y="1062884"/>
          <a:ext cx="1572768" cy="455815"/>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3945</xdr:colOff>
      <xdr:row>5</xdr:row>
      <xdr:rowOff>1878</xdr:rowOff>
    </xdr:from>
    <xdr:to>
      <xdr:col>37</xdr:col>
      <xdr:colOff>7890</xdr:colOff>
      <xdr:row>7</xdr:row>
      <xdr:rowOff>2878</xdr:rowOff>
    </xdr:to>
    <xdr:sp macro="" textlink="M3S7">
      <xdr:nvSpPr>
        <xdr:cNvPr id="21" name="SUBMENU7">
          <a:hlinkClick xmlns:r="http://schemas.openxmlformats.org/officeDocument/2006/relationships" r:id="rId1"/>
          <a:extLst>
            <a:ext uri="{FF2B5EF4-FFF2-40B4-BE49-F238E27FC236}">
              <a16:creationId xmlns:a16="http://schemas.microsoft.com/office/drawing/2014/main" id="{00000000-0008-0000-1700-000015000000}"/>
            </a:ext>
          </a:extLst>
        </xdr:cNvPr>
        <xdr:cNvSpPr/>
      </xdr:nvSpPr>
      <xdr:spPr>
        <a:xfrm>
          <a:off x="10044416"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1878</xdr:rowOff>
    </xdr:from>
    <xdr:to>
      <xdr:col>42</xdr:col>
      <xdr:colOff>11834</xdr:colOff>
      <xdr:row>7</xdr:row>
      <xdr:rowOff>2878</xdr:rowOff>
    </xdr:to>
    <xdr:sp macro="" textlink="M3S8">
      <xdr:nvSpPr>
        <xdr:cNvPr id="22" name="SUBMENU8">
          <a:extLst>
            <a:ext uri="{FF2B5EF4-FFF2-40B4-BE49-F238E27FC236}">
              <a16:creationId xmlns:a16="http://schemas.microsoft.com/office/drawing/2014/main" id="{00000000-0008-0000-1700-000016000000}"/>
            </a:ext>
          </a:extLst>
        </xdr:cNvPr>
        <xdr:cNvSpPr/>
      </xdr:nvSpPr>
      <xdr:spPr>
        <a:xfrm>
          <a:off x="11617184" y="1010407"/>
          <a:ext cx="1572768"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77</xdr:row>
      <xdr:rowOff>0</xdr:rowOff>
    </xdr:to>
    <xdr:sp macro="" textlink="">
      <xdr:nvSpPr>
        <xdr:cNvPr id="16" name="BORDER">
          <a:extLst>
            <a:ext uri="{FF2B5EF4-FFF2-40B4-BE49-F238E27FC236}">
              <a16:creationId xmlns:a16="http://schemas.microsoft.com/office/drawing/2014/main" id="{00000000-0008-0000-1700-000010000000}"/>
            </a:ext>
          </a:extLst>
        </xdr:cNvPr>
        <xdr:cNvSpPr/>
      </xdr:nvSpPr>
      <xdr:spPr>
        <a:xfrm>
          <a:off x="314883" y="1600199"/>
          <a:ext cx="1351541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17" name="BACK">
          <a:hlinkClick xmlns:r="http://schemas.openxmlformats.org/officeDocument/2006/relationships" r:id="rId11"/>
          <a:extLst>
            <a:ext uri="{FF2B5EF4-FFF2-40B4-BE49-F238E27FC236}">
              <a16:creationId xmlns:a16="http://schemas.microsoft.com/office/drawing/2014/main" id="{00000000-0008-0000-1700-000011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8" name="LOGO">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197826</xdr:rowOff>
    </xdr:from>
    <xdr:to>
      <xdr:col>43</xdr:col>
      <xdr:colOff>315057</xdr:colOff>
      <xdr:row>8</xdr:row>
      <xdr:rowOff>0</xdr:rowOff>
    </xdr:to>
    <xdr:sp macro="" textlink="">
      <xdr:nvSpPr>
        <xdr:cNvPr id="23" name="BOTTOMRIBBON">
          <a:extLst>
            <a:ext uri="{FF2B5EF4-FFF2-40B4-BE49-F238E27FC236}">
              <a16:creationId xmlns:a16="http://schemas.microsoft.com/office/drawing/2014/main" id="{00000000-0008-0000-1700-000017000000}"/>
            </a:ext>
          </a:extLst>
        </xdr:cNvPr>
        <xdr:cNvSpPr/>
      </xdr:nvSpPr>
      <xdr:spPr>
        <a:xfrm>
          <a:off x="315058" y="1384788"/>
          <a:ext cx="13547480" cy="197827"/>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17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17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U$12">
      <xdr:nvSpPr>
        <xdr:cNvPr id="27" name="TextBox 26">
          <a:hlinkClick xmlns:r="http://schemas.openxmlformats.org/officeDocument/2006/relationships" r:id="rId14"/>
          <a:extLst>
            <a:ext uri="{FF2B5EF4-FFF2-40B4-BE49-F238E27FC236}">
              <a16:creationId xmlns:a16="http://schemas.microsoft.com/office/drawing/2014/main" id="{00000000-0008-0000-1700-00001B000000}"/>
            </a:ext>
          </a:extLst>
        </xdr:cNvPr>
        <xdr:cNvSpPr txBox="1"/>
      </xdr:nvSpPr>
      <xdr:spPr>
        <a:xfrm>
          <a:off x="10668000"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8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8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8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8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8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8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8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8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302907</xdr:colOff>
      <xdr:row>5</xdr:row>
      <xdr:rowOff>5801</xdr:rowOff>
    </xdr:from>
    <xdr:to>
      <xdr:col>16</xdr:col>
      <xdr:colOff>306852</xdr:colOff>
      <xdr:row>7</xdr:row>
      <xdr:rowOff>3879</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800-00000D000000}"/>
            </a:ext>
          </a:extLst>
        </xdr:cNvPr>
        <xdr:cNvSpPr/>
      </xdr:nvSpPr>
      <xdr:spPr>
        <a:xfrm>
          <a:off x="3765037"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306852</xdr:colOff>
      <xdr:row>5</xdr:row>
      <xdr:rowOff>3880</xdr:rowOff>
    </xdr:from>
    <xdr:to>
      <xdr:col>21</xdr:col>
      <xdr:colOff>310795</xdr:colOff>
      <xdr:row>7</xdr:row>
      <xdr:rowOff>3881</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800-00000E000000}"/>
            </a:ext>
          </a:extLst>
        </xdr:cNvPr>
        <xdr:cNvSpPr/>
      </xdr:nvSpPr>
      <xdr:spPr>
        <a:xfrm>
          <a:off x="5342678" y="997793"/>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310795</xdr:colOff>
      <xdr:row>5</xdr:row>
      <xdr:rowOff>3879</xdr:rowOff>
    </xdr:from>
    <xdr:to>
      <xdr:col>27</xdr:col>
      <xdr:colOff>0</xdr:colOff>
      <xdr:row>7</xdr:row>
      <xdr:rowOff>2923</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800-00000F000000}"/>
            </a:ext>
          </a:extLst>
        </xdr:cNvPr>
        <xdr:cNvSpPr/>
      </xdr:nvSpPr>
      <xdr:spPr>
        <a:xfrm>
          <a:off x="6920317" y="997792"/>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5</xdr:row>
      <xdr:rowOff>3880</xdr:rowOff>
    </xdr:from>
    <xdr:to>
      <xdr:col>32</xdr:col>
      <xdr:colOff>3947</xdr:colOff>
      <xdr:row>7</xdr:row>
      <xdr:rowOff>2923</xdr:rowOff>
    </xdr:to>
    <xdr:sp macro="" textlink="M3S5">
      <xdr:nvSpPr>
        <xdr:cNvPr id="18" name="SUBMENU5">
          <a:hlinkClick xmlns:r="http://schemas.openxmlformats.org/officeDocument/2006/relationships" r:id="rId11"/>
          <a:extLst>
            <a:ext uri="{FF2B5EF4-FFF2-40B4-BE49-F238E27FC236}">
              <a16:creationId xmlns:a16="http://schemas.microsoft.com/office/drawing/2014/main" id="{00000000-0008-0000-1800-000012000000}"/>
            </a:ext>
          </a:extLst>
        </xdr:cNvPr>
        <xdr:cNvSpPr/>
      </xdr:nvSpPr>
      <xdr:spPr>
        <a:xfrm>
          <a:off x="8497958" y="997793"/>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3947</xdr:colOff>
      <xdr:row>5</xdr:row>
      <xdr:rowOff>55355</xdr:rowOff>
    </xdr:from>
    <xdr:to>
      <xdr:col>37</xdr:col>
      <xdr:colOff>7890</xdr:colOff>
      <xdr:row>7</xdr:row>
      <xdr:rowOff>115938</xdr:rowOff>
    </xdr:to>
    <xdr:sp macro="" textlink="M3S7">
      <xdr:nvSpPr>
        <xdr:cNvPr id="19" name="SUBMENU7">
          <a:extLst>
            <a:ext uri="{FF2B5EF4-FFF2-40B4-BE49-F238E27FC236}">
              <a16:creationId xmlns:a16="http://schemas.microsoft.com/office/drawing/2014/main" id="{00000000-0008-0000-1800-000013000000}"/>
            </a:ext>
          </a:extLst>
        </xdr:cNvPr>
        <xdr:cNvSpPr/>
      </xdr:nvSpPr>
      <xdr:spPr>
        <a:xfrm>
          <a:off x="10075599" y="1049268"/>
          <a:ext cx="1577639" cy="458148"/>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7890</xdr:colOff>
      <xdr:row>5</xdr:row>
      <xdr:rowOff>5801</xdr:rowOff>
    </xdr:from>
    <xdr:to>
      <xdr:col>42</xdr:col>
      <xdr:colOff>11836</xdr:colOff>
      <xdr:row>7</xdr:row>
      <xdr:rowOff>3879</xdr:rowOff>
    </xdr:to>
    <xdr:sp macro="" textlink="M3S8">
      <xdr:nvSpPr>
        <xdr:cNvPr id="20" name="SUBMENU8">
          <a:hlinkClick xmlns:r="http://schemas.openxmlformats.org/officeDocument/2006/relationships" r:id="rId12"/>
          <a:extLst>
            <a:ext uri="{FF2B5EF4-FFF2-40B4-BE49-F238E27FC236}">
              <a16:creationId xmlns:a16="http://schemas.microsoft.com/office/drawing/2014/main" id="{00000000-0008-0000-1800-000014000000}"/>
            </a:ext>
          </a:extLst>
        </xdr:cNvPr>
        <xdr:cNvSpPr/>
      </xdr:nvSpPr>
      <xdr:spPr>
        <a:xfrm>
          <a:off x="11653238" y="999714"/>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182654</xdr:rowOff>
    </xdr:from>
    <xdr:to>
      <xdr:col>43</xdr:col>
      <xdr:colOff>313207</xdr:colOff>
      <xdr:row>126</xdr:row>
      <xdr:rowOff>200024</xdr:rowOff>
    </xdr:to>
    <xdr:sp macro="" textlink="">
      <xdr:nvSpPr>
        <xdr:cNvPr id="16" name="BORDER">
          <a:extLst>
            <a:ext uri="{FF2B5EF4-FFF2-40B4-BE49-F238E27FC236}">
              <a16:creationId xmlns:a16="http://schemas.microsoft.com/office/drawing/2014/main" id="{00000000-0008-0000-1800-000010000000}"/>
            </a:ext>
          </a:extLst>
        </xdr:cNvPr>
        <xdr:cNvSpPr/>
      </xdr:nvSpPr>
      <xdr:spPr>
        <a:xfrm>
          <a:off x="314325" y="1582829"/>
          <a:ext cx="13514857" cy="23820345"/>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7" name="LOGO">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8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8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8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66CA5D-8517-4B79-9213-42948C3D968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311045</xdr:colOff>
      <xdr:row>8</xdr:row>
      <xdr:rowOff>198782</xdr:rowOff>
    </xdr:from>
    <xdr:to>
      <xdr:col>42</xdr:col>
      <xdr:colOff>311275</xdr:colOff>
      <xdr:row>11</xdr:row>
      <xdr:rowOff>3878</xdr:rowOff>
    </xdr:to>
    <xdr:sp macro="" textlink="">
      <xdr:nvSpPr>
        <xdr:cNvPr id="25" name="NEXT">
          <a:hlinkClick xmlns:r="http://schemas.openxmlformats.org/officeDocument/2006/relationships" r:id="rId12"/>
          <a:extLst>
            <a:ext uri="{FF2B5EF4-FFF2-40B4-BE49-F238E27FC236}">
              <a16:creationId xmlns:a16="http://schemas.microsoft.com/office/drawing/2014/main" id="{00000000-0008-0000-1800-000019000000}"/>
            </a:ext>
          </a:extLst>
        </xdr:cNvPr>
        <xdr:cNvSpPr>
          <a:spLocks noChangeAspect="1"/>
        </xdr:cNvSpPr>
      </xdr:nvSpPr>
      <xdr:spPr>
        <a:xfrm>
          <a:off x="12861633" y="1815353"/>
          <a:ext cx="6277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6" name="BACK">
          <a:hlinkClick xmlns:r="http://schemas.openxmlformats.org/officeDocument/2006/relationships" r:id="rId11"/>
          <a:extLst>
            <a:ext uri="{FF2B5EF4-FFF2-40B4-BE49-F238E27FC236}">
              <a16:creationId xmlns:a16="http://schemas.microsoft.com/office/drawing/2014/main" id="{00000000-0008-0000-1800-00001A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285750</xdr:colOff>
          <xdr:row>22</xdr:row>
          <xdr:rowOff>9525</xdr:rowOff>
        </xdr:from>
        <xdr:to>
          <xdr:col>9</xdr:col>
          <xdr:colOff>285750</xdr:colOff>
          <xdr:row>23</xdr:row>
          <xdr:rowOff>28575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8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77</xdr:row>
          <xdr:rowOff>19050</xdr:rowOff>
        </xdr:from>
        <xdr:to>
          <xdr:col>17</xdr:col>
          <xdr:colOff>0</xdr:colOff>
          <xdr:row>78</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8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42</xdr:col>
      <xdr:colOff>0</xdr:colOff>
      <xdr:row>4</xdr:row>
      <xdr:rowOff>0</xdr:rowOff>
    </xdr:from>
    <xdr:to>
      <xdr:col>43</xdr:col>
      <xdr:colOff>313206</xdr:colOff>
      <xdr:row>6</xdr:row>
      <xdr:rowOff>201705</xdr:rowOff>
    </xdr:to>
    <xdr:sp macro="" textlink="">
      <xdr:nvSpPr>
        <xdr:cNvPr id="2" name="TOPRIBBON">
          <a:extLst>
            <a:ext uri="{FF2B5EF4-FFF2-40B4-BE49-F238E27FC236}">
              <a16:creationId xmlns:a16="http://schemas.microsoft.com/office/drawing/2014/main" id="{00000000-0008-0000-1900-000002000000}"/>
            </a:ext>
          </a:extLst>
        </xdr:cNvPr>
        <xdr:cNvSpPr/>
      </xdr:nvSpPr>
      <xdr:spPr>
        <a:xfrm>
          <a:off x="13201650" y="800100"/>
          <a:ext cx="627531"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xdr:col>
      <xdr:colOff>558</xdr:colOff>
      <xdr:row>4</xdr:row>
      <xdr:rowOff>0</xdr:rowOff>
    </xdr:from>
    <xdr:to>
      <xdr:col>3</xdr:col>
      <xdr:colOff>5997</xdr:colOff>
      <xdr:row>6</xdr:row>
      <xdr:rowOff>201705</xdr:rowOff>
    </xdr:to>
    <xdr:sp macro="" textlink="">
      <xdr:nvSpPr>
        <xdr:cNvPr id="3" name="TOPRIBBON">
          <a:extLst>
            <a:ext uri="{FF2B5EF4-FFF2-40B4-BE49-F238E27FC236}">
              <a16:creationId xmlns:a16="http://schemas.microsoft.com/office/drawing/2014/main" id="{00000000-0008-0000-1900-000003000000}"/>
            </a:ext>
          </a:extLst>
        </xdr:cNvPr>
        <xdr:cNvSpPr/>
      </xdr:nvSpPr>
      <xdr:spPr>
        <a:xfrm>
          <a:off x="314883" y="800100"/>
          <a:ext cx="634089" cy="601755"/>
        </a:xfrm>
        <a:prstGeom prst="round2SameRect">
          <a:avLst/>
        </a:prstGeom>
        <a:solidFill>
          <a:srgbClr val="72CDF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1"/>
          <a:extLst>
            <a:ext uri="{FF2B5EF4-FFF2-40B4-BE49-F238E27FC236}">
              <a16:creationId xmlns:a16="http://schemas.microsoft.com/office/drawing/2014/main" id="{00000000-0008-0000-19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5" name="MENU2">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133350</xdr:rowOff>
    </xdr:from>
    <xdr:to>
      <xdr:col>18</xdr:col>
      <xdr:colOff>314739</xdr:colOff>
      <xdr:row>4</xdr:row>
      <xdr:rowOff>0</xdr:rowOff>
    </xdr:to>
    <xdr:sp macro="" textlink="MAIN3">
      <xdr:nvSpPr>
        <xdr:cNvPr id="6" name="MENU3">
          <a:hlinkClick xmlns:r="http://schemas.openxmlformats.org/officeDocument/2006/relationships" r:id="rId3"/>
          <a:extLst>
            <a:ext uri="{FF2B5EF4-FFF2-40B4-BE49-F238E27FC236}">
              <a16:creationId xmlns:a16="http://schemas.microsoft.com/office/drawing/2014/main" id="{00000000-0008-0000-1900-000006000000}"/>
            </a:ext>
          </a:extLst>
        </xdr:cNvPr>
        <xdr:cNvSpPr/>
      </xdr:nvSpPr>
      <xdr:spPr>
        <a:xfrm>
          <a:off x="4714876" y="333375"/>
          <a:ext cx="1257713" cy="466725"/>
        </a:xfrm>
        <a:prstGeom prst="round2SameRect">
          <a:avLst/>
        </a:prstGeom>
        <a:solidFill>
          <a:srgbClr val="72CDF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tx1"/>
              </a:solidFill>
              <a:latin typeface="Arial" panose="020B0604020202020204" pitchFamily="34" charset="0"/>
              <a:cs typeface="Arial" panose="020B0604020202020204" pitchFamily="34" charset="0"/>
            </a:rPr>
            <a:pPr algn="ctr"/>
            <a:t>LIGHTING MEASURES</a:t>
          </a:fld>
          <a:endParaRPr lang="en-US" sz="1100">
            <a:solidFill>
              <a:schemeClr val="tx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7" name="MENU4">
          <a:hlinkClick xmlns:r="http://schemas.openxmlformats.org/officeDocument/2006/relationships" r:id="rId4"/>
          <a:extLst>
            <a:ext uri="{FF2B5EF4-FFF2-40B4-BE49-F238E27FC236}">
              <a16:creationId xmlns:a16="http://schemas.microsoft.com/office/drawing/2014/main" id="{00000000-0008-0000-1900-000007000000}"/>
            </a:ext>
          </a:extLst>
        </xdr:cNvPr>
        <xdr:cNvSpPr/>
      </xdr:nvSpPr>
      <xdr:spPr>
        <a:xfrm>
          <a:off x="5972589" y="200025"/>
          <a:ext cx="1256886"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27</xdr:col>
      <xdr:colOff>1</xdr:colOff>
      <xdr:row>4</xdr:row>
      <xdr:rowOff>0</xdr:rowOff>
    </xdr:to>
    <xdr:sp macro="" textlink="MAIN5">
      <xdr:nvSpPr>
        <xdr:cNvPr id="8" name="MENU5">
          <a:hlinkClick xmlns:r="http://schemas.openxmlformats.org/officeDocument/2006/relationships" r:id="rId5"/>
          <a:extLst>
            <a:ext uri="{FF2B5EF4-FFF2-40B4-BE49-F238E27FC236}">
              <a16:creationId xmlns:a16="http://schemas.microsoft.com/office/drawing/2014/main" id="{00000000-0008-0000-1900-000008000000}"/>
            </a:ext>
          </a:extLst>
        </xdr:cNvPr>
        <xdr:cNvSpPr/>
      </xdr:nvSpPr>
      <xdr:spPr>
        <a:xfrm>
          <a:off x="7229475" y="200025"/>
          <a:ext cx="1257301"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315310</xdr:colOff>
      <xdr:row>4</xdr:row>
      <xdr:rowOff>0</xdr:rowOff>
    </xdr:to>
    <xdr:sp macro="" textlink="MAIN6">
      <xdr:nvSpPr>
        <xdr:cNvPr id="9" name="MENU6">
          <a:hlinkClick xmlns:r="http://schemas.openxmlformats.org/officeDocument/2006/relationships" r:id="rId6"/>
          <a:extLst>
            <a:ext uri="{FF2B5EF4-FFF2-40B4-BE49-F238E27FC236}">
              <a16:creationId xmlns:a16="http://schemas.microsoft.com/office/drawing/2014/main" id="{00000000-0008-0000-1900-000009000000}"/>
            </a:ext>
          </a:extLst>
        </xdr:cNvPr>
        <xdr:cNvSpPr/>
      </xdr:nvSpPr>
      <xdr:spPr>
        <a:xfrm>
          <a:off x="8486775" y="200025"/>
          <a:ext cx="1258285" cy="600075"/>
        </a:xfrm>
        <a:prstGeom prst="round2SameRect">
          <a:avLst/>
        </a:prstGeom>
        <a:solidFill>
          <a:srgbClr val="C61D10"/>
        </a:solidFill>
        <a:ln w="12700" cap="flat" cmpd="sng" algn="ctr">
          <a:solidFill>
            <a:srgbClr val="7F7F7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AC93D87-C517-4DF0-B493-44E71F0EFB0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9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628</xdr:colOff>
      <xdr:row>5</xdr:row>
      <xdr:rowOff>2879</xdr:rowOff>
    </xdr:from>
    <xdr:to>
      <xdr:col>6</xdr:col>
      <xdr:colOff>312761</xdr:colOff>
      <xdr:row>7</xdr:row>
      <xdr:rowOff>418</xdr:rowOff>
    </xdr:to>
    <xdr:sp macro="" textlink="M3S1">
      <xdr:nvSpPr>
        <xdr:cNvPr id="11" name="SUBMENU1">
          <a:hlinkClick xmlns:r="http://schemas.openxmlformats.org/officeDocument/2006/relationships" r:id="rId3"/>
          <a:extLst>
            <a:ext uri="{FF2B5EF4-FFF2-40B4-BE49-F238E27FC236}">
              <a16:creationId xmlns:a16="http://schemas.microsoft.com/office/drawing/2014/main" id="{00000000-0008-0000-1900-00000B000000}"/>
            </a:ext>
          </a:extLst>
        </xdr:cNvPr>
        <xdr:cNvSpPr/>
      </xdr:nvSpPr>
      <xdr:spPr>
        <a:xfrm>
          <a:off x="629278" y="1003004"/>
          <a:ext cx="1569433" cy="397589"/>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B888171-38FF-4A22-B770-E8E1998333FC}" type="TxLink">
            <a:rPr lang="en-US" sz="1100" b="0" i="0" u="none" strike="noStrike">
              <a:solidFill>
                <a:schemeClr val="bg1"/>
              </a:solidFill>
              <a:latin typeface="Arial" panose="020B0604020202020204" pitchFamily="34" charset="0"/>
              <a:cs typeface="Arial" panose="020B0604020202020204" pitchFamily="34" charset="0"/>
            </a:rPr>
            <a:pPr algn="ctr"/>
            <a:t>Interior Linear-LED or Redesign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315310</xdr:colOff>
      <xdr:row>4</xdr:row>
      <xdr:rowOff>200705</xdr:rowOff>
    </xdr:from>
    <xdr:to>
      <xdr:col>11</xdr:col>
      <xdr:colOff>313046</xdr:colOff>
      <xdr:row>6</xdr:row>
      <xdr:rowOff>201385</xdr:rowOff>
    </xdr:to>
    <xdr:sp macro="" textlink="M3S2">
      <xdr:nvSpPr>
        <xdr:cNvPr id="12" name="SUBMENU2">
          <a:hlinkClick xmlns:r="http://schemas.openxmlformats.org/officeDocument/2006/relationships" r:id="rId7"/>
          <a:extLst>
            <a:ext uri="{FF2B5EF4-FFF2-40B4-BE49-F238E27FC236}">
              <a16:creationId xmlns:a16="http://schemas.microsoft.com/office/drawing/2014/main" id="{00000000-0008-0000-1900-00000C000000}"/>
            </a:ext>
          </a:extLst>
        </xdr:cNvPr>
        <xdr:cNvSpPr/>
      </xdr:nvSpPr>
      <xdr:spPr>
        <a:xfrm>
          <a:off x="2201260" y="1000805"/>
          <a:ext cx="1569361" cy="40073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1890481-1609-4788-B5E4-9E1E76716734}" type="TxLink">
            <a:rPr lang="en-US" sz="1100" b="0" i="0" u="none" strike="noStrike">
              <a:solidFill>
                <a:schemeClr val="bg1"/>
              </a:solidFill>
              <a:latin typeface="Arial" panose="020B0604020202020204" pitchFamily="34" charset="0"/>
              <a:cs typeface="Arial" panose="020B0604020202020204" pitchFamily="34" charset="0"/>
            </a:rPr>
            <a:pPr algn="ctr"/>
            <a:t>Interior Fast Track Linear-LED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5489</xdr:colOff>
      <xdr:row>5</xdr:row>
      <xdr:rowOff>1922</xdr:rowOff>
    </xdr:from>
    <xdr:to>
      <xdr:col>17</xdr:col>
      <xdr:colOff>9435</xdr:colOff>
      <xdr:row>7</xdr:row>
      <xdr:rowOff>0</xdr:rowOff>
    </xdr:to>
    <xdr:sp macro="" textlink="M3S3">
      <xdr:nvSpPr>
        <xdr:cNvPr id="13" name="SUBMENU3">
          <a:hlinkClick xmlns:r="http://schemas.openxmlformats.org/officeDocument/2006/relationships" r:id="rId8"/>
          <a:extLst>
            <a:ext uri="{FF2B5EF4-FFF2-40B4-BE49-F238E27FC236}">
              <a16:creationId xmlns:a16="http://schemas.microsoft.com/office/drawing/2014/main" id="{00000000-0008-0000-1900-00000D000000}"/>
            </a:ext>
          </a:extLst>
        </xdr:cNvPr>
        <xdr:cNvSpPr/>
      </xdr:nvSpPr>
      <xdr:spPr>
        <a:xfrm>
          <a:off x="3782359" y="995835"/>
          <a:ext cx="1577641"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1CCCDB-B5C9-47F3-AF27-3CFF28074DCA}" type="TxLink">
            <a:rPr lang="en-US" sz="1100" b="0" i="0" u="none" strike="noStrike">
              <a:solidFill>
                <a:schemeClr val="bg1"/>
              </a:solidFill>
              <a:latin typeface="Arial" panose="020B0604020202020204" pitchFamily="34" charset="0"/>
              <a:cs typeface="Arial" panose="020B0604020202020204" pitchFamily="34" charset="0"/>
            </a:rPr>
            <a:pPr algn="ctr"/>
            <a:t>Interior HID to LED</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3944</xdr:colOff>
      <xdr:row>5</xdr:row>
      <xdr:rowOff>1</xdr:rowOff>
    </xdr:from>
    <xdr:to>
      <xdr:col>22</xdr:col>
      <xdr:colOff>7887</xdr:colOff>
      <xdr:row>7</xdr:row>
      <xdr:rowOff>2</xdr:rowOff>
    </xdr:to>
    <xdr:sp macro="" textlink="M3S4">
      <xdr:nvSpPr>
        <xdr:cNvPr id="14" name="SUBMENU4">
          <a:hlinkClick xmlns:r="http://schemas.openxmlformats.org/officeDocument/2006/relationships" r:id="rId9"/>
          <a:extLst>
            <a:ext uri="{FF2B5EF4-FFF2-40B4-BE49-F238E27FC236}">
              <a16:creationId xmlns:a16="http://schemas.microsoft.com/office/drawing/2014/main" id="{00000000-0008-0000-1900-00000E000000}"/>
            </a:ext>
          </a:extLst>
        </xdr:cNvPr>
        <xdr:cNvSpPr/>
      </xdr:nvSpPr>
      <xdr:spPr>
        <a:xfrm>
          <a:off x="5354509" y="993914"/>
          <a:ext cx="1577639" cy="39756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BF8454-AE92-47F8-8AD1-7D3D5DBFBC6E}" type="TxLink">
            <a:rPr lang="en-US" sz="1100" b="0" i="0" u="none" strike="noStrike">
              <a:solidFill>
                <a:schemeClr val="bg1"/>
              </a:solidFill>
              <a:latin typeface="Arial" panose="020B0604020202020204" pitchFamily="34" charset="0"/>
              <a:cs typeface="Arial" panose="020B0604020202020204" pitchFamily="34" charset="0"/>
            </a:rPr>
            <a:pPr algn="ctr"/>
            <a:t>Exit Signs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3944</xdr:colOff>
      <xdr:row>5</xdr:row>
      <xdr:rowOff>0</xdr:rowOff>
    </xdr:from>
    <xdr:to>
      <xdr:col>27</xdr:col>
      <xdr:colOff>7888</xdr:colOff>
      <xdr:row>6</xdr:row>
      <xdr:rowOff>197826</xdr:rowOff>
    </xdr:to>
    <xdr:sp macro="" textlink="M3S6">
      <xdr:nvSpPr>
        <xdr:cNvPr id="15" name="SUBMENU6">
          <a:hlinkClick xmlns:r="http://schemas.openxmlformats.org/officeDocument/2006/relationships" r:id="rId10"/>
          <a:extLst>
            <a:ext uri="{FF2B5EF4-FFF2-40B4-BE49-F238E27FC236}">
              <a16:creationId xmlns:a16="http://schemas.microsoft.com/office/drawing/2014/main" id="{00000000-0008-0000-1900-00000F000000}"/>
            </a:ext>
          </a:extLst>
        </xdr:cNvPr>
        <xdr:cNvSpPr/>
      </xdr:nvSpPr>
      <xdr:spPr>
        <a:xfrm>
          <a:off x="6928205" y="993913"/>
          <a:ext cx="1577640" cy="39660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ACC9874-71B5-4F2A-8AE6-84ACE1B9FE8D}" type="TxLink">
            <a:rPr lang="en-US" sz="1100" b="0" i="0" u="none" strike="noStrike">
              <a:solidFill>
                <a:schemeClr val="bg1"/>
              </a:solidFill>
              <a:latin typeface="Arial" panose="020B0604020202020204" pitchFamily="34" charset="0"/>
              <a:cs typeface="Arial" panose="020B0604020202020204" pitchFamily="34" charset="0"/>
            </a:rPr>
            <a:pPr algn="ctr"/>
            <a:t>Occupancy Sensors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7889</xdr:colOff>
      <xdr:row>5</xdr:row>
      <xdr:rowOff>1</xdr:rowOff>
    </xdr:from>
    <xdr:to>
      <xdr:col>32</xdr:col>
      <xdr:colOff>11835</xdr:colOff>
      <xdr:row>6</xdr:row>
      <xdr:rowOff>197826</xdr:rowOff>
    </xdr:to>
    <xdr:sp macro="" textlink="M3S5">
      <xdr:nvSpPr>
        <xdr:cNvPr id="16" name="SUBMENU5">
          <a:hlinkClick xmlns:r="http://schemas.openxmlformats.org/officeDocument/2006/relationships" r:id="rId11"/>
          <a:extLst>
            <a:ext uri="{FF2B5EF4-FFF2-40B4-BE49-F238E27FC236}">
              <a16:creationId xmlns:a16="http://schemas.microsoft.com/office/drawing/2014/main" id="{00000000-0008-0000-1900-000010000000}"/>
            </a:ext>
          </a:extLst>
        </xdr:cNvPr>
        <xdr:cNvSpPr/>
      </xdr:nvSpPr>
      <xdr:spPr>
        <a:xfrm>
          <a:off x="8505846" y="993914"/>
          <a:ext cx="1577641" cy="39660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94A92B2-D3EA-4B7D-8329-CB1AF5B28DD9}" type="TxLink">
            <a:rPr lang="en-US" sz="1100" b="0" i="0" u="none" strike="noStrike">
              <a:solidFill>
                <a:schemeClr val="bg1"/>
              </a:solidFill>
              <a:latin typeface="Arial" panose="020B0604020202020204" pitchFamily="34" charset="0"/>
              <a:cs typeface="Arial" panose="020B0604020202020204" pitchFamily="34" charset="0"/>
            </a:rPr>
            <a:pPr algn="ctr"/>
            <a:t>Custom Lighting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11835</xdr:colOff>
      <xdr:row>5</xdr:row>
      <xdr:rowOff>376</xdr:rowOff>
    </xdr:from>
    <xdr:to>
      <xdr:col>37</xdr:col>
      <xdr:colOff>15778</xdr:colOff>
      <xdr:row>7</xdr:row>
      <xdr:rowOff>112059</xdr:rowOff>
    </xdr:to>
    <xdr:sp macro="" textlink="M3S7">
      <xdr:nvSpPr>
        <xdr:cNvPr id="17" name="SUBMENU7">
          <a:hlinkClick xmlns:r="http://schemas.openxmlformats.org/officeDocument/2006/relationships" r:id="rId12"/>
          <a:extLst>
            <a:ext uri="{FF2B5EF4-FFF2-40B4-BE49-F238E27FC236}">
              <a16:creationId xmlns:a16="http://schemas.microsoft.com/office/drawing/2014/main" id="{00000000-0008-0000-1900-000011000000}"/>
            </a:ext>
          </a:extLst>
        </xdr:cNvPr>
        <xdr:cNvSpPr/>
      </xdr:nvSpPr>
      <xdr:spPr>
        <a:xfrm>
          <a:off x="10083487" y="994289"/>
          <a:ext cx="1577639" cy="509248"/>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2E0369-4240-4F24-9E82-6ED54D5CA44B}" type="TxLink">
            <a:rPr lang="en-US" sz="1100" b="0" i="0" u="none" strike="noStrike">
              <a:solidFill>
                <a:schemeClr val="bg1"/>
              </a:solidFill>
              <a:latin typeface="Arial" panose="020B0604020202020204" pitchFamily="34" charset="0"/>
              <a:cs typeface="Arial" panose="020B0604020202020204" pitchFamily="34" charset="0"/>
            </a:rPr>
            <a:pPr algn="ctr"/>
            <a:t>New Load - Lighting Power Density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15778</xdr:colOff>
      <xdr:row>5</xdr:row>
      <xdr:rowOff>51476</xdr:rowOff>
    </xdr:from>
    <xdr:to>
      <xdr:col>42</xdr:col>
      <xdr:colOff>19724</xdr:colOff>
      <xdr:row>7</xdr:row>
      <xdr:rowOff>112058</xdr:rowOff>
    </xdr:to>
    <xdr:sp macro="" textlink="M3S8">
      <xdr:nvSpPr>
        <xdr:cNvPr id="18" name="SUBMENU8">
          <a:extLst>
            <a:ext uri="{FF2B5EF4-FFF2-40B4-BE49-F238E27FC236}">
              <a16:creationId xmlns:a16="http://schemas.microsoft.com/office/drawing/2014/main" id="{00000000-0008-0000-1900-000012000000}"/>
            </a:ext>
          </a:extLst>
        </xdr:cNvPr>
        <xdr:cNvSpPr/>
      </xdr:nvSpPr>
      <xdr:spPr>
        <a:xfrm>
          <a:off x="11661126" y="1045389"/>
          <a:ext cx="1577641" cy="458147"/>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9F6284-8A8D-4594-82A6-EEC1D6CF32E4}" type="TxLink">
            <a:rPr lang="en-US" sz="1100" b="0" i="0" u="none" strike="noStrike">
              <a:solidFill>
                <a:schemeClr val="bg1"/>
              </a:solidFill>
              <a:latin typeface="Arial" panose="020B0604020202020204" pitchFamily="34" charset="0"/>
              <a:cs typeface="Arial" panose="020B0604020202020204" pitchFamily="34" charset="0"/>
            </a:rPr>
            <a:pPr algn="ctr"/>
            <a:t>New Load - LPD-Exempt Baseline</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182654</xdr:rowOff>
    </xdr:from>
    <xdr:to>
      <xdr:col>43</xdr:col>
      <xdr:colOff>313207</xdr:colOff>
      <xdr:row>126</xdr:row>
      <xdr:rowOff>200024</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3765" y="1594595"/>
          <a:ext cx="13491324" cy="2402037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0" name="LOGO">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0</xdr:colOff>
      <xdr:row>6</xdr:row>
      <xdr:rowOff>180456</xdr:rowOff>
    </xdr:from>
    <xdr:to>
      <xdr:col>44</xdr:col>
      <xdr:colOff>732</xdr:colOff>
      <xdr:row>7</xdr:row>
      <xdr:rowOff>182655</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4325" y="1380606"/>
          <a:ext cx="13516707" cy="202224"/>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9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9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9</xdr:row>
      <xdr:rowOff>0</xdr:rowOff>
    </xdr:from>
    <xdr:to>
      <xdr:col>40</xdr:col>
      <xdr:colOff>11206</xdr:colOff>
      <xdr:row>13</xdr:row>
      <xdr:rowOff>2</xdr:rowOff>
    </xdr:to>
    <xdr:sp macro="" textlink="$AW$12">
      <xdr:nvSpPr>
        <xdr:cNvPr id="24" name="TextBox 23">
          <a:hlinkClick xmlns:r="http://schemas.openxmlformats.org/officeDocument/2006/relationships" r:id="rId14"/>
          <a:extLst>
            <a:ext uri="{FF2B5EF4-FFF2-40B4-BE49-F238E27FC236}">
              <a16:creationId xmlns:a16="http://schemas.microsoft.com/office/drawing/2014/main" id="{00000000-0008-0000-1900-000018000000}"/>
            </a:ext>
          </a:extLst>
        </xdr:cNvPr>
        <xdr:cNvSpPr txBox="1"/>
      </xdr:nvSpPr>
      <xdr:spPr>
        <a:xfrm>
          <a:off x="10687050" y="1800225"/>
          <a:ext cx="189715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E7208B-82E6-415A-90D6-9AF6DE05F51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editAs="absolute">
    <xdr:from>
      <xdr:col>40</xdr:col>
      <xdr:colOff>293644</xdr:colOff>
      <xdr:row>8</xdr:row>
      <xdr:rowOff>198782</xdr:rowOff>
    </xdr:from>
    <xdr:to>
      <xdr:col>42</xdr:col>
      <xdr:colOff>292958</xdr:colOff>
      <xdr:row>10</xdr:row>
      <xdr:rowOff>197125</xdr:rowOff>
    </xdr:to>
    <xdr:sp macro="" textlink="">
      <xdr:nvSpPr>
        <xdr:cNvPr id="27" name="NEXT">
          <a:hlinkClick xmlns:r="http://schemas.openxmlformats.org/officeDocument/2006/relationships" r:id="rId4"/>
          <a:extLst>
            <a:ext uri="{FF2B5EF4-FFF2-40B4-BE49-F238E27FC236}">
              <a16:creationId xmlns:a16="http://schemas.microsoft.com/office/drawing/2014/main" id="{00000000-0008-0000-1900-00001B000000}"/>
            </a:ext>
          </a:extLst>
        </xdr:cNvPr>
        <xdr:cNvSpPr>
          <a:spLocks noChangeAspect="1"/>
        </xdr:cNvSpPr>
      </xdr:nvSpPr>
      <xdr:spPr>
        <a:xfrm>
          <a:off x="12914269" y="1821656"/>
          <a:ext cx="630345" cy="399532"/>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311547</xdr:colOff>
      <xdr:row>10</xdr:row>
      <xdr:rowOff>193407</xdr:rowOff>
    </xdr:to>
    <xdr:sp macro="" textlink="">
      <xdr:nvSpPr>
        <xdr:cNvPr id="28" name="BACK">
          <a:hlinkClick xmlns:r="http://schemas.openxmlformats.org/officeDocument/2006/relationships" r:id="rId12"/>
          <a:extLst>
            <a:ext uri="{FF2B5EF4-FFF2-40B4-BE49-F238E27FC236}">
              <a16:creationId xmlns:a16="http://schemas.microsoft.com/office/drawing/2014/main" id="{00000000-0008-0000-1900-00001C000000}"/>
            </a:ext>
          </a:extLst>
        </xdr:cNvPr>
        <xdr:cNvSpPr>
          <a:spLocks noChangeAspect="1"/>
        </xdr:cNvSpPr>
      </xdr:nvSpPr>
      <xdr:spPr>
        <a:xfrm>
          <a:off x="631031" y="1821816"/>
          <a:ext cx="627063" cy="395654"/>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85725</xdr:colOff>
          <xdr:row>31</xdr:row>
          <xdr:rowOff>0</xdr:rowOff>
        </xdr:from>
        <xdr:to>
          <xdr:col>4</xdr:col>
          <xdr:colOff>85725</xdr:colOff>
          <xdr:row>33</xdr:row>
          <xdr:rowOff>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19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58</xdr:row>
          <xdr:rowOff>0</xdr:rowOff>
        </xdr:from>
        <xdr:to>
          <xdr:col>4</xdr:col>
          <xdr:colOff>85725</xdr:colOff>
          <xdr:row>60</xdr:row>
          <xdr:rowOff>0</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19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8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800-000004000000}"/>
            </a:ext>
          </a:extLst>
        </xdr:cNvPr>
        <xdr:cNvSpPr/>
      </xdr:nvSpPr>
      <xdr:spPr>
        <a:xfrm>
          <a:off x="3453963" y="201707"/>
          <a:ext cx="1252508"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1363</xdr:colOff>
      <xdr:row>4</xdr:row>
      <xdr:rowOff>1</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800-000008000000}"/>
            </a:ext>
          </a:extLst>
        </xdr:cNvPr>
        <xdr:cNvSpPr/>
      </xdr:nvSpPr>
      <xdr:spPr>
        <a:xfrm>
          <a:off x="4735286" y="201387"/>
          <a:ext cx="1264106" cy="604157"/>
        </a:xfrm>
        <a:prstGeom prst="round2SameRect">
          <a:avLst/>
        </a:prstGeom>
        <a:solidFill>
          <a:srgbClr val="C61D10"/>
        </a:solidFill>
        <a:ln w="12700">
          <a:solidFill>
            <a:srgbClr val="7F7F7F"/>
          </a:solidFill>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BB11F22-0A79-4A60-831A-AE637618C1A7}" type="TxLink">
            <a:rPr lang="en-US" sz="1100" b="0" i="0" u="none" strike="noStrike">
              <a:ln>
                <a:noFill/>
              </a:ln>
              <a:solidFill>
                <a:schemeClr val="bg1"/>
              </a:solidFill>
              <a:latin typeface="Arial" panose="020B0604020202020204" pitchFamily="34" charset="0"/>
              <a:cs typeface="Arial" panose="020B0604020202020204" pitchFamily="34" charset="0"/>
            </a:rPr>
            <a:pPr algn="ctr"/>
            <a:t>LIGHTING MEASURES</a:t>
          </a:fld>
          <a:endParaRPr lang="en-US" sz="1100">
            <a:ln>
              <a:noFill/>
            </a:ln>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314325</xdr:colOff>
      <xdr:row>1</xdr:row>
      <xdr:rowOff>1</xdr:rowOff>
    </xdr:from>
    <xdr:to>
      <xdr:col>22</xdr:col>
      <xdr:colOff>314325</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800-000005000000}"/>
            </a:ext>
          </a:extLst>
        </xdr:cNvPr>
        <xdr:cNvSpPr/>
      </xdr:nvSpPr>
      <xdr:spPr>
        <a:xfrm>
          <a:off x="5996668"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FEB780F-063E-457E-8F9E-EEDD1F5F63CC}"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314325</xdr:colOff>
      <xdr:row>1</xdr:row>
      <xdr:rowOff>0</xdr:rowOff>
    </xdr:from>
    <xdr:to>
      <xdr:col>26</xdr:col>
      <xdr:colOff>314325</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800-000006000000}"/>
            </a:ext>
          </a:extLst>
        </xdr:cNvPr>
        <xdr:cNvSpPr/>
      </xdr:nvSpPr>
      <xdr:spPr>
        <a:xfrm>
          <a:off x="725941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44DD2C2-294D-4E65-A5B0-0774399A095A}"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8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7EF68E-FF16-4DD5-BBFC-6A77358CDA56}"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hidden="1">
          <a:extLst>
            <a:ext uri="{FF2B5EF4-FFF2-40B4-BE49-F238E27FC236}">
              <a16:creationId xmlns:a16="http://schemas.microsoft.com/office/drawing/2014/main" id="{00000000-0008-0000-0800-000009000000}"/>
            </a:ext>
          </a:extLst>
        </xdr:cNvPr>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FORM7</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8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8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a:extLst>
            <a:ext uri="{FF2B5EF4-FFF2-40B4-BE49-F238E27FC236}">
              <a16:creationId xmlns:a16="http://schemas.microsoft.com/office/drawing/2014/main" id="{00000000-0008-0000-08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8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800-000013000000}"/>
            </a:ext>
          </a:extLst>
        </xdr:cNvPr>
        <xdr:cNvSpPr>
          <a:spLocks noChangeAspect="1"/>
        </xdr:cNvSpPr>
      </xdr:nvSpPr>
      <xdr:spPr>
        <a:xfrm>
          <a:off x="314323" y="1611965"/>
          <a:ext cx="13491324" cy="38325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a:extLst>
            <a:ext uri="{FF2B5EF4-FFF2-40B4-BE49-F238E27FC236}">
              <a16:creationId xmlns:a16="http://schemas.microsoft.com/office/drawing/2014/main" id="{00000000-0008-0000-08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23</xdr:col>
      <xdr:colOff>85726</xdr:colOff>
      <xdr:row>15</xdr:row>
      <xdr:rowOff>104775</xdr:rowOff>
    </xdr:from>
    <xdr:to>
      <xdr:col>24</xdr:col>
      <xdr:colOff>209551</xdr:colOff>
      <xdr:row>16</xdr:row>
      <xdr:rowOff>66675</xdr:rowOff>
    </xdr:to>
    <xdr:sp macro="" textlink="">
      <xdr:nvSpPr>
        <xdr:cNvPr id="31" name="TextBox 30">
          <a:hlinkClick xmlns:r="http://schemas.openxmlformats.org/officeDocument/2006/relationships" r:id="rId12"/>
          <a:extLst>
            <a:ext uri="{FF2B5EF4-FFF2-40B4-BE49-F238E27FC236}">
              <a16:creationId xmlns:a16="http://schemas.microsoft.com/office/drawing/2014/main" id="{00000000-0008-0000-0800-00001F000000}"/>
            </a:ext>
          </a:extLst>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08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15</xdr:col>
      <xdr:colOff>960</xdr:colOff>
      <xdr:row>12</xdr:row>
      <xdr:rowOff>0</xdr:rowOff>
    </xdr:from>
    <xdr:to>
      <xdr:col>30</xdr:col>
      <xdr:colOff>0</xdr:colOff>
      <xdr:row>15</xdr:row>
      <xdr:rowOff>2</xdr:rowOff>
    </xdr:to>
    <xdr:sp macro="" textlink="">
      <xdr:nvSpPr>
        <xdr:cNvPr id="29" name="Rectangle: Rounded Corners 28">
          <a:extLst>
            <a:ext uri="{FF2B5EF4-FFF2-40B4-BE49-F238E27FC236}">
              <a16:creationId xmlns:a16="http://schemas.microsoft.com/office/drawing/2014/main" id="{00000000-0008-0000-0800-00001D000000}"/>
            </a:ext>
          </a:extLst>
        </xdr:cNvPr>
        <xdr:cNvSpPr/>
      </xdr:nvSpPr>
      <xdr:spPr>
        <a:xfrm>
          <a:off x="4707431" y="2420471"/>
          <a:ext cx="4705510" cy="605119"/>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Is your project</a:t>
          </a:r>
          <a:r>
            <a:rPr lang="en-US" sz="1100" baseline="0">
              <a:solidFill>
                <a:sysClr val="windowText" lastClr="000000"/>
              </a:solidFill>
              <a:latin typeface="Arial" panose="020B0604020202020204" pitchFamily="34" charset="0"/>
              <a:cs typeface="Arial" panose="020B0604020202020204" pitchFamily="34" charset="0"/>
            </a:rPr>
            <a:t> comprised of </a:t>
          </a:r>
          <a:r>
            <a:rPr lang="en-US" sz="1100" b="1" baseline="0">
              <a:solidFill>
                <a:srgbClr val="C00000"/>
              </a:solidFill>
              <a:latin typeface="Arial" panose="020B0604020202020204" pitchFamily="34" charset="0"/>
              <a:cs typeface="Arial" panose="020B0604020202020204" pitchFamily="34" charset="0"/>
            </a:rPr>
            <a:t>Standard Measures?</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16</xdr:col>
      <xdr:colOff>1</xdr:colOff>
      <xdr:row>14</xdr:row>
      <xdr:rowOff>0</xdr:rowOff>
    </xdr:from>
    <xdr:to>
      <xdr:col>18</xdr:col>
      <xdr:colOff>1</xdr:colOff>
      <xdr:row>15</xdr:row>
      <xdr:rowOff>0</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502023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26</xdr:col>
      <xdr:colOff>313764</xdr:colOff>
      <xdr:row>14</xdr:row>
      <xdr:rowOff>0</xdr:rowOff>
    </xdr:from>
    <xdr:to>
      <xdr:col>29</xdr:col>
      <xdr:colOff>0</xdr:colOff>
      <xdr:row>15</xdr:row>
      <xdr:rowOff>0</xdr:rowOff>
    </xdr:to>
    <xdr:sp macro="" textlink="">
      <xdr:nvSpPr>
        <xdr:cNvPr id="34" name="TextBox 33">
          <a:extLst>
            <a:ext uri="{FF2B5EF4-FFF2-40B4-BE49-F238E27FC236}">
              <a16:creationId xmlns:a16="http://schemas.microsoft.com/office/drawing/2014/main" id="{00000000-0008-0000-0800-000022000000}"/>
            </a:ext>
          </a:extLst>
        </xdr:cNvPr>
        <xdr:cNvSpPr txBox="1"/>
      </xdr:nvSpPr>
      <xdr:spPr>
        <a:xfrm>
          <a:off x="8471646" y="2823882"/>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4</xdr:col>
      <xdr:colOff>302559</xdr:colOff>
      <xdr:row>17</xdr:row>
      <xdr:rowOff>0</xdr:rowOff>
    </xdr:from>
    <xdr:to>
      <xdr:col>19</xdr:col>
      <xdr:colOff>301599</xdr:colOff>
      <xdr:row>21</xdr:row>
      <xdr:rowOff>0</xdr:rowOff>
    </xdr:to>
    <xdr:sp macro="" textlink="">
      <xdr:nvSpPr>
        <xdr:cNvPr id="36" name="Rectangle: Rounded Corners 35">
          <a:extLst>
            <a:ext uri="{FF2B5EF4-FFF2-40B4-BE49-F238E27FC236}">
              <a16:creationId xmlns:a16="http://schemas.microsoft.com/office/drawing/2014/main" id="{00000000-0008-0000-0800-000024000000}"/>
            </a:ext>
          </a:extLst>
        </xdr:cNvPr>
        <xdr:cNvSpPr/>
      </xdr:nvSpPr>
      <xdr:spPr>
        <a:xfrm>
          <a:off x="155761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solidFill>
                <a:sysClr val="windowText" lastClr="000000"/>
              </a:solidFill>
              <a:latin typeface="Arial" panose="020B0604020202020204" pitchFamily="34" charset="0"/>
              <a:cs typeface="Arial" panose="020B0604020202020204" pitchFamily="34" charset="0"/>
            </a:rPr>
            <a:t>Will the total incentive be </a:t>
          </a:r>
          <a:r>
            <a:rPr lang="en-US" sz="1100" b="1">
              <a:solidFill>
                <a:srgbClr val="C00000"/>
              </a:solidFill>
              <a:latin typeface="Arial" panose="020B0604020202020204" pitchFamily="34" charset="0"/>
              <a:cs typeface="Arial" panose="020B0604020202020204" pitchFamily="34" charset="0"/>
            </a:rPr>
            <a:t>less than $15,000?</a:t>
          </a:r>
        </a:p>
      </xdr:txBody>
    </xdr:sp>
    <xdr:clientData/>
  </xdr:twoCellAnchor>
  <xdr:twoCellAnchor>
    <xdr:from>
      <xdr:col>25</xdr:col>
      <xdr:colOff>960</xdr:colOff>
      <xdr:row>17</xdr:row>
      <xdr:rowOff>0</xdr:rowOff>
    </xdr:from>
    <xdr:to>
      <xdr:col>40</xdr:col>
      <xdr:colOff>0</xdr:colOff>
      <xdr:row>21</xdr:row>
      <xdr:rowOff>0</xdr:rowOff>
    </xdr:to>
    <xdr:sp macro="" textlink="">
      <xdr:nvSpPr>
        <xdr:cNvPr id="37" name="Rectangle: Rounded Corners 36">
          <a:extLst>
            <a:ext uri="{FF2B5EF4-FFF2-40B4-BE49-F238E27FC236}">
              <a16:creationId xmlns:a16="http://schemas.microsoft.com/office/drawing/2014/main" id="{00000000-0008-0000-0800-000025000000}"/>
            </a:ext>
          </a:extLst>
        </xdr:cNvPr>
        <xdr:cNvSpPr/>
      </xdr:nvSpPr>
      <xdr:spPr>
        <a:xfrm>
          <a:off x="7845078" y="3429000"/>
          <a:ext cx="4705510" cy="806824"/>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Your project requires pre-approval </a:t>
          </a:r>
          <a:r>
            <a:rPr lang="en-US" sz="1100">
              <a:solidFill>
                <a:sysClr val="windowText" lastClr="000000"/>
              </a:solidFill>
              <a:latin typeface="Arial" panose="020B0604020202020204" pitchFamily="34" charset="0"/>
              <a:cs typeface="Arial" panose="020B0604020202020204" pitchFamily="34" charset="0"/>
            </a:rPr>
            <a:t>before equipment may</a:t>
          </a:r>
          <a:r>
            <a:rPr lang="en-US" sz="1100" baseline="0">
              <a:solidFill>
                <a:sysClr val="windowText" lastClr="000000"/>
              </a:solidFill>
              <a:latin typeface="Arial" panose="020B0604020202020204" pitchFamily="34" charset="0"/>
              <a:cs typeface="Arial" panose="020B0604020202020204" pitchFamily="34" charset="0"/>
            </a:rPr>
            <a:t> be purchased. Populate and submit this application, then wait to receive approval before purchasing equipment.</a:t>
          </a:r>
          <a:endParaRPr lang="en-US" sz="1100" b="1">
            <a:solidFill>
              <a:srgbClr val="C00000"/>
            </a:solidFill>
            <a:latin typeface="Arial" panose="020B0604020202020204" pitchFamily="34" charset="0"/>
            <a:cs typeface="Arial" panose="020B0604020202020204" pitchFamily="34" charset="0"/>
          </a:endParaRPr>
        </a:p>
      </xdr:txBody>
    </xdr:sp>
    <xdr:clientData/>
  </xdr:twoCellAnchor>
  <xdr:twoCellAnchor>
    <xdr:from>
      <xdr:col>6</xdr:col>
      <xdr:colOff>0</xdr:colOff>
      <xdr:row>20</xdr:row>
      <xdr:rowOff>0</xdr:rowOff>
    </xdr:from>
    <xdr:to>
      <xdr:col>8</xdr:col>
      <xdr:colOff>0</xdr:colOff>
      <xdr:row>21</xdr:row>
      <xdr:rowOff>0</xdr:rowOff>
    </xdr:to>
    <xdr:sp macro="" textlink="">
      <xdr:nvSpPr>
        <xdr:cNvPr id="38" name="TextBox 37">
          <a:extLst>
            <a:ext uri="{FF2B5EF4-FFF2-40B4-BE49-F238E27FC236}">
              <a16:creationId xmlns:a16="http://schemas.microsoft.com/office/drawing/2014/main" id="{00000000-0008-0000-0800-000026000000}"/>
            </a:ext>
          </a:extLst>
        </xdr:cNvPr>
        <xdr:cNvSpPr txBox="1"/>
      </xdr:nvSpPr>
      <xdr:spPr>
        <a:xfrm>
          <a:off x="1882588"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16</xdr:col>
      <xdr:colOff>313764</xdr:colOff>
      <xdr:row>20</xdr:row>
      <xdr:rowOff>0</xdr:rowOff>
    </xdr:from>
    <xdr:to>
      <xdr:col>19</xdr:col>
      <xdr:colOff>0</xdr:colOff>
      <xdr:row>21</xdr:row>
      <xdr:rowOff>0</xdr:rowOff>
    </xdr:to>
    <xdr:sp macro="" textlink="">
      <xdr:nvSpPr>
        <xdr:cNvPr id="39" name="TextBox 38">
          <a:extLst>
            <a:ext uri="{FF2B5EF4-FFF2-40B4-BE49-F238E27FC236}">
              <a16:creationId xmlns:a16="http://schemas.microsoft.com/office/drawing/2014/main" id="{00000000-0008-0000-0800-000027000000}"/>
            </a:ext>
          </a:extLst>
        </xdr:cNvPr>
        <xdr:cNvSpPr txBox="1"/>
      </xdr:nvSpPr>
      <xdr:spPr>
        <a:xfrm>
          <a:off x="5333999" y="4034118"/>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12</xdr:col>
      <xdr:colOff>311214</xdr:colOff>
      <xdr:row>22</xdr:row>
      <xdr:rowOff>11207</xdr:rowOff>
    </xdr:from>
    <xdr:to>
      <xdr:col>23</xdr:col>
      <xdr:colOff>0</xdr:colOff>
      <xdr:row>27</xdr:row>
      <xdr:rowOff>0</xdr:rowOff>
    </xdr:to>
    <xdr:sp macro="" textlink="">
      <xdr:nvSpPr>
        <xdr:cNvPr id="40" name="Rectangle: Rounded Corners 39">
          <a:extLst>
            <a:ext uri="{FF2B5EF4-FFF2-40B4-BE49-F238E27FC236}">
              <a16:creationId xmlns:a16="http://schemas.microsoft.com/office/drawing/2014/main" id="{00000000-0008-0000-0800-000028000000}"/>
            </a:ext>
          </a:extLst>
        </xdr:cNvPr>
        <xdr:cNvSpPr/>
      </xdr:nvSpPr>
      <xdr:spPr>
        <a:xfrm>
          <a:off x="4076390"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a:solidFill>
                <a:sysClr val="windowText" lastClr="000000"/>
              </a:solidFill>
              <a:latin typeface="Arial" panose="020B0604020202020204" pitchFamily="34" charset="0"/>
              <a:cs typeface="Arial" panose="020B0604020202020204" pitchFamily="34" charset="0"/>
            </a:rPr>
            <a:t>Does</a:t>
          </a:r>
          <a:r>
            <a:rPr lang="en-US" sz="1100" b="0" baseline="0">
              <a:solidFill>
                <a:sysClr val="windowText" lastClr="000000"/>
              </a:solidFill>
              <a:latin typeface="Arial" panose="020B0604020202020204" pitchFamily="34" charset="0"/>
              <a:cs typeface="Arial" panose="020B0604020202020204" pitchFamily="34" charset="0"/>
            </a:rPr>
            <a:t> your project contain measures </a:t>
          </a:r>
          <a:r>
            <a:rPr lang="en-US" sz="1100" b="1" baseline="0">
              <a:solidFill>
                <a:srgbClr val="C00000"/>
              </a:solidFill>
              <a:latin typeface="Arial" panose="020B0604020202020204" pitchFamily="34" charset="0"/>
              <a:cs typeface="Arial" panose="020B0604020202020204" pitchFamily="34" charset="0"/>
            </a:rPr>
            <a:t>identified as requiring pre-approval?</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11207</xdr:rowOff>
    </xdr:from>
    <xdr:to>
      <xdr:col>12</xdr:col>
      <xdr:colOff>2551</xdr:colOff>
      <xdr:row>27</xdr:row>
      <xdr:rowOff>0</xdr:rowOff>
    </xdr:to>
    <xdr:sp macro="" textlink="">
      <xdr:nvSpPr>
        <xdr:cNvPr id="41" name="Rectangle: Rounded Corners 40">
          <a:extLst>
            <a:ext uri="{FF2B5EF4-FFF2-40B4-BE49-F238E27FC236}">
              <a16:creationId xmlns:a16="http://schemas.microsoft.com/office/drawing/2014/main" id="{00000000-0008-0000-0800-000029000000}"/>
            </a:ext>
          </a:extLst>
        </xdr:cNvPr>
        <xdr:cNvSpPr/>
      </xdr:nvSpPr>
      <xdr:spPr>
        <a:xfrm>
          <a:off x="627529" y="4448736"/>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61D10"/>
              </a:solidFill>
              <a:effectLst/>
              <a:latin typeface="Arial" panose="020B0604020202020204" pitchFamily="34" charset="0"/>
              <a:ea typeface="+mn-ea"/>
              <a:cs typeface="Arial" panose="020B0604020202020204" pitchFamily="34" charset="0"/>
            </a:rPr>
            <a:t>Your project requires pre-approval</a:t>
          </a:r>
          <a:r>
            <a:rPr lang="en-US" sz="1100" b="0">
              <a:solidFill>
                <a:sysClr val="windowText" lastClr="000000"/>
              </a:solidFill>
              <a:effectLst/>
              <a:latin typeface="Arial" panose="020B0604020202020204" pitchFamily="34" charset="0"/>
              <a:ea typeface="+mn-ea"/>
              <a:cs typeface="Arial" panose="020B0604020202020204" pitchFamily="34" charset="0"/>
            </a:rPr>
            <a:t> before equipment may</a:t>
          </a:r>
          <a:r>
            <a:rPr lang="en-US" sz="1100" b="0" baseline="0">
              <a:solidFill>
                <a:sysClr val="windowText" lastClr="000000"/>
              </a:solidFill>
              <a:effectLst/>
              <a:latin typeface="Arial" panose="020B0604020202020204" pitchFamily="34" charset="0"/>
              <a:ea typeface="+mn-ea"/>
              <a:cs typeface="Arial" panose="020B0604020202020204" pitchFamily="34" charset="0"/>
            </a:rPr>
            <a:t> be purchased. Populate and submit this application, then wait to receive approval before purchasing equipment.</a:t>
          </a:r>
          <a:endParaRPr lang="en-US" b="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17</xdr:col>
      <xdr:colOff>1</xdr:colOff>
      <xdr:row>15</xdr:row>
      <xdr:rowOff>0</xdr:rowOff>
    </xdr:from>
    <xdr:to>
      <xdr:col>17</xdr:col>
      <xdr:colOff>2551</xdr:colOff>
      <xdr:row>17</xdr:row>
      <xdr:rowOff>0</xdr:rowOff>
    </xdr:to>
    <xdr:cxnSp macro="">
      <xdr:nvCxnSpPr>
        <xdr:cNvPr id="60" name="Straight Arrow Connector 59">
          <a:extLst>
            <a:ext uri="{FF2B5EF4-FFF2-40B4-BE49-F238E27FC236}">
              <a16:creationId xmlns:a16="http://schemas.microsoft.com/office/drawing/2014/main" id="{00000000-0008-0000-0800-00003C000000}"/>
            </a:ext>
          </a:extLst>
        </xdr:cNvPr>
        <xdr:cNvCxnSpPr>
          <a:stCxn id="22" idx="2"/>
        </xdr:cNvCxnSpPr>
      </xdr:nvCxnSpPr>
      <xdr:spPr>
        <a:xfrm>
          <a:off x="5334001" y="3025588"/>
          <a:ext cx="2550"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313764</xdr:colOff>
      <xdr:row>15</xdr:row>
      <xdr:rowOff>0</xdr:rowOff>
    </xdr:from>
    <xdr:to>
      <xdr:col>28</xdr:col>
      <xdr:colOff>0</xdr:colOff>
      <xdr:row>17</xdr:row>
      <xdr:rowOff>0</xdr:rowOff>
    </xdr:to>
    <xdr:cxnSp macro="">
      <xdr:nvCxnSpPr>
        <xdr:cNvPr id="62" name="Straight Arrow Connector 61">
          <a:extLst>
            <a:ext uri="{FF2B5EF4-FFF2-40B4-BE49-F238E27FC236}">
              <a16:creationId xmlns:a16="http://schemas.microsoft.com/office/drawing/2014/main" id="{00000000-0008-0000-0800-00003E000000}"/>
            </a:ext>
          </a:extLst>
        </xdr:cNvPr>
        <xdr:cNvCxnSpPr>
          <a:stCxn id="34" idx="2"/>
        </xdr:cNvCxnSpPr>
      </xdr:nvCxnSpPr>
      <xdr:spPr>
        <a:xfrm>
          <a:off x="8785411" y="3025588"/>
          <a:ext cx="1" cy="4034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312489</xdr:colOff>
      <xdr:row>21</xdr:row>
      <xdr:rowOff>0</xdr:rowOff>
    </xdr:from>
    <xdr:to>
      <xdr:col>17</xdr:col>
      <xdr:colOff>313764</xdr:colOff>
      <xdr:row>22</xdr:row>
      <xdr:rowOff>11207</xdr:rowOff>
    </xdr:to>
    <xdr:cxnSp macro="">
      <xdr:nvCxnSpPr>
        <xdr:cNvPr id="64" name="Straight Arrow Connector 63">
          <a:extLst>
            <a:ext uri="{FF2B5EF4-FFF2-40B4-BE49-F238E27FC236}">
              <a16:creationId xmlns:a16="http://schemas.microsoft.com/office/drawing/2014/main" id="{00000000-0008-0000-0800-000040000000}"/>
            </a:ext>
          </a:extLst>
        </xdr:cNvPr>
        <xdr:cNvCxnSpPr>
          <a:stCxn id="39" idx="2"/>
          <a:endCxn id="40" idx="0"/>
        </xdr:cNvCxnSpPr>
      </xdr:nvCxnSpPr>
      <xdr:spPr>
        <a:xfrm flipH="1">
          <a:off x="5646489"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21</xdr:row>
      <xdr:rowOff>0</xdr:rowOff>
    </xdr:from>
    <xdr:to>
      <xdr:col>7</xdr:col>
      <xdr:colOff>1275</xdr:colOff>
      <xdr:row>22</xdr:row>
      <xdr:rowOff>11207</xdr:rowOff>
    </xdr:to>
    <xdr:cxnSp macro="">
      <xdr:nvCxnSpPr>
        <xdr:cNvPr id="66" name="Straight Arrow Connector 65">
          <a:extLst>
            <a:ext uri="{FF2B5EF4-FFF2-40B4-BE49-F238E27FC236}">
              <a16:creationId xmlns:a16="http://schemas.microsoft.com/office/drawing/2014/main" id="{00000000-0008-0000-0800-000042000000}"/>
            </a:ext>
          </a:extLst>
        </xdr:cNvPr>
        <xdr:cNvCxnSpPr>
          <a:stCxn id="38" idx="2"/>
          <a:endCxn id="41" idx="0"/>
        </xdr:cNvCxnSpPr>
      </xdr:nvCxnSpPr>
      <xdr:spPr>
        <a:xfrm>
          <a:off x="2196353" y="4235824"/>
          <a:ext cx="1275" cy="212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28</xdr:row>
      <xdr:rowOff>11206</xdr:rowOff>
    </xdr:from>
    <xdr:to>
      <xdr:col>17</xdr:col>
      <xdr:colOff>2551</xdr:colOff>
      <xdr:row>33</xdr:row>
      <xdr:rowOff>0</xdr:rowOff>
    </xdr:to>
    <xdr:sp macro="" textlink="">
      <xdr:nvSpPr>
        <xdr:cNvPr id="52" name="Rectangle: Rounded Corners 51">
          <a:extLst>
            <a:ext uri="{FF2B5EF4-FFF2-40B4-BE49-F238E27FC236}">
              <a16:creationId xmlns:a16="http://schemas.microsoft.com/office/drawing/2014/main" id="{00000000-0008-0000-0800-000034000000}"/>
            </a:ext>
          </a:extLst>
        </xdr:cNvPr>
        <xdr:cNvSpPr/>
      </xdr:nvSpPr>
      <xdr:spPr>
        <a:xfrm>
          <a:off x="2196353" y="5658971"/>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C00000"/>
              </a:solidFill>
              <a:latin typeface="Arial" panose="020B0604020202020204" pitchFamily="34" charset="0"/>
              <a:cs typeface="Arial" panose="020B0604020202020204" pitchFamily="34" charset="0"/>
            </a:rPr>
            <a:t>You project does not</a:t>
          </a:r>
          <a:r>
            <a:rPr lang="en-US" sz="1100" b="1" baseline="0">
              <a:solidFill>
                <a:srgbClr val="C00000"/>
              </a:solidFill>
              <a:latin typeface="Arial" panose="020B0604020202020204" pitchFamily="34" charset="0"/>
              <a:cs typeface="Arial" panose="020B0604020202020204" pitchFamily="34" charset="0"/>
            </a:rPr>
            <a:t> require pre-approval. </a:t>
          </a:r>
          <a:r>
            <a:rPr lang="en-US" sz="1100" b="0" baseline="0">
              <a:solidFill>
                <a:sysClr val="windowText" lastClr="000000"/>
              </a:solidFill>
              <a:latin typeface="Arial" panose="020B0604020202020204" pitchFamily="34" charset="0"/>
              <a:cs typeface="Arial" panose="020B0604020202020204" pitchFamily="34" charset="0"/>
            </a:rPr>
            <a:t>Please purchase and install your equipment. After installation, populate and submit this application along with required documentation</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18</xdr:col>
      <xdr:colOff>268941</xdr:colOff>
      <xdr:row>28</xdr:row>
      <xdr:rowOff>33618</xdr:rowOff>
    </xdr:from>
    <xdr:to>
      <xdr:col>28</xdr:col>
      <xdr:colOff>271492</xdr:colOff>
      <xdr:row>33</xdr:row>
      <xdr:rowOff>22412</xdr:rowOff>
    </xdr:to>
    <xdr:sp macro="" textlink="">
      <xdr:nvSpPr>
        <xdr:cNvPr id="53" name="Rectangle: Rounded Corners 52">
          <a:extLst>
            <a:ext uri="{FF2B5EF4-FFF2-40B4-BE49-F238E27FC236}">
              <a16:creationId xmlns:a16="http://schemas.microsoft.com/office/drawing/2014/main" id="{00000000-0008-0000-0800-000035000000}"/>
            </a:ext>
          </a:extLst>
        </xdr:cNvPr>
        <xdr:cNvSpPr/>
      </xdr:nvSpPr>
      <xdr:spPr>
        <a:xfrm>
          <a:off x="5916706" y="5681383"/>
          <a:ext cx="3140198" cy="997323"/>
        </a:xfrm>
        <a:prstGeom prst="roundRect">
          <a:avLst/>
        </a:prstGeom>
        <a:gradFill flip="none" rotWithShape="1">
          <a:gsLst>
            <a:gs pos="0">
              <a:schemeClr val="bg1"/>
            </a:gs>
            <a:gs pos="51000">
              <a:schemeClr val="accent1">
                <a:lumMod val="60000"/>
                <a:lumOff val="40000"/>
                <a:alpha val="50000"/>
              </a:schemeClr>
            </a:gs>
            <a:gs pos="100000">
              <a:schemeClr val="accent1">
                <a:lumMod val="60000"/>
                <a:lumOff val="40000"/>
              </a:schemeClr>
            </a:gs>
          </a:gsLst>
          <a:lin ang="54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solidFill>
                <a:srgbClr val="C00000"/>
              </a:solidFill>
              <a:latin typeface="Arial" panose="020B0604020202020204" pitchFamily="34" charset="0"/>
              <a:cs typeface="Arial" panose="020B0604020202020204" pitchFamily="34" charset="0"/>
            </a:rPr>
            <a:t>Your project requires pre-approval </a:t>
          </a:r>
          <a:r>
            <a:rPr lang="en-US" sz="1100" b="0" baseline="0">
              <a:solidFill>
                <a:sysClr val="windowText" lastClr="000000"/>
              </a:solidFill>
              <a:latin typeface="Arial" panose="020B0604020202020204" pitchFamily="34" charset="0"/>
              <a:cs typeface="Arial" panose="020B0604020202020204" pitchFamily="34" charset="0"/>
            </a:rPr>
            <a:t>before equipment may be purchased. </a:t>
          </a:r>
          <a:r>
            <a:rPr lang="en-US" sz="1100" b="1" baseline="0">
              <a:solidFill>
                <a:srgbClr val="C00000"/>
              </a:solidFill>
              <a:latin typeface="Arial" panose="020B0604020202020204" pitchFamily="34" charset="0"/>
              <a:cs typeface="Arial" panose="020B0604020202020204" pitchFamily="34" charset="0"/>
            </a:rPr>
            <a:t>Your project is eligible for a per watt incentive rate</a:t>
          </a:r>
          <a:endParaRPr lang="en-US" sz="1100" b="0" baseline="0">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0</xdr:colOff>
      <xdr:row>26</xdr:row>
      <xdr:rowOff>0</xdr:rowOff>
    </xdr:from>
    <xdr:to>
      <xdr:col>16</xdr:col>
      <xdr:colOff>1</xdr:colOff>
      <xdr:row>27</xdr:row>
      <xdr:rowOff>0</xdr:rowOff>
    </xdr:to>
    <xdr:sp macro="" textlink="">
      <xdr:nvSpPr>
        <xdr:cNvPr id="55" name="TextBox 54">
          <a:extLst>
            <a:ext uri="{FF2B5EF4-FFF2-40B4-BE49-F238E27FC236}">
              <a16:creationId xmlns:a16="http://schemas.microsoft.com/office/drawing/2014/main" id="{00000000-0008-0000-0800-000037000000}"/>
            </a:ext>
          </a:extLst>
        </xdr:cNvPr>
        <xdr:cNvSpPr txBox="1"/>
      </xdr:nvSpPr>
      <xdr:spPr>
        <a:xfrm>
          <a:off x="4392706"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NO</a:t>
          </a:r>
        </a:p>
      </xdr:txBody>
    </xdr:sp>
    <xdr:clientData/>
  </xdr:twoCellAnchor>
  <xdr:twoCellAnchor>
    <xdr:from>
      <xdr:col>20</xdr:col>
      <xdr:colOff>0</xdr:colOff>
      <xdr:row>26</xdr:row>
      <xdr:rowOff>0</xdr:rowOff>
    </xdr:from>
    <xdr:to>
      <xdr:col>22</xdr:col>
      <xdr:colOff>0</xdr:colOff>
      <xdr:row>27</xdr:row>
      <xdr:rowOff>0</xdr:rowOff>
    </xdr:to>
    <xdr:sp macro="" textlink="">
      <xdr:nvSpPr>
        <xdr:cNvPr id="56" name="TextBox 55">
          <a:extLst>
            <a:ext uri="{FF2B5EF4-FFF2-40B4-BE49-F238E27FC236}">
              <a16:creationId xmlns:a16="http://schemas.microsoft.com/office/drawing/2014/main" id="{00000000-0008-0000-0800-000038000000}"/>
            </a:ext>
          </a:extLst>
        </xdr:cNvPr>
        <xdr:cNvSpPr txBox="1"/>
      </xdr:nvSpPr>
      <xdr:spPr>
        <a:xfrm>
          <a:off x="6275294" y="5244353"/>
          <a:ext cx="627530"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C00000"/>
              </a:solidFill>
              <a:latin typeface="Arial" panose="020B0604020202020204" pitchFamily="34" charset="0"/>
              <a:cs typeface="Arial" panose="020B0604020202020204" pitchFamily="34" charset="0"/>
            </a:rPr>
            <a:t>YES</a:t>
          </a:r>
        </a:p>
      </xdr:txBody>
    </xdr:sp>
    <xdr:clientData/>
  </xdr:twoCellAnchor>
  <xdr:twoCellAnchor>
    <xdr:from>
      <xdr:col>15</xdr:col>
      <xdr:colOff>0</xdr:colOff>
      <xdr:row>27</xdr:row>
      <xdr:rowOff>0</xdr:rowOff>
    </xdr:from>
    <xdr:to>
      <xdr:col>15</xdr:col>
      <xdr:colOff>0</xdr:colOff>
      <xdr:row>28</xdr:row>
      <xdr:rowOff>100853</xdr:rowOff>
    </xdr:to>
    <xdr:cxnSp macro="">
      <xdr:nvCxnSpPr>
        <xdr:cNvPr id="57" name="Straight Arrow Connector 56">
          <a:extLst>
            <a:ext uri="{FF2B5EF4-FFF2-40B4-BE49-F238E27FC236}">
              <a16:creationId xmlns:a16="http://schemas.microsoft.com/office/drawing/2014/main" id="{00000000-0008-0000-0800-000039000000}"/>
            </a:ext>
          </a:extLst>
        </xdr:cNvPr>
        <xdr:cNvCxnSpPr>
          <a:stCxn id="55" idx="2"/>
        </xdr:cNvCxnSpPr>
      </xdr:nvCxnSpPr>
      <xdr:spPr>
        <a:xfrm>
          <a:off x="4706471"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27</xdr:row>
      <xdr:rowOff>0</xdr:rowOff>
    </xdr:from>
    <xdr:to>
      <xdr:col>21</xdr:col>
      <xdr:colOff>0</xdr:colOff>
      <xdr:row>28</xdr:row>
      <xdr:rowOff>100853</xdr:rowOff>
    </xdr:to>
    <xdr:cxnSp macro="">
      <xdr:nvCxnSpPr>
        <xdr:cNvPr id="61" name="Straight Arrow Connector 60">
          <a:extLst>
            <a:ext uri="{FF2B5EF4-FFF2-40B4-BE49-F238E27FC236}">
              <a16:creationId xmlns:a16="http://schemas.microsoft.com/office/drawing/2014/main" id="{00000000-0008-0000-0800-00003D000000}"/>
            </a:ext>
          </a:extLst>
        </xdr:cNvPr>
        <xdr:cNvCxnSpPr>
          <a:stCxn id="56" idx="2"/>
        </xdr:cNvCxnSpPr>
      </xdr:nvCxnSpPr>
      <xdr:spPr>
        <a:xfrm>
          <a:off x="6589059" y="5446059"/>
          <a:ext cx="0" cy="3025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36</xdr:col>
      <xdr:colOff>314324</xdr:colOff>
      <xdr:row>4</xdr:row>
      <xdr:rowOff>196126</xdr:rowOff>
    </xdr:from>
    <xdr:to>
      <xdr:col>41</xdr:col>
      <xdr:colOff>311604</xdr:colOff>
      <xdr:row>6</xdr:row>
      <xdr:rowOff>195446</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A00-000012000000}"/>
            </a:ext>
          </a:extLst>
        </xdr:cNvPr>
        <xdr:cNvSpPr/>
      </xdr:nvSpPr>
      <xdr:spPr>
        <a:xfrm>
          <a:off x="11630024" y="996226"/>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156882</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1A00-000017000000}"/>
            </a:ext>
          </a:extLst>
        </xdr:cNvPr>
        <xdr:cNvSpPr/>
      </xdr:nvSpPr>
      <xdr:spPr>
        <a:xfrm>
          <a:off x="11138647" y="806824"/>
          <a:ext cx="266699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A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A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133350</xdr:rowOff>
    </xdr:from>
    <xdr:to>
      <xdr:col>23</xdr:col>
      <xdr:colOff>0</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A00-000006000000}"/>
            </a:ext>
          </a:extLst>
        </xdr:cNvPr>
        <xdr:cNvSpPr/>
      </xdr:nvSpPr>
      <xdr:spPr>
        <a:xfrm>
          <a:off x="5961530" y="335056"/>
          <a:ext cx="1255058" cy="471767"/>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xdr:colOff>
      <xdr:row>1</xdr:row>
      <xdr:rowOff>1</xdr:rowOff>
    </xdr:from>
    <xdr:to>
      <xdr:col>27</xdr:col>
      <xdr:colOff>1</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A00-000007000000}"/>
            </a:ext>
          </a:extLst>
        </xdr:cNvPr>
        <xdr:cNvSpPr/>
      </xdr:nvSpPr>
      <xdr:spPr>
        <a:xfrm>
          <a:off x="7216589"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0</xdr:rowOff>
    </xdr:from>
    <xdr:to>
      <xdr:col>31</xdr:col>
      <xdr:colOff>11206</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A00-000008000000}"/>
            </a:ext>
          </a:extLst>
        </xdr:cNvPr>
        <xdr:cNvSpPr/>
      </xdr:nvSpPr>
      <xdr:spPr>
        <a:xfrm>
          <a:off x="8482854" y="201706"/>
          <a:ext cx="1255058" cy="605118"/>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8D29C39-4104-4BB4-A744-79F5673609E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51480</xdr:rowOff>
    </xdr:from>
    <xdr:to>
      <xdr:col>7</xdr:col>
      <xdr:colOff>2718</xdr:colOff>
      <xdr:row>7</xdr:row>
      <xdr:rowOff>101971</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A00-00000D000000}"/>
            </a:ext>
          </a:extLst>
        </xdr:cNvPr>
        <xdr:cNvSpPr/>
      </xdr:nvSpPr>
      <xdr:spPr>
        <a:xfrm>
          <a:off x="632198" y="1045393"/>
          <a:ext cx="15736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6C2D0D-E66C-49FF-8589-9A472EE60861}"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5</xdr:row>
      <xdr:rowOff>0</xdr:rowOff>
    </xdr:from>
    <xdr:to>
      <xdr:col>12</xdr:col>
      <xdr:colOff>2719</xdr:colOff>
      <xdr:row>6</xdr:row>
      <xdr:rowOff>197147</xdr:rowOff>
    </xdr:to>
    <xdr:sp macro="" textlink="M4S2">
      <xdr:nvSpPr>
        <xdr:cNvPr id="14" name="SUBMENU2">
          <a:hlinkClick xmlns:r="http://schemas.openxmlformats.org/officeDocument/2006/relationships" r:id="rId2"/>
          <a:extLst>
            <a:ext uri="{FF2B5EF4-FFF2-40B4-BE49-F238E27FC236}">
              <a16:creationId xmlns:a16="http://schemas.microsoft.com/office/drawing/2014/main" id="{00000000-0008-0000-1A00-00000E000000}"/>
            </a:ext>
          </a:extLst>
        </xdr:cNvPr>
        <xdr:cNvSpPr/>
      </xdr:nvSpPr>
      <xdr:spPr>
        <a:xfrm>
          <a:off x="2199071" y="1008529"/>
          <a:ext cx="1568824"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4672A62-3912-4F2C-8468-54722B4C8E2F}"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1045</xdr:colOff>
      <xdr:row>5</xdr:row>
      <xdr:rowOff>0</xdr:rowOff>
    </xdr:from>
    <xdr:to>
      <xdr:col>17</xdr:col>
      <xdr:colOff>0</xdr:colOff>
      <xdr:row>6</xdr:row>
      <xdr:rowOff>197147</xdr:rowOff>
    </xdr:to>
    <xdr:sp macro="" textlink="M4S3">
      <xdr:nvSpPr>
        <xdr:cNvPr id="15" name="SUBMENU3">
          <a:hlinkClick xmlns:r="http://schemas.openxmlformats.org/officeDocument/2006/relationships" r:id="rId9"/>
          <a:extLst>
            <a:ext uri="{FF2B5EF4-FFF2-40B4-BE49-F238E27FC236}">
              <a16:creationId xmlns:a16="http://schemas.microsoft.com/office/drawing/2014/main" id="{00000000-0008-0000-1A00-00000F000000}"/>
            </a:ext>
          </a:extLst>
        </xdr:cNvPr>
        <xdr:cNvSpPr/>
      </xdr:nvSpPr>
      <xdr:spPr>
        <a:xfrm>
          <a:off x="3766221" y="1008529"/>
          <a:ext cx="156777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D24110-EABE-423E-83FE-A544FF55F796}"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0</xdr:rowOff>
    </xdr:from>
    <xdr:to>
      <xdr:col>22</xdr:col>
      <xdr:colOff>2615</xdr:colOff>
      <xdr:row>6</xdr:row>
      <xdr:rowOff>197147</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A00-000010000000}"/>
            </a:ext>
          </a:extLst>
        </xdr:cNvPr>
        <xdr:cNvSpPr/>
      </xdr:nvSpPr>
      <xdr:spPr>
        <a:xfrm>
          <a:off x="5334000" y="1008529"/>
          <a:ext cx="1571439" cy="3988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0F401A5-B5EC-4BAA-9EC5-46ACD9990801}"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0</xdr:rowOff>
    </xdr:from>
    <xdr:to>
      <xdr:col>26</xdr:col>
      <xdr:colOff>312795</xdr:colOff>
      <xdr:row>6</xdr:row>
      <xdr:rowOff>200630</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A00-00000B000000}"/>
            </a:ext>
          </a:extLst>
        </xdr:cNvPr>
        <xdr:cNvSpPr/>
      </xdr:nvSpPr>
      <xdr:spPr>
        <a:xfrm>
          <a:off x="6902824" y="1008529"/>
          <a:ext cx="1567853"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FC1134B-3E63-44AF-A8C6-55457B08495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5</xdr:row>
      <xdr:rowOff>680</xdr:rowOff>
    </xdr:from>
    <xdr:to>
      <xdr:col>32</xdr:col>
      <xdr:colOff>11206</xdr:colOff>
      <xdr:row>7</xdr:row>
      <xdr:rowOff>0</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A00-00000C000000}"/>
            </a:ext>
          </a:extLst>
        </xdr:cNvPr>
        <xdr:cNvSpPr/>
      </xdr:nvSpPr>
      <xdr:spPr>
        <a:xfrm>
          <a:off x="8482854" y="1009209"/>
          <a:ext cx="1568823" cy="40273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BF08A5-BC9A-4BCA-BBE9-D98B830617F8}"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11206</xdr:colOff>
      <xdr:row>4</xdr:row>
      <xdr:rowOff>201309</xdr:rowOff>
    </xdr:from>
    <xdr:to>
      <xdr:col>37</xdr:col>
      <xdr:colOff>11206</xdr:colOff>
      <xdr:row>6</xdr:row>
      <xdr:rowOff>200630</xdr:rowOff>
    </xdr:to>
    <xdr:sp macro="" textlink="M4S7">
      <xdr:nvSpPr>
        <xdr:cNvPr id="28" name="SUBMENU7">
          <a:hlinkClick xmlns:r="http://schemas.openxmlformats.org/officeDocument/2006/relationships" r:id="rId13"/>
          <a:extLst>
            <a:ext uri="{FF2B5EF4-FFF2-40B4-BE49-F238E27FC236}">
              <a16:creationId xmlns:a16="http://schemas.microsoft.com/office/drawing/2014/main" id="{00000000-0008-0000-1A00-00001C000000}"/>
            </a:ext>
          </a:extLst>
        </xdr:cNvPr>
        <xdr:cNvSpPr/>
      </xdr:nvSpPr>
      <xdr:spPr>
        <a:xfrm>
          <a:off x="10107706" y="1010934"/>
          <a:ext cx="1577578" cy="40413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44C87CE-C3FE-433B-8091-02B7B73F99E7}"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37</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3" y="1611964"/>
          <a:ext cx="13491324" cy="5851154"/>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A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1</xdr:rowOff>
    </xdr:from>
    <xdr:to>
      <xdr:col>40</xdr:col>
      <xdr:colOff>0</xdr:colOff>
      <xdr:row>12</xdr:row>
      <xdr:rowOff>190501</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A00-00001B000000}"/>
            </a:ext>
          </a:extLst>
        </xdr:cNvPr>
        <xdr:cNvSpPr txBox="1"/>
      </xdr:nvSpPr>
      <xdr:spPr>
        <a:xfrm>
          <a:off x="10656794" y="1815354"/>
          <a:ext cx="1893794" cy="795618"/>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hidden="1">
          <a:hlinkClick xmlns:r="http://schemas.openxmlformats.org/officeDocument/2006/relationships" r:id="rId1"/>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B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B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B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B00-000004000000}"/>
            </a:ext>
          </a:extLst>
        </xdr:cNvPr>
        <xdr:cNvSpPr/>
      </xdr:nvSpPr>
      <xdr:spPr>
        <a:xfrm>
          <a:off x="3462131"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19</xdr:col>
      <xdr:colOff>1</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B00-000005000000}"/>
            </a:ext>
          </a:extLst>
        </xdr:cNvPr>
        <xdr:cNvSpPr/>
      </xdr:nvSpPr>
      <xdr:spPr>
        <a:xfrm>
          <a:off x="4706471" y="201707"/>
          <a:ext cx="1255059" cy="605118"/>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975</xdr:colOff>
      <xdr:row>1</xdr:row>
      <xdr:rowOff>133349</xdr:rowOff>
    </xdr:from>
    <xdr:to>
      <xdr:col>23</xdr:col>
      <xdr:colOff>974</xdr:colOff>
      <xdr:row>4</xdr:row>
      <xdr:rowOff>1</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B00-000006000000}"/>
            </a:ext>
          </a:extLst>
        </xdr:cNvPr>
        <xdr:cNvSpPr/>
      </xdr:nvSpPr>
      <xdr:spPr>
        <a:xfrm>
          <a:off x="5962504" y="335055"/>
          <a:ext cx="1255058" cy="471770"/>
        </a:xfrm>
        <a:prstGeom prst="round2SameRect">
          <a:avLst/>
        </a:prstGeom>
        <a:solidFill>
          <a:srgbClr val="439639"/>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313618</xdr:colOff>
      <xdr:row>1</xdr:row>
      <xdr:rowOff>0</xdr:rowOff>
    </xdr:from>
    <xdr:to>
      <xdr:col>26</xdr:col>
      <xdr:colOff>313618</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B00-000007000000}"/>
            </a:ext>
          </a:extLst>
        </xdr:cNvPr>
        <xdr:cNvSpPr/>
      </xdr:nvSpPr>
      <xdr:spPr>
        <a:xfrm>
          <a:off x="7237879"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313618</xdr:colOff>
      <xdr:row>1</xdr:row>
      <xdr:rowOff>0</xdr:rowOff>
    </xdr:from>
    <xdr:to>
      <xdr:col>30</xdr:col>
      <xdr:colOff>313618</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8496835"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0AD593-4E0F-45F9-8F27-6599F498085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0</xdr:colOff>
      <xdr:row>4</xdr:row>
      <xdr:rowOff>196826</xdr:rowOff>
    </xdr:from>
    <xdr:to>
      <xdr:col>6</xdr:col>
      <xdr:colOff>314738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B00-00000D000000}"/>
            </a:ext>
          </a:extLst>
        </xdr:cNvPr>
        <xdr:cNvSpPr/>
      </xdr:nvSpPr>
      <xdr:spPr>
        <a:xfrm>
          <a:off x="629478" y="991956"/>
          <a:ext cx="1573695" cy="39856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251E211-4347-44CF-A0CF-20C39B5B330F}"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314738</xdr:colOff>
      <xdr:row>5</xdr:row>
      <xdr:rowOff>50480</xdr:rowOff>
    </xdr:from>
    <xdr:to>
      <xdr:col>11</xdr:col>
      <xdr:colOff>314738</xdr:colOff>
      <xdr:row>7</xdr:row>
      <xdr:rowOff>100971</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B00-00000E000000}"/>
            </a:ext>
          </a:extLst>
        </xdr:cNvPr>
        <xdr:cNvSpPr/>
      </xdr:nvSpPr>
      <xdr:spPr>
        <a:xfrm>
          <a:off x="2203173" y="1044393"/>
          <a:ext cx="1573695"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66A59B2-F98A-4726-92A1-0BD3868109B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313621</xdr:colOff>
      <xdr:row>5</xdr:row>
      <xdr:rowOff>1922</xdr:rowOff>
    </xdr:from>
    <xdr:to>
      <xdr:col>16</xdr:col>
      <xdr:colOff>313617</xdr:colOff>
      <xdr:row>7</xdr:row>
      <xdr:rowOff>2924</xdr:rowOff>
    </xdr:to>
    <xdr:sp macro="" textlink="M4S3">
      <xdr:nvSpPr>
        <xdr:cNvPr id="15" name="SUBMENU3">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3775751" y="995835"/>
          <a:ext cx="1573692"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F32379-9363-4A1A-B7E4-29D2C9A48D4C}"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310899</xdr:colOff>
      <xdr:row>5</xdr:row>
      <xdr:rowOff>1922</xdr:rowOff>
    </xdr:from>
    <xdr:to>
      <xdr:col>22</xdr:col>
      <xdr:colOff>0</xdr:colOff>
      <xdr:row>7</xdr:row>
      <xdr:rowOff>2924</xdr:rowOff>
    </xdr:to>
    <xdr:sp macro="" textlink="M4S4">
      <xdr:nvSpPr>
        <xdr:cNvPr id="16" name="SUBMENU4">
          <a:hlinkClick xmlns:r="http://schemas.openxmlformats.org/officeDocument/2006/relationships" r:id="rId10"/>
          <a:extLst>
            <a:ext uri="{FF2B5EF4-FFF2-40B4-BE49-F238E27FC236}">
              <a16:creationId xmlns:a16="http://schemas.microsoft.com/office/drawing/2014/main" id="{00000000-0008-0000-1B00-000010000000}"/>
            </a:ext>
          </a:extLst>
        </xdr:cNvPr>
        <xdr:cNvSpPr/>
      </xdr:nvSpPr>
      <xdr:spPr>
        <a:xfrm>
          <a:off x="5346725" y="995835"/>
          <a:ext cx="1577536"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BC523A9-4326-494E-A047-1324BC9BD32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3879</xdr:rowOff>
    </xdr:from>
    <xdr:to>
      <xdr:col>26</xdr:col>
      <xdr:colOff>312477</xdr:colOff>
      <xdr:row>7</xdr:row>
      <xdr:rowOff>2924</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B00-00000B000000}"/>
            </a:ext>
          </a:extLst>
        </xdr:cNvPr>
        <xdr:cNvSpPr/>
      </xdr:nvSpPr>
      <xdr:spPr>
        <a:xfrm>
          <a:off x="6924261" y="997792"/>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F5BB97-56B6-4A60-A6E5-13789856D658}"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312477</xdr:colOff>
      <xdr:row>4</xdr:row>
      <xdr:rowOff>196826</xdr:rowOff>
    </xdr:from>
    <xdr:to>
      <xdr:col>31</xdr:col>
      <xdr:colOff>312476</xdr:colOff>
      <xdr:row>6</xdr:row>
      <xdr:rowOff>194903</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B00-00000C000000}"/>
            </a:ext>
          </a:extLst>
        </xdr:cNvPr>
        <xdr:cNvSpPr/>
      </xdr:nvSpPr>
      <xdr:spPr>
        <a:xfrm>
          <a:off x="8495694" y="991956"/>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F22CB10-EA9A-4DB3-A7BF-0B012F1BA43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3841</xdr:colOff>
      <xdr:row>4</xdr:row>
      <xdr:rowOff>193902</xdr:rowOff>
    </xdr:from>
    <xdr:to>
      <xdr:col>37</xdr:col>
      <xdr:colOff>2720</xdr:colOff>
      <xdr:row>6</xdr:row>
      <xdr:rowOff>194903</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B00-000011000000}"/>
            </a:ext>
          </a:extLst>
        </xdr:cNvPr>
        <xdr:cNvSpPr/>
      </xdr:nvSpPr>
      <xdr:spPr>
        <a:xfrm>
          <a:off x="10075493" y="989032"/>
          <a:ext cx="1572575" cy="398567"/>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E60CBE-E50C-435C-A153-D54E868CF1FB}"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1B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B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B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B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7" name="TextBox 26">
          <a:hlinkClick xmlns:r="http://schemas.openxmlformats.org/officeDocument/2006/relationships" r:id="rId15"/>
          <a:extLst>
            <a:ext uri="{FF2B5EF4-FFF2-40B4-BE49-F238E27FC236}">
              <a16:creationId xmlns:a16="http://schemas.microsoft.com/office/drawing/2014/main" id="{00000000-0008-0000-1B00-00001B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8" name="TextBox 27">
          <a:hlinkClick xmlns:r="http://schemas.openxmlformats.org/officeDocument/2006/relationships" r:id="rId16"/>
          <a:extLst>
            <a:ext uri="{FF2B5EF4-FFF2-40B4-BE49-F238E27FC236}">
              <a16:creationId xmlns:a16="http://schemas.microsoft.com/office/drawing/2014/main" id="{00000000-0008-0000-1B00-00001C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36</xdr:col>
      <xdr:colOff>1</xdr:colOff>
      <xdr:row>4</xdr:row>
      <xdr:rowOff>0</xdr:rowOff>
    </xdr:from>
    <xdr:to>
      <xdr:col>44</xdr:col>
      <xdr:colOff>2720</xdr:colOff>
      <xdr:row>7</xdr:row>
      <xdr:rowOff>2923</xdr:rowOff>
    </xdr:to>
    <xdr:sp macro="" textlink="">
      <xdr:nvSpPr>
        <xdr:cNvPr id="23" name="TOPRIBBON">
          <a:extLst>
            <a:ext uri="{FF2B5EF4-FFF2-40B4-BE49-F238E27FC236}">
              <a16:creationId xmlns:a16="http://schemas.microsoft.com/office/drawing/2014/main" id="{00000000-0008-0000-1C00-000017000000}"/>
            </a:ext>
          </a:extLst>
        </xdr:cNvPr>
        <xdr:cNvSpPr/>
      </xdr:nvSpPr>
      <xdr:spPr>
        <a:xfrm>
          <a:off x="11330610" y="795130"/>
          <a:ext cx="2520632" cy="599271"/>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C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1</xdr:colOff>
      <xdr:row>4</xdr:row>
      <xdr:rowOff>1</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C00-000004000000}"/>
            </a:ext>
          </a:extLst>
        </xdr:cNvPr>
        <xdr:cNvSpPr/>
      </xdr:nvSpPr>
      <xdr:spPr>
        <a:xfrm>
          <a:off x="3468414"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0</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C00-000005000000}"/>
            </a:ext>
          </a:extLst>
        </xdr:cNvPr>
        <xdr:cNvSpPr/>
      </xdr:nvSpPr>
      <xdr:spPr>
        <a:xfrm>
          <a:off x="4735286" y="201387"/>
          <a:ext cx="1262367" cy="60415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133349</xdr:rowOff>
    </xdr:from>
    <xdr:to>
      <xdr:col>22</xdr:col>
      <xdr:colOff>315309</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C00-000006000000}"/>
            </a:ext>
          </a:extLst>
        </xdr:cNvPr>
        <xdr:cNvSpPr/>
      </xdr:nvSpPr>
      <xdr:spPr>
        <a:xfrm>
          <a:off x="5997653" y="334735"/>
          <a:ext cx="1262742" cy="470808"/>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0</xdr:rowOff>
    </xdr:from>
    <xdr:to>
      <xdr:col>26</xdr:col>
      <xdr:colOff>315310</xdr:colOff>
      <xdr:row>4</xdr:row>
      <xdr:rowOff>0</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C00-000007000000}"/>
            </a:ext>
          </a:extLst>
        </xdr:cNvPr>
        <xdr:cNvSpPr/>
      </xdr:nvSpPr>
      <xdr:spPr>
        <a:xfrm>
          <a:off x="7260395" y="201386"/>
          <a:ext cx="1262744"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8523515" y="201386"/>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7F5D3D2-C9AB-43FC-B180-10E9F3BAF36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C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3324</xdr:colOff>
      <xdr:row>5</xdr:row>
      <xdr:rowOff>179</xdr:rowOff>
    </xdr:from>
    <xdr:to>
      <xdr:col>7</xdr:col>
      <xdr:colOff>2551</xdr:colOff>
      <xdr:row>7</xdr:row>
      <xdr:rowOff>1179</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C00-00000D000000}"/>
            </a:ext>
          </a:extLst>
        </xdr:cNvPr>
        <xdr:cNvSpPr/>
      </xdr:nvSpPr>
      <xdr:spPr>
        <a:xfrm>
          <a:off x="634982" y="1002811"/>
          <a:ext cx="1578372"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0BD337-C69B-4AEB-A82C-0770F00C27A9}"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0</xdr:rowOff>
    </xdr:from>
    <xdr:to>
      <xdr:col>12</xdr:col>
      <xdr:colOff>2552</xdr:colOff>
      <xdr:row>7</xdr:row>
      <xdr:rowOff>1000</xdr:rowOff>
    </xdr:to>
    <xdr:sp macro="" textlink="M4S2">
      <xdr:nvSpPr>
        <xdr:cNvPr id="14" name="SUBMENU2">
          <a:hlinkClick xmlns:r="http://schemas.openxmlformats.org/officeDocument/2006/relationships" r:id="rId9"/>
          <a:extLst>
            <a:ext uri="{FF2B5EF4-FFF2-40B4-BE49-F238E27FC236}">
              <a16:creationId xmlns:a16="http://schemas.microsoft.com/office/drawing/2014/main" id="{00000000-0008-0000-1C00-00000E000000}"/>
            </a:ext>
          </a:extLst>
        </xdr:cNvPr>
        <xdr:cNvSpPr/>
      </xdr:nvSpPr>
      <xdr:spPr>
        <a:xfrm>
          <a:off x="2213354" y="1002632"/>
          <a:ext cx="157914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F39CC1-D51A-49D7-815E-4414538A9127}"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56358</xdr:rowOff>
    </xdr:from>
    <xdr:to>
      <xdr:col>17</xdr:col>
      <xdr:colOff>484</xdr:colOff>
      <xdr:row>7</xdr:row>
      <xdr:rowOff>106849</xdr:rowOff>
    </xdr:to>
    <xdr:sp macro="" textlink="M4S3">
      <xdr:nvSpPr>
        <xdr:cNvPr id="15" name="SUBMENU3">
          <a:hlinkClick xmlns:r="http://schemas.openxmlformats.org/officeDocument/2006/relationships" r:id="rId10"/>
          <a:extLst>
            <a:ext uri="{FF2B5EF4-FFF2-40B4-BE49-F238E27FC236}">
              <a16:creationId xmlns:a16="http://schemas.microsoft.com/office/drawing/2014/main" id="{00000000-0008-0000-1C00-00000F000000}"/>
            </a:ext>
          </a:extLst>
        </xdr:cNvPr>
        <xdr:cNvSpPr/>
      </xdr:nvSpPr>
      <xdr:spPr>
        <a:xfrm>
          <a:off x="3779422" y="1050271"/>
          <a:ext cx="1571627"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595F8A9-B237-4509-A6A2-BC52574C5FC1}"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484</xdr:colOff>
      <xdr:row>4</xdr:row>
      <xdr:rowOff>199527</xdr:rowOff>
    </xdr:from>
    <xdr:to>
      <xdr:col>22</xdr:col>
      <xdr:colOff>5414</xdr:colOff>
      <xdr:row>7</xdr:row>
      <xdr:rowOff>0</xdr:rowOff>
    </xdr:to>
    <xdr:sp macro="" textlink="M4S4">
      <xdr:nvSpPr>
        <xdr:cNvPr id="16" name="SUBMENU4">
          <a:hlinkClick xmlns:r="http://schemas.openxmlformats.org/officeDocument/2006/relationships" r:id="rId2"/>
          <a:extLst>
            <a:ext uri="{FF2B5EF4-FFF2-40B4-BE49-F238E27FC236}">
              <a16:creationId xmlns:a16="http://schemas.microsoft.com/office/drawing/2014/main" id="{00000000-0008-0000-1C00-000010000000}"/>
            </a:ext>
          </a:extLst>
        </xdr:cNvPr>
        <xdr:cNvSpPr/>
      </xdr:nvSpPr>
      <xdr:spPr>
        <a:xfrm>
          <a:off x="5369576" y="1001632"/>
          <a:ext cx="1584075" cy="402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2AD298-F508-4E9F-91CA-51659AB34300}"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5414</xdr:colOff>
      <xdr:row>4</xdr:row>
      <xdr:rowOff>199527</xdr:rowOff>
    </xdr:from>
    <xdr:to>
      <xdr:col>27</xdr:col>
      <xdr:colOff>3152</xdr:colOff>
      <xdr:row>6</xdr:row>
      <xdr:rowOff>199526</xdr:rowOff>
    </xdr:to>
    <xdr:sp macro="" textlink="M4S5">
      <xdr:nvSpPr>
        <xdr:cNvPr id="11" name="SUBMENU5">
          <a:hlinkClick xmlns:r="http://schemas.openxmlformats.org/officeDocument/2006/relationships" r:id="rId11"/>
          <a:extLst>
            <a:ext uri="{FF2B5EF4-FFF2-40B4-BE49-F238E27FC236}">
              <a16:creationId xmlns:a16="http://schemas.microsoft.com/office/drawing/2014/main" id="{00000000-0008-0000-1C00-00000B000000}"/>
            </a:ext>
          </a:extLst>
        </xdr:cNvPr>
        <xdr:cNvSpPr/>
      </xdr:nvSpPr>
      <xdr:spPr>
        <a:xfrm>
          <a:off x="6953651" y="1001632"/>
          <a:ext cx="1576883" cy="4010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2140C2-34EA-4B02-851D-17AF269ABF72}"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315310</xdr:colOff>
      <xdr:row>4</xdr:row>
      <xdr:rowOff>199527</xdr:rowOff>
    </xdr:from>
    <xdr:to>
      <xdr:col>31</xdr:col>
      <xdr:colOff>315309</xdr:colOff>
      <xdr:row>6</xdr:row>
      <xdr:rowOff>199348</xdr:rowOff>
    </xdr:to>
    <xdr:sp macro="" textlink="M4S6">
      <xdr:nvSpPr>
        <xdr:cNvPr id="12" name="SUBMENU6">
          <a:hlinkClick xmlns:r="http://schemas.openxmlformats.org/officeDocument/2006/relationships" r:id="rId12"/>
          <a:extLst>
            <a:ext uri="{FF2B5EF4-FFF2-40B4-BE49-F238E27FC236}">
              <a16:creationId xmlns:a16="http://schemas.microsoft.com/office/drawing/2014/main" id="{00000000-0008-0000-1C00-00000C000000}"/>
            </a:ext>
          </a:extLst>
        </xdr:cNvPr>
        <xdr:cNvSpPr/>
      </xdr:nvSpPr>
      <xdr:spPr>
        <a:xfrm>
          <a:off x="8526863" y="1001632"/>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A3EFE-C4AA-4458-9330-BA52F3E7F36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315309</xdr:colOff>
      <xdr:row>4</xdr:row>
      <xdr:rowOff>198347</xdr:rowOff>
    </xdr:from>
    <xdr:to>
      <xdr:col>36</xdr:col>
      <xdr:colOff>313099</xdr:colOff>
      <xdr:row>6</xdr:row>
      <xdr:rowOff>199348</xdr:rowOff>
    </xdr:to>
    <xdr:sp macro="" textlink="M4S7">
      <xdr:nvSpPr>
        <xdr:cNvPr id="17" name="SUBMENU7">
          <a:hlinkClick xmlns:r="http://schemas.openxmlformats.org/officeDocument/2006/relationships" r:id="rId13"/>
          <a:extLst>
            <a:ext uri="{FF2B5EF4-FFF2-40B4-BE49-F238E27FC236}">
              <a16:creationId xmlns:a16="http://schemas.microsoft.com/office/drawing/2014/main" id="{00000000-0008-0000-1C00-000011000000}"/>
            </a:ext>
          </a:extLst>
        </xdr:cNvPr>
        <xdr:cNvSpPr/>
      </xdr:nvSpPr>
      <xdr:spPr>
        <a:xfrm>
          <a:off x="10106006" y="1000452"/>
          <a:ext cx="1576935" cy="4020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943401-F410-4B7A-98B5-DC5C27AD1968}"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1207</xdr:rowOff>
    </xdr:to>
    <xdr:sp macro="" textlink="">
      <xdr:nvSpPr>
        <xdr:cNvPr id="20" name="BACK">
          <a:hlinkClick xmlns:r="http://schemas.openxmlformats.org/officeDocument/2006/relationships" r:id="rId9"/>
          <a:extLst>
            <a:ext uri="{FF2B5EF4-FFF2-40B4-BE49-F238E27FC236}">
              <a16:creationId xmlns:a16="http://schemas.microsoft.com/office/drawing/2014/main" id="{00000000-0008-0000-1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a:extLst>
            <a:ext uri="{FF2B5EF4-FFF2-40B4-BE49-F238E27FC236}">
              <a16:creationId xmlns:a16="http://schemas.microsoft.com/office/drawing/2014/main" id="{00000000-0008-0000-1C00-00002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C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C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9</xdr:col>
      <xdr:colOff>1</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C00-00001A000000}"/>
            </a:ext>
          </a:extLst>
        </xdr:cNvPr>
        <xdr:cNvSpPr txBox="1"/>
      </xdr:nvSpPr>
      <xdr:spPr>
        <a:xfrm>
          <a:off x="1568824"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C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1D00-000017000000}"/>
            </a:ext>
          </a:extLst>
        </xdr:cNvPr>
        <xdr:cNvSpPr/>
      </xdr:nvSpPr>
      <xdr:spPr>
        <a:xfrm>
          <a:off x="11612014" y="806824"/>
          <a:ext cx="2196352"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1D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5"/>
          <a:extLst>
            <a:ext uri="{FF2B5EF4-FFF2-40B4-BE49-F238E27FC236}">
              <a16:creationId xmlns:a16="http://schemas.microsoft.com/office/drawing/2014/main" id="{00000000-0008-0000-1D00-000005000000}"/>
            </a:ext>
          </a:extLst>
        </xdr:cNvPr>
        <xdr:cNvSpPr/>
      </xdr:nvSpPr>
      <xdr:spPr>
        <a:xfrm>
          <a:off x="4735390"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6"/>
          <a:extLst>
            <a:ext uri="{FF2B5EF4-FFF2-40B4-BE49-F238E27FC236}">
              <a16:creationId xmlns:a16="http://schemas.microsoft.com/office/drawing/2014/main" id="{00000000-0008-0000-1D00-000006000000}"/>
            </a:ext>
          </a:extLst>
        </xdr:cNvPr>
        <xdr:cNvSpPr/>
      </xdr:nvSpPr>
      <xdr:spPr>
        <a:xfrm>
          <a:off x="5995621" y="331177"/>
          <a:ext cx="1260232" cy="460131"/>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7"/>
          <a:extLst>
            <a:ext uri="{FF2B5EF4-FFF2-40B4-BE49-F238E27FC236}">
              <a16:creationId xmlns:a16="http://schemas.microsoft.com/office/drawing/2014/main" id="{00000000-0008-0000-1D00-000007000000}"/>
            </a:ext>
          </a:extLst>
        </xdr:cNvPr>
        <xdr:cNvSpPr/>
      </xdr:nvSpPr>
      <xdr:spPr>
        <a:xfrm>
          <a:off x="7270297" y="201387"/>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8533040" y="201387"/>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4" y="806825"/>
          <a:ext cx="627529" cy="605116"/>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4</xdr:row>
      <xdr:rowOff>196826</xdr:rowOff>
    </xdr:from>
    <xdr:to>
      <xdr:col>27</xdr:col>
      <xdr:colOff>9526</xdr:colOff>
      <xdr:row>6</xdr:row>
      <xdr:rowOff>196826</xdr:rowOff>
    </xdr:to>
    <xdr:sp macro="" textlink="M4S5">
      <xdr:nvSpPr>
        <xdr:cNvPr id="11" name="SUBMENU5">
          <a:hlinkClick xmlns:r="http://schemas.openxmlformats.org/officeDocument/2006/relationships" r:id="rId2"/>
          <a:extLst>
            <a:ext uri="{FF2B5EF4-FFF2-40B4-BE49-F238E27FC236}">
              <a16:creationId xmlns:a16="http://schemas.microsoft.com/office/drawing/2014/main" id="{00000000-0008-0000-1D00-00000B000000}"/>
            </a:ext>
          </a:extLst>
        </xdr:cNvPr>
        <xdr:cNvSpPr/>
      </xdr:nvSpPr>
      <xdr:spPr>
        <a:xfrm>
          <a:off x="6943058" y="988134"/>
          <a:ext cx="1573026" cy="39565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D00-00000C000000}"/>
            </a:ext>
          </a:extLst>
        </xdr:cNvPr>
        <xdr:cNvSpPr/>
      </xdr:nvSpPr>
      <xdr:spPr>
        <a:xfrm>
          <a:off x="8516084" y="989135"/>
          <a:ext cx="1575287" cy="39277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7" name="SUBMENU7">
          <a:hlinkClick xmlns:r="http://schemas.openxmlformats.org/officeDocument/2006/relationships" r:id="rId10"/>
          <a:extLst>
            <a:ext uri="{FF2B5EF4-FFF2-40B4-BE49-F238E27FC236}">
              <a16:creationId xmlns:a16="http://schemas.microsoft.com/office/drawing/2014/main" id="{00000000-0008-0000-1D00-000011000000}"/>
            </a:ext>
          </a:extLst>
        </xdr:cNvPr>
        <xdr:cNvSpPr/>
      </xdr:nvSpPr>
      <xdr:spPr>
        <a:xfrm>
          <a:off x="10091371" y="985255"/>
          <a:ext cx="1575143" cy="396655"/>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3" name="SUBMENU1">
          <a:hlinkClick xmlns:r="http://schemas.openxmlformats.org/officeDocument/2006/relationships" r:id="rId6"/>
          <a:extLst>
            <a:ext uri="{FF2B5EF4-FFF2-40B4-BE49-F238E27FC236}">
              <a16:creationId xmlns:a16="http://schemas.microsoft.com/office/drawing/2014/main" id="{00000000-0008-0000-1D00-00000D000000}"/>
            </a:ext>
          </a:extLst>
        </xdr:cNvPr>
        <xdr:cNvSpPr/>
      </xdr:nvSpPr>
      <xdr:spPr>
        <a:xfrm>
          <a:off x="632835" y="988134"/>
          <a:ext cx="1575287"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4" name="SUBMENU2">
          <a:hlinkClick xmlns:r="http://schemas.openxmlformats.org/officeDocument/2006/relationships" r:id="rId11"/>
          <a:extLst>
            <a:ext uri="{FF2B5EF4-FFF2-40B4-BE49-F238E27FC236}">
              <a16:creationId xmlns:a16="http://schemas.microsoft.com/office/drawing/2014/main" id="{00000000-0008-0000-1D00-00000E000000}"/>
            </a:ext>
          </a:extLst>
        </xdr:cNvPr>
        <xdr:cNvSpPr/>
      </xdr:nvSpPr>
      <xdr:spPr>
        <a:xfrm>
          <a:off x="2208122" y="988134"/>
          <a:ext cx="1575289"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5" name="SUBMENU3">
          <a:hlinkClick xmlns:r="http://schemas.openxmlformats.org/officeDocument/2006/relationships" r:id="rId12"/>
          <a:extLst>
            <a:ext uri="{FF2B5EF4-FFF2-40B4-BE49-F238E27FC236}">
              <a16:creationId xmlns:a16="http://schemas.microsoft.com/office/drawing/2014/main" id="{00000000-0008-0000-1D00-00000F000000}"/>
            </a:ext>
          </a:extLst>
        </xdr:cNvPr>
        <xdr:cNvSpPr/>
      </xdr:nvSpPr>
      <xdr:spPr>
        <a:xfrm>
          <a:off x="3780550" y="988134"/>
          <a:ext cx="1575285" cy="39665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52480</xdr:rowOff>
    </xdr:from>
    <xdr:to>
      <xdr:col>22</xdr:col>
      <xdr:colOff>4160</xdr:colOff>
      <xdr:row>7</xdr:row>
      <xdr:rowOff>102971</xdr:rowOff>
    </xdr:to>
    <xdr:sp macro="" textlink="M4S4">
      <xdr:nvSpPr>
        <xdr:cNvPr id="16" name="SUBMENU4">
          <a:hlinkClick xmlns:r="http://schemas.openxmlformats.org/officeDocument/2006/relationships" r:id="rId13"/>
          <a:extLst>
            <a:ext uri="{FF2B5EF4-FFF2-40B4-BE49-F238E27FC236}">
              <a16:creationId xmlns:a16="http://schemas.microsoft.com/office/drawing/2014/main" id="{00000000-0008-0000-1D00-000010000000}"/>
            </a:ext>
          </a:extLst>
        </xdr:cNvPr>
        <xdr:cNvSpPr/>
      </xdr:nvSpPr>
      <xdr:spPr>
        <a:xfrm>
          <a:off x="5350565" y="1046393"/>
          <a:ext cx="1577856"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a:extLst>
            <a:ext uri="{FF2B5EF4-FFF2-40B4-BE49-F238E27FC236}">
              <a16:creationId xmlns:a16="http://schemas.microsoft.com/office/drawing/2014/main" id="{00000000-0008-0000-1D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D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D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0</xdr:colOff>
      <xdr:row>9</xdr:row>
      <xdr:rowOff>201704</xdr:rowOff>
    </xdr:from>
    <xdr:to>
      <xdr:col>8</xdr:col>
      <xdr:colOff>302559</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D00-00001A000000}"/>
            </a:ext>
          </a:extLst>
        </xdr:cNvPr>
        <xdr:cNvSpPr txBox="1"/>
      </xdr:nvSpPr>
      <xdr:spPr>
        <a:xfrm>
          <a:off x="1568824" y="2017057"/>
          <a:ext cx="1243853"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D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8" name="TOPRIBBON">
          <a:extLst>
            <a:ext uri="{FF2B5EF4-FFF2-40B4-BE49-F238E27FC236}">
              <a16:creationId xmlns:a16="http://schemas.microsoft.com/office/drawing/2014/main" id="{00000000-0008-0000-1E00-000012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3" name="NEXT">
          <a:hlinkClick xmlns:r="http://schemas.openxmlformats.org/officeDocument/2006/relationships" r:id="rId2"/>
          <a:extLst>
            <a:ext uri="{FF2B5EF4-FFF2-40B4-BE49-F238E27FC236}">
              <a16:creationId xmlns:a16="http://schemas.microsoft.com/office/drawing/2014/main" id="{00000000-0008-0000-1E00-000003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4" name="MENU1">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5" name="MENU2">
          <a:hlinkClick xmlns:r="http://schemas.openxmlformats.org/officeDocument/2006/relationships" r:id="rId4"/>
          <a:extLst>
            <a:ext uri="{FF2B5EF4-FFF2-40B4-BE49-F238E27FC236}">
              <a16:creationId xmlns:a16="http://schemas.microsoft.com/office/drawing/2014/main" id="{00000000-0008-0000-1E00-000005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6" name="MENU3">
          <a:hlinkClick xmlns:r="http://schemas.openxmlformats.org/officeDocument/2006/relationships" r:id="rId5"/>
          <a:extLst>
            <a:ext uri="{FF2B5EF4-FFF2-40B4-BE49-F238E27FC236}">
              <a16:creationId xmlns:a16="http://schemas.microsoft.com/office/drawing/2014/main" id="{00000000-0008-0000-1E00-000006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7" name="MENU4">
          <a:hlinkClick xmlns:r="http://schemas.openxmlformats.org/officeDocument/2006/relationships" r:id="rId6"/>
          <a:extLst>
            <a:ext uri="{FF2B5EF4-FFF2-40B4-BE49-F238E27FC236}">
              <a16:creationId xmlns:a16="http://schemas.microsoft.com/office/drawing/2014/main" id="{00000000-0008-0000-1E00-000007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8" name="MENU5">
          <a:hlinkClick xmlns:r="http://schemas.openxmlformats.org/officeDocument/2006/relationships" r:id="rId7"/>
          <a:extLst>
            <a:ext uri="{FF2B5EF4-FFF2-40B4-BE49-F238E27FC236}">
              <a16:creationId xmlns:a16="http://schemas.microsoft.com/office/drawing/2014/main" id="{00000000-0008-0000-1E00-000008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9" name="MENU6">
          <a:hlinkClick xmlns:r="http://schemas.openxmlformats.org/officeDocument/2006/relationships" r:id="rId8"/>
          <a:extLst>
            <a:ext uri="{FF2B5EF4-FFF2-40B4-BE49-F238E27FC236}">
              <a16:creationId xmlns:a16="http://schemas.microsoft.com/office/drawing/2014/main" id="{00000000-0008-0000-1E00-000009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E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1" name="TOPRIBBON">
          <a:extLst>
            <a:ext uri="{FF2B5EF4-FFF2-40B4-BE49-F238E27FC236}">
              <a16:creationId xmlns:a16="http://schemas.microsoft.com/office/drawing/2014/main" id="{00000000-0008-0000-1E00-00000B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22</xdr:col>
      <xdr:colOff>11789</xdr:colOff>
      <xdr:row>5</xdr:row>
      <xdr:rowOff>52478</xdr:rowOff>
    </xdr:from>
    <xdr:to>
      <xdr:col>27</xdr:col>
      <xdr:colOff>9526</xdr:colOff>
      <xdr:row>7</xdr:row>
      <xdr:rowOff>102969</xdr:rowOff>
    </xdr:to>
    <xdr:sp macro="" textlink="M4S5">
      <xdr:nvSpPr>
        <xdr:cNvPr id="12" name="SUBMENU5">
          <a:hlinkClick xmlns:r="http://schemas.openxmlformats.org/officeDocument/2006/relationships" r:id="rId9"/>
          <a:extLst>
            <a:ext uri="{FF2B5EF4-FFF2-40B4-BE49-F238E27FC236}">
              <a16:creationId xmlns:a16="http://schemas.microsoft.com/office/drawing/2014/main" id="{00000000-0008-0000-1E00-00000C000000}"/>
            </a:ext>
          </a:extLst>
        </xdr:cNvPr>
        <xdr:cNvSpPr/>
      </xdr:nvSpPr>
      <xdr:spPr>
        <a:xfrm>
          <a:off x="6936050" y="1046391"/>
          <a:ext cx="1571433"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0</xdr:rowOff>
    </xdr:from>
    <xdr:to>
      <xdr:col>32</xdr:col>
      <xdr:colOff>9525</xdr:colOff>
      <xdr:row>6</xdr:row>
      <xdr:rowOff>194948</xdr:rowOff>
    </xdr:to>
    <xdr:sp macro="" textlink="M4S6">
      <xdr:nvSpPr>
        <xdr:cNvPr id="13" name="SUBMENU6">
          <a:hlinkClick xmlns:r="http://schemas.openxmlformats.org/officeDocument/2006/relationships" r:id="rId2"/>
          <a:extLst>
            <a:ext uri="{FF2B5EF4-FFF2-40B4-BE49-F238E27FC236}">
              <a16:creationId xmlns:a16="http://schemas.microsoft.com/office/drawing/2014/main" id="{00000000-0008-0000-1E00-00000D000000}"/>
            </a:ext>
          </a:extLst>
        </xdr:cNvPr>
        <xdr:cNvSpPr/>
      </xdr:nvSpPr>
      <xdr:spPr>
        <a:xfrm>
          <a:off x="8496301" y="1000125"/>
          <a:ext cx="1571624" cy="39497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4" name="SUBMENU7">
          <a:hlinkClick xmlns:r="http://schemas.openxmlformats.org/officeDocument/2006/relationships" r:id="rId10"/>
          <a:extLst>
            <a:ext uri="{FF2B5EF4-FFF2-40B4-BE49-F238E27FC236}">
              <a16:creationId xmlns:a16="http://schemas.microsoft.com/office/drawing/2014/main" id="{00000000-0008-0000-1E00-00000E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5" name="SUBMENU1">
          <a:hlinkClick xmlns:r="http://schemas.openxmlformats.org/officeDocument/2006/relationships" r:id="rId6"/>
          <a:extLst>
            <a:ext uri="{FF2B5EF4-FFF2-40B4-BE49-F238E27FC236}">
              <a16:creationId xmlns:a16="http://schemas.microsoft.com/office/drawing/2014/main" id="{00000000-0008-0000-1E00-00000F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6" name="SUBMENU2">
          <a:hlinkClick xmlns:r="http://schemas.openxmlformats.org/officeDocument/2006/relationships" r:id="rId11"/>
          <a:extLst>
            <a:ext uri="{FF2B5EF4-FFF2-40B4-BE49-F238E27FC236}">
              <a16:creationId xmlns:a16="http://schemas.microsoft.com/office/drawing/2014/main" id="{00000000-0008-0000-1E00-000010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7" name="SUBMENU3">
          <a:hlinkClick xmlns:r="http://schemas.openxmlformats.org/officeDocument/2006/relationships" r:id="rId12"/>
          <a:extLst>
            <a:ext uri="{FF2B5EF4-FFF2-40B4-BE49-F238E27FC236}">
              <a16:creationId xmlns:a16="http://schemas.microsoft.com/office/drawing/2014/main" id="{00000000-0008-0000-1E00-000011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9" name="SUBMENU4">
          <a:hlinkClick xmlns:r="http://schemas.openxmlformats.org/officeDocument/2006/relationships" r:id="rId13"/>
          <a:extLst>
            <a:ext uri="{FF2B5EF4-FFF2-40B4-BE49-F238E27FC236}">
              <a16:creationId xmlns:a16="http://schemas.microsoft.com/office/drawing/2014/main" id="{00000000-0008-0000-1E00-000013000000}"/>
            </a:ext>
          </a:extLst>
        </xdr:cNvPr>
        <xdr:cNvSpPr/>
      </xdr:nvSpPr>
      <xdr:spPr>
        <a:xfrm>
          <a:off x="5350565" y="989077"/>
          <a:ext cx="1577856" cy="405324"/>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20" name="BORDER">
          <a:extLst>
            <a:ext uri="{FF2B5EF4-FFF2-40B4-BE49-F238E27FC236}">
              <a16:creationId xmlns:a16="http://schemas.microsoft.com/office/drawing/2014/main" id="{00000000-0008-0000-1E00-000014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1" name="BACK">
          <a:hlinkClick xmlns:r="http://schemas.openxmlformats.org/officeDocument/2006/relationships" r:id="rId13"/>
          <a:extLst>
            <a:ext uri="{FF2B5EF4-FFF2-40B4-BE49-F238E27FC236}">
              <a16:creationId xmlns:a16="http://schemas.microsoft.com/office/drawing/2014/main" id="{00000000-0008-0000-1E00-000015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2" name="BOTTOMRIBBON">
          <a:extLst>
            <a:ext uri="{FF2B5EF4-FFF2-40B4-BE49-F238E27FC236}">
              <a16:creationId xmlns:a16="http://schemas.microsoft.com/office/drawing/2014/main" id="{00000000-0008-0000-1E00-000016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23" name="LOGO" descr="Screen Clipping">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1E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1E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6" name="TextBox 25">
          <a:hlinkClick xmlns:r="http://schemas.openxmlformats.org/officeDocument/2006/relationships" r:id="rId15"/>
          <a:extLst>
            <a:ext uri="{FF2B5EF4-FFF2-40B4-BE49-F238E27FC236}">
              <a16:creationId xmlns:a16="http://schemas.microsoft.com/office/drawing/2014/main" id="{00000000-0008-0000-1E00-00001A000000}"/>
            </a:ext>
          </a:extLst>
        </xdr:cNvPr>
        <xdr:cNvSpPr txBox="1"/>
      </xdr:nvSpPr>
      <xdr:spPr>
        <a:xfrm>
          <a:off x="1568823" y="2017057"/>
          <a:ext cx="1255059" cy="605119"/>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7" name="TextBox 26">
          <a:hlinkClick xmlns:r="http://schemas.openxmlformats.org/officeDocument/2006/relationships" r:id="rId16"/>
          <a:extLst>
            <a:ext uri="{FF2B5EF4-FFF2-40B4-BE49-F238E27FC236}">
              <a16:creationId xmlns:a16="http://schemas.microsoft.com/office/drawing/2014/main" id="{00000000-0008-0000-1E00-00001B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0</xdr:rowOff>
    </xdr:from>
    <xdr:to>
      <xdr:col>44</xdr:col>
      <xdr:colOff>2719</xdr:colOff>
      <xdr:row>6</xdr:row>
      <xdr:rowOff>201705</xdr:rowOff>
    </xdr:to>
    <xdr:sp macro="" textlink="">
      <xdr:nvSpPr>
        <xdr:cNvPr id="17" name="TOPRIBBON">
          <a:extLst>
            <a:ext uri="{FF2B5EF4-FFF2-40B4-BE49-F238E27FC236}">
              <a16:creationId xmlns:a16="http://schemas.microsoft.com/office/drawing/2014/main" id="{00000000-0008-0000-1F00-000011000000}"/>
            </a:ext>
          </a:extLst>
        </xdr:cNvPr>
        <xdr:cNvSpPr/>
      </xdr:nvSpPr>
      <xdr:spPr>
        <a:xfrm>
          <a:off x="11632745" y="800100"/>
          <a:ext cx="2200274" cy="601755"/>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1F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1F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1F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1F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4</xdr:row>
      <xdr:rowOff>193947</xdr:rowOff>
    </xdr:from>
    <xdr:to>
      <xdr:col>37</xdr:col>
      <xdr:colOff>9379</xdr:colOff>
      <xdr:row>6</xdr:row>
      <xdr:rowOff>194948</xdr:rowOff>
    </xdr:to>
    <xdr:sp macro="" textlink="M4S7">
      <xdr:nvSpPr>
        <xdr:cNvPr id="13" name="SUBMENU7">
          <a:hlinkClick xmlns:r="http://schemas.openxmlformats.org/officeDocument/2006/relationships" r:id="rId8"/>
          <a:extLst>
            <a:ext uri="{FF2B5EF4-FFF2-40B4-BE49-F238E27FC236}">
              <a16:creationId xmlns:a16="http://schemas.microsoft.com/office/drawing/2014/main" id="{00000000-0008-0000-1F00-00000D000000}"/>
            </a:ext>
          </a:extLst>
        </xdr:cNvPr>
        <xdr:cNvSpPr/>
      </xdr:nvSpPr>
      <xdr:spPr>
        <a:xfrm>
          <a:off x="10067925" y="994047"/>
          <a:ext cx="1571479" cy="401051"/>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5</xdr:row>
      <xdr:rowOff>52477</xdr:rowOff>
    </xdr:from>
    <xdr:to>
      <xdr:col>32</xdr:col>
      <xdr:colOff>9525</xdr:colOff>
      <xdr:row>7</xdr:row>
      <xdr:rowOff>112058</xdr:rowOff>
    </xdr:to>
    <xdr:sp macro="" textlink="M4S6">
      <xdr:nvSpPr>
        <xdr:cNvPr id="12" name="SUBMENU6">
          <a:hlinkClick xmlns:r="http://schemas.openxmlformats.org/officeDocument/2006/relationships" r:id="rId9"/>
          <a:extLst>
            <a:ext uri="{FF2B5EF4-FFF2-40B4-BE49-F238E27FC236}">
              <a16:creationId xmlns:a16="http://schemas.microsoft.com/office/drawing/2014/main" id="{00000000-0008-0000-1F00-00000C000000}"/>
            </a:ext>
          </a:extLst>
        </xdr:cNvPr>
        <xdr:cNvSpPr/>
      </xdr:nvSpPr>
      <xdr:spPr>
        <a:xfrm>
          <a:off x="8481173" y="1061006"/>
          <a:ext cx="1568823" cy="46299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193947</xdr:rowOff>
    </xdr:from>
    <xdr:to>
      <xdr:col>27</xdr:col>
      <xdr:colOff>9526</xdr:colOff>
      <xdr:row>7</xdr:row>
      <xdr:rowOff>102969</xdr:rowOff>
    </xdr:to>
    <xdr:sp macro="" textlink="M4S5">
      <xdr:nvSpPr>
        <xdr:cNvPr id="11" name="SUBMENU5">
          <a:hlinkClick xmlns:r="http://schemas.openxmlformats.org/officeDocument/2006/relationships" r:id="rId10"/>
          <a:extLst>
            <a:ext uri="{FF2B5EF4-FFF2-40B4-BE49-F238E27FC236}">
              <a16:creationId xmlns:a16="http://schemas.microsoft.com/office/drawing/2014/main" id="{00000000-0008-0000-1F00-00000B000000}"/>
            </a:ext>
          </a:extLst>
        </xdr:cNvPr>
        <xdr:cNvSpPr/>
      </xdr:nvSpPr>
      <xdr:spPr>
        <a:xfrm>
          <a:off x="6943058" y="985255"/>
          <a:ext cx="1573026" cy="502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1F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1"/>
          <a:extLst>
            <a:ext uri="{FF2B5EF4-FFF2-40B4-BE49-F238E27FC236}">
              <a16:creationId xmlns:a16="http://schemas.microsoft.com/office/drawing/2014/main" id="{00000000-0008-0000-1F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2"/>
          <a:extLst>
            <a:ext uri="{FF2B5EF4-FFF2-40B4-BE49-F238E27FC236}">
              <a16:creationId xmlns:a16="http://schemas.microsoft.com/office/drawing/2014/main" id="{00000000-0008-0000-1F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3"/>
          <a:extLst>
            <a:ext uri="{FF2B5EF4-FFF2-40B4-BE49-F238E27FC236}">
              <a16:creationId xmlns:a16="http://schemas.microsoft.com/office/drawing/2014/main" id="{00000000-0008-0000-1F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540067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1" name="LOGO" descr="Screen Clipping">
          <a:extLst>
            <a:ext uri="{FF2B5EF4-FFF2-40B4-BE49-F238E27FC236}">
              <a16:creationId xmlns:a16="http://schemas.microsoft.com/office/drawing/2014/main" id="{00000000-0008-0000-1F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1F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1F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1F00-000018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5" name="TextBox 24">
          <a:hlinkClick xmlns:r="http://schemas.openxmlformats.org/officeDocument/2006/relationships" r:id="rId16"/>
          <a:extLst>
            <a:ext uri="{FF2B5EF4-FFF2-40B4-BE49-F238E27FC236}">
              <a16:creationId xmlns:a16="http://schemas.microsoft.com/office/drawing/2014/main" id="{00000000-0008-0000-1F00-000019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1F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311045</xdr:colOff>
      <xdr:row>9</xdr:row>
      <xdr:rowOff>0</xdr:rowOff>
    </xdr:from>
    <xdr:to>
      <xdr:col>42</xdr:col>
      <xdr:colOff>310475</xdr:colOff>
      <xdr:row>11</xdr:row>
      <xdr:rowOff>3878</xdr:rowOff>
    </xdr:to>
    <xdr:sp macro="" textlink="">
      <xdr:nvSpPr>
        <xdr:cNvPr id="26" name="NEXT">
          <a:hlinkClick xmlns:r="http://schemas.openxmlformats.org/officeDocument/2006/relationships" r:id="rId8"/>
          <a:extLst>
            <a:ext uri="{FF2B5EF4-FFF2-40B4-BE49-F238E27FC236}">
              <a16:creationId xmlns:a16="http://schemas.microsoft.com/office/drawing/2014/main" id="{00000000-0008-0000-1F00-00001A000000}"/>
            </a:ext>
          </a:extLst>
        </xdr:cNvPr>
        <xdr:cNvSpPr>
          <a:spLocks noChangeAspect="1"/>
        </xdr:cNvSpPr>
      </xdr:nvSpPr>
      <xdr:spPr>
        <a:xfrm>
          <a:off x="12861633" y="1815353"/>
          <a:ext cx="626960"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0</xdr:colOff>
      <xdr:row>9</xdr:row>
      <xdr:rowOff>160</xdr:rowOff>
    </xdr:from>
    <xdr:to>
      <xdr:col>3</xdr:col>
      <xdr:colOff>312005</xdr:colOff>
      <xdr:row>11</xdr:row>
      <xdr:rowOff>160</xdr:rowOff>
    </xdr:to>
    <xdr:sp macro="" textlink="">
      <xdr:nvSpPr>
        <xdr:cNvPr id="27" name="BACK">
          <a:hlinkClick xmlns:r="http://schemas.openxmlformats.org/officeDocument/2006/relationships" r:id="rId10"/>
          <a:extLst>
            <a:ext uri="{FF2B5EF4-FFF2-40B4-BE49-F238E27FC236}">
              <a16:creationId xmlns:a16="http://schemas.microsoft.com/office/drawing/2014/main" id="{00000000-0008-0000-1F00-00001B000000}"/>
            </a:ext>
          </a:extLst>
        </xdr:cNvPr>
        <xdr:cNvSpPr>
          <a:spLocks noChangeAspect="1"/>
        </xdr:cNvSpPr>
      </xdr:nvSpPr>
      <xdr:spPr>
        <a:xfrm>
          <a:off x="627529" y="1815513"/>
          <a:ext cx="625770"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37</xdr:col>
      <xdr:colOff>2720</xdr:colOff>
      <xdr:row>4</xdr:row>
      <xdr:rowOff>200705</xdr:rowOff>
    </xdr:from>
    <xdr:to>
      <xdr:col>42</xdr:col>
      <xdr:colOff>0</xdr:colOff>
      <xdr:row>7</xdr:row>
      <xdr:rowOff>0</xdr:rowOff>
    </xdr:to>
    <xdr:sp macro="" textlink="M3S8">
      <xdr:nvSpPr>
        <xdr:cNvPr id="2" name="SUBMENU8" hidden="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Load - LPD-Exempt Baseline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9525</xdr:colOff>
      <xdr:row>1</xdr:row>
      <xdr:rowOff>0</xdr:rowOff>
    </xdr:from>
    <xdr:to>
      <xdr:col>15</xdr:col>
      <xdr:colOff>9525</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3467100"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9525</xdr:colOff>
      <xdr:row>1</xdr:row>
      <xdr:rowOff>1</xdr:rowOff>
    </xdr:from>
    <xdr:to>
      <xdr:col>19</xdr:col>
      <xdr:colOff>9525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000-000005000000}"/>
            </a:ext>
          </a:extLst>
        </xdr:cNvPr>
        <xdr:cNvSpPr/>
      </xdr:nvSpPr>
      <xdr:spPr>
        <a:xfrm>
          <a:off x="4724400" y="200026"/>
          <a:ext cx="1257300" cy="600075"/>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9525</xdr:colOff>
      <xdr:row>1</xdr:row>
      <xdr:rowOff>133350</xdr:rowOff>
    </xdr:from>
    <xdr:to>
      <xdr:col>23</xdr:col>
      <xdr:colOff>9526</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000-000006000000}"/>
            </a:ext>
          </a:extLst>
        </xdr:cNvPr>
        <xdr:cNvSpPr/>
      </xdr:nvSpPr>
      <xdr:spPr>
        <a:xfrm>
          <a:off x="5981700" y="333375"/>
          <a:ext cx="1257301" cy="466725"/>
        </a:xfrm>
        <a:prstGeom prst="round2SameRect">
          <a:avLst/>
        </a:prstGeom>
        <a:solidFill>
          <a:srgbClr val="439639"/>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9526</xdr:colOff>
      <xdr:row>1</xdr:row>
      <xdr:rowOff>1</xdr:rowOff>
    </xdr:from>
    <xdr:to>
      <xdr:col>27</xdr:col>
      <xdr:colOff>9526</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000-000007000000}"/>
            </a:ext>
          </a:extLst>
        </xdr:cNvPr>
        <xdr:cNvSpPr/>
      </xdr:nvSpPr>
      <xdr:spPr>
        <a:xfrm>
          <a:off x="7239001"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1</xdr:row>
      <xdr:rowOff>1</xdr:rowOff>
    </xdr:from>
    <xdr:to>
      <xdr:col>31</xdr:col>
      <xdr:colOff>9526</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000-000008000000}"/>
            </a:ext>
          </a:extLst>
        </xdr:cNvPr>
        <xdr:cNvSpPr/>
      </xdr:nvSpPr>
      <xdr:spPr>
        <a:xfrm>
          <a:off x="8496301" y="200026"/>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B4E5904-953A-4B5B-BA49-AF0F5430034A}"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4" y="800101"/>
          <a:ext cx="628650"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9380</xdr:colOff>
      <xdr:row>4</xdr:row>
      <xdr:rowOff>0</xdr:rowOff>
    </xdr:from>
    <xdr:to>
      <xdr:col>44</xdr:col>
      <xdr:colOff>2720</xdr:colOff>
      <xdr:row>7</xdr:row>
      <xdr:rowOff>4636</xdr:rowOff>
    </xdr:to>
    <xdr:sp macro="" textlink="">
      <xdr:nvSpPr>
        <xdr:cNvPr id="17" name="TOPRIBBON">
          <a:extLst>
            <a:ext uri="{FF2B5EF4-FFF2-40B4-BE49-F238E27FC236}">
              <a16:creationId xmlns:a16="http://schemas.microsoft.com/office/drawing/2014/main" id="{00000000-0008-0000-2000-000011000000}"/>
            </a:ext>
          </a:extLst>
        </xdr:cNvPr>
        <xdr:cNvSpPr/>
      </xdr:nvSpPr>
      <xdr:spPr>
        <a:xfrm>
          <a:off x="11675863" y="788276"/>
          <a:ext cx="2200512" cy="595843"/>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32</xdr:col>
      <xdr:colOff>9525</xdr:colOff>
      <xdr:row>5</xdr:row>
      <xdr:rowOff>52477</xdr:rowOff>
    </xdr:from>
    <xdr:to>
      <xdr:col>37</xdr:col>
      <xdr:colOff>9379</xdr:colOff>
      <xdr:row>7</xdr:row>
      <xdr:rowOff>102969</xdr:rowOff>
    </xdr:to>
    <xdr:sp macro="" textlink="M4S7">
      <xdr:nvSpPr>
        <xdr:cNvPr id="11" name="SUBMENU7">
          <a:extLst>
            <a:ext uri="{FF2B5EF4-FFF2-40B4-BE49-F238E27FC236}">
              <a16:creationId xmlns:a16="http://schemas.microsoft.com/office/drawing/2014/main" id="{00000000-0008-0000-2000-00000B000000}"/>
            </a:ext>
          </a:extLst>
        </xdr:cNvPr>
        <xdr:cNvSpPr/>
      </xdr:nvSpPr>
      <xdr:spPr>
        <a:xfrm>
          <a:off x="10099456" y="1037822"/>
          <a:ext cx="1576406" cy="444630"/>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BDF4CE-81FE-4757-A2F1-D97C18C4A7D3}" type="TxLink">
            <a:rPr lang="en-US" sz="1100" b="0" i="0" u="none" strike="noStrike">
              <a:solidFill>
                <a:schemeClr val="bg1"/>
              </a:solidFill>
              <a:latin typeface="Arial" panose="020B0604020202020204" pitchFamily="34" charset="0"/>
              <a:cs typeface="Arial" panose="020B0604020202020204" pitchFamily="34" charset="0"/>
            </a:rPr>
            <a:pPr algn="ctr"/>
            <a:t>High Volume, Low Speed Fans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9526</xdr:colOff>
      <xdr:row>4</xdr:row>
      <xdr:rowOff>193948</xdr:rowOff>
    </xdr:from>
    <xdr:to>
      <xdr:col>32</xdr:col>
      <xdr:colOff>9525</xdr:colOff>
      <xdr:row>7</xdr:row>
      <xdr:rowOff>0</xdr:rowOff>
    </xdr:to>
    <xdr:sp macro="" textlink="M4S6">
      <xdr:nvSpPr>
        <xdr:cNvPr id="12" name="SUBMENU6">
          <a:hlinkClick xmlns:r="http://schemas.openxmlformats.org/officeDocument/2006/relationships" r:id="rId8"/>
          <a:extLst>
            <a:ext uri="{FF2B5EF4-FFF2-40B4-BE49-F238E27FC236}">
              <a16:creationId xmlns:a16="http://schemas.microsoft.com/office/drawing/2014/main" id="{00000000-0008-0000-2000-00000C000000}"/>
            </a:ext>
          </a:extLst>
        </xdr:cNvPr>
        <xdr:cNvSpPr/>
      </xdr:nvSpPr>
      <xdr:spPr>
        <a:xfrm>
          <a:off x="8522905" y="982224"/>
          <a:ext cx="1576551" cy="39725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23987BE-BC3F-4B77-94F9-0F51A9102FA7}"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11789</xdr:colOff>
      <xdr:row>4</xdr:row>
      <xdr:rowOff>193948</xdr:rowOff>
    </xdr:from>
    <xdr:to>
      <xdr:col>27</xdr:col>
      <xdr:colOff>9526</xdr:colOff>
      <xdr:row>7</xdr:row>
      <xdr:rowOff>1</xdr:rowOff>
    </xdr:to>
    <xdr:sp macro="" textlink="M4S5">
      <xdr:nvSpPr>
        <xdr:cNvPr id="13" name="SUBMENU5">
          <a:hlinkClick xmlns:r="http://schemas.openxmlformats.org/officeDocument/2006/relationships" r:id="rId9"/>
          <a:extLst>
            <a:ext uri="{FF2B5EF4-FFF2-40B4-BE49-F238E27FC236}">
              <a16:creationId xmlns:a16="http://schemas.microsoft.com/office/drawing/2014/main" id="{00000000-0008-0000-2000-00000D000000}"/>
            </a:ext>
          </a:extLst>
        </xdr:cNvPr>
        <xdr:cNvSpPr/>
      </xdr:nvSpPr>
      <xdr:spPr>
        <a:xfrm>
          <a:off x="6948617" y="982224"/>
          <a:ext cx="1574288" cy="39726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590D1E6-FCFB-4A4F-80A4-C1C124967F2D}" type="TxLink">
            <a:rPr lang="en-US" sz="1100" b="0" i="0" u="none" strike="noStrike">
              <a:solidFill>
                <a:schemeClr val="bg1"/>
              </a:solidFill>
              <a:latin typeface="Arial" panose="020B0604020202020204" pitchFamily="34" charset="0"/>
              <a:cs typeface="Arial" panose="020B0604020202020204" pitchFamily="34" charset="0"/>
            </a:rPr>
            <a:pPr algn="ctr"/>
            <a:t>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4</xdr:row>
      <xdr:rowOff>196826</xdr:rowOff>
    </xdr:from>
    <xdr:to>
      <xdr:col>7</xdr:col>
      <xdr:colOff>2718</xdr:colOff>
      <xdr:row>6</xdr:row>
      <xdr:rowOff>197825</xdr:rowOff>
    </xdr:to>
    <xdr:sp macro="" textlink="M4S1">
      <xdr:nvSpPr>
        <xdr:cNvPr id="14" name="SUBMENU1">
          <a:hlinkClick xmlns:r="http://schemas.openxmlformats.org/officeDocument/2006/relationships" r:id="rId5"/>
          <a:extLst>
            <a:ext uri="{FF2B5EF4-FFF2-40B4-BE49-F238E27FC236}">
              <a16:creationId xmlns:a16="http://schemas.microsoft.com/office/drawing/2014/main" id="{00000000-0008-0000-2000-00000E000000}"/>
            </a:ext>
          </a:extLst>
        </xdr:cNvPr>
        <xdr:cNvSpPr/>
      </xdr:nvSpPr>
      <xdr:spPr>
        <a:xfrm>
          <a:off x="631370" y="996926"/>
          <a:ext cx="1571623"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AC459E1-2F43-4394-A1D2-9C82F445167E}" type="TxLink">
            <a:rPr lang="en-US" sz="1100" b="0" i="0" u="none" strike="noStrike">
              <a:solidFill>
                <a:schemeClr val="bg1"/>
              </a:solidFill>
              <a:latin typeface="Arial" panose="020B0604020202020204" pitchFamily="34" charset="0"/>
              <a:cs typeface="Arial" panose="020B0604020202020204" pitchFamily="34" charset="0"/>
            </a:rPr>
            <a:pPr algn="ctr"/>
            <a:t>HVAC Equipment and Thermostats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2718</xdr:colOff>
      <xdr:row>4</xdr:row>
      <xdr:rowOff>196826</xdr:rowOff>
    </xdr:from>
    <xdr:to>
      <xdr:col>12</xdr:col>
      <xdr:colOff>2719</xdr:colOff>
      <xdr:row>6</xdr:row>
      <xdr:rowOff>197825</xdr:rowOff>
    </xdr:to>
    <xdr:sp macro="" textlink="M4S2">
      <xdr:nvSpPr>
        <xdr:cNvPr id="15" name="SUBMENU2">
          <a:hlinkClick xmlns:r="http://schemas.openxmlformats.org/officeDocument/2006/relationships" r:id="rId10"/>
          <a:extLst>
            <a:ext uri="{FF2B5EF4-FFF2-40B4-BE49-F238E27FC236}">
              <a16:creationId xmlns:a16="http://schemas.microsoft.com/office/drawing/2014/main" id="{00000000-0008-0000-2000-00000F000000}"/>
            </a:ext>
          </a:extLst>
        </xdr:cNvPr>
        <xdr:cNvSpPr/>
      </xdr:nvSpPr>
      <xdr:spPr>
        <a:xfrm>
          <a:off x="2202993" y="996926"/>
          <a:ext cx="1571626"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14F154-D4D9-4167-BD93-D505483C7BCE}"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314915</xdr:colOff>
      <xdr:row>4</xdr:row>
      <xdr:rowOff>196826</xdr:rowOff>
    </xdr:from>
    <xdr:to>
      <xdr:col>16</xdr:col>
      <xdr:colOff>314912</xdr:colOff>
      <xdr:row>6</xdr:row>
      <xdr:rowOff>197825</xdr:rowOff>
    </xdr:to>
    <xdr:sp macro="" textlink="M4S3">
      <xdr:nvSpPr>
        <xdr:cNvPr id="16" name="SUBMENU3">
          <a:hlinkClick xmlns:r="http://schemas.openxmlformats.org/officeDocument/2006/relationships" r:id="rId11"/>
          <a:extLst>
            <a:ext uri="{FF2B5EF4-FFF2-40B4-BE49-F238E27FC236}">
              <a16:creationId xmlns:a16="http://schemas.microsoft.com/office/drawing/2014/main" id="{00000000-0008-0000-2000-000010000000}"/>
            </a:ext>
          </a:extLst>
        </xdr:cNvPr>
        <xdr:cNvSpPr/>
      </xdr:nvSpPr>
      <xdr:spPr>
        <a:xfrm>
          <a:off x="3772490" y="996926"/>
          <a:ext cx="1571622" cy="401049"/>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869488-E3AB-482C-B6FE-3E5ACA24B343}" type="TxLink">
            <a:rPr lang="en-US" sz="1100" b="0" i="0" u="none" strike="noStrike">
              <a:solidFill>
                <a:schemeClr val="bg1"/>
              </a:solidFill>
              <a:latin typeface="Arial" panose="020B0604020202020204" pitchFamily="34" charset="0"/>
              <a:cs typeface="Arial" panose="020B0604020202020204" pitchFamily="34" charset="0"/>
            </a:rPr>
            <a:pPr algn="ctr"/>
            <a:t>Commercial Cooking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4</xdr:row>
      <xdr:rowOff>193947</xdr:rowOff>
    </xdr:from>
    <xdr:to>
      <xdr:col>22</xdr:col>
      <xdr:colOff>4160</xdr:colOff>
      <xdr:row>7</xdr:row>
      <xdr:rowOff>2923</xdr:rowOff>
    </xdr:to>
    <xdr:sp macro="" textlink="M4S4">
      <xdr:nvSpPr>
        <xdr:cNvPr id="18" name="SUBMENU4">
          <a:hlinkClick xmlns:r="http://schemas.openxmlformats.org/officeDocument/2006/relationships" r:id="rId12"/>
          <a:extLst>
            <a:ext uri="{FF2B5EF4-FFF2-40B4-BE49-F238E27FC236}">
              <a16:creationId xmlns:a16="http://schemas.microsoft.com/office/drawing/2014/main" id="{00000000-0008-0000-2000-000012000000}"/>
            </a:ext>
          </a:extLst>
        </xdr:cNvPr>
        <xdr:cNvSpPr/>
      </xdr:nvSpPr>
      <xdr:spPr>
        <a:xfrm>
          <a:off x="5343525" y="994047"/>
          <a:ext cx="1575785" cy="409051"/>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95079E-D500-48A5-9158-F613134D2BBA}" type="TxLink">
            <a:rPr lang="en-US" sz="1100" b="0" i="0" u="none" strike="noStrike">
              <a:solidFill>
                <a:schemeClr val="bg1"/>
              </a:solidFill>
              <a:latin typeface="Arial" panose="020B0604020202020204" pitchFamily="34" charset="0"/>
              <a:cs typeface="Arial" panose="020B0604020202020204" pitchFamily="34" charset="0"/>
            </a:rPr>
            <a:pPr algn="ctr"/>
            <a:t>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0</xdr:colOff>
      <xdr:row>1</xdr:row>
      <xdr:rowOff>0</xdr:rowOff>
    </xdr:from>
    <xdr:to>
      <xdr:col>5</xdr:col>
      <xdr:colOff>162465</xdr:colOff>
      <xdr:row>3</xdr:row>
      <xdr:rowOff>138870</xdr:rowOff>
    </xdr:to>
    <xdr:pic>
      <xdr:nvPicPr>
        <xdr:cNvPr id="20" name="LOGO" descr="Screen Clipping">
          <a:extLst>
            <a:ext uri="{FF2B5EF4-FFF2-40B4-BE49-F238E27FC236}">
              <a16:creationId xmlns:a16="http://schemas.microsoft.com/office/drawing/2014/main" id="{00000000-0008-0000-20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8650" y="200025"/>
          <a:ext cx="1105440" cy="53892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1" name="MENU7">
          <a:extLst>
            <a:ext uri="{FF2B5EF4-FFF2-40B4-BE49-F238E27FC236}">
              <a16:creationId xmlns:a16="http://schemas.microsoft.com/office/drawing/2014/main" id="{00000000-0008-0000-2000-00001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2" name="MENU7">
          <a:extLst>
            <a:ext uri="{FF2B5EF4-FFF2-40B4-BE49-F238E27FC236}">
              <a16:creationId xmlns:a16="http://schemas.microsoft.com/office/drawing/2014/main" id="{00000000-0008-0000-2000-00001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5</xdr:col>
      <xdr:colOff>-1</xdr:colOff>
      <xdr:row>9</xdr:row>
      <xdr:rowOff>201704</xdr:rowOff>
    </xdr:from>
    <xdr:to>
      <xdr:col>9</xdr:col>
      <xdr:colOff>0</xdr:colOff>
      <xdr:row>13</xdr:row>
      <xdr:rowOff>0</xdr:rowOff>
    </xdr:to>
    <xdr:sp macro="" textlink="">
      <xdr:nvSpPr>
        <xdr:cNvPr id="23" name="TextBox 22">
          <a:hlinkClick xmlns:r="http://schemas.openxmlformats.org/officeDocument/2006/relationships" r:id="rId14"/>
          <a:extLst>
            <a:ext uri="{FF2B5EF4-FFF2-40B4-BE49-F238E27FC236}">
              <a16:creationId xmlns:a16="http://schemas.microsoft.com/office/drawing/2014/main" id="{00000000-0008-0000-2000-000017000000}"/>
            </a:ext>
          </a:extLst>
        </xdr:cNvPr>
        <xdr:cNvSpPr txBox="1"/>
      </xdr:nvSpPr>
      <xdr:spPr>
        <a:xfrm>
          <a:off x="1571624" y="2001929"/>
          <a:ext cx="1257301" cy="598396"/>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Standard</a:t>
          </a:r>
          <a:r>
            <a:rPr lang="en-US" sz="1100" b="1" baseline="0">
              <a:solidFill>
                <a:schemeClr val="bg1"/>
              </a:solidFill>
              <a:latin typeface="Arial" panose="020B0604020202020204" pitchFamily="34" charset="0"/>
              <a:cs typeface="Arial" panose="020B0604020202020204" pitchFamily="34" charset="0"/>
            </a:rPr>
            <a:t> Measure List and Incentives</a:t>
          </a:r>
        </a:p>
        <a:p>
          <a:endParaRPr lang="en-US" sz="1100"/>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4" name="TextBox 23">
          <a:hlinkClick xmlns:r="http://schemas.openxmlformats.org/officeDocument/2006/relationships" r:id="rId15"/>
          <a:extLst>
            <a:ext uri="{FF2B5EF4-FFF2-40B4-BE49-F238E27FC236}">
              <a16:creationId xmlns:a16="http://schemas.microsoft.com/office/drawing/2014/main" id="{00000000-0008-0000-2000-000018000000}"/>
            </a:ext>
          </a:extLst>
        </xdr:cNvPr>
        <xdr:cNvSpPr txBox="1"/>
      </xdr:nvSpPr>
      <xdr:spPr>
        <a:xfrm>
          <a:off x="10675284" y="1800225"/>
          <a:ext cx="1897716" cy="800102"/>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F97D707-3430-4F31-8418-7172AD7AC2F8}"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5" name="BOTTOMRIBBON">
          <a:extLst>
            <a:ext uri="{FF2B5EF4-FFF2-40B4-BE49-F238E27FC236}">
              <a16:creationId xmlns:a16="http://schemas.microsoft.com/office/drawing/2014/main" id="{00000000-0008-0000-2000-000019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absolute">
    <xdr:from>
      <xdr:col>40</xdr:col>
      <xdr:colOff>289753</xdr:colOff>
      <xdr:row>8</xdr:row>
      <xdr:rowOff>199865</xdr:rowOff>
    </xdr:from>
    <xdr:to>
      <xdr:col>43</xdr:col>
      <xdr:colOff>560</xdr:colOff>
      <xdr:row>11</xdr:row>
      <xdr:rowOff>3201</xdr:rowOff>
    </xdr:to>
    <xdr:sp macro="" textlink="">
      <xdr:nvSpPr>
        <xdr:cNvPr id="26" name="NEXT">
          <a:hlinkClick xmlns:r="http://schemas.openxmlformats.org/officeDocument/2006/relationships" r:id="rId6"/>
          <a:extLst>
            <a:ext uri="{FF2B5EF4-FFF2-40B4-BE49-F238E27FC236}">
              <a16:creationId xmlns:a16="http://schemas.microsoft.com/office/drawing/2014/main" id="{00000000-0008-0000-2000-00001A000000}"/>
            </a:ext>
          </a:extLst>
        </xdr:cNvPr>
        <xdr:cNvSpPr>
          <a:spLocks noChangeAspect="1"/>
        </xdr:cNvSpPr>
      </xdr:nvSpPr>
      <xdr:spPr>
        <a:xfrm>
          <a:off x="12862753" y="1800065"/>
          <a:ext cx="653221" cy="403411"/>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560</xdr:colOff>
      <xdr:row>9</xdr:row>
      <xdr:rowOff>0</xdr:rowOff>
    </xdr:from>
    <xdr:to>
      <xdr:col>4</xdr:col>
      <xdr:colOff>23330</xdr:colOff>
      <xdr:row>11</xdr:row>
      <xdr:rowOff>3362</xdr:rowOff>
    </xdr:to>
    <xdr:sp macro="" textlink="">
      <xdr:nvSpPr>
        <xdr:cNvPr id="27" name="BACK">
          <a:hlinkClick xmlns:r="http://schemas.openxmlformats.org/officeDocument/2006/relationships" r:id="rId8"/>
          <a:extLst>
            <a:ext uri="{FF2B5EF4-FFF2-40B4-BE49-F238E27FC236}">
              <a16:creationId xmlns:a16="http://schemas.microsoft.com/office/drawing/2014/main" id="{00000000-0008-0000-2000-00001B000000}"/>
            </a:ext>
          </a:extLst>
        </xdr:cNvPr>
        <xdr:cNvSpPr>
          <a:spLocks noChangeAspect="1"/>
        </xdr:cNvSpPr>
      </xdr:nvSpPr>
      <xdr:spPr>
        <a:xfrm>
          <a:off x="628649" y="1800225"/>
          <a:ext cx="651981" cy="403412"/>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42</xdr:col>
      <xdr:colOff>0</xdr:colOff>
      <xdr:row>4</xdr:row>
      <xdr:rowOff>1581</xdr:rowOff>
    </xdr:from>
    <xdr:to>
      <xdr:col>44</xdr:col>
      <xdr:colOff>230</xdr:colOff>
      <xdr:row>7</xdr:row>
      <xdr:rowOff>1580</xdr:rowOff>
    </xdr:to>
    <xdr:sp macro="" textlink="">
      <xdr:nvSpPr>
        <xdr:cNvPr id="23" name="TOPRIBBON">
          <a:extLst>
            <a:ext uri="{FF2B5EF4-FFF2-40B4-BE49-F238E27FC236}">
              <a16:creationId xmlns:a16="http://schemas.microsoft.com/office/drawing/2014/main" id="{00000000-0008-0000-2100-000017000000}"/>
            </a:ext>
          </a:extLst>
        </xdr:cNvPr>
        <xdr:cNvSpPr/>
      </xdr:nvSpPr>
      <xdr:spPr>
        <a:xfrm>
          <a:off x="13178118" y="808405"/>
          <a:ext cx="62775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1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100-000005000000}"/>
            </a:ext>
          </a:extLst>
        </xdr:cNvPr>
        <xdr:cNvSpPr/>
      </xdr:nvSpPr>
      <xdr:spPr>
        <a:xfrm>
          <a:off x="4706470"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0</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100-000006000000}"/>
            </a:ext>
          </a:extLst>
        </xdr:cNvPr>
        <xdr:cNvSpPr/>
      </xdr:nvSpPr>
      <xdr:spPr>
        <a:xfrm>
          <a:off x="5980044" y="198783"/>
          <a:ext cx="1258956" cy="59634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570</xdr:colOff>
      <xdr:row>1</xdr:row>
      <xdr:rowOff>133350</xdr:rowOff>
    </xdr:from>
    <xdr:to>
      <xdr:col>27</xdr:col>
      <xdr:colOff>0</xdr:colOff>
      <xdr:row>4</xdr:row>
      <xdr:rowOff>1581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100-000007000000}"/>
            </a:ext>
          </a:extLst>
        </xdr:cNvPr>
        <xdr:cNvSpPr/>
      </xdr:nvSpPr>
      <xdr:spPr>
        <a:xfrm>
          <a:off x="7239570" y="332133"/>
          <a:ext cx="1258387" cy="46457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2548</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100-000008000000}"/>
            </a:ext>
          </a:extLst>
        </xdr:cNvPr>
        <xdr:cNvSpPr/>
      </xdr:nvSpPr>
      <xdr:spPr>
        <a:xfrm>
          <a:off x="8515928" y="197069"/>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923E836-001E-417B-9D9B-C6E7D257BC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2719</xdr:colOff>
      <xdr:row>4</xdr:row>
      <xdr:rowOff>1581</xdr:rowOff>
    </xdr:from>
    <xdr:to>
      <xdr:col>2</xdr:col>
      <xdr:colOff>313764</xdr:colOff>
      <xdr:row>7</xdr:row>
      <xdr:rowOff>1580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6484" y="808405"/>
          <a:ext cx="62480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8"/>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100-00001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1</xdr:col>
      <xdr:colOff>300482</xdr:colOff>
      <xdr:row>5</xdr:row>
      <xdr:rowOff>50800</xdr:rowOff>
    </xdr:from>
    <xdr:to>
      <xdr:col>6</xdr:col>
      <xdr:colOff>297931</xdr:colOff>
      <xdr:row>7</xdr:row>
      <xdr:rowOff>97804</xdr:rowOff>
    </xdr:to>
    <xdr:sp macro="" textlink="M5S1">
      <xdr:nvSpPr>
        <xdr:cNvPr id="12" name="SUBMENU1">
          <a:hlinkClick xmlns:r="http://schemas.openxmlformats.org/officeDocument/2006/relationships" r:id="rId6"/>
          <a:extLst>
            <a:ext uri="{FF2B5EF4-FFF2-40B4-BE49-F238E27FC236}">
              <a16:creationId xmlns:a16="http://schemas.microsoft.com/office/drawing/2014/main" id="{00000000-0008-0000-2100-00000C000000}"/>
            </a:ext>
          </a:extLst>
        </xdr:cNvPr>
        <xdr:cNvSpPr/>
      </xdr:nvSpPr>
      <xdr:spPr>
        <a:xfrm>
          <a:off x="616311" y="1053432"/>
          <a:ext cx="1576594" cy="448056"/>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197614-953E-42D7-A07B-409C8B85C228}"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297931</xdr:colOff>
      <xdr:row>5</xdr:row>
      <xdr:rowOff>0</xdr:rowOff>
    </xdr:from>
    <xdr:to>
      <xdr:col>11</xdr:col>
      <xdr:colOff>295668</xdr:colOff>
      <xdr:row>7</xdr:row>
      <xdr:rowOff>0</xdr:rowOff>
    </xdr:to>
    <xdr:sp macro="" textlink="M5S2">
      <xdr:nvSpPr>
        <xdr:cNvPr id="11" name="SUBMENU2">
          <a:hlinkClick xmlns:r="http://schemas.openxmlformats.org/officeDocument/2006/relationships" r:id="rId1"/>
          <a:extLst>
            <a:ext uri="{FF2B5EF4-FFF2-40B4-BE49-F238E27FC236}">
              <a16:creationId xmlns:a16="http://schemas.microsoft.com/office/drawing/2014/main" id="{00000000-0008-0000-2100-00000B000000}"/>
            </a:ext>
          </a:extLst>
        </xdr:cNvPr>
        <xdr:cNvSpPr/>
      </xdr:nvSpPr>
      <xdr:spPr>
        <a:xfrm>
          <a:off x="2192905" y="1002632"/>
          <a:ext cx="1576881" cy="40105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8C05811-EE78-43FE-A7E2-F6836FDCD895}"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295668</xdr:colOff>
      <xdr:row>5</xdr:row>
      <xdr:rowOff>0</xdr:rowOff>
    </xdr:from>
    <xdr:to>
      <xdr:col>16</xdr:col>
      <xdr:colOff>295667</xdr:colOff>
      <xdr:row>6</xdr:row>
      <xdr:rowOff>200348</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69786" y="1002632"/>
          <a:ext cx="1579144"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A2EBAD0-AB06-4C8B-8EDA-8832006E7ED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16</xdr:col>
      <xdr:colOff>295667</xdr:colOff>
      <xdr:row>5</xdr:row>
      <xdr:rowOff>0</xdr:rowOff>
    </xdr:from>
    <xdr:to>
      <xdr:col>21</xdr:col>
      <xdr:colOff>295667</xdr:colOff>
      <xdr:row>6</xdr:row>
      <xdr:rowOff>199846</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100-00000E000000}"/>
            </a:ext>
          </a:extLst>
        </xdr:cNvPr>
        <xdr:cNvSpPr/>
      </xdr:nvSpPr>
      <xdr:spPr>
        <a:xfrm>
          <a:off x="5348930" y="1002632"/>
          <a:ext cx="1579145" cy="40037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7A77C24-CA6C-4BA3-806F-420297B9DEB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21</xdr:col>
      <xdr:colOff>295667</xdr:colOff>
      <xdr:row>5</xdr:row>
      <xdr:rowOff>178</xdr:rowOff>
    </xdr:from>
    <xdr:to>
      <xdr:col>26</xdr:col>
      <xdr:colOff>295665</xdr:colOff>
      <xdr:row>7</xdr:row>
      <xdr:rowOff>0</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100-00000F000000}"/>
            </a:ext>
          </a:extLst>
        </xdr:cNvPr>
        <xdr:cNvSpPr/>
      </xdr:nvSpPr>
      <xdr:spPr>
        <a:xfrm>
          <a:off x="6928075" y="1002810"/>
          <a:ext cx="1579143"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263EE76-8034-46AA-9AEA-A31F7870F38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26</xdr:col>
      <xdr:colOff>295665</xdr:colOff>
      <xdr:row>4</xdr:row>
      <xdr:rowOff>200025</xdr:rowOff>
    </xdr:from>
    <xdr:to>
      <xdr:col>31</xdr:col>
      <xdr:colOff>298530</xdr:colOff>
      <xdr:row>6</xdr:row>
      <xdr:rowOff>199846</xdr:rowOff>
    </xdr:to>
    <xdr:sp macro="" textlink="M5S6">
      <xdr:nvSpPr>
        <xdr:cNvPr id="16" name="SUBMENU6">
          <a:hlinkClick xmlns:r="http://schemas.openxmlformats.org/officeDocument/2006/relationships" r:id="rId13"/>
          <a:extLst>
            <a:ext uri="{FF2B5EF4-FFF2-40B4-BE49-F238E27FC236}">
              <a16:creationId xmlns:a16="http://schemas.microsoft.com/office/drawing/2014/main" id="{00000000-0008-0000-2100-000010000000}"/>
            </a:ext>
          </a:extLst>
        </xdr:cNvPr>
        <xdr:cNvSpPr/>
      </xdr:nvSpPr>
      <xdr:spPr>
        <a:xfrm>
          <a:off x="8507218" y="1002130"/>
          <a:ext cx="1582009"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AF26C1F-9040-4BD4-B66F-43C35CABFAF0}"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31</xdr:col>
      <xdr:colOff>298530</xdr:colOff>
      <xdr:row>5</xdr:row>
      <xdr:rowOff>178</xdr:rowOff>
    </xdr:from>
    <xdr:to>
      <xdr:col>36</xdr:col>
      <xdr:colOff>298385</xdr:colOff>
      <xdr:row>7</xdr:row>
      <xdr:rowOff>0</xdr:rowOff>
    </xdr:to>
    <xdr:sp macro="" textlink="M5S7">
      <xdr:nvSpPr>
        <xdr:cNvPr id="17" name="SUBMENU7">
          <a:hlinkClick xmlns:r="http://schemas.openxmlformats.org/officeDocument/2006/relationships" r:id="rId14"/>
          <a:extLst>
            <a:ext uri="{FF2B5EF4-FFF2-40B4-BE49-F238E27FC236}">
              <a16:creationId xmlns:a16="http://schemas.microsoft.com/office/drawing/2014/main" id="{00000000-0008-0000-2100-000011000000}"/>
            </a:ext>
          </a:extLst>
        </xdr:cNvPr>
        <xdr:cNvSpPr/>
      </xdr:nvSpPr>
      <xdr:spPr>
        <a:xfrm>
          <a:off x="10089227" y="1002810"/>
          <a:ext cx="1579000" cy="400874"/>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B013B8D-FC63-4A7F-95B3-AD87F3ED42A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B57C49F-D182-4BE1-907A-5AEEC84AB176}"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1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44823</xdr:colOff>
      <xdr:row>1</xdr:row>
      <xdr:rowOff>11206</xdr:rowOff>
    </xdr:from>
    <xdr:to>
      <xdr:col>43</xdr:col>
      <xdr:colOff>44823</xdr:colOff>
      <xdr:row>4</xdr:row>
      <xdr:rowOff>11206</xdr:rowOff>
    </xdr:to>
    <xdr:sp macro="" textlink="MAIN7">
      <xdr:nvSpPr>
        <xdr:cNvPr id="25" name="MENU7">
          <a:extLst>
            <a:ext uri="{FF2B5EF4-FFF2-40B4-BE49-F238E27FC236}">
              <a16:creationId xmlns:a16="http://schemas.microsoft.com/office/drawing/2014/main" id="{00000000-0008-0000-2100-000019000000}"/>
            </a:ext>
          </a:extLst>
        </xdr:cNvPr>
        <xdr:cNvSpPr/>
      </xdr:nvSpPr>
      <xdr:spPr>
        <a:xfrm>
          <a:off x="11967882" y="212912"/>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100-00001A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2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207629" y="197069"/>
          <a:ext cx="1260785"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10</xdr:col>
      <xdr:colOff>315310</xdr:colOff>
      <xdr:row>1</xdr:row>
      <xdr:rowOff>1</xdr:rowOff>
    </xdr:from>
    <xdr:to>
      <xdr:col>15</xdr:col>
      <xdr:colOff>0</xdr:colOff>
      <xdr:row>4</xdr:row>
      <xdr:rowOff>1</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3468413" y="197070"/>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2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315310</xdr:colOff>
      <xdr:row>1</xdr:row>
      <xdr:rowOff>2</xdr:rowOff>
    </xdr:from>
    <xdr:to>
      <xdr:col>22</xdr:col>
      <xdr:colOff>315309</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200-000006000000}"/>
            </a:ext>
          </a:extLst>
        </xdr:cNvPr>
        <xdr:cNvSpPr/>
      </xdr:nvSpPr>
      <xdr:spPr>
        <a:xfrm>
          <a:off x="5990896" y="197071"/>
          <a:ext cx="1261241"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315309</xdr:colOff>
      <xdr:row>1</xdr:row>
      <xdr:rowOff>133350</xdr:rowOff>
    </xdr:from>
    <xdr:to>
      <xdr:col>27</xdr:col>
      <xdr:colOff>0</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200-000007000000}"/>
            </a:ext>
          </a:extLst>
        </xdr:cNvPr>
        <xdr:cNvSpPr/>
      </xdr:nvSpPr>
      <xdr:spPr>
        <a:xfrm>
          <a:off x="7252137" y="330419"/>
          <a:ext cx="1261242" cy="457858"/>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9118</xdr:colOff>
      <xdr:row>1</xdr:row>
      <xdr:rowOff>1</xdr:rowOff>
    </xdr:from>
    <xdr:to>
      <xdr:col>31</xdr:col>
      <xdr:colOff>9117</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200-000008000000}"/>
            </a:ext>
          </a:extLst>
        </xdr:cNvPr>
        <xdr:cNvSpPr/>
      </xdr:nvSpPr>
      <xdr:spPr>
        <a:xfrm>
          <a:off x="8522497"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C8616E-8DFC-4A70-A748-86D0554E79A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200-00000B000000}"/>
            </a:ext>
          </a:extLst>
        </xdr:cNvPr>
        <xdr:cNvSpPr/>
      </xdr:nvSpPr>
      <xdr:spPr>
        <a:xfrm>
          <a:off x="632198" y="993913"/>
          <a:ext cx="1571433" cy="39661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2DDE005-2CCA-4CD0-8B02-DE8DA5B98729}"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83230</xdr:rowOff>
    </xdr:from>
    <xdr:to>
      <xdr:col>12</xdr:col>
      <xdr:colOff>2550</xdr:colOff>
      <xdr:row>7</xdr:row>
      <xdr:rowOff>137148</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200-00000C000000}"/>
            </a:ext>
          </a:extLst>
        </xdr:cNvPr>
        <xdr:cNvSpPr/>
      </xdr:nvSpPr>
      <xdr:spPr>
        <a:xfrm>
          <a:off x="2209723" y="1068575"/>
          <a:ext cx="1576551"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D259E19-3CD9-466F-81B2-4D9EBCE49B27}"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3636</xdr:rowOff>
    </xdr:from>
    <xdr:to>
      <xdr:col>17</xdr:col>
      <xdr:colOff>2550</xdr:colOff>
      <xdr:row>7</xdr:row>
      <xdr:rowOff>2690</xdr:rowOff>
    </xdr:to>
    <xdr:sp macro="" textlink="M5S3">
      <xdr:nvSpPr>
        <xdr:cNvPr id="13" name="SUBMENU3">
          <a:hlinkClick xmlns:r="http://schemas.openxmlformats.org/officeDocument/2006/relationships" r:id="rId1"/>
          <a:extLst>
            <a:ext uri="{FF2B5EF4-FFF2-40B4-BE49-F238E27FC236}">
              <a16:creationId xmlns:a16="http://schemas.microsoft.com/office/drawing/2014/main" id="{00000000-0008-0000-2200-00000D000000}"/>
            </a:ext>
          </a:extLst>
        </xdr:cNvPr>
        <xdr:cNvSpPr/>
      </xdr:nvSpPr>
      <xdr:spPr>
        <a:xfrm>
          <a:off x="3786275" y="988981"/>
          <a:ext cx="1576551"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E3ACA56-8F93-46E6-801B-953A73F725E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A9FFD2-F757-477D-BFBD-ED1F2B1A5B6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3636</xdr:rowOff>
    </xdr:from>
    <xdr:to>
      <xdr:col>27</xdr:col>
      <xdr:colOff>2549</xdr:colOff>
      <xdr:row>7</xdr:row>
      <xdr:rowOff>0</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200-00000F000000}"/>
            </a:ext>
          </a:extLst>
        </xdr:cNvPr>
        <xdr:cNvSpPr/>
      </xdr:nvSpPr>
      <xdr:spPr>
        <a:xfrm>
          <a:off x="6939379" y="988981"/>
          <a:ext cx="1576549" cy="39050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DF56B60-3DE1-4C29-86AB-ABDE0CB80A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4284D49-3097-4736-AA84-A1E8678A2CF3}"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AA617B7-9A5F-4FCB-91F8-696862D2372E}"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7C271A-B67B-4D75-BA8B-9F6B8C48430B}"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0</xdr:colOff>
      <xdr:row>8</xdr:row>
      <xdr:rowOff>0</xdr:rowOff>
    </xdr:from>
    <xdr:to>
      <xdr:col>43</xdr:col>
      <xdr:colOff>313207</xdr:colOff>
      <xdr:row>35</xdr:row>
      <xdr:rowOff>1682</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3765" y="1613647"/>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22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22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a:extLst>
            <a:ext uri="{FF2B5EF4-FFF2-40B4-BE49-F238E27FC236}">
              <a16:creationId xmlns:a16="http://schemas.microsoft.com/office/drawing/2014/main" id="{00000000-0008-0000-2200-00001A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201704</xdr:rowOff>
    </xdr:from>
    <xdr:to>
      <xdr:col>40</xdr:col>
      <xdr:colOff>0</xdr:colOff>
      <xdr:row>13</xdr:row>
      <xdr:rowOff>0</xdr:rowOff>
    </xdr:to>
    <xdr:sp macro="" textlink="$AU$12">
      <xdr:nvSpPr>
        <xdr:cNvPr id="27" name="TextBox 26">
          <a:hlinkClick xmlns:r="http://schemas.openxmlformats.org/officeDocument/2006/relationships" r:id="rId15"/>
          <a:extLst>
            <a:ext uri="{FF2B5EF4-FFF2-40B4-BE49-F238E27FC236}">
              <a16:creationId xmlns:a16="http://schemas.microsoft.com/office/drawing/2014/main" id="{00000000-0008-0000-2200-00001B000000}"/>
            </a:ext>
          </a:extLst>
        </xdr:cNvPr>
        <xdr:cNvSpPr txBox="1"/>
      </xdr:nvSpPr>
      <xdr:spPr>
        <a:xfrm>
          <a:off x="10656794" y="1815351"/>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3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3465635"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1</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300-000005000000}"/>
            </a:ext>
          </a:extLst>
        </xdr:cNvPr>
        <xdr:cNvSpPr/>
      </xdr:nvSpPr>
      <xdr:spPr>
        <a:xfrm>
          <a:off x="472586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xdr:colOff>
      <xdr:row>1</xdr:row>
      <xdr:rowOff>0</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300-000006000000}"/>
            </a:ext>
          </a:extLst>
        </xdr:cNvPr>
        <xdr:cNvSpPr/>
      </xdr:nvSpPr>
      <xdr:spPr>
        <a:xfrm>
          <a:off x="5994798" y="202406"/>
          <a:ext cx="1262062" cy="607219"/>
        </a:xfrm>
        <a:prstGeom prst="round2SameRect">
          <a:avLst/>
        </a:prstGeom>
        <a:solidFill>
          <a:srgbClr val="C61D10"/>
        </a:solidFill>
        <a:ln w="12700">
          <a:solidFill>
            <a:srgbClr val="7F7F7F"/>
          </a:solidFill>
        </a:ln>
        <a:effectLst>
          <a:outerShdw blurRad="254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300-000007000000}"/>
            </a:ext>
          </a:extLst>
        </xdr:cNvPr>
        <xdr:cNvSpPr/>
      </xdr:nvSpPr>
      <xdr:spPr>
        <a:xfrm>
          <a:off x="7259409" y="335756"/>
          <a:ext cx="1262062" cy="47386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3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DCF050D-EB68-4B11-AF10-7B336B3C4CEB}"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2EAE0C-D1C7-45CE-8894-A05EC1EDD085}"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EC79F69-9EAB-40D1-AE9D-B4AD08A2D1E0}"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C21A485-433A-4678-B0FA-F45B75A058D2}"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83229</xdr:rowOff>
    </xdr:from>
    <xdr:to>
      <xdr:col>22</xdr:col>
      <xdr:colOff>2550</xdr:colOff>
      <xdr:row>6</xdr:row>
      <xdr:rowOff>202405</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300-00000E000000}"/>
            </a:ext>
          </a:extLst>
        </xdr:cNvPr>
        <xdr:cNvSpPr/>
      </xdr:nvSpPr>
      <xdr:spPr>
        <a:xfrm>
          <a:off x="5366317" y="1095260"/>
          <a:ext cx="1577577" cy="321583"/>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AAECD5-9FC5-4C0E-8758-A7CBCC5A1F7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0</xdr:rowOff>
    </xdr:from>
    <xdr:to>
      <xdr:col>27</xdr:col>
      <xdr:colOff>2549</xdr:colOff>
      <xdr:row>6</xdr:row>
      <xdr:rowOff>195365</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33820" y="989135"/>
          <a:ext cx="157528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549F35D-A1C4-4722-9613-CF2442FFD3F0}"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3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E9A8B4E-5157-457F-B729-D1B76C9F4F12}"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CFA453B-62F7-4B23-9394-CB7EEE766AF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1856F65-2107-4E93-8F18-152D6B53BF2E}"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0"/>
          <a:extLst>
            <a:ext uri="{FF2B5EF4-FFF2-40B4-BE49-F238E27FC236}">
              <a16:creationId xmlns:a16="http://schemas.microsoft.com/office/drawing/2014/main" id="{00000000-0008-0000-23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3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3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3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3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9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9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9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9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900-000003000000}"/>
            </a:ext>
          </a:extLst>
        </xdr:cNvPr>
        <xdr:cNvSpPr/>
      </xdr:nvSpPr>
      <xdr:spPr>
        <a:xfrm>
          <a:off x="2199361" y="335057"/>
          <a:ext cx="1252051" cy="605118"/>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900-000004000000}"/>
            </a:ext>
          </a:extLst>
        </xdr:cNvPr>
        <xdr:cNvSpPr/>
      </xdr:nvSpPr>
      <xdr:spPr>
        <a:xfrm>
          <a:off x="3475095" y="201386"/>
          <a:ext cx="1260191"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315346</xdr:colOff>
      <xdr:row>1</xdr:row>
      <xdr:rowOff>0</xdr:rowOff>
    </xdr:from>
    <xdr:to>
      <xdr:col>19</xdr:col>
      <xdr:colOff>0</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900-000008000000}"/>
            </a:ext>
          </a:extLst>
        </xdr:cNvPr>
        <xdr:cNvSpPr/>
      </xdr:nvSpPr>
      <xdr:spPr>
        <a:xfrm>
          <a:off x="4732565" y="202406"/>
          <a:ext cx="1262232"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8DE15D-989D-474F-BEB7-9A6CFE3193F3}"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315685</xdr:colOff>
      <xdr:row>1</xdr:row>
      <xdr:rowOff>0</xdr:rowOff>
    </xdr:from>
    <xdr:to>
      <xdr:col>22</xdr:col>
      <xdr:colOff>315685</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900-000005000000}"/>
            </a:ext>
          </a:extLst>
        </xdr:cNvPr>
        <xdr:cNvSpPr/>
      </xdr:nvSpPr>
      <xdr:spPr>
        <a:xfrm>
          <a:off x="5998028"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8EEB83D-A394-449E-A389-8DB41CDD896E}"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315685</xdr:colOff>
      <xdr:row>1</xdr:row>
      <xdr:rowOff>0</xdr:rowOff>
    </xdr:from>
    <xdr:to>
      <xdr:col>27</xdr:col>
      <xdr:colOff>0</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900-000006000000}"/>
            </a:ext>
          </a:extLst>
        </xdr:cNvPr>
        <xdr:cNvSpPr/>
      </xdr:nvSpPr>
      <xdr:spPr>
        <a:xfrm>
          <a:off x="7260771"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ECB02CB-0C99-4C86-BC36-9F7EAEDDD03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900-000007000000}"/>
            </a:ext>
          </a:extLst>
        </xdr:cNvPr>
        <xdr:cNvSpPr/>
      </xdr:nvSpPr>
      <xdr:spPr>
        <a:xfrm>
          <a:off x="8471647"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16B067C-78E4-474D-A909-FAB55D8AFC9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9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9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9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1"/>
          <a:extLst>
            <a:ext uri="{FF2B5EF4-FFF2-40B4-BE49-F238E27FC236}">
              <a16:creationId xmlns:a16="http://schemas.microsoft.com/office/drawing/2014/main" id="{00000000-0008-0000-09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2"/>
          <a:extLst>
            <a:ext uri="{FF2B5EF4-FFF2-40B4-BE49-F238E27FC236}">
              <a16:creationId xmlns:a16="http://schemas.microsoft.com/office/drawing/2014/main" id="{00000000-0008-0000-0900-00000D000000}"/>
            </a:ext>
          </a:extLst>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a:extLst>
            <a:ext uri="{FF2B5EF4-FFF2-40B4-BE49-F238E27FC236}">
              <a16:creationId xmlns:a16="http://schemas.microsoft.com/office/drawing/2014/main" id="{00000000-0008-0000-09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09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9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2</xdr:col>
      <xdr:colOff>0</xdr:colOff>
      <xdr:row>12</xdr:row>
      <xdr:rowOff>0</xdr:rowOff>
    </xdr:from>
    <xdr:to>
      <xdr:col>7</xdr:col>
      <xdr:colOff>240926</xdr:colOff>
      <xdr:row>21</xdr:row>
      <xdr:rowOff>89647</xdr:rowOff>
    </xdr:to>
    <xdr:pic>
      <xdr:nvPicPr>
        <xdr:cNvPr id="54" name="Picture 53">
          <a:hlinkClick xmlns:r="http://schemas.openxmlformats.org/officeDocument/2006/relationships" r:id="rId15"/>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7529" y="2420471"/>
          <a:ext cx="1809750" cy="1905000"/>
        </a:xfrm>
        <a:prstGeom prst="rect">
          <a:avLst/>
        </a:prstGeom>
      </xdr:spPr>
    </xdr:pic>
    <xdr:clientData/>
  </xdr:twoCellAnchor>
  <xdr:twoCellAnchor editAs="oneCell">
    <xdr:from>
      <xdr:col>9</xdr:col>
      <xdr:colOff>0</xdr:colOff>
      <xdr:row>12</xdr:row>
      <xdr:rowOff>0</xdr:rowOff>
    </xdr:from>
    <xdr:to>
      <xdr:col>14</xdr:col>
      <xdr:colOff>250451</xdr:colOff>
      <xdr:row>21</xdr:row>
      <xdr:rowOff>89647</xdr:rowOff>
    </xdr:to>
    <xdr:pic>
      <xdr:nvPicPr>
        <xdr:cNvPr id="55" name="Picture 54">
          <a:hlinkClick xmlns:r="http://schemas.openxmlformats.org/officeDocument/2006/relationships" r:id="rId17"/>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823882" y="2420471"/>
          <a:ext cx="1819275" cy="1905000"/>
        </a:xfrm>
        <a:prstGeom prst="rect">
          <a:avLst/>
        </a:prstGeom>
      </xdr:spPr>
    </xdr:pic>
    <xdr:clientData/>
  </xdr:twoCellAnchor>
  <xdr:twoCellAnchor editAs="oneCell">
    <xdr:from>
      <xdr:col>16</xdr:col>
      <xdr:colOff>0</xdr:colOff>
      <xdr:row>12</xdr:row>
      <xdr:rowOff>0</xdr:rowOff>
    </xdr:from>
    <xdr:to>
      <xdr:col>21</xdr:col>
      <xdr:colOff>250451</xdr:colOff>
      <xdr:row>21</xdr:row>
      <xdr:rowOff>89647</xdr:rowOff>
    </xdr:to>
    <xdr:pic>
      <xdr:nvPicPr>
        <xdr:cNvPr id="56" name="Picture 55">
          <a:hlinkClick xmlns:r="http://schemas.openxmlformats.org/officeDocument/2006/relationships" r:id="rId19"/>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020235" y="2420471"/>
          <a:ext cx="1819275" cy="1905000"/>
        </a:xfrm>
        <a:prstGeom prst="rect">
          <a:avLst/>
        </a:prstGeom>
      </xdr:spPr>
    </xdr:pic>
    <xdr:clientData/>
  </xdr:twoCellAnchor>
  <xdr:twoCellAnchor editAs="oneCell">
    <xdr:from>
      <xdr:col>23</xdr:col>
      <xdr:colOff>0</xdr:colOff>
      <xdr:row>12</xdr:row>
      <xdr:rowOff>-1</xdr:rowOff>
    </xdr:from>
    <xdr:to>
      <xdr:col>28</xdr:col>
      <xdr:colOff>264311</xdr:colOff>
      <xdr:row>21</xdr:row>
      <xdr:rowOff>112057</xdr:rowOff>
    </xdr:to>
    <xdr:pic>
      <xdr:nvPicPr>
        <xdr:cNvPr id="57" name="Picture 56">
          <a:hlinkClick xmlns:r="http://schemas.openxmlformats.org/officeDocument/2006/relationships" r:id="rId21"/>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7216588" y="2420470"/>
          <a:ext cx="1833135" cy="1927411"/>
        </a:xfrm>
        <a:prstGeom prst="rect">
          <a:avLst/>
        </a:prstGeom>
      </xdr:spPr>
    </xdr:pic>
    <xdr:clientData/>
  </xdr:twoCellAnchor>
  <xdr:twoCellAnchor editAs="oneCell">
    <xdr:from>
      <xdr:col>37</xdr:col>
      <xdr:colOff>0</xdr:colOff>
      <xdr:row>11</xdr:row>
      <xdr:rowOff>161317</xdr:rowOff>
    </xdr:from>
    <xdr:to>
      <xdr:col>42</xdr:col>
      <xdr:colOff>250450</xdr:colOff>
      <xdr:row>21</xdr:row>
      <xdr:rowOff>49258</xdr:rowOff>
    </xdr:to>
    <xdr:pic>
      <xdr:nvPicPr>
        <xdr:cNvPr id="59" name="Picture 58">
          <a:hlinkClick xmlns:r="http://schemas.openxmlformats.org/officeDocument/2006/relationships" r:id="rId23"/>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1609294" y="2380082"/>
          <a:ext cx="1819274" cy="1905000"/>
        </a:xfrm>
        <a:prstGeom prst="rect">
          <a:avLst/>
        </a:prstGeom>
      </xdr:spPr>
    </xdr:pic>
    <xdr:clientData/>
  </xdr:twoCellAnchor>
  <xdr:twoCellAnchor editAs="oneCell">
    <xdr:from>
      <xdr:col>12</xdr:col>
      <xdr:colOff>186192</xdr:colOff>
      <xdr:row>23</xdr:row>
      <xdr:rowOff>3879</xdr:rowOff>
    </xdr:from>
    <xdr:to>
      <xdr:col>18</xdr:col>
      <xdr:colOff>112059</xdr:colOff>
      <xdr:row>32</xdr:row>
      <xdr:rowOff>97405</xdr:rowOff>
    </xdr:to>
    <xdr:pic>
      <xdr:nvPicPr>
        <xdr:cNvPr id="61" name="Picture 60">
          <a:hlinkClick xmlns:r="http://schemas.openxmlformats.org/officeDocument/2006/relationships" r:id="rId25"/>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951368" y="4643114"/>
          <a:ext cx="1808456" cy="1908879"/>
        </a:xfrm>
        <a:prstGeom prst="rect">
          <a:avLst/>
        </a:prstGeom>
      </xdr:spPr>
    </xdr:pic>
    <xdr:clientData/>
  </xdr:twoCellAnchor>
  <xdr:twoCellAnchor editAs="oneCell">
    <xdr:from>
      <xdr:col>19</xdr:col>
      <xdr:colOff>199552</xdr:colOff>
      <xdr:row>23</xdr:row>
      <xdr:rowOff>3879</xdr:rowOff>
    </xdr:from>
    <xdr:to>
      <xdr:col>25</xdr:col>
      <xdr:colOff>136238</xdr:colOff>
      <xdr:row>32</xdr:row>
      <xdr:rowOff>93526</xdr:rowOff>
    </xdr:to>
    <xdr:pic>
      <xdr:nvPicPr>
        <xdr:cNvPr id="62" name="Picture 61">
          <a:hlinkClick xmlns:r="http://schemas.openxmlformats.org/officeDocument/2006/relationships" r:id="rId27"/>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161081" y="4643114"/>
          <a:ext cx="1819275" cy="1905000"/>
        </a:xfrm>
        <a:prstGeom prst="rect">
          <a:avLst/>
        </a:prstGeom>
      </xdr:spPr>
    </xdr:pic>
    <xdr:clientData/>
  </xdr:twoCellAnchor>
  <xdr:twoCellAnchor editAs="oneCell">
    <xdr:from>
      <xdr:col>26</xdr:col>
      <xdr:colOff>199552</xdr:colOff>
      <xdr:row>23</xdr:row>
      <xdr:rowOff>15085</xdr:rowOff>
    </xdr:from>
    <xdr:to>
      <xdr:col>32</xdr:col>
      <xdr:colOff>136238</xdr:colOff>
      <xdr:row>32</xdr:row>
      <xdr:rowOff>100853</xdr:rowOff>
    </xdr:to>
    <xdr:pic>
      <xdr:nvPicPr>
        <xdr:cNvPr id="66" name="Picture 65">
          <a:hlinkClick xmlns:r="http://schemas.openxmlformats.org/officeDocument/2006/relationships" r:id="rId29"/>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8357434" y="4654320"/>
          <a:ext cx="1819275" cy="1901121"/>
        </a:xfrm>
        <a:prstGeom prst="rect">
          <a:avLst/>
        </a:prstGeom>
      </xdr:spPr>
    </xdr:pic>
    <xdr:clientData/>
  </xdr:twoCellAnchor>
  <xdr:twoCellAnchor editAs="oneCell">
    <xdr:from>
      <xdr:col>29</xdr:col>
      <xdr:colOff>291354</xdr:colOff>
      <xdr:row>11</xdr:row>
      <xdr:rowOff>116493</xdr:rowOff>
    </xdr:from>
    <xdr:to>
      <xdr:col>36</xdr:col>
      <xdr:colOff>100853</xdr:colOff>
      <xdr:row>21</xdr:row>
      <xdr:rowOff>89647</xdr:rowOff>
    </xdr:to>
    <xdr:pic>
      <xdr:nvPicPr>
        <xdr:cNvPr id="22" name="Picture 21">
          <a:hlinkClick xmlns:r="http://schemas.openxmlformats.org/officeDocument/2006/relationships" r:id="rId31"/>
          <a:extLst>
            <a:ext uri="{FF2B5EF4-FFF2-40B4-BE49-F238E27FC236}">
              <a16:creationId xmlns:a16="http://schemas.microsoft.com/office/drawing/2014/main" id="{00000000-0008-0000-0900-000016000000}"/>
            </a:ext>
          </a:extLst>
        </xdr:cNvPr>
        <xdr:cNvPicPr>
          <a:picLocks/>
        </xdr:cNvPicPr>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9390530" y="2335258"/>
          <a:ext cx="2005852" cy="1990213"/>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9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400-000017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4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0</xdr:rowOff>
    </xdr:from>
    <xdr:to>
      <xdr:col>15</xdr:col>
      <xdr:colOff>2</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3465636" y="197827"/>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1</xdr:rowOff>
    </xdr:from>
    <xdr:to>
      <xdr:col>19</xdr:col>
      <xdr:colOff>2</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400-000005000000}"/>
            </a:ext>
          </a:extLst>
        </xdr:cNvPr>
        <xdr:cNvSpPr/>
      </xdr:nvSpPr>
      <xdr:spPr>
        <a:xfrm>
          <a:off x="472586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400-000006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2550</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400-000007000000}"/>
            </a:ext>
          </a:extLst>
        </xdr:cNvPr>
        <xdr:cNvSpPr/>
      </xdr:nvSpPr>
      <xdr:spPr>
        <a:xfrm>
          <a:off x="7248877" y="331177"/>
          <a:ext cx="1260230" cy="460131"/>
        </a:xfrm>
        <a:prstGeom prst="round2SameRect">
          <a:avLst/>
        </a:prstGeom>
        <a:solidFill>
          <a:srgbClr val="D98C24"/>
        </a:solidFill>
        <a:ln w="12700">
          <a:noFill/>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2550</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400-000008000000}"/>
            </a:ext>
          </a:extLst>
        </xdr:cNvPr>
        <xdr:cNvSpPr/>
      </xdr:nvSpPr>
      <xdr:spPr>
        <a:xfrm>
          <a:off x="8509107" y="197828"/>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78A8D0-CDBA-4A26-86BA-53B31DB141A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2450</xdr:rowOff>
    </xdr:from>
    <xdr:to>
      <xdr:col>4</xdr:col>
      <xdr:colOff>960</xdr:colOff>
      <xdr:row>11</xdr:row>
      <xdr:rowOff>1207</xdr:rowOff>
    </xdr:to>
    <xdr:sp macro="" textlink="">
      <xdr:nvSpPr>
        <xdr:cNvPr id="20" name="BACK">
          <a:hlinkClick xmlns:r="http://schemas.openxmlformats.org/officeDocument/2006/relationships" r:id="rId8"/>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5C4C25E-487E-4AA0-8EF3-9B7128EDD83A}"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5S2">
      <xdr:nvSpPr>
        <xdr:cNvPr id="12" name="SUBMENU2">
          <a:hlinkClick xmlns:r="http://schemas.openxmlformats.org/officeDocument/2006/relationships" r:id="rId8"/>
          <a:extLst>
            <a:ext uri="{FF2B5EF4-FFF2-40B4-BE49-F238E27FC236}">
              <a16:creationId xmlns:a16="http://schemas.microsoft.com/office/drawing/2014/main" id="{00000000-0008-0000-2400-00000C000000}"/>
            </a:ext>
          </a:extLst>
        </xdr:cNvPr>
        <xdr:cNvSpPr/>
      </xdr:nvSpPr>
      <xdr:spPr>
        <a:xfrm>
          <a:off x="220282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0500BC-2FF4-48B8-984C-00D9302E4734}"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101971</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9421" y="1045393"/>
          <a:ext cx="1573694" cy="448056"/>
        </a:xfrm>
        <a:prstGeom prst="round2SameRect">
          <a:avLst/>
        </a:prstGeom>
        <a:solidFill>
          <a:srgbClr val="1B6CB5"/>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F2D4446-40D4-4476-8437-79F1BDC1BCA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0</xdr:rowOff>
    </xdr:from>
    <xdr:to>
      <xdr:col>22</xdr:col>
      <xdr:colOff>2551</xdr:colOff>
      <xdr:row>7</xdr:row>
      <xdr:rowOff>2923</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400-00000E000000}"/>
            </a:ext>
          </a:extLst>
        </xdr:cNvPr>
        <xdr:cNvSpPr/>
      </xdr:nvSpPr>
      <xdr:spPr>
        <a:xfrm>
          <a:off x="5353116" y="993913"/>
          <a:ext cx="1573696" cy="400488"/>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0679A-F698-4B94-B248-46DAD74AC13F}"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0"/>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1E2CA29-788A-4F3E-9F87-68CBA43BE719}"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3BF8510-58A1-4EF1-8293-BCC728348C69}"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2"/>
          <a:extLst>
            <a:ext uri="{FF2B5EF4-FFF2-40B4-BE49-F238E27FC236}">
              <a16:creationId xmlns:a16="http://schemas.microsoft.com/office/drawing/2014/main" id="{00000000-0008-0000-24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857345F-7557-4C97-8E44-048828A906E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E96D2C6-15BB-4208-A52B-E7BF642515F3}"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4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4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4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190498</xdr:rowOff>
    </xdr:from>
    <xdr:to>
      <xdr:col>40</xdr:col>
      <xdr:colOff>0</xdr:colOff>
      <xdr:row>12</xdr:row>
      <xdr:rowOff>190499</xdr:rowOff>
    </xdr:to>
    <xdr:sp macro="" textlink="$AU$12">
      <xdr:nvSpPr>
        <xdr:cNvPr id="26" name="TextBox 25">
          <a:hlinkClick xmlns:r="http://schemas.openxmlformats.org/officeDocument/2006/relationships" r:id="rId14"/>
          <a:extLst>
            <a:ext uri="{FF2B5EF4-FFF2-40B4-BE49-F238E27FC236}">
              <a16:creationId xmlns:a16="http://schemas.microsoft.com/office/drawing/2014/main" id="{00000000-0008-0000-2400-00001A000000}"/>
            </a:ext>
          </a:extLst>
        </xdr:cNvPr>
        <xdr:cNvSpPr txBox="1"/>
      </xdr:nvSpPr>
      <xdr:spPr>
        <a:xfrm>
          <a:off x="10656794"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42</xdr:col>
      <xdr:colOff>559</xdr:colOff>
      <xdr:row>4</xdr:row>
      <xdr:rowOff>0</xdr:rowOff>
    </xdr:from>
    <xdr:to>
      <xdr:col>43</xdr:col>
      <xdr:colOff>313764</xdr:colOff>
      <xdr:row>6</xdr:row>
      <xdr:rowOff>201705</xdr:rowOff>
    </xdr:to>
    <xdr:sp macro="" textlink="">
      <xdr:nvSpPr>
        <xdr:cNvPr id="23" name="TOPRIBBON">
          <a:extLst>
            <a:ext uri="{FF2B5EF4-FFF2-40B4-BE49-F238E27FC236}">
              <a16:creationId xmlns:a16="http://schemas.microsoft.com/office/drawing/2014/main" id="{00000000-0008-0000-2500-000017000000}"/>
            </a:ext>
          </a:extLst>
        </xdr:cNvPr>
        <xdr:cNvSpPr/>
      </xdr:nvSpPr>
      <xdr:spPr>
        <a:xfrm>
          <a:off x="13178677" y="806824"/>
          <a:ext cx="62696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1818</xdr:rowOff>
    </xdr:from>
    <xdr:to>
      <xdr:col>15</xdr:col>
      <xdr:colOff>0</xdr:colOff>
      <xdr:row>4</xdr:row>
      <xdr:rowOff>1818</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500-000004000000}"/>
            </a:ext>
          </a:extLst>
        </xdr:cNvPr>
        <xdr:cNvSpPr/>
      </xdr:nvSpPr>
      <xdr:spPr>
        <a:xfrm>
          <a:off x="3457575" y="20184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19</xdr:col>
      <xdr:colOff>0</xdr:colOff>
      <xdr:row>4</xdr:row>
      <xdr:rowOff>0</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500-000005000000}"/>
            </a:ext>
          </a:extLst>
        </xdr:cNvPr>
        <xdr:cNvSpPr/>
      </xdr:nvSpPr>
      <xdr:spPr>
        <a:xfrm>
          <a:off x="4735286" y="201386"/>
          <a:ext cx="1262743" cy="60415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1818</xdr:rowOff>
    </xdr:from>
    <xdr:to>
      <xdr:col>23</xdr:col>
      <xdr:colOff>1</xdr:colOff>
      <xdr:row>4</xdr:row>
      <xdr:rowOff>0</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500-000006000000}"/>
            </a:ext>
          </a:extLst>
        </xdr:cNvPr>
        <xdr:cNvSpPr/>
      </xdr:nvSpPr>
      <xdr:spPr>
        <a:xfrm>
          <a:off x="5986096" y="199645"/>
          <a:ext cx="1260232" cy="591663"/>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2549</xdr:colOff>
      <xdr:row>1</xdr:row>
      <xdr:rowOff>133350</xdr:rowOff>
    </xdr:from>
    <xdr:to>
      <xdr:col>27</xdr:col>
      <xdr:colOff>2549</xdr:colOff>
      <xdr:row>4</xdr:row>
      <xdr:rowOff>1818</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500-000007000000}"/>
            </a:ext>
          </a:extLst>
        </xdr:cNvPr>
        <xdr:cNvSpPr/>
      </xdr:nvSpPr>
      <xdr:spPr>
        <a:xfrm>
          <a:off x="7248876" y="331177"/>
          <a:ext cx="1260231" cy="461949"/>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1818</xdr:rowOff>
    </xdr:from>
    <xdr:to>
      <xdr:col>31</xdr:col>
      <xdr:colOff>0</xdr:colOff>
      <xdr:row>4</xdr:row>
      <xdr:rowOff>1818</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500-000008000000}"/>
            </a:ext>
          </a:extLst>
        </xdr:cNvPr>
        <xdr:cNvSpPr/>
      </xdr:nvSpPr>
      <xdr:spPr>
        <a:xfrm>
          <a:off x="8523514" y="203204"/>
          <a:ext cx="1262743" cy="60415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64605118-0E97-4F44-844A-B55B165EEC9F}"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5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5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8380B0F-9A75-4A48-B30D-CD1B99F9070E}"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5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216749B-4AD9-4382-9BE8-B97597921772}"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5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9B4E445-8D71-4CA2-9AF3-B8CA847C723E}"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5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CFCF041-4E4D-4090-A907-4AFEDFCF0A7A}"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83229</xdr:rowOff>
    </xdr:from>
    <xdr:to>
      <xdr:col>27</xdr:col>
      <xdr:colOff>2549</xdr:colOff>
      <xdr:row>7</xdr:row>
      <xdr:rowOff>135632</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500-00000F000000}"/>
            </a:ext>
          </a:extLst>
        </xdr:cNvPr>
        <xdr:cNvSpPr/>
      </xdr:nvSpPr>
      <xdr:spPr>
        <a:xfrm>
          <a:off x="6933820" y="1072364"/>
          <a:ext cx="157528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12D3140-5B8E-4ABA-8055-A7AB93EF8C02}"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0</xdr:rowOff>
    </xdr:from>
    <xdr:to>
      <xdr:col>32</xdr:col>
      <xdr:colOff>2865</xdr:colOff>
      <xdr:row>7</xdr:row>
      <xdr:rowOff>6683</xdr:rowOff>
    </xdr:to>
    <xdr:sp macro="" textlink="M5S6">
      <xdr:nvSpPr>
        <xdr:cNvPr id="16" name="SUBMENU6">
          <a:hlinkClick xmlns:r="http://schemas.openxmlformats.org/officeDocument/2006/relationships" r:id="rId1"/>
          <a:extLst>
            <a:ext uri="{FF2B5EF4-FFF2-40B4-BE49-F238E27FC236}">
              <a16:creationId xmlns:a16="http://schemas.microsoft.com/office/drawing/2014/main" id="{00000000-0008-0000-2500-000010000000}"/>
            </a:ext>
          </a:extLst>
        </xdr:cNvPr>
        <xdr:cNvSpPr/>
      </xdr:nvSpPr>
      <xdr:spPr>
        <a:xfrm>
          <a:off x="8506558" y="989135"/>
          <a:ext cx="1578153" cy="402336"/>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94A6E6A-DA97-4758-BA9D-FDE53A746FAD}"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2877</xdr:rowOff>
    </xdr:from>
    <xdr:to>
      <xdr:col>37</xdr:col>
      <xdr:colOff>2720</xdr:colOff>
      <xdr:row>7</xdr:row>
      <xdr:rowOff>9560</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500-000011000000}"/>
            </a:ext>
          </a:extLst>
        </xdr:cNvPr>
        <xdr:cNvSpPr/>
      </xdr:nvSpPr>
      <xdr:spPr>
        <a:xfrm>
          <a:off x="10084711" y="992012"/>
          <a:ext cx="1575144" cy="402336"/>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36D75FB-728D-4DC8-B78C-244E4147307F}"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5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EDFB96E-4235-4EB4-995F-3F697B84D98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5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5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5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5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5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5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34</xdr:col>
      <xdr:colOff>0</xdr:colOff>
      <xdr:row>8</xdr:row>
      <xdr:rowOff>190498</xdr:rowOff>
    </xdr:from>
    <xdr:to>
      <xdr:col>40</xdr:col>
      <xdr:colOff>11206</xdr:colOff>
      <xdr:row>12</xdr:row>
      <xdr:rowOff>190499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500-00001A000000}"/>
            </a:ext>
          </a:extLst>
        </xdr:cNvPr>
        <xdr:cNvSpPr txBox="1"/>
      </xdr:nvSpPr>
      <xdr:spPr>
        <a:xfrm>
          <a:off x="10668000" y="180414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42</xdr:col>
      <xdr:colOff>559</xdr:colOff>
      <xdr:row>4</xdr:row>
      <xdr:rowOff>0</xdr:rowOff>
    </xdr:from>
    <xdr:to>
      <xdr:col>44</xdr:col>
      <xdr:colOff>2719</xdr:colOff>
      <xdr:row>6</xdr:row>
      <xdr:rowOff>201705</xdr:rowOff>
    </xdr:to>
    <xdr:sp macro="" textlink="">
      <xdr:nvSpPr>
        <xdr:cNvPr id="23" name="TOPRIBBON">
          <a:extLst>
            <a:ext uri="{FF2B5EF4-FFF2-40B4-BE49-F238E27FC236}">
              <a16:creationId xmlns:a16="http://schemas.microsoft.com/office/drawing/2014/main" id="{00000000-0008-0000-2600-000017000000}"/>
            </a:ext>
          </a:extLst>
        </xdr:cNvPr>
        <xdr:cNvSpPr/>
      </xdr:nvSpPr>
      <xdr:spPr>
        <a:xfrm>
          <a:off x="13178677" y="806824"/>
          <a:ext cx="62968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1</xdr:rowOff>
    </xdr:from>
    <xdr:to>
      <xdr:col>19</xdr:col>
      <xdr:colOff>0</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600-000005000000}"/>
            </a:ext>
          </a:extLst>
        </xdr:cNvPr>
        <xdr:cNvSpPr/>
      </xdr:nvSpPr>
      <xdr:spPr>
        <a:xfrm>
          <a:off x="4729656"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6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133350</xdr:rowOff>
    </xdr:from>
    <xdr:to>
      <xdr:col>27</xdr:col>
      <xdr:colOff>2549</xdr:colOff>
      <xdr:row>4</xdr:row>
      <xdr:rowOff>0</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600-000007000000}"/>
            </a:ext>
          </a:extLst>
        </xdr:cNvPr>
        <xdr:cNvSpPr/>
      </xdr:nvSpPr>
      <xdr:spPr>
        <a:xfrm>
          <a:off x="7254686" y="330419"/>
          <a:ext cx="1261242" cy="457857"/>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xdr:rowOff>
    </xdr:from>
    <xdr:to>
      <xdr:col>31</xdr:col>
      <xdr:colOff>2548</xdr:colOff>
      <xdr:row>4</xdr:row>
      <xdr:rowOff>1</xdr:rowOff>
    </xdr:to>
    <xdr:sp macro="" textlink="MAIN6">
      <xdr:nvSpPr>
        <xdr:cNvPr id="8" name="MENU6">
          <a:hlinkClick xmlns:r="http://schemas.openxmlformats.org/officeDocument/2006/relationships" r:id="rId7"/>
          <a:extLst>
            <a:ext uri="{FF2B5EF4-FFF2-40B4-BE49-F238E27FC236}">
              <a16:creationId xmlns:a16="http://schemas.microsoft.com/office/drawing/2014/main" id="{00000000-0008-0000-2600-000008000000}"/>
            </a:ext>
          </a:extLst>
        </xdr:cNvPr>
        <xdr:cNvSpPr/>
      </xdr:nvSpPr>
      <xdr:spPr>
        <a:xfrm>
          <a:off x="8515928" y="197070"/>
          <a:ext cx="1261241" cy="59120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7072577-5895-4C19-A16C-8C4BB9EFD9C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a:extLst>
            <a:ext uri="{FF2B5EF4-FFF2-40B4-BE49-F238E27FC236}">
              <a16:creationId xmlns:a16="http://schemas.microsoft.com/office/drawing/2014/main" id="{00000000-0008-0000-26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6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6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A92362-0AA5-4D60-A50D-E2B2EB771DDD}"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9"/>
          <a:extLst>
            <a:ext uri="{FF2B5EF4-FFF2-40B4-BE49-F238E27FC236}">
              <a16:creationId xmlns:a16="http://schemas.microsoft.com/office/drawing/2014/main" id="{00000000-0008-0000-26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9ADBC0A-5D5B-4142-BB41-E8F8473A1269}"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6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DE800E7-D07C-48F2-A44D-EA01FD862A21}"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1"/>
          <a:extLst>
            <a:ext uri="{FF2B5EF4-FFF2-40B4-BE49-F238E27FC236}">
              <a16:creationId xmlns:a16="http://schemas.microsoft.com/office/drawing/2014/main" id="{00000000-0008-0000-26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418B280-EFF5-40DF-ADD8-510012A69613}"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2"/>
          <a:extLst>
            <a:ext uri="{FF2B5EF4-FFF2-40B4-BE49-F238E27FC236}">
              <a16:creationId xmlns:a16="http://schemas.microsoft.com/office/drawing/2014/main" id="{00000000-0008-0000-26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9CC80FE-41CA-44C7-AC01-F5BD8D1188D5}"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137148</xdr:rowOff>
    </xdr:to>
    <xdr:sp macro="" textlink="M5S6">
      <xdr:nvSpPr>
        <xdr:cNvPr id="16" name="SUBMENU6">
          <a:hlinkClick xmlns:r="http://schemas.openxmlformats.org/officeDocument/2006/relationships" r:id="rId13"/>
          <a:extLst>
            <a:ext uri="{FF2B5EF4-FFF2-40B4-BE49-F238E27FC236}">
              <a16:creationId xmlns:a16="http://schemas.microsoft.com/office/drawing/2014/main" id="{00000000-0008-0000-2600-000010000000}"/>
            </a:ext>
          </a:extLst>
        </xdr:cNvPr>
        <xdr:cNvSpPr/>
      </xdr:nvSpPr>
      <xdr:spPr>
        <a:xfrm>
          <a:off x="8513379" y="1068575"/>
          <a:ext cx="1579417"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D2C0C26-5092-4CFF-9DB9-CAF1494D47A6}"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3636</xdr:rowOff>
    </xdr:from>
    <xdr:to>
      <xdr:col>37</xdr:col>
      <xdr:colOff>2720</xdr:colOff>
      <xdr:row>7</xdr:row>
      <xdr:rowOff>2690</xdr:rowOff>
    </xdr:to>
    <xdr:sp macro="" textlink="M5S7">
      <xdr:nvSpPr>
        <xdr:cNvPr id="17" name="SUBMENU7">
          <a:hlinkClick xmlns:r="http://schemas.openxmlformats.org/officeDocument/2006/relationships" r:id="rId1"/>
          <a:extLst>
            <a:ext uri="{FF2B5EF4-FFF2-40B4-BE49-F238E27FC236}">
              <a16:creationId xmlns:a16="http://schemas.microsoft.com/office/drawing/2014/main" id="{00000000-0008-0000-2600-000011000000}"/>
            </a:ext>
          </a:extLst>
        </xdr:cNvPr>
        <xdr:cNvSpPr/>
      </xdr:nvSpPr>
      <xdr:spPr>
        <a:xfrm>
          <a:off x="10092796" y="988981"/>
          <a:ext cx="1576407" cy="393192"/>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3994E0D-9527-4A33-9260-CFC4452AE586}"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hidden="1">
          <a:extLst>
            <a:ext uri="{FF2B5EF4-FFF2-40B4-BE49-F238E27FC236}">
              <a16:creationId xmlns:a16="http://schemas.microsoft.com/office/drawing/2014/main" id="{00000000-0008-0000-26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70A1C2A-BE6F-4445-9AA9-73B8E861B537}"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2600-000013000000}"/>
            </a:ext>
          </a:extLst>
        </xdr:cNvPr>
        <xdr:cNvSpPr/>
      </xdr:nvSpPr>
      <xdr:spPr>
        <a:xfrm>
          <a:off x="314323" y="1611965"/>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4163</xdr:rowOff>
    </xdr:from>
    <xdr:to>
      <xdr:col>4</xdr:col>
      <xdr:colOff>960</xdr:colOff>
      <xdr:row>11</xdr:row>
      <xdr:rowOff>4163</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26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6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6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6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6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8</xdr:row>
      <xdr:rowOff>168088</xdr:rowOff>
    </xdr:from>
    <xdr:to>
      <xdr:col>40</xdr:col>
      <xdr:colOff>0</xdr:colOff>
      <xdr:row>12</xdr:row>
      <xdr:rowOff>168089</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600-00001A000000}"/>
            </a:ext>
          </a:extLst>
        </xdr:cNvPr>
        <xdr:cNvSpPr txBox="1"/>
      </xdr:nvSpPr>
      <xdr:spPr>
        <a:xfrm>
          <a:off x="10656794" y="1781735"/>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42</xdr:col>
      <xdr:colOff>0</xdr:colOff>
      <xdr:row>4</xdr:row>
      <xdr:rowOff>0</xdr:rowOff>
    </xdr:from>
    <xdr:to>
      <xdr:col>44</xdr:col>
      <xdr:colOff>2719</xdr:colOff>
      <xdr:row>6</xdr:row>
      <xdr:rowOff>201705</xdr:rowOff>
    </xdr:to>
    <xdr:sp macro="" textlink="">
      <xdr:nvSpPr>
        <xdr:cNvPr id="27" name="TOPRIBBON">
          <a:extLst>
            <a:ext uri="{FF2B5EF4-FFF2-40B4-BE49-F238E27FC236}">
              <a16:creationId xmlns:a16="http://schemas.microsoft.com/office/drawing/2014/main" id="{00000000-0008-0000-2700-00001B000000}"/>
            </a:ext>
          </a:extLst>
        </xdr:cNvPr>
        <xdr:cNvSpPr/>
      </xdr:nvSpPr>
      <xdr:spPr>
        <a:xfrm>
          <a:off x="13178118" y="806824"/>
          <a:ext cx="630248"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4" name="MENU2">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3451412" y="201706"/>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5" name="MENU3">
          <a:hlinkClick xmlns:r="http://schemas.openxmlformats.org/officeDocument/2006/relationships" r:id="rId4"/>
          <a:extLst>
            <a:ext uri="{FF2B5EF4-FFF2-40B4-BE49-F238E27FC236}">
              <a16:creationId xmlns:a16="http://schemas.microsoft.com/office/drawing/2014/main" id="{00000000-0008-0000-2700-000005000000}"/>
            </a:ext>
          </a:extLst>
        </xdr:cNvPr>
        <xdr:cNvSpPr/>
      </xdr:nvSpPr>
      <xdr:spPr>
        <a:xfrm>
          <a:off x="4732734"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457</xdr:colOff>
      <xdr:row>4</xdr:row>
      <xdr:rowOff>1</xdr:rowOff>
    </xdr:to>
    <xdr:sp macro="" textlink="MAIN4">
      <xdr:nvSpPr>
        <xdr:cNvPr id="6" name="MENU4">
          <a:hlinkClick xmlns:r="http://schemas.openxmlformats.org/officeDocument/2006/relationships" r:id="rId5"/>
          <a:extLst>
            <a:ext uri="{FF2B5EF4-FFF2-40B4-BE49-F238E27FC236}">
              <a16:creationId xmlns:a16="http://schemas.microsoft.com/office/drawing/2014/main" id="{00000000-0008-0000-2700-000006000000}"/>
            </a:ext>
          </a:extLst>
        </xdr:cNvPr>
        <xdr:cNvSpPr/>
      </xdr:nvSpPr>
      <xdr:spPr>
        <a:xfrm>
          <a:off x="5986096" y="197828"/>
          <a:ext cx="1260688" cy="593481"/>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457</xdr:colOff>
      <xdr:row>1</xdr:row>
      <xdr:rowOff>133350</xdr:rowOff>
    </xdr:from>
    <xdr:to>
      <xdr:col>27</xdr:col>
      <xdr:colOff>457</xdr:colOff>
      <xdr:row>4</xdr:row>
      <xdr:rowOff>1</xdr:rowOff>
    </xdr:to>
    <xdr:sp macro="" textlink="MAIN5">
      <xdr:nvSpPr>
        <xdr:cNvPr id="7" name="MENU5">
          <a:hlinkClick xmlns:r="http://schemas.openxmlformats.org/officeDocument/2006/relationships" r:id="rId6"/>
          <a:extLst>
            <a:ext uri="{FF2B5EF4-FFF2-40B4-BE49-F238E27FC236}">
              <a16:creationId xmlns:a16="http://schemas.microsoft.com/office/drawing/2014/main" id="{00000000-0008-0000-2700-000007000000}"/>
            </a:ext>
          </a:extLst>
        </xdr:cNvPr>
        <xdr:cNvSpPr/>
      </xdr:nvSpPr>
      <xdr:spPr>
        <a:xfrm>
          <a:off x="7246784" y="331177"/>
          <a:ext cx="1260231" cy="460132"/>
        </a:xfrm>
        <a:prstGeom prst="round2SameRect">
          <a:avLst/>
        </a:prstGeom>
        <a:solidFill>
          <a:srgbClr val="D98C24"/>
        </a:solidFill>
        <a:ln w="12700">
          <a:no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0</xdr:rowOff>
    </xdr:from>
    <xdr:to>
      <xdr:col>31</xdr:col>
      <xdr:colOff>2550</xdr:colOff>
      <xdr:row>4</xdr:row>
      <xdr:rowOff>0</xdr:rowOff>
    </xdr:to>
    <xdr:sp macro="" textlink="MAIN6">
      <xdr:nvSpPr>
        <xdr:cNvPr id="8" name="MENU6">
          <a:hlinkClick xmlns:r="http://schemas.openxmlformats.org/officeDocument/2006/relationships" r:id="rId1"/>
          <a:extLst>
            <a:ext uri="{FF2B5EF4-FFF2-40B4-BE49-F238E27FC236}">
              <a16:creationId xmlns:a16="http://schemas.microsoft.com/office/drawing/2014/main" id="{00000000-0008-0000-2700-000008000000}"/>
            </a:ext>
          </a:extLst>
        </xdr:cNvPr>
        <xdr:cNvSpPr/>
      </xdr:nvSpPr>
      <xdr:spPr>
        <a:xfrm>
          <a:off x="8521471" y="202406"/>
          <a:ext cx="1262063" cy="607219"/>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4B278ED-3E73-4ACC-A222-7F3B3AC457AE}"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a:extLst>
            <a:ext uri="{FF2B5EF4-FFF2-40B4-BE49-F238E27FC236}">
              <a16:creationId xmlns:a16="http://schemas.microsoft.com/office/drawing/2014/main" id="{00000000-0008-0000-27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0</xdr:col>
      <xdr:colOff>313764</xdr:colOff>
      <xdr:row>4</xdr:row>
      <xdr:rowOff>1</xdr:rowOff>
    </xdr:from>
    <xdr:to>
      <xdr:col>2</xdr:col>
      <xdr:colOff>313764</xdr:colOff>
      <xdr:row>7</xdr:row>
      <xdr:rowOff>0</xdr:rowOff>
    </xdr:to>
    <xdr:sp macro="" textlink="">
      <xdr:nvSpPr>
        <xdr:cNvPr id="10" name="TOPRIBBON">
          <a:extLst>
            <a:ext uri="{FF2B5EF4-FFF2-40B4-BE49-F238E27FC236}">
              <a16:creationId xmlns:a16="http://schemas.microsoft.com/office/drawing/2014/main" id="{00000000-0008-0000-2700-00000A000000}"/>
            </a:ext>
          </a:extLst>
        </xdr:cNvPr>
        <xdr:cNvSpPr/>
      </xdr:nvSpPr>
      <xdr:spPr>
        <a:xfrm>
          <a:off x="313764" y="806825"/>
          <a:ext cx="627529" cy="605116"/>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a:extLst>
            <a:ext uri="{FF2B5EF4-FFF2-40B4-BE49-F238E27FC236}">
              <a16:creationId xmlns:a16="http://schemas.microsoft.com/office/drawing/2014/main" id="{00000000-0008-0000-27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BF47141-764F-4557-91C8-4DE51CB520C4}" type="TxLink">
            <a:rPr lang="en-US" sz="1100" b="0" i="0" u="none" strike="noStrike">
              <a:solidFill>
                <a:schemeClr val="bg1"/>
              </a:solidFill>
              <a:latin typeface="Arial" panose="020B0604020202020204" pitchFamily="34" charset="0"/>
              <a:cs typeface="Arial" panose="020B0604020202020204" pitchFamily="34" charset="0"/>
            </a:rPr>
            <a:pPr algn="ctr"/>
            <a:t>HVAC</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a:extLst>
            <a:ext uri="{FF2B5EF4-FFF2-40B4-BE49-F238E27FC236}">
              <a16:creationId xmlns:a16="http://schemas.microsoft.com/office/drawing/2014/main" id="{00000000-0008-0000-27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DD400E2-B3AC-4CFA-931D-C9ECB8FE9AF5}" type="TxLink">
            <a:rPr lang="en-US" sz="1100" b="0" i="0" u="none" strike="noStrike">
              <a:solidFill>
                <a:schemeClr val="bg1"/>
              </a:solidFill>
              <a:latin typeface="Arial" panose="020B0604020202020204" pitchFamily="34" charset="0"/>
              <a:cs typeface="Arial" panose="020B0604020202020204" pitchFamily="34" charset="0"/>
            </a:rPr>
            <a:pPr algn="ctr"/>
            <a:t>Dimming / Daylighting Controls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7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F86546B-62C5-4B24-BF79-693DC5B283FB}" type="TxLink">
            <a:rPr lang="en-US" sz="1100" b="0" i="0" u="none" strike="noStrike">
              <a:solidFill>
                <a:schemeClr val="bg1"/>
              </a:solidFill>
              <a:latin typeface="Arial" panose="020B0604020202020204" pitchFamily="34" charset="0"/>
              <a:cs typeface="Arial" panose="020B0604020202020204" pitchFamily="34" charset="0"/>
            </a:rPr>
            <a:pPr algn="ctr"/>
            <a:t>Commercial Cooking / Water Heating</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a:extLst>
            <a:ext uri="{FF2B5EF4-FFF2-40B4-BE49-F238E27FC236}">
              <a16:creationId xmlns:a16="http://schemas.microsoft.com/office/drawing/2014/main" id="{00000000-0008-0000-27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DBA94F-CF16-48F7-81EB-8D98B77F60A4}" type="TxLink">
            <a:rPr lang="en-US" sz="1100" b="0" i="0" u="none" strike="noStrike">
              <a:solidFill>
                <a:schemeClr val="bg1"/>
              </a:solidFill>
              <a:latin typeface="Arial" panose="020B0604020202020204" pitchFamily="34" charset="0"/>
              <a:cs typeface="Arial" panose="020B0604020202020204" pitchFamily="34" charset="0"/>
            </a:rPr>
            <a:pPr algn="ctr"/>
            <a:t>Motor / VFD / Pump</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1"/>
          <a:extLst>
            <a:ext uri="{FF2B5EF4-FFF2-40B4-BE49-F238E27FC236}">
              <a16:creationId xmlns:a16="http://schemas.microsoft.com/office/drawing/2014/main" id="{00000000-0008-0000-27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C3BE200-9230-48F5-BF2A-8578DB125206}" type="TxLink">
            <a:rPr lang="en-US" sz="1100" b="0" i="0" u="none" strike="noStrike">
              <a:solidFill>
                <a:schemeClr val="bg1"/>
              </a:solidFill>
              <a:latin typeface="Arial" panose="020B0604020202020204" pitchFamily="34" charset="0"/>
              <a:cs typeface="Arial" panose="020B0604020202020204" pitchFamily="34" charset="0"/>
            </a:rPr>
            <a:pPr algn="ctr"/>
            <a:t>Compressed Air</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a:extLst>
            <a:ext uri="{FF2B5EF4-FFF2-40B4-BE49-F238E27FC236}">
              <a16:creationId xmlns:a16="http://schemas.microsoft.com/office/drawing/2014/main" id="{00000000-0008-0000-27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9F1068CA-90D2-41F9-90B6-DE5FC25A02EC}" type="TxLink">
            <a:rPr lang="en-US" sz="1100" b="0" i="0" u="none" strike="noStrike">
              <a:solidFill>
                <a:schemeClr val="bg1"/>
              </a:solidFill>
              <a:latin typeface="Arial" panose="020B0604020202020204" pitchFamily="34" charset="0"/>
              <a:cs typeface="Arial" panose="020B0604020202020204" pitchFamily="34" charset="0"/>
            </a:rPr>
            <a:pPr algn="ctr"/>
            <a:t>Refrigeration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83229</xdr:rowOff>
    </xdr:from>
    <xdr:to>
      <xdr:col>37</xdr:col>
      <xdr:colOff>2720</xdr:colOff>
      <xdr:row>7</xdr:row>
      <xdr:rowOff>135632</xdr:rowOff>
    </xdr:to>
    <xdr:sp macro="" textlink="M5S7">
      <xdr:nvSpPr>
        <xdr:cNvPr id="17" name="SUBMENU7">
          <a:hlinkClick xmlns:r="http://schemas.openxmlformats.org/officeDocument/2006/relationships" r:id="rId13"/>
          <a:extLst>
            <a:ext uri="{FF2B5EF4-FFF2-40B4-BE49-F238E27FC236}">
              <a16:creationId xmlns:a16="http://schemas.microsoft.com/office/drawing/2014/main" id="{00000000-0008-0000-2700-000011000000}"/>
            </a:ext>
          </a:extLst>
        </xdr:cNvPr>
        <xdr:cNvSpPr/>
      </xdr:nvSpPr>
      <xdr:spPr>
        <a:xfrm>
          <a:off x="10084711" y="1072364"/>
          <a:ext cx="1575144" cy="448056"/>
        </a:xfrm>
        <a:prstGeom prst="round2SameRect">
          <a:avLst/>
        </a:prstGeom>
        <a:solidFill>
          <a:srgbClr val="1B6CB5"/>
        </a:solidFill>
        <a:ln w="12700">
          <a:solidFill>
            <a:srgbClr val="7F7F7F"/>
          </a:solidFill>
        </a:ln>
        <a:effectLst>
          <a:outerShdw blurRad="254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1EC8CB6-2A2C-4617-9247-B4F9A9CD4113}" type="TxLink">
            <a:rPr lang="en-US" sz="1100" b="0" i="0" u="none" strike="noStrike">
              <a:solidFill>
                <a:schemeClr val="bg1"/>
              </a:solidFill>
              <a:latin typeface="Arial" panose="020B0604020202020204" pitchFamily="34" charset="0"/>
              <a:cs typeface="Arial" panose="020B0604020202020204" pitchFamily="34" charset="0"/>
            </a:rPr>
            <a:pPr algn="ctr"/>
            <a:t>Miscellaneous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2878</xdr:rowOff>
    </xdr:from>
    <xdr:to>
      <xdr:col>42</xdr:col>
      <xdr:colOff>0</xdr:colOff>
      <xdr:row>7</xdr:row>
      <xdr:rowOff>82550</xdr:rowOff>
    </xdr:to>
    <xdr:sp macro="" textlink="M5S8">
      <xdr:nvSpPr>
        <xdr:cNvPr id="18" name="SUBMENU8" hidden="1">
          <a:extLst>
            <a:ext uri="{FF2B5EF4-FFF2-40B4-BE49-F238E27FC236}">
              <a16:creationId xmlns:a16="http://schemas.microsoft.com/office/drawing/2014/main" id="{00000000-0008-0000-2700-000012000000}"/>
            </a:ext>
          </a:extLst>
        </xdr:cNvPr>
        <xdr:cNvSpPr/>
      </xdr:nvSpPr>
      <xdr:spPr>
        <a:xfrm>
          <a:off x="11659855" y="992013"/>
          <a:ext cx="1572568" cy="475325"/>
        </a:xfrm>
        <a:prstGeom prst="round2SameRect">
          <a:avLst/>
        </a:prstGeom>
        <a:solidFill>
          <a:srgbClr val="17375E"/>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4BB38E4-E5DD-4BA3-992E-84996E6CD98A}" type="TxLink">
            <a:rPr lang="en-US" sz="1100" b="0" i="0" u="none" strike="noStrike">
              <a:solidFill>
                <a:srgbClr val="000000"/>
              </a:solidFill>
              <a:latin typeface="Calibri"/>
              <a:cs typeface="Calibri"/>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7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3405</xdr:rowOff>
    </xdr:from>
    <xdr:to>
      <xdr:col>4</xdr:col>
      <xdr:colOff>960</xdr:colOff>
      <xdr:row>11</xdr:row>
      <xdr:rowOff>3405</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27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7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27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7529" y="201706"/>
          <a:ext cx="1150845" cy="557630"/>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7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7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33</xdr:col>
      <xdr:colOff>302559</xdr:colOff>
      <xdr:row>9</xdr:row>
      <xdr:rowOff>0</xdr:rowOff>
    </xdr:from>
    <xdr:to>
      <xdr:col>40</xdr:col>
      <xdr:colOff>0</xdr:colOff>
      <xdr:row>13</xdr:row>
      <xdr:rowOff>2</xdr:rowOff>
    </xdr:to>
    <xdr:sp macro="" textlink="$AU$12">
      <xdr:nvSpPr>
        <xdr:cNvPr id="26" name="TextBox 25">
          <a:hlinkClick xmlns:r="http://schemas.openxmlformats.org/officeDocument/2006/relationships" r:id="rId15"/>
          <a:extLst>
            <a:ext uri="{FF2B5EF4-FFF2-40B4-BE49-F238E27FC236}">
              <a16:creationId xmlns:a16="http://schemas.microsoft.com/office/drawing/2014/main" id="{00000000-0008-0000-2700-00001A000000}"/>
            </a:ext>
          </a:extLst>
        </xdr:cNvPr>
        <xdr:cNvSpPr txBox="1"/>
      </xdr:nvSpPr>
      <xdr:spPr>
        <a:xfrm>
          <a:off x="10656794" y="1815353"/>
          <a:ext cx="1893794" cy="806825"/>
        </a:xfrm>
        <a:prstGeom prst="roundRect">
          <a:avLst/>
        </a:prstGeom>
        <a:solidFill>
          <a:srgbClr val="1B6CB5"/>
        </a:solidFill>
        <a:ln w="9525" cmpd="sng">
          <a:solidFill>
            <a:srgbClr val="72CDF4"/>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9BBAE1-B59B-421B-B07F-93515DB12807}" type="TxLink">
            <a:rPr lang="en-US" sz="1100" b="1" i="0" u="none" strike="noStrike">
              <a:solidFill>
                <a:schemeClr val="bg1"/>
              </a:solidFill>
              <a:latin typeface="Arial"/>
              <a:cs typeface="Arial"/>
            </a:rPr>
            <a:pPr algn="ctr"/>
            <a:t>CLICK HERE to update install status.</a:t>
          </a:fld>
          <a:endParaRPr lang="en-US" sz="1100" b="1">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22" name="SUBMENU5">
          <a:hlinkClick xmlns:r="http://schemas.openxmlformats.org/officeDocument/2006/relationships" r:id="rId1"/>
          <a:extLst>
            <a:ext uri="{FF2B5EF4-FFF2-40B4-BE49-F238E27FC236}">
              <a16:creationId xmlns:a16="http://schemas.microsoft.com/office/drawing/2014/main" id="{00000000-0008-0000-2800-000016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21" name="SUBMENU4">
          <a:hlinkClick xmlns:r="http://schemas.openxmlformats.org/officeDocument/2006/relationships" r:id="rId2"/>
          <a:extLst>
            <a:ext uri="{FF2B5EF4-FFF2-40B4-BE49-F238E27FC236}">
              <a16:creationId xmlns:a16="http://schemas.microsoft.com/office/drawing/2014/main" id="{00000000-0008-0000-2800-000015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2" name="SUBMENU6">
          <a:hlinkClick xmlns:r="http://schemas.openxmlformats.org/officeDocument/2006/relationships" r:id="rId3"/>
          <a:extLst>
            <a:ext uri="{FF2B5EF4-FFF2-40B4-BE49-F238E27FC236}">
              <a16:creationId xmlns:a16="http://schemas.microsoft.com/office/drawing/2014/main" id="{00000000-0008-0000-28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 name="SUBMENU7">
          <a:hlinkClick xmlns:r="http://schemas.openxmlformats.org/officeDocument/2006/relationships" r:id="rId4"/>
          <a:extLst>
            <a:ext uri="{FF2B5EF4-FFF2-40B4-BE49-F238E27FC236}">
              <a16:creationId xmlns:a16="http://schemas.microsoft.com/office/drawing/2014/main" id="{00000000-0008-0000-2800-000003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4" name="SUBMENU3">
          <a:hlinkClick xmlns:r="http://schemas.openxmlformats.org/officeDocument/2006/relationships" r:id="rId5"/>
          <a:extLst>
            <a:ext uri="{FF2B5EF4-FFF2-40B4-BE49-F238E27FC236}">
              <a16:creationId xmlns:a16="http://schemas.microsoft.com/office/drawing/2014/main" id="{00000000-0008-0000-2800-000004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5" name="SUBMENU8">
          <a:hlinkClick xmlns:r="http://schemas.openxmlformats.org/officeDocument/2006/relationships" r:id="rId6"/>
          <a:extLst>
            <a:ext uri="{FF2B5EF4-FFF2-40B4-BE49-F238E27FC236}">
              <a16:creationId xmlns:a16="http://schemas.microsoft.com/office/drawing/2014/main" id="{00000000-0008-0000-2800-000005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601</xdr:colOff>
      <xdr:row>11</xdr:row>
      <xdr:rowOff>60916</xdr:rowOff>
    </xdr:to>
    <xdr:sp macro="" textlink="">
      <xdr:nvSpPr>
        <xdr:cNvPr id="6" name="NEXT">
          <a:hlinkClick xmlns:r="http://schemas.openxmlformats.org/officeDocument/2006/relationships" r:id="rId7"/>
          <a:extLst>
            <a:ext uri="{FF2B5EF4-FFF2-40B4-BE49-F238E27FC236}">
              <a16:creationId xmlns:a16="http://schemas.microsoft.com/office/drawing/2014/main" id="{00000000-0008-0000-28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8"/>
          <a:extLst>
            <a:ext uri="{FF2B5EF4-FFF2-40B4-BE49-F238E27FC236}">
              <a16:creationId xmlns:a16="http://schemas.microsoft.com/office/drawing/2014/main" id="{00000000-0008-0000-28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8" name="MENU2">
          <a:hlinkClick xmlns:r="http://schemas.openxmlformats.org/officeDocument/2006/relationships" r:id="rId9"/>
          <a:extLst>
            <a:ext uri="{FF2B5EF4-FFF2-40B4-BE49-F238E27FC236}">
              <a16:creationId xmlns:a16="http://schemas.microsoft.com/office/drawing/2014/main" id="{00000000-0008-0000-2800-000008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9" name="MENU3">
          <a:hlinkClick xmlns:r="http://schemas.openxmlformats.org/officeDocument/2006/relationships" r:id="rId10"/>
          <a:extLst>
            <a:ext uri="{FF2B5EF4-FFF2-40B4-BE49-F238E27FC236}">
              <a16:creationId xmlns:a16="http://schemas.microsoft.com/office/drawing/2014/main" id="{00000000-0008-0000-2800-000009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10" name="MENU4">
          <a:hlinkClick xmlns:r="http://schemas.openxmlformats.org/officeDocument/2006/relationships" r:id="rId11"/>
          <a:extLst>
            <a:ext uri="{FF2B5EF4-FFF2-40B4-BE49-F238E27FC236}">
              <a16:creationId xmlns:a16="http://schemas.microsoft.com/office/drawing/2014/main" id="{00000000-0008-0000-2800-00000A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11" name="MENU5">
          <a:hlinkClick xmlns:r="http://schemas.openxmlformats.org/officeDocument/2006/relationships" r:id="rId12"/>
          <a:extLst>
            <a:ext uri="{FF2B5EF4-FFF2-40B4-BE49-F238E27FC236}">
              <a16:creationId xmlns:a16="http://schemas.microsoft.com/office/drawing/2014/main" id="{00000000-0008-0000-2800-00000B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12" name="MENU6">
          <a:hlinkClick xmlns:r="http://schemas.openxmlformats.org/officeDocument/2006/relationships" r:id="rId13"/>
          <a:extLst>
            <a:ext uri="{FF2B5EF4-FFF2-40B4-BE49-F238E27FC236}">
              <a16:creationId xmlns:a16="http://schemas.microsoft.com/office/drawing/2014/main" id="{00000000-0008-0000-2800-00000C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28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28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15" name="SUBMENU1">
          <a:hlinkClick xmlns:r="http://schemas.openxmlformats.org/officeDocument/2006/relationships" r:id="rId13"/>
          <a:extLst>
            <a:ext uri="{FF2B5EF4-FFF2-40B4-BE49-F238E27FC236}">
              <a16:creationId xmlns:a16="http://schemas.microsoft.com/office/drawing/2014/main" id="{00000000-0008-0000-28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6" name="SUBMENU2">
          <a:hlinkClick xmlns:r="http://schemas.openxmlformats.org/officeDocument/2006/relationships" r:id="rId7"/>
          <a:extLst>
            <a:ext uri="{FF2B5EF4-FFF2-40B4-BE49-F238E27FC236}">
              <a16:creationId xmlns:a16="http://schemas.microsoft.com/office/drawing/2014/main" id="{00000000-0008-0000-28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7" name="BORDER">
          <a:extLst>
            <a:ext uri="{FF2B5EF4-FFF2-40B4-BE49-F238E27FC236}">
              <a16:creationId xmlns:a16="http://schemas.microsoft.com/office/drawing/2014/main" id="{00000000-0008-0000-2800-000011000000}"/>
            </a:ext>
          </a:extLst>
        </xdr:cNvPr>
        <xdr:cNvSpPr/>
      </xdr:nvSpPr>
      <xdr:spPr>
        <a:xfrm>
          <a:off x="314323" y="1600199"/>
          <a:ext cx="13515977" cy="13801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2692</xdr:colOff>
      <xdr:row>11</xdr:row>
      <xdr:rowOff>56995</xdr:rowOff>
    </xdr:to>
    <xdr:sp macro="" textlink="">
      <xdr:nvSpPr>
        <xdr:cNvPr id="18" name="BACK">
          <a:hlinkClick xmlns:r="http://schemas.openxmlformats.org/officeDocument/2006/relationships" r:id="rId4"/>
          <a:extLst>
            <a:ext uri="{FF2B5EF4-FFF2-40B4-BE49-F238E27FC236}">
              <a16:creationId xmlns:a16="http://schemas.microsoft.com/office/drawing/2014/main" id="{00000000-0008-0000-2800-000012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19" name="BOTTOMRIBBON">
          <a:extLst>
            <a:ext uri="{FF2B5EF4-FFF2-40B4-BE49-F238E27FC236}">
              <a16:creationId xmlns:a16="http://schemas.microsoft.com/office/drawing/2014/main" id="{00000000-0008-0000-2800-000013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213880</xdr:colOff>
      <xdr:row>3</xdr:row>
      <xdr:rowOff>146054</xdr:rowOff>
    </xdr:to>
    <xdr:pic>
      <xdr:nvPicPr>
        <xdr:cNvPr id="20" name="LOGO">
          <a:extLst>
            <a:ext uri="{FF2B5EF4-FFF2-40B4-BE49-F238E27FC236}">
              <a16:creationId xmlns:a16="http://schemas.microsoft.com/office/drawing/2014/main" id="{00000000-0008-0000-2800-00001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89648</xdr:colOff>
      <xdr:row>14</xdr:row>
      <xdr:rowOff>57815</xdr:rowOff>
    </xdr:from>
    <xdr:to>
      <xdr:col>35</xdr:col>
      <xdr:colOff>160345</xdr:colOff>
      <xdr:row>17</xdr:row>
      <xdr:rowOff>144636</xdr:rowOff>
    </xdr:to>
    <xdr:pic>
      <xdr:nvPicPr>
        <xdr:cNvPr id="23" name="LOGO2">
          <a:extLst>
            <a:ext uri="{FF2B5EF4-FFF2-40B4-BE49-F238E27FC236}">
              <a16:creationId xmlns:a16="http://schemas.microsoft.com/office/drawing/2014/main" id="{00000000-0008-0000-28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9833723" y="2658140"/>
          <a:ext cx="1324534" cy="699142"/>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28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28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editAs="oneCell">
    <xdr:from>
      <xdr:col>19</xdr:col>
      <xdr:colOff>291533</xdr:colOff>
      <xdr:row>35</xdr:row>
      <xdr:rowOff>0</xdr:rowOff>
    </xdr:from>
    <xdr:to>
      <xdr:col>25</xdr:col>
      <xdr:colOff>5195</xdr:colOff>
      <xdr:row>42</xdr:row>
      <xdr:rowOff>150540</xdr:rowOff>
    </xdr:to>
    <xdr:pic>
      <xdr:nvPicPr>
        <xdr:cNvPr id="26" name="Picture 25">
          <a:extLst>
            <a:ext uri="{FF2B5EF4-FFF2-40B4-BE49-F238E27FC236}">
              <a16:creationId xmlns:a16="http://schemas.microsoft.com/office/drawing/2014/main" id="{00000000-0008-0000-28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3708" y="6800850"/>
          <a:ext cx="1594417" cy="1579290"/>
        </a:xfrm>
        <a:prstGeom prst="rect">
          <a:avLst/>
        </a:prstGeom>
      </xdr:spPr>
    </xdr:pic>
    <xdr:clientData/>
  </xdr:twoCellAnchor>
  <xdr:twoCellAnchor editAs="oneCell">
    <xdr:from>
      <xdr:col>27</xdr:col>
      <xdr:colOff>0</xdr:colOff>
      <xdr:row>68</xdr:row>
      <xdr:rowOff>169784</xdr:rowOff>
    </xdr:from>
    <xdr:to>
      <xdr:col>29</xdr:col>
      <xdr:colOff>197162</xdr:colOff>
      <xdr:row>71</xdr:row>
      <xdr:rowOff>55790</xdr:rowOff>
    </xdr:to>
    <xdr:pic>
      <xdr:nvPicPr>
        <xdr:cNvPr id="27" name="Picture 26">
          <a:extLst>
            <a:ext uri="{FF2B5EF4-FFF2-40B4-BE49-F238E27FC236}">
              <a16:creationId xmlns:a16="http://schemas.microsoft.com/office/drawing/2014/main" id="{00000000-0008-0000-28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8486775" y="13571459"/>
          <a:ext cx="824081" cy="430291"/>
        </a:xfrm>
        <a:prstGeom prst="rect">
          <a:avLst/>
        </a:prstGeom>
      </xdr:spPr>
    </xdr:pic>
    <xdr:clientData/>
  </xdr:twoCellAnchor>
  <xdr:twoCellAnchor editAs="oneCell">
    <xdr:from>
      <xdr:col>8</xdr:col>
      <xdr:colOff>291352</xdr:colOff>
      <xdr:row>69</xdr:row>
      <xdr:rowOff>36789</xdr:rowOff>
    </xdr:from>
    <xdr:to>
      <xdr:col>11</xdr:col>
      <xdr:colOff>292218</xdr:colOff>
      <xdr:row>72</xdr:row>
      <xdr:rowOff>28576</xdr:rowOff>
    </xdr:to>
    <xdr:pic>
      <xdr:nvPicPr>
        <xdr:cNvPr id="28" name="Picture 27">
          <a:extLst>
            <a:ext uri="{FF2B5EF4-FFF2-40B4-BE49-F238E27FC236}">
              <a16:creationId xmlns:a16="http://schemas.microsoft.com/office/drawing/2014/main" id="{00000000-0008-0000-28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2805952" y="13638489"/>
          <a:ext cx="942975" cy="563286"/>
        </a:xfrm>
        <a:prstGeom prst="rect">
          <a:avLst/>
        </a:prstGeom>
      </xdr:spPr>
    </xdr:pic>
    <xdr:clientData/>
  </xdr:twoCellAnchor>
  <xdr:twoCellAnchor editAs="oneCell">
    <xdr:from>
      <xdr:col>18</xdr:col>
      <xdr:colOff>138353</xdr:colOff>
      <xdr:row>67</xdr:row>
      <xdr:rowOff>161716</xdr:rowOff>
    </xdr:from>
    <xdr:to>
      <xdr:col>21</xdr:col>
      <xdr:colOff>93976</xdr:colOff>
      <xdr:row>72</xdr:row>
      <xdr:rowOff>61232</xdr:rowOff>
    </xdr:to>
    <xdr:pic>
      <xdr:nvPicPr>
        <xdr:cNvPr id="29" name="Picture 28">
          <a:extLst>
            <a:ext uri="{FF2B5EF4-FFF2-40B4-BE49-F238E27FC236}">
              <a16:creationId xmlns:a16="http://schemas.microsoft.com/office/drawing/2014/main" id="{00000000-0008-0000-2800-00001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5796203" y="13363366"/>
          <a:ext cx="894269" cy="838409"/>
        </a:xfrm>
        <a:prstGeom prst="rect">
          <a:avLst/>
        </a:prstGeom>
      </xdr:spPr>
    </xdr:pic>
    <xdr:clientData/>
  </xdr:twoCellAnchor>
  <xdr:twoCellAnchor editAs="oneCell">
    <xdr:from>
      <xdr:col>19</xdr:col>
      <xdr:colOff>0</xdr:colOff>
      <xdr:row>53</xdr:row>
      <xdr:rowOff>137662</xdr:rowOff>
    </xdr:from>
    <xdr:to>
      <xdr:col>34</xdr:col>
      <xdr:colOff>251986</xdr:colOff>
      <xdr:row>59</xdr:row>
      <xdr:rowOff>175532</xdr:rowOff>
    </xdr:to>
    <xdr:pic>
      <xdr:nvPicPr>
        <xdr:cNvPr id="30" name="Picture 29">
          <a:extLst>
            <a:ext uri="{FF2B5EF4-FFF2-40B4-BE49-F238E27FC236}">
              <a16:creationId xmlns:a16="http://schemas.microsoft.com/office/drawing/2014/main" id="{00000000-0008-0000-2800-00001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972175" y="10538962"/>
          <a:ext cx="4955604" cy="1262513"/>
        </a:xfrm>
        <a:prstGeom prst="rect">
          <a:avLst/>
        </a:prstGeom>
      </xdr:spPr>
    </xdr:pic>
    <xdr:clientData/>
  </xdr:twoCellAnchor>
  <xdr:twoCellAnchor>
    <xdr:from>
      <xdr:col>38</xdr:col>
      <xdr:colOff>0</xdr:colOff>
      <xdr:row>13</xdr:row>
      <xdr:rowOff>0</xdr:rowOff>
    </xdr:from>
    <xdr:to>
      <xdr:col>43</xdr:col>
      <xdr:colOff>0</xdr:colOff>
      <xdr:row>17</xdr:row>
      <xdr:rowOff>0</xdr:rowOff>
    </xdr:to>
    <xdr:sp macro="" textlink="">
      <xdr:nvSpPr>
        <xdr:cNvPr id="32" name="TextBox 31">
          <a:hlinkClick xmlns:r="http://schemas.openxmlformats.org/officeDocument/2006/relationships" r:id="rId21"/>
          <a:extLst>
            <a:ext uri="{FF2B5EF4-FFF2-40B4-BE49-F238E27FC236}">
              <a16:creationId xmlns:a16="http://schemas.microsoft.com/office/drawing/2014/main" id="{00000000-0008-0000-2800-000020000000}"/>
            </a:ext>
          </a:extLst>
        </xdr:cNvPr>
        <xdr:cNvSpPr txBox="1"/>
      </xdr:nvSpPr>
      <xdr:spPr>
        <a:xfrm>
          <a:off x="11923059" y="2622176"/>
          <a:ext cx="1568823" cy="806824"/>
        </a:xfrm>
        <a:prstGeom prst="roundRect">
          <a:avLst/>
        </a:prstGeom>
        <a:solidFill>
          <a:srgbClr val="1B6CB5"/>
        </a:solidFill>
        <a:ln w="12700" cmpd="sng">
          <a:solidFill>
            <a:srgbClr val="7F7F7F"/>
          </a:solidFill>
        </a:ln>
        <a:scene3d>
          <a:camera prst="orthographicFront"/>
          <a:lightRig rig="threePt" dir="t"/>
        </a:scene3d>
        <a:sp3d>
          <a:bevelT w="508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CLICK HERE to see</a:t>
          </a:r>
          <a:r>
            <a:rPr lang="en-US" sz="1100" b="1" baseline="0">
              <a:solidFill>
                <a:schemeClr val="bg1"/>
              </a:solidFill>
              <a:latin typeface="Arial" panose="020B0604020202020204" pitchFamily="34" charset="0"/>
              <a:cs typeface="Arial" panose="020B0604020202020204" pitchFamily="34" charset="0"/>
            </a:rPr>
            <a:t> cost and savings graphed</a:t>
          </a:r>
        </a:p>
      </xdr:txBody>
    </xdr:sp>
    <xdr:clientData/>
  </xdr:twoCellAnchor>
  <xdr:twoCellAnchor>
    <xdr:from>
      <xdr:col>23</xdr:col>
      <xdr:colOff>89646</xdr:colOff>
      <xdr:row>76</xdr:row>
      <xdr:rowOff>22412</xdr:rowOff>
    </xdr:from>
    <xdr:to>
      <xdr:col>29</xdr:col>
      <xdr:colOff>78441</xdr:colOff>
      <xdr:row>77</xdr:row>
      <xdr:rowOff>11206</xdr:rowOff>
    </xdr:to>
    <xdr:sp macro="" textlink="">
      <xdr:nvSpPr>
        <xdr:cNvPr id="31" name="Rectangle 30">
          <a:hlinkClick xmlns:r="http://schemas.openxmlformats.org/officeDocument/2006/relationships" r:id="rId22"/>
          <a:extLst>
            <a:ext uri="{FF2B5EF4-FFF2-40B4-BE49-F238E27FC236}">
              <a16:creationId xmlns:a16="http://schemas.microsoft.com/office/drawing/2014/main" id="{00000000-0008-0000-2800-00001F000000}"/>
            </a:ext>
          </a:extLst>
        </xdr:cNvPr>
        <xdr:cNvSpPr/>
      </xdr:nvSpPr>
      <xdr:spPr>
        <a:xfrm>
          <a:off x="7306234" y="15352059"/>
          <a:ext cx="1871383"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31" name="SUBMENU4" hidden="1">
          <a:hlinkClick xmlns:r="http://schemas.openxmlformats.org/officeDocument/2006/relationships" r:id="rId1"/>
          <a:extLst>
            <a:ext uri="{FF2B5EF4-FFF2-40B4-BE49-F238E27FC236}">
              <a16:creationId xmlns:a16="http://schemas.microsoft.com/office/drawing/2014/main" id="{00000000-0008-0000-2900-00001F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3035AC1-575F-40F6-8963-0A4F8FEECD4D}"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6S5">
      <xdr:nvSpPr>
        <xdr:cNvPr id="32" name="SUBMENU5" hidden="1">
          <a:hlinkClick xmlns:r="http://schemas.openxmlformats.org/officeDocument/2006/relationships" r:id="rId2"/>
          <a:extLst>
            <a:ext uri="{FF2B5EF4-FFF2-40B4-BE49-F238E27FC236}">
              <a16:creationId xmlns:a16="http://schemas.microsoft.com/office/drawing/2014/main" id="{00000000-0008-0000-2900-000020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220686D-8A28-4B55-9D55-91499EF1266A}"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33" name="SUBMENU6" hidden="1">
          <a:hlinkClick xmlns:r="http://schemas.openxmlformats.org/officeDocument/2006/relationships" r:id="rId3"/>
          <a:extLst>
            <a:ext uri="{FF2B5EF4-FFF2-40B4-BE49-F238E27FC236}">
              <a16:creationId xmlns:a16="http://schemas.microsoft.com/office/drawing/2014/main" id="{00000000-0008-0000-2900-000021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34" name="SUBMENU7" hidden="1">
          <a:hlinkClick xmlns:r="http://schemas.openxmlformats.org/officeDocument/2006/relationships" r:id="rId4"/>
          <a:extLst>
            <a:ext uri="{FF2B5EF4-FFF2-40B4-BE49-F238E27FC236}">
              <a16:creationId xmlns:a16="http://schemas.microsoft.com/office/drawing/2014/main" id="{00000000-0008-0000-2900-000022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35" name="SUBMENU3" hidden="1">
          <a:hlinkClick xmlns:r="http://schemas.openxmlformats.org/officeDocument/2006/relationships" r:id="rId5"/>
          <a:extLst>
            <a:ext uri="{FF2B5EF4-FFF2-40B4-BE49-F238E27FC236}">
              <a16:creationId xmlns:a16="http://schemas.microsoft.com/office/drawing/2014/main" id="{00000000-0008-0000-2900-000023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36" name="SUBMENU8" hidden="1">
          <a:hlinkClick xmlns:r="http://schemas.openxmlformats.org/officeDocument/2006/relationships" r:id="rId6"/>
          <a:extLst>
            <a:ext uri="{FF2B5EF4-FFF2-40B4-BE49-F238E27FC236}">
              <a16:creationId xmlns:a16="http://schemas.microsoft.com/office/drawing/2014/main" id="{00000000-0008-0000-2900-000024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8" name="MENU1">
          <a:hlinkClick xmlns:r="http://schemas.openxmlformats.org/officeDocument/2006/relationships" r:id="rId7"/>
          <a:extLst>
            <a:ext uri="{FF2B5EF4-FFF2-40B4-BE49-F238E27FC236}">
              <a16:creationId xmlns:a16="http://schemas.microsoft.com/office/drawing/2014/main" id="{00000000-0008-0000-2900-000026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0</xdr:colOff>
      <xdr:row>4</xdr:row>
      <xdr:rowOff>0</xdr:rowOff>
    </xdr:to>
    <xdr:sp macro="" textlink="MAIN2">
      <xdr:nvSpPr>
        <xdr:cNvPr id="39" name="MENU2">
          <a:hlinkClick xmlns:r="http://schemas.openxmlformats.org/officeDocument/2006/relationships" r:id="rId8"/>
          <a:extLst>
            <a:ext uri="{FF2B5EF4-FFF2-40B4-BE49-F238E27FC236}">
              <a16:creationId xmlns:a16="http://schemas.microsoft.com/office/drawing/2014/main" id="{00000000-0008-0000-2900-000027000000}"/>
            </a:ext>
          </a:extLst>
        </xdr:cNvPr>
        <xdr:cNvSpPr/>
      </xdr:nvSpPr>
      <xdr:spPr>
        <a:xfrm>
          <a:off x="34575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1</xdr:rowOff>
    </xdr:from>
    <xdr:to>
      <xdr:col>18</xdr:col>
      <xdr:colOff>315515</xdr:colOff>
      <xdr:row>4</xdr:row>
      <xdr:rowOff>1</xdr:rowOff>
    </xdr:to>
    <xdr:sp macro="" textlink="MAIN3">
      <xdr:nvSpPr>
        <xdr:cNvPr id="40" name="MENU3">
          <a:hlinkClick xmlns:r="http://schemas.openxmlformats.org/officeDocument/2006/relationships" r:id="rId9"/>
          <a:extLst>
            <a:ext uri="{FF2B5EF4-FFF2-40B4-BE49-F238E27FC236}">
              <a16:creationId xmlns:a16="http://schemas.microsoft.com/office/drawing/2014/main" id="{00000000-0008-0000-2900-000028000000}"/>
            </a:ext>
          </a:extLst>
        </xdr:cNvPr>
        <xdr:cNvSpPr/>
      </xdr:nvSpPr>
      <xdr:spPr>
        <a:xfrm>
          <a:off x="47160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41" name="MENU4">
          <a:hlinkClick xmlns:r="http://schemas.openxmlformats.org/officeDocument/2006/relationships" r:id="rId10"/>
          <a:extLst>
            <a:ext uri="{FF2B5EF4-FFF2-40B4-BE49-F238E27FC236}">
              <a16:creationId xmlns:a16="http://schemas.microsoft.com/office/drawing/2014/main" id="{00000000-0008-0000-2900-000029000000}"/>
            </a:ext>
          </a:extLst>
        </xdr:cNvPr>
        <xdr:cNvSpPr/>
      </xdr:nvSpPr>
      <xdr:spPr>
        <a:xfrm>
          <a:off x="5972175" y="200026"/>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0</xdr:rowOff>
    </xdr:from>
    <xdr:to>
      <xdr:col>26</xdr:col>
      <xdr:colOff>315515</xdr:colOff>
      <xdr:row>4</xdr:row>
      <xdr:rowOff>2</xdr:rowOff>
    </xdr:to>
    <xdr:sp macro="" textlink="MAIN5">
      <xdr:nvSpPr>
        <xdr:cNvPr id="42" name="MENU5">
          <a:hlinkClick xmlns:r="http://schemas.openxmlformats.org/officeDocument/2006/relationships" r:id="rId11"/>
          <a:extLst>
            <a:ext uri="{FF2B5EF4-FFF2-40B4-BE49-F238E27FC236}">
              <a16:creationId xmlns:a16="http://schemas.microsoft.com/office/drawing/2014/main" id="{00000000-0008-0000-2900-00002A000000}"/>
            </a:ext>
          </a:extLst>
        </xdr:cNvPr>
        <xdr:cNvSpPr/>
      </xdr:nvSpPr>
      <xdr:spPr>
        <a:xfrm>
          <a:off x="7230665" y="200025"/>
          <a:ext cx="1257300" cy="60007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775</xdr:colOff>
      <xdr:row>1</xdr:row>
      <xdr:rowOff>133351</xdr:rowOff>
    </xdr:from>
    <xdr:to>
      <xdr:col>31</xdr:col>
      <xdr:colOff>776</xdr:colOff>
      <xdr:row>4</xdr:row>
      <xdr:rowOff>39924</xdr:rowOff>
    </xdr:to>
    <xdr:sp macro="" textlink="MAIN6">
      <xdr:nvSpPr>
        <xdr:cNvPr id="43" name="MENU6">
          <a:hlinkClick xmlns:r="http://schemas.openxmlformats.org/officeDocument/2006/relationships" r:id="rId12"/>
          <a:extLst>
            <a:ext uri="{FF2B5EF4-FFF2-40B4-BE49-F238E27FC236}">
              <a16:creationId xmlns:a16="http://schemas.microsoft.com/office/drawing/2014/main" id="{00000000-0008-0000-2900-00002B000000}"/>
            </a:ext>
          </a:extLst>
        </xdr:cNvPr>
        <xdr:cNvSpPr/>
      </xdr:nvSpPr>
      <xdr:spPr>
        <a:xfrm>
          <a:off x="8487550" y="333376"/>
          <a:ext cx="1257301" cy="506648"/>
        </a:xfrm>
        <a:prstGeom prst="round2SameRect">
          <a:avLst/>
        </a:prstGeom>
        <a:solidFill>
          <a:srgbClr val="EE3224"/>
        </a:solidFill>
        <a:ln w="12700" cap="flat" cmpd="sng" algn="ctr">
          <a:no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090DDFE0-B61A-429A-8766-A8377EEBD47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4" name="MENU7">
          <a:extLst>
            <a:ext uri="{FF2B5EF4-FFF2-40B4-BE49-F238E27FC236}">
              <a16:creationId xmlns:a16="http://schemas.microsoft.com/office/drawing/2014/main" id="{00000000-0008-0000-2900-00002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45" name="TOPRIBBON">
          <a:extLst>
            <a:ext uri="{FF2B5EF4-FFF2-40B4-BE49-F238E27FC236}">
              <a16:creationId xmlns:a16="http://schemas.microsoft.com/office/drawing/2014/main" id="{00000000-0008-0000-2900-00002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6S1">
      <xdr:nvSpPr>
        <xdr:cNvPr id="46" name="SUBMENU1">
          <a:hlinkClick xmlns:r="http://schemas.openxmlformats.org/officeDocument/2006/relationships" r:id="rId12"/>
          <a:extLst>
            <a:ext uri="{FF2B5EF4-FFF2-40B4-BE49-F238E27FC236}">
              <a16:creationId xmlns:a16="http://schemas.microsoft.com/office/drawing/2014/main" id="{00000000-0008-0000-2900-00002E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EDCDD2-6C54-4E5C-8A86-B7053D893C4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47" name="SUBMENU2" hidden="1">
          <a:hlinkClick xmlns:r="http://schemas.openxmlformats.org/officeDocument/2006/relationships" r:id="rId13"/>
          <a:extLst>
            <a:ext uri="{FF2B5EF4-FFF2-40B4-BE49-F238E27FC236}">
              <a16:creationId xmlns:a16="http://schemas.microsoft.com/office/drawing/2014/main" id="{00000000-0008-0000-2900-00002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1283D9F-23EB-4F07-9569-1AC9D14DBC5A}"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202</xdr:row>
      <xdr:rowOff>0</xdr:rowOff>
    </xdr:to>
    <xdr:sp macro="" textlink="">
      <xdr:nvSpPr>
        <xdr:cNvPr id="48" name="BORDER">
          <a:extLst>
            <a:ext uri="{FF2B5EF4-FFF2-40B4-BE49-F238E27FC236}">
              <a16:creationId xmlns:a16="http://schemas.microsoft.com/office/drawing/2014/main" id="{00000000-0008-0000-2900-000030000000}"/>
            </a:ext>
          </a:extLst>
        </xdr:cNvPr>
        <xdr:cNvSpPr/>
      </xdr:nvSpPr>
      <xdr:spPr>
        <a:xfrm>
          <a:off x="314323" y="1600199"/>
          <a:ext cx="13515977" cy="144018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50" name="BOTTOMRIBBON">
          <a:extLst>
            <a:ext uri="{FF2B5EF4-FFF2-40B4-BE49-F238E27FC236}">
              <a16:creationId xmlns:a16="http://schemas.microsoft.com/office/drawing/2014/main" id="{00000000-0008-0000-2900-000032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211078</xdr:colOff>
      <xdr:row>3</xdr:row>
      <xdr:rowOff>133167</xdr:rowOff>
    </xdr:to>
    <xdr:pic>
      <xdr:nvPicPr>
        <xdr:cNvPr id="51" name="LOGO">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6855" cy="546104"/>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53" name="MENU7">
          <a:extLst>
            <a:ext uri="{FF2B5EF4-FFF2-40B4-BE49-F238E27FC236}">
              <a16:creationId xmlns:a16="http://schemas.microsoft.com/office/drawing/2014/main" id="{00000000-0008-0000-2900-000035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54" name="MENU7">
          <a:extLst>
            <a:ext uri="{FF2B5EF4-FFF2-40B4-BE49-F238E27FC236}">
              <a16:creationId xmlns:a16="http://schemas.microsoft.com/office/drawing/2014/main" id="{00000000-0008-0000-2900-000036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12</xdr:col>
      <xdr:colOff>313764</xdr:colOff>
      <xdr:row>13</xdr:row>
      <xdr:rowOff>1</xdr:rowOff>
    </xdr:from>
    <xdr:to>
      <xdr:col>42</xdr:col>
      <xdr:colOff>0</xdr:colOff>
      <xdr:row>37</xdr:row>
      <xdr:rowOff>1</xdr:rowOff>
    </xdr:to>
    <xdr:graphicFrame macro="">
      <xdr:nvGraphicFramePr>
        <xdr:cNvPr id="60" name="Chart 59">
          <a:extLst>
            <a:ext uri="{FF2B5EF4-FFF2-40B4-BE49-F238E27FC236}">
              <a16:creationId xmlns:a16="http://schemas.microsoft.com/office/drawing/2014/main" id="{00000000-0008-0000-29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xdr:col>
      <xdr:colOff>28</xdr:colOff>
      <xdr:row>9</xdr:row>
      <xdr:rowOff>0</xdr:rowOff>
    </xdr:from>
    <xdr:to>
      <xdr:col>4</xdr:col>
      <xdr:colOff>0</xdr:colOff>
      <xdr:row>11</xdr:row>
      <xdr:rowOff>57469</xdr:rowOff>
    </xdr:to>
    <xdr:sp macro="" textlink="">
      <xdr:nvSpPr>
        <xdr:cNvPr id="61" name="BACK">
          <a:hlinkClick xmlns:r="http://schemas.openxmlformats.org/officeDocument/2006/relationships" r:id="rId12"/>
          <a:extLst>
            <a:ext uri="{FF2B5EF4-FFF2-40B4-BE49-F238E27FC236}">
              <a16:creationId xmlns:a16="http://schemas.microsoft.com/office/drawing/2014/main" id="{00000000-0008-0000-2900-00003D000000}"/>
            </a:ext>
          </a:extLst>
        </xdr:cNvPr>
        <xdr:cNvSpPr>
          <a:spLocks noChangeAspect="1"/>
        </xdr:cNvSpPr>
      </xdr:nvSpPr>
      <xdr:spPr>
        <a:xfrm>
          <a:off x="62755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40</xdr:col>
      <xdr:colOff>302559</xdr:colOff>
      <xdr:row>9</xdr:row>
      <xdr:rowOff>0</xdr:rowOff>
    </xdr:from>
    <xdr:to>
      <xdr:col>42</xdr:col>
      <xdr:colOff>302531</xdr:colOff>
      <xdr:row>11</xdr:row>
      <xdr:rowOff>57469</xdr:rowOff>
    </xdr:to>
    <xdr:sp macro="" textlink="">
      <xdr:nvSpPr>
        <xdr:cNvPr id="62" name="BACK">
          <a:hlinkClick xmlns:r="http://schemas.openxmlformats.org/officeDocument/2006/relationships" r:id="rId13"/>
          <a:extLst>
            <a:ext uri="{FF2B5EF4-FFF2-40B4-BE49-F238E27FC236}">
              <a16:creationId xmlns:a16="http://schemas.microsoft.com/office/drawing/2014/main" id="{00000000-0008-0000-2900-00003E000000}"/>
            </a:ext>
          </a:extLst>
        </xdr:cNvPr>
        <xdr:cNvSpPr>
          <a:spLocks noChangeAspect="1"/>
        </xdr:cNvSpPr>
      </xdr:nvSpPr>
      <xdr:spPr>
        <a:xfrm rot="10800000">
          <a:off x="12853147" y="1815353"/>
          <a:ext cx="627502" cy="460881"/>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4</xdr:col>
      <xdr:colOff>193051</xdr:colOff>
      <xdr:row>8</xdr:row>
      <xdr:rowOff>11207</xdr:rowOff>
    </xdr:from>
    <xdr:to>
      <xdr:col>8</xdr:col>
      <xdr:colOff>0</xdr:colOff>
      <xdr:row>12</xdr:row>
      <xdr:rowOff>11206</xdr:rowOff>
    </xdr:to>
    <xdr:sp macro="" textlink="">
      <xdr:nvSpPr>
        <xdr:cNvPr id="63" name="TextBox 62">
          <a:extLst>
            <a:ext uri="{FF2B5EF4-FFF2-40B4-BE49-F238E27FC236}">
              <a16:creationId xmlns:a16="http://schemas.microsoft.com/office/drawing/2014/main" id="{00000000-0008-0000-2900-00003F000000}"/>
            </a:ext>
          </a:extLst>
        </xdr:cNvPr>
        <xdr:cNvSpPr txBox="1"/>
      </xdr:nvSpPr>
      <xdr:spPr>
        <a:xfrm>
          <a:off x="1448110" y="1624854"/>
          <a:ext cx="1062008"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rgbClr val="1B6CB5"/>
              </a:solidFill>
              <a:latin typeface="Arial" panose="020B0604020202020204" pitchFamily="34" charset="0"/>
              <a:cs typeface="Arial" panose="020B0604020202020204" pitchFamily="34" charset="0"/>
            </a:rPr>
            <a:t>Back to Project</a:t>
          </a:r>
          <a:r>
            <a:rPr lang="en-US" sz="1400" b="1" baseline="0">
              <a:solidFill>
                <a:srgbClr val="1B6CB5"/>
              </a:solidFill>
              <a:latin typeface="Arial" panose="020B0604020202020204" pitchFamily="34" charset="0"/>
              <a:cs typeface="Arial" panose="020B0604020202020204" pitchFamily="34" charset="0"/>
            </a:rPr>
            <a:t> Summary</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A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8F0CF5-A2A3-4A74-A1B0-60DFD57B40CB}"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A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CF396B-A5EA-452F-AEB7-1CB9824AABF5}"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A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A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A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A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A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A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xdr:colOff>
      <xdr:row>1</xdr:row>
      <xdr:rowOff>0</xdr:rowOff>
    </xdr:from>
    <xdr:to>
      <xdr:col>19</xdr:col>
      <xdr:colOff>0</xdr:colOff>
      <xdr:row>4</xdr:row>
      <xdr:rowOff>0</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A00-000005000000}"/>
            </a:ext>
          </a:extLst>
        </xdr:cNvPr>
        <xdr:cNvSpPr/>
      </xdr:nvSpPr>
      <xdr:spPr>
        <a:xfrm>
          <a:off x="472965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A00-000006000000}"/>
            </a:ext>
          </a:extLst>
        </xdr:cNvPr>
        <xdr:cNvSpPr/>
      </xdr:nvSpPr>
      <xdr:spPr>
        <a:xfrm>
          <a:off x="5990897"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2548</xdr:colOff>
      <xdr:row>1</xdr:row>
      <xdr:rowOff>2</xdr:rowOff>
    </xdr:from>
    <xdr:to>
      <xdr:col>27</xdr:col>
      <xdr:colOff>2549</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A00-000007000000}"/>
            </a:ext>
          </a:extLst>
        </xdr:cNvPr>
        <xdr:cNvSpPr/>
      </xdr:nvSpPr>
      <xdr:spPr>
        <a:xfrm>
          <a:off x="7254686" y="197071"/>
          <a:ext cx="1261242" cy="591206"/>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2549</xdr:colOff>
      <xdr:row>1</xdr:row>
      <xdr:rowOff>133349</xdr:rowOff>
    </xdr:from>
    <xdr:to>
      <xdr:col>31</xdr:col>
      <xdr:colOff>2548</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A00-000008000000}"/>
            </a:ext>
          </a:extLst>
        </xdr:cNvPr>
        <xdr:cNvSpPr/>
      </xdr:nvSpPr>
      <xdr:spPr>
        <a:xfrm>
          <a:off x="8489324" y="333374"/>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8C3A4395-4572-4304-B650-4E08EDD53851}"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A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A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CC4CDD8-56CB-4BA8-83A5-0F8D7A9C6901}"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A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E7F1FD3-2D9D-440F-9982-08B14FBBF4F0}"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A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56029</xdr:colOff>
      <xdr:row>15</xdr:row>
      <xdr:rowOff>179295</xdr:rowOff>
    </xdr:from>
    <xdr:to>
      <xdr:col>42</xdr:col>
      <xdr:colOff>190500</xdr:colOff>
      <xdr:row>16</xdr:row>
      <xdr:rowOff>134472</xdr:rowOff>
    </xdr:to>
    <xdr:sp macro="" textlink="">
      <xdr:nvSpPr>
        <xdr:cNvPr id="34" name="Rectangle 33">
          <a:hlinkClick xmlns:r="http://schemas.openxmlformats.org/officeDocument/2006/relationships" r:id="rId13"/>
          <a:extLst>
            <a:ext uri="{FF2B5EF4-FFF2-40B4-BE49-F238E27FC236}">
              <a16:creationId xmlns:a16="http://schemas.microsoft.com/office/drawing/2014/main" id="{00000000-0008-0000-2A00-000022000000}"/>
            </a:ext>
          </a:extLst>
        </xdr:cNvPr>
        <xdr:cNvSpPr/>
      </xdr:nvSpPr>
      <xdr:spPr>
        <a:xfrm>
          <a:off x="11665323" y="3204883"/>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7"/>
          <a:extLst>
            <a:ext uri="{FF2B5EF4-FFF2-40B4-BE49-F238E27FC236}">
              <a16:creationId xmlns:a16="http://schemas.microsoft.com/office/drawing/2014/main" id="{00000000-0008-0000-2A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a:extLst>
            <a:ext uri="{FF2B5EF4-FFF2-40B4-BE49-F238E27FC236}">
              <a16:creationId xmlns:a16="http://schemas.microsoft.com/office/drawing/2014/main" id="{00000000-0008-0000-2A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a:extLst>
            <a:ext uri="{FF2B5EF4-FFF2-40B4-BE49-F238E27FC236}">
              <a16:creationId xmlns:a16="http://schemas.microsoft.com/office/drawing/2014/main" id="{00000000-0008-0000-2A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a:extLst>
            <a:ext uri="{FF2B5EF4-FFF2-40B4-BE49-F238E27FC236}">
              <a16:creationId xmlns:a16="http://schemas.microsoft.com/office/drawing/2014/main" id="{00000000-0008-0000-2A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A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2A00-00001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xdr:col>
      <xdr:colOff>0</xdr:colOff>
      <xdr:row>26</xdr:row>
      <xdr:rowOff>0</xdr:rowOff>
    </xdr:from>
    <xdr:to>
      <xdr:col>10</xdr:col>
      <xdr:colOff>0</xdr:colOff>
      <xdr:row>27</xdr:row>
      <xdr:rowOff>1</xdr:rowOff>
    </xdr:to>
    <xdr:sp macro="" textlink="">
      <xdr:nvSpPr>
        <xdr:cNvPr id="48" name="Rectangle 47">
          <a:extLst>
            <a:ext uri="{FF2B5EF4-FFF2-40B4-BE49-F238E27FC236}">
              <a16:creationId xmlns:a16="http://schemas.microsoft.com/office/drawing/2014/main" id="{00000000-0008-0000-2A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30" name="MENU7">
          <a:extLst>
            <a:ext uri="{FF2B5EF4-FFF2-40B4-BE49-F238E27FC236}">
              <a16:creationId xmlns:a16="http://schemas.microsoft.com/office/drawing/2014/main" id="{00000000-0008-0000-2A00-00001E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A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B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BD0F293-7320-4994-B74D-4878824A42B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B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11207</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B00-000004000000}"/>
            </a:ext>
          </a:extLst>
        </xdr:cNvPr>
        <xdr:cNvSpPr/>
      </xdr:nvSpPr>
      <xdr:spPr>
        <a:xfrm>
          <a:off x="3468414" y="197069"/>
          <a:ext cx="1272448"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11207</xdr:colOff>
      <xdr:row>1</xdr:row>
      <xdr:rowOff>0</xdr:rowOff>
    </xdr:from>
    <xdr:to>
      <xdr:col>19</xdr:col>
      <xdr:colOff>11206</xdr:colOff>
      <xdr:row>4</xdr:row>
      <xdr:rowOff>0</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B00-000005000000}"/>
            </a:ext>
          </a:extLst>
        </xdr:cNvPr>
        <xdr:cNvSpPr/>
      </xdr:nvSpPr>
      <xdr:spPr>
        <a:xfrm>
          <a:off x="4740862"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11206</xdr:colOff>
      <xdr:row>1</xdr:row>
      <xdr:rowOff>0</xdr:rowOff>
    </xdr:from>
    <xdr:to>
      <xdr:col>23</xdr:col>
      <xdr:colOff>11206</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B00-000006000000}"/>
            </a:ext>
          </a:extLst>
        </xdr:cNvPr>
        <xdr:cNvSpPr/>
      </xdr:nvSpPr>
      <xdr:spPr>
        <a:xfrm>
          <a:off x="6002103"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11206</xdr:colOff>
      <xdr:row>1</xdr:row>
      <xdr:rowOff>0</xdr:rowOff>
    </xdr:from>
    <xdr:to>
      <xdr:col>27</xdr:col>
      <xdr:colOff>11207</xdr:colOff>
      <xdr:row>4</xdr:row>
      <xdr:rowOff>0</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B00-000007000000}"/>
            </a:ext>
          </a:extLst>
        </xdr:cNvPr>
        <xdr:cNvSpPr/>
      </xdr:nvSpPr>
      <xdr:spPr>
        <a:xfrm>
          <a:off x="7263344" y="197069"/>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11207</xdr:colOff>
      <xdr:row>1</xdr:row>
      <xdr:rowOff>133350</xdr:rowOff>
    </xdr:from>
    <xdr:to>
      <xdr:col>31</xdr:col>
      <xdr:colOff>11206</xdr:colOff>
      <xdr:row>4</xdr:row>
      <xdr:rowOff>36195</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B00-000008000000}"/>
            </a:ext>
          </a:extLst>
        </xdr:cNvPr>
        <xdr:cNvSpPr/>
      </xdr:nvSpPr>
      <xdr:spPr>
        <a:xfrm>
          <a:off x="8497982" y="333375"/>
          <a:ext cx="1257299"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44A3895-A895-4F11-8F7C-1AA7391EA5F4}"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755E72D-51C5-45BD-A850-C6A3E052A56E}"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C142356-A9F1-4A6D-B76C-88FCC63961C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6S4">
      <xdr:nvSpPr>
        <xdr:cNvPr id="14" name="SUBMENU4">
          <a:hlinkClick xmlns:r="http://schemas.openxmlformats.org/officeDocument/2006/relationships" r:id="rId13"/>
          <a:extLst>
            <a:ext uri="{FF2B5EF4-FFF2-40B4-BE49-F238E27FC236}">
              <a16:creationId xmlns:a16="http://schemas.microsoft.com/office/drawing/2014/main" id="{00000000-0008-0000-2B00-00000E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F840B7BB-0DE4-4AB8-9330-DD8C22CDA037}"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B00-000013000000}"/>
            </a:ext>
          </a:extLst>
        </xdr:cNvPr>
        <xdr:cNvSpPr/>
      </xdr:nvSpPr>
      <xdr:spPr>
        <a:xfrm>
          <a:off x="314323" y="1611965"/>
          <a:ext cx="13491324" cy="14524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14</xdr:row>
      <xdr:rowOff>0</xdr:rowOff>
    </xdr:from>
    <xdr:to>
      <xdr:col>34</xdr:col>
      <xdr:colOff>194975</xdr:colOff>
      <xdr:row>17</xdr:row>
      <xdr:rowOff>0</xdr:rowOff>
    </xdr:to>
    <xdr:pic>
      <xdr:nvPicPr>
        <xdr:cNvPr id="29" name="LOGO2">
          <a:extLst>
            <a:ext uri="{FF2B5EF4-FFF2-40B4-BE49-F238E27FC236}">
              <a16:creationId xmlns:a16="http://schemas.microsoft.com/office/drawing/2014/main" id="{00000000-0008-0000-2B00-00001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66</xdr:row>
      <xdr:rowOff>123265</xdr:rowOff>
    </xdr:from>
    <xdr:to>
      <xdr:col>16</xdr:col>
      <xdr:colOff>11206</xdr:colOff>
      <xdr:row>67</xdr:row>
      <xdr:rowOff>100853</xdr:rowOff>
    </xdr:to>
    <xdr:sp macro="" textlink="">
      <xdr:nvSpPr>
        <xdr:cNvPr id="25" name="Rectangle 24">
          <a:hlinkClick xmlns:r="http://schemas.openxmlformats.org/officeDocument/2006/relationships" r:id="rId16"/>
          <a:extLst>
            <a:ext uri="{FF2B5EF4-FFF2-40B4-BE49-F238E27FC236}">
              <a16:creationId xmlns:a16="http://schemas.microsoft.com/office/drawing/2014/main" id="{00000000-0008-0000-2B00-000019000000}"/>
            </a:ext>
          </a:extLst>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41</xdr:row>
      <xdr:rowOff>26895</xdr:rowOff>
    </xdr:from>
    <xdr:to>
      <xdr:col>11</xdr:col>
      <xdr:colOff>237569</xdr:colOff>
      <xdr:row>41</xdr:row>
      <xdr:rowOff>192742</xdr:rowOff>
    </xdr:to>
    <xdr:sp macro="" textlink="">
      <xdr:nvSpPr>
        <xdr:cNvPr id="26" name="Rectangle 25">
          <a:hlinkClick xmlns:r="http://schemas.openxmlformats.org/officeDocument/2006/relationships" r:id="rId9"/>
          <a:extLst>
            <a:ext uri="{FF2B5EF4-FFF2-40B4-BE49-F238E27FC236}">
              <a16:creationId xmlns:a16="http://schemas.microsoft.com/office/drawing/2014/main" id="{00000000-0008-0000-2B00-00001A000000}"/>
            </a:ext>
          </a:extLst>
        </xdr:cNvPr>
        <xdr:cNvSpPr/>
      </xdr:nvSpPr>
      <xdr:spPr>
        <a:xfrm>
          <a:off x="3164543" y="8498542"/>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40</xdr:row>
      <xdr:rowOff>11206</xdr:rowOff>
    </xdr:from>
    <xdr:to>
      <xdr:col>11</xdr:col>
      <xdr:colOff>293596</xdr:colOff>
      <xdr:row>40</xdr:row>
      <xdr:rowOff>181536</xdr:rowOff>
    </xdr:to>
    <xdr:sp macro="" textlink="">
      <xdr:nvSpPr>
        <xdr:cNvPr id="27" name="Rectangle 26">
          <a:hlinkClick xmlns:r="http://schemas.openxmlformats.org/officeDocument/2006/relationships" r:id="rId8"/>
          <a:extLst>
            <a:ext uri="{FF2B5EF4-FFF2-40B4-BE49-F238E27FC236}">
              <a16:creationId xmlns:a16="http://schemas.microsoft.com/office/drawing/2014/main" id="{00000000-0008-0000-2B00-00001B000000}"/>
            </a:ext>
          </a:extLst>
        </xdr:cNvPr>
        <xdr:cNvSpPr/>
      </xdr:nvSpPr>
      <xdr:spPr>
        <a:xfrm>
          <a:off x="3160059" y="8281147"/>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8" name="MENU7">
          <a:extLst>
            <a:ext uri="{FF2B5EF4-FFF2-40B4-BE49-F238E27FC236}">
              <a16:creationId xmlns:a16="http://schemas.microsoft.com/office/drawing/2014/main" id="{00000000-0008-0000-2B00-00001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1" name="MENU7">
          <a:extLst>
            <a:ext uri="{FF2B5EF4-FFF2-40B4-BE49-F238E27FC236}">
              <a16:creationId xmlns:a16="http://schemas.microsoft.com/office/drawing/2014/main" id="{00000000-0008-0000-2B00-00001F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1"/>
          <a:extLst>
            <a:ext uri="{FF2B5EF4-FFF2-40B4-BE49-F238E27FC236}">
              <a16:creationId xmlns:a16="http://schemas.microsoft.com/office/drawing/2014/main" id="{00000000-0008-0000-2C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EE2BE87-6492-43B3-8DDE-211A1950CE43}"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C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a:extLst>
            <a:ext uri="{FF2B5EF4-FFF2-40B4-BE49-F238E27FC236}">
              <a16:creationId xmlns:a16="http://schemas.microsoft.com/office/drawing/2014/main" id="{00000000-0008-0000-2C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a:extLst>
            <a:ext uri="{FF2B5EF4-FFF2-40B4-BE49-F238E27FC236}">
              <a16:creationId xmlns:a16="http://schemas.microsoft.com/office/drawing/2014/main" id="{00000000-0008-0000-2C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a:extLst>
            <a:ext uri="{FF2B5EF4-FFF2-40B4-BE49-F238E27FC236}">
              <a16:creationId xmlns:a16="http://schemas.microsoft.com/office/drawing/2014/main" id="{00000000-0008-0000-2C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6"/>
          <a:extLst>
            <a:ext uri="{FF2B5EF4-FFF2-40B4-BE49-F238E27FC236}">
              <a16:creationId xmlns:a16="http://schemas.microsoft.com/office/drawing/2014/main" id="{00000000-0008-0000-2C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0</xdr:rowOff>
    </xdr:from>
    <xdr:to>
      <xdr:col>15</xdr:col>
      <xdr:colOff>1</xdr:colOff>
      <xdr:row>4</xdr:row>
      <xdr:rowOff>0</xdr:rowOff>
    </xdr:to>
    <xdr:sp macro="" textlink="MAIN2">
      <xdr:nvSpPr>
        <xdr:cNvPr id="4" name="MENU2">
          <a:hlinkClick xmlns:r="http://schemas.openxmlformats.org/officeDocument/2006/relationships" r:id="rId7"/>
          <a:extLst>
            <a:ext uri="{FF2B5EF4-FFF2-40B4-BE49-F238E27FC236}">
              <a16:creationId xmlns:a16="http://schemas.microsoft.com/office/drawing/2014/main" id="{00000000-0008-0000-2C00-000004000000}"/>
            </a:ext>
          </a:extLst>
        </xdr:cNvPr>
        <xdr:cNvSpPr/>
      </xdr:nvSpPr>
      <xdr:spPr>
        <a:xfrm>
          <a:off x="3468414" y="197069"/>
          <a:ext cx="1261242"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1</xdr:rowOff>
    </xdr:from>
    <xdr:to>
      <xdr:col>18</xdr:col>
      <xdr:colOff>315310</xdr:colOff>
      <xdr:row>4</xdr:row>
      <xdr:rowOff>1</xdr:rowOff>
    </xdr:to>
    <xdr:sp macro="" textlink="MAIN3">
      <xdr:nvSpPr>
        <xdr:cNvPr id="5" name="MENU3">
          <a:hlinkClick xmlns:r="http://schemas.openxmlformats.org/officeDocument/2006/relationships" r:id="rId8"/>
          <a:extLst>
            <a:ext uri="{FF2B5EF4-FFF2-40B4-BE49-F238E27FC236}">
              <a16:creationId xmlns:a16="http://schemas.microsoft.com/office/drawing/2014/main" id="{00000000-0008-0000-2C00-000005000000}"/>
            </a:ext>
          </a:extLst>
        </xdr:cNvPr>
        <xdr:cNvSpPr/>
      </xdr:nvSpPr>
      <xdr:spPr>
        <a:xfrm>
          <a:off x="4729655" y="197070"/>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6569</xdr:colOff>
      <xdr:row>1</xdr:row>
      <xdr:rowOff>0</xdr:rowOff>
    </xdr:from>
    <xdr:to>
      <xdr:col>23</xdr:col>
      <xdr:colOff>6569</xdr:colOff>
      <xdr:row>4</xdr:row>
      <xdr:rowOff>0</xdr:rowOff>
    </xdr:to>
    <xdr:sp macro="" textlink="MAIN4">
      <xdr:nvSpPr>
        <xdr:cNvPr id="6" name="MENU4">
          <a:hlinkClick xmlns:r="http://schemas.openxmlformats.org/officeDocument/2006/relationships" r:id="rId9"/>
          <a:extLst>
            <a:ext uri="{FF2B5EF4-FFF2-40B4-BE49-F238E27FC236}">
              <a16:creationId xmlns:a16="http://schemas.microsoft.com/office/drawing/2014/main" id="{00000000-0008-0000-2C00-000006000000}"/>
            </a:ext>
          </a:extLst>
        </xdr:cNvPr>
        <xdr:cNvSpPr/>
      </xdr:nvSpPr>
      <xdr:spPr>
        <a:xfrm>
          <a:off x="5997466" y="197069"/>
          <a:ext cx="1261241"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6569</xdr:colOff>
      <xdr:row>1</xdr:row>
      <xdr:rowOff>1</xdr:rowOff>
    </xdr:from>
    <xdr:to>
      <xdr:col>27</xdr:col>
      <xdr:colOff>6570</xdr:colOff>
      <xdr:row>4</xdr:row>
      <xdr:rowOff>1</xdr:rowOff>
    </xdr:to>
    <xdr:sp macro="" textlink="MAIN5">
      <xdr:nvSpPr>
        <xdr:cNvPr id="7" name="MENU5">
          <a:hlinkClick xmlns:r="http://schemas.openxmlformats.org/officeDocument/2006/relationships" r:id="rId10"/>
          <a:extLst>
            <a:ext uri="{FF2B5EF4-FFF2-40B4-BE49-F238E27FC236}">
              <a16:creationId xmlns:a16="http://schemas.microsoft.com/office/drawing/2014/main" id="{00000000-0008-0000-2C00-000007000000}"/>
            </a:ext>
          </a:extLst>
        </xdr:cNvPr>
        <xdr:cNvSpPr/>
      </xdr:nvSpPr>
      <xdr:spPr>
        <a:xfrm>
          <a:off x="7258707" y="197070"/>
          <a:ext cx="1261242" cy="591207"/>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6571</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1"/>
          <a:extLst>
            <a:ext uri="{FF2B5EF4-FFF2-40B4-BE49-F238E27FC236}">
              <a16:creationId xmlns:a16="http://schemas.microsoft.com/office/drawing/2014/main" id="{00000000-0008-0000-2C00-000008000000}"/>
            </a:ext>
          </a:extLst>
        </xdr:cNvPr>
        <xdr:cNvSpPr/>
      </xdr:nvSpPr>
      <xdr:spPr>
        <a:xfrm>
          <a:off x="8493346" y="333374"/>
          <a:ext cx="1250730"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611476D-33D3-4988-A842-445130EF8537}"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C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C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1"/>
          <a:extLst>
            <a:ext uri="{FF2B5EF4-FFF2-40B4-BE49-F238E27FC236}">
              <a16:creationId xmlns:a16="http://schemas.microsoft.com/office/drawing/2014/main" id="{00000000-0008-0000-2C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40377B6-AAD1-4F58-93E5-05B625009135}"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2"/>
          <a:extLst>
            <a:ext uri="{FF2B5EF4-FFF2-40B4-BE49-F238E27FC236}">
              <a16:creationId xmlns:a16="http://schemas.microsoft.com/office/drawing/2014/main" id="{00000000-0008-0000-2C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3D9EC6-6A73-4743-A49E-E17C67F99CF1}"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6S5">
      <xdr:nvSpPr>
        <xdr:cNvPr id="15" name="SUBMENU5">
          <a:hlinkClick xmlns:r="http://schemas.openxmlformats.org/officeDocument/2006/relationships" r:id="rId13"/>
          <a:extLst>
            <a:ext uri="{FF2B5EF4-FFF2-40B4-BE49-F238E27FC236}">
              <a16:creationId xmlns:a16="http://schemas.microsoft.com/office/drawing/2014/main" id="{00000000-0008-0000-2C00-00000F000000}"/>
            </a:ext>
          </a:extLst>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A467864-E88F-4B89-8BA1-7B793B63B651}"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C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72</xdr:col>
      <xdr:colOff>161925</xdr:colOff>
      <xdr:row>19</xdr:row>
      <xdr:rowOff>0</xdr:rowOff>
    </xdr:from>
    <xdr:to>
      <xdr:col>16384</xdr:col>
      <xdr:colOff>607919</xdr:colOff>
      <xdr:row>19</xdr:row>
      <xdr:rowOff>0</xdr:rowOff>
    </xdr:to>
    <xdr:pic>
      <xdr:nvPicPr>
        <xdr:cNvPr id="24" name="Picture 4" descr="Ameren_MO_1C1.png">
          <a:extLst>
            <a:ext uri="{FF2B5EF4-FFF2-40B4-BE49-F238E27FC236}">
              <a16:creationId xmlns:a16="http://schemas.microsoft.com/office/drawing/2014/main" id="{00000000-0008-0000-2C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44</xdr:row>
      <xdr:rowOff>0</xdr:rowOff>
    </xdr:from>
    <xdr:to>
      <xdr:col>52</xdr:col>
      <xdr:colOff>0</xdr:colOff>
      <xdr:row>45</xdr:row>
      <xdr:rowOff>0</xdr:rowOff>
    </xdr:to>
    <xdr:sp macro="" textlink="">
      <xdr:nvSpPr>
        <xdr:cNvPr id="25" name="TextBox 24">
          <a:hlinkClick xmlns:r="http://schemas.openxmlformats.org/officeDocument/2006/relationships" r:id="rId8"/>
          <a:extLst>
            <a:ext uri="{FF2B5EF4-FFF2-40B4-BE49-F238E27FC236}">
              <a16:creationId xmlns:a16="http://schemas.microsoft.com/office/drawing/2014/main" id="{00000000-0008-0000-2C00-000019000000}"/>
            </a:ext>
          </a:extLst>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a:extLst>
            <a:ext uri="{FF2B5EF4-FFF2-40B4-BE49-F238E27FC236}">
              <a16:creationId xmlns:a16="http://schemas.microsoft.com/office/drawing/2014/main" id="{00000000-0008-0000-2C00-00002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51</xdr:col>
      <xdr:colOff>0</xdr:colOff>
      <xdr:row>43</xdr:row>
      <xdr:rowOff>197069</xdr:rowOff>
    </xdr:from>
    <xdr:to>
      <xdr:col>52</xdr:col>
      <xdr:colOff>0</xdr:colOff>
      <xdr:row>44</xdr:row>
      <xdr:rowOff>197069</xdr:rowOff>
    </xdr:to>
    <xdr:sp macro="" textlink="">
      <xdr:nvSpPr>
        <xdr:cNvPr id="45" name="TextBox 44">
          <a:hlinkClick xmlns:r="http://schemas.openxmlformats.org/officeDocument/2006/relationships" r:id="rId8"/>
          <a:extLst>
            <a:ext uri="{FF2B5EF4-FFF2-40B4-BE49-F238E27FC236}">
              <a16:creationId xmlns:a16="http://schemas.microsoft.com/office/drawing/2014/main" id="{00000000-0008-0000-2C00-00002D000000}"/>
            </a:ext>
          </a:extLst>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15</xdr:row>
      <xdr:rowOff>0</xdr:rowOff>
    </xdr:from>
    <xdr:to>
      <xdr:col>34</xdr:col>
      <xdr:colOff>194975</xdr:colOff>
      <xdr:row>17</xdr:row>
      <xdr:rowOff>197069</xdr:rowOff>
    </xdr:to>
    <xdr:pic>
      <xdr:nvPicPr>
        <xdr:cNvPr id="30" name="LOGO2">
          <a:extLst>
            <a:ext uri="{FF2B5EF4-FFF2-40B4-BE49-F238E27FC236}">
              <a16:creationId xmlns:a16="http://schemas.microsoft.com/office/drawing/2014/main" id="{00000000-0008-0000-2C00-00001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63</xdr:row>
          <xdr:rowOff>171450</xdr:rowOff>
        </xdr:from>
        <xdr:to>
          <xdr:col>25</xdr:col>
          <xdr:colOff>0</xdr:colOff>
          <xdr:row>64</xdr:row>
          <xdr:rowOff>190500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C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C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62</xdr:row>
      <xdr:rowOff>0</xdr:rowOff>
    </xdr:from>
    <xdr:to>
      <xdr:col>34</xdr:col>
      <xdr:colOff>291352</xdr:colOff>
      <xdr:row>62</xdr:row>
      <xdr:rowOff>179294</xdr:rowOff>
    </xdr:to>
    <xdr:sp macro="" textlink="">
      <xdr:nvSpPr>
        <xdr:cNvPr id="33" name="Rectangle 32">
          <a:hlinkClick xmlns:r="http://schemas.openxmlformats.org/officeDocument/2006/relationships" r:id="rId17"/>
          <a:extLst>
            <a:ext uri="{FF2B5EF4-FFF2-40B4-BE49-F238E27FC236}">
              <a16:creationId xmlns:a16="http://schemas.microsoft.com/office/drawing/2014/main" id="{00000000-0008-0000-2C00-000021000000}"/>
            </a:ext>
          </a:extLst>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57</xdr:row>
      <xdr:rowOff>197224</xdr:rowOff>
    </xdr:from>
    <xdr:to>
      <xdr:col>13</xdr:col>
      <xdr:colOff>145677</xdr:colOff>
      <xdr:row>58</xdr:row>
      <xdr:rowOff>156883</xdr:rowOff>
    </xdr:to>
    <xdr:sp macro="" textlink="">
      <xdr:nvSpPr>
        <xdr:cNvPr id="34" name="Rectangle 33">
          <a:hlinkClick xmlns:r="http://schemas.openxmlformats.org/officeDocument/2006/relationships" r:id="rId18"/>
          <a:extLst>
            <a:ext uri="{FF2B5EF4-FFF2-40B4-BE49-F238E27FC236}">
              <a16:creationId xmlns:a16="http://schemas.microsoft.com/office/drawing/2014/main" id="{00000000-0008-0000-2C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50</xdr:row>
      <xdr:rowOff>181536</xdr:rowOff>
    </xdr:from>
    <xdr:to>
      <xdr:col>16</xdr:col>
      <xdr:colOff>56030</xdr:colOff>
      <xdr:row>51</xdr:row>
      <xdr:rowOff>145677</xdr:rowOff>
    </xdr:to>
    <xdr:sp macro="" textlink="">
      <xdr:nvSpPr>
        <xdr:cNvPr id="36" name="Rectangle 35">
          <a:hlinkClick xmlns:r="http://schemas.openxmlformats.org/officeDocument/2006/relationships" r:id="rId9"/>
          <a:extLst>
            <a:ext uri="{FF2B5EF4-FFF2-40B4-BE49-F238E27FC236}">
              <a16:creationId xmlns:a16="http://schemas.microsoft.com/office/drawing/2014/main" id="{00000000-0008-0000-2C00-000024000000}"/>
            </a:ext>
          </a:extLst>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50</xdr:row>
      <xdr:rowOff>165847</xdr:rowOff>
    </xdr:from>
    <xdr:to>
      <xdr:col>18</xdr:col>
      <xdr:colOff>123263</xdr:colOff>
      <xdr:row>51</xdr:row>
      <xdr:rowOff>134471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0000000-0008-0000-2C00-000025000000}"/>
            </a:ext>
          </a:extLst>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42</xdr:row>
      <xdr:rowOff>15688</xdr:rowOff>
    </xdr:from>
    <xdr:to>
      <xdr:col>11</xdr:col>
      <xdr:colOff>221879</xdr:colOff>
      <xdr:row>42</xdr:row>
      <xdr:rowOff>181535</xdr:rowOff>
    </xdr:to>
    <xdr:sp macro="" textlink="">
      <xdr:nvSpPr>
        <xdr:cNvPr id="35" name="Rectangle 34">
          <a:hlinkClick xmlns:r="http://schemas.openxmlformats.org/officeDocument/2006/relationships" r:id="rId9"/>
          <a:extLst>
            <a:ext uri="{FF2B5EF4-FFF2-40B4-BE49-F238E27FC236}">
              <a16:creationId xmlns:a16="http://schemas.microsoft.com/office/drawing/2014/main" id="{00000000-0008-0000-2C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40</xdr:row>
      <xdr:rowOff>201705</xdr:rowOff>
    </xdr:from>
    <xdr:to>
      <xdr:col>11</xdr:col>
      <xdr:colOff>277906</xdr:colOff>
      <xdr:row>41</xdr:row>
      <xdr:rowOff>170329</xdr:rowOff>
    </xdr:to>
    <xdr:sp macro="" textlink="">
      <xdr:nvSpPr>
        <xdr:cNvPr id="39" name="Rectangle 38">
          <a:hlinkClick xmlns:r="http://schemas.openxmlformats.org/officeDocument/2006/relationships" r:id="rId8"/>
          <a:extLst>
            <a:ext uri="{FF2B5EF4-FFF2-40B4-BE49-F238E27FC236}">
              <a16:creationId xmlns:a16="http://schemas.microsoft.com/office/drawing/2014/main" id="{00000000-0008-0000-2C00-000027000000}"/>
            </a:ext>
          </a:extLst>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40" name="MENU7">
          <a:extLst>
            <a:ext uri="{FF2B5EF4-FFF2-40B4-BE49-F238E27FC236}">
              <a16:creationId xmlns:a16="http://schemas.microsoft.com/office/drawing/2014/main" id="{00000000-0008-0000-2C00-00002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41" name="MENU7">
          <a:extLst>
            <a:ext uri="{FF2B5EF4-FFF2-40B4-BE49-F238E27FC236}">
              <a16:creationId xmlns:a16="http://schemas.microsoft.com/office/drawing/2014/main" id="{00000000-0008-0000-2C00-00002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19050</xdr:colOff>
          <xdr:row>70</xdr:row>
          <xdr:rowOff>200025</xdr:rowOff>
        </xdr:from>
        <xdr:to>
          <xdr:col>11</xdr:col>
          <xdr:colOff>28575</xdr:colOff>
          <xdr:row>71</xdr:row>
          <xdr:rowOff>200025</xdr:rowOff>
        </xdr:to>
        <xdr:sp macro="" textlink="">
          <xdr:nvSpPr>
            <xdr:cNvPr id="40965" name="M06S05C01" hidden="1">
              <a:extLst>
                <a:ext uri="{63B3BB69-23CF-44E3-9099-C40C66FF867C}">
                  <a14:compatExt spid="_x0000_s40965"/>
                </a:ext>
                <a:ext uri="{FF2B5EF4-FFF2-40B4-BE49-F238E27FC236}">
                  <a16:creationId xmlns:a16="http://schemas.microsoft.com/office/drawing/2014/main" id="{00000000-0008-0000-2C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200025</xdr:rowOff>
        </xdr:from>
        <xdr:to>
          <xdr:col>26</xdr:col>
          <xdr:colOff>0</xdr:colOff>
          <xdr:row>72</xdr:row>
          <xdr:rowOff>0</xdr:rowOff>
        </xdr:to>
        <xdr:sp macro="" textlink="">
          <xdr:nvSpPr>
            <xdr:cNvPr id="40966" name="M06S05C02" hidden="1">
              <a:extLst>
                <a:ext uri="{63B3BB69-23CF-44E3-9099-C40C66FF867C}">
                  <a14:compatExt spid="_x0000_s40966"/>
                </a:ext>
                <a:ext uri="{FF2B5EF4-FFF2-40B4-BE49-F238E27FC236}">
                  <a16:creationId xmlns:a16="http://schemas.microsoft.com/office/drawing/2014/main" id="{00000000-0008-0000-2C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6S5">
      <xdr:nvSpPr>
        <xdr:cNvPr id="15" name="SUBMENU5">
          <a:hlinkClick xmlns:r="http://schemas.openxmlformats.org/officeDocument/2006/relationships" r:id="rId1"/>
          <a:extLst>
            <a:ext uri="{FF2B5EF4-FFF2-40B4-BE49-F238E27FC236}">
              <a16:creationId xmlns:a16="http://schemas.microsoft.com/office/drawing/2014/main" id="{00000000-0008-0000-2D00-00000F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B6E507D-F032-461F-8EA1-7CFBE49AF4F2}" type="TxLink">
            <a:rPr lang="en-US" sz="1100" b="0" i="0" u="none" strike="noStrike">
              <a:solidFill>
                <a:schemeClr val="bg1"/>
              </a:solidFill>
              <a:latin typeface="Arial" panose="020B0604020202020204" pitchFamily="34" charset="0"/>
              <a:cs typeface="Arial" panose="020B0604020202020204" pitchFamily="34" charset="0"/>
            </a:rPr>
            <a:pPr algn="ctr"/>
            <a:t>Completion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6S4">
      <xdr:nvSpPr>
        <xdr:cNvPr id="14" name="SUBMENU4">
          <a:hlinkClick xmlns:r="http://schemas.openxmlformats.org/officeDocument/2006/relationships" r:id="rId2"/>
          <a:extLst>
            <a:ext uri="{FF2B5EF4-FFF2-40B4-BE49-F238E27FC236}">
              <a16:creationId xmlns:a16="http://schemas.microsoft.com/office/drawing/2014/main" id="{00000000-0008-0000-2D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AECBD5B-AAD8-4E80-A199-A21BFAF9E51A}" type="TxLink">
            <a:rPr lang="en-US" sz="1100" b="0" i="0" u="none" strike="noStrike">
              <a:solidFill>
                <a:schemeClr val="bg1"/>
              </a:solidFill>
              <a:latin typeface="Arial" panose="020B0604020202020204" pitchFamily="34" charset="0"/>
              <a:cs typeface="Arial" panose="020B0604020202020204" pitchFamily="34" charset="0"/>
            </a:rPr>
            <a:pPr algn="ctr"/>
            <a:t>Offer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a:extLst>
            <a:ext uri="{FF2B5EF4-FFF2-40B4-BE49-F238E27FC236}">
              <a16:creationId xmlns:a16="http://schemas.microsoft.com/office/drawing/2014/main" id="{00000000-0008-0000-2D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a:extLst>
            <a:ext uri="{FF2B5EF4-FFF2-40B4-BE49-F238E27FC236}">
              <a16:creationId xmlns:a16="http://schemas.microsoft.com/office/drawing/2014/main" id="{00000000-0008-0000-2D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2D00-000003000000}"/>
            </a:ext>
          </a:extLst>
        </xdr:cNvPr>
        <xdr:cNvSpPr/>
      </xdr:nvSpPr>
      <xdr:spPr>
        <a:xfrm>
          <a:off x="2196810" y="201706"/>
          <a:ext cx="1254602"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xdr:row>
      <xdr:rowOff>1</xdr:rowOff>
    </xdr:from>
    <xdr:to>
      <xdr:col>15</xdr:col>
      <xdr:colOff>0</xdr:colOff>
      <xdr:row>4</xdr:row>
      <xdr:rowOff>1</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2D00-000004000000}"/>
            </a:ext>
          </a:extLst>
        </xdr:cNvPr>
        <xdr:cNvSpPr/>
      </xdr:nvSpPr>
      <xdr:spPr>
        <a:xfrm>
          <a:off x="3451412" y="201707"/>
          <a:ext cx="1255059" cy="605118"/>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14</xdr:col>
      <xdr:colOff>315514</xdr:colOff>
      <xdr:row>1</xdr:row>
      <xdr:rowOff>1</xdr:rowOff>
    </xdr:from>
    <xdr:to>
      <xdr:col>19</xdr:col>
      <xdr:colOff>0</xdr:colOff>
      <xdr:row>4</xdr:row>
      <xdr:rowOff>1</xdr:rowOff>
    </xdr:to>
    <xdr:sp macro="" textlink="MAIN3">
      <xdr:nvSpPr>
        <xdr:cNvPr id="5" name="MENU3">
          <a:hlinkClick xmlns:r="http://schemas.openxmlformats.org/officeDocument/2006/relationships" r:id="rId7"/>
          <a:extLst>
            <a:ext uri="{FF2B5EF4-FFF2-40B4-BE49-F238E27FC236}">
              <a16:creationId xmlns:a16="http://schemas.microsoft.com/office/drawing/2014/main" id="{00000000-0008-0000-2D00-000005000000}"/>
            </a:ext>
          </a:extLst>
        </xdr:cNvPr>
        <xdr:cNvSpPr/>
      </xdr:nvSpPr>
      <xdr:spPr>
        <a:xfrm>
          <a:off x="4732733" y="202407"/>
          <a:ext cx="1262064"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22</xdr:col>
      <xdr:colOff>315515</xdr:colOff>
      <xdr:row>4</xdr:row>
      <xdr:rowOff>1</xdr:rowOff>
    </xdr:to>
    <xdr:sp macro="" textlink="MAIN4">
      <xdr:nvSpPr>
        <xdr:cNvPr id="6" name="MENU4">
          <a:hlinkClick xmlns:r="http://schemas.openxmlformats.org/officeDocument/2006/relationships" r:id="rId8"/>
          <a:extLst>
            <a:ext uri="{FF2B5EF4-FFF2-40B4-BE49-F238E27FC236}">
              <a16:creationId xmlns:a16="http://schemas.microsoft.com/office/drawing/2014/main" id="{00000000-0008-0000-2D00-000006000000}"/>
            </a:ext>
          </a:extLst>
        </xdr:cNvPr>
        <xdr:cNvSpPr/>
      </xdr:nvSpPr>
      <xdr:spPr>
        <a:xfrm>
          <a:off x="5994797" y="202407"/>
          <a:ext cx="1262062" cy="607219"/>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7" name="MENU5">
          <a:hlinkClick xmlns:r="http://schemas.openxmlformats.org/officeDocument/2006/relationships" r:id="rId9"/>
          <a:extLst>
            <a:ext uri="{FF2B5EF4-FFF2-40B4-BE49-F238E27FC236}">
              <a16:creationId xmlns:a16="http://schemas.microsoft.com/office/drawing/2014/main" id="{00000000-0008-0000-2D00-000007000000}"/>
            </a:ext>
          </a:extLst>
        </xdr:cNvPr>
        <xdr:cNvSpPr/>
      </xdr:nvSpPr>
      <xdr:spPr>
        <a:xfrm>
          <a:off x="7256859" y="202407"/>
          <a:ext cx="1262062" cy="607219"/>
        </a:xfrm>
        <a:prstGeom prst="round2SameRect">
          <a:avLst/>
        </a:prstGeom>
        <a:solidFill>
          <a:srgbClr val="C61D10"/>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2865</xdr:colOff>
      <xdr:row>1</xdr:row>
      <xdr:rowOff>133349</xdr:rowOff>
    </xdr:from>
    <xdr:to>
      <xdr:col>31</xdr:col>
      <xdr:colOff>1</xdr:colOff>
      <xdr:row>4</xdr:row>
      <xdr:rowOff>36194</xdr:rowOff>
    </xdr:to>
    <xdr:sp macro="" textlink="MAIN6">
      <xdr:nvSpPr>
        <xdr:cNvPr id="8" name="MENU6">
          <a:hlinkClick xmlns:r="http://schemas.openxmlformats.org/officeDocument/2006/relationships" r:id="rId10"/>
          <a:extLst>
            <a:ext uri="{FF2B5EF4-FFF2-40B4-BE49-F238E27FC236}">
              <a16:creationId xmlns:a16="http://schemas.microsoft.com/office/drawing/2014/main" id="{00000000-0008-0000-2D00-000008000000}"/>
            </a:ext>
          </a:extLst>
        </xdr:cNvPr>
        <xdr:cNvSpPr/>
      </xdr:nvSpPr>
      <xdr:spPr>
        <a:xfrm>
          <a:off x="8489640" y="333374"/>
          <a:ext cx="1254436" cy="502920"/>
        </a:xfrm>
        <a:prstGeom prst="round2SameRect">
          <a:avLst/>
        </a:prstGeom>
        <a:solidFill>
          <a:srgbClr val="EE3224"/>
        </a:solidFill>
        <a:ln w="12700" cap="flat" cmpd="sng" algn="ctr">
          <a:solidFill>
            <a:srgbClr val="7F7F7F"/>
          </a:solidFill>
          <a:prstDash val="solid"/>
          <a:miter lim="800000"/>
        </a:ln>
        <a:effectLst>
          <a:outerShdw blurRad="25400" dist="508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46ACC0B9-EB37-46E2-A1CC-2517B64184CC}"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2D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6S1">
      <xdr:nvSpPr>
        <xdr:cNvPr id="11" name="SUBMENU1">
          <a:hlinkClick xmlns:r="http://schemas.openxmlformats.org/officeDocument/2006/relationships" r:id="rId10"/>
          <a:extLst>
            <a:ext uri="{FF2B5EF4-FFF2-40B4-BE49-F238E27FC236}">
              <a16:creationId xmlns:a16="http://schemas.microsoft.com/office/drawing/2014/main" id="{00000000-0008-0000-2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3EC6C02-6837-44CF-96E7-9647564491F2}" type="TxLink">
            <a:rPr lang="en-US" sz="1100" b="0" i="0" u="none" strike="noStrike">
              <a:solidFill>
                <a:schemeClr val="bg1"/>
              </a:solidFill>
              <a:latin typeface="Arial" panose="020B0604020202020204" pitchFamily="34" charset="0"/>
              <a:cs typeface="Arial" panose="020B0604020202020204" pitchFamily="34" charset="0"/>
            </a:rPr>
            <a:pPr algn="ctr"/>
            <a:t>Project Summary</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6S2">
      <xdr:nvSpPr>
        <xdr:cNvPr id="12" name="SUBMENU2">
          <a:hlinkClick xmlns:r="http://schemas.openxmlformats.org/officeDocument/2006/relationships" r:id="rId11"/>
          <a:extLst>
            <a:ext uri="{FF2B5EF4-FFF2-40B4-BE49-F238E27FC236}">
              <a16:creationId xmlns:a16="http://schemas.microsoft.com/office/drawing/2014/main" id="{00000000-0008-0000-2D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F255F8C-50C1-4DD9-9DDB-E72C5A428D8F}" type="TxLink">
            <a:rPr lang="en-US" sz="1100" b="0" i="0" u="none" strike="noStrike">
              <a:solidFill>
                <a:schemeClr val="bg1"/>
              </a:solidFill>
              <a:latin typeface="Arial" panose="020B0604020202020204" pitchFamily="34" charset="0"/>
              <a:cs typeface="Arial" panose="020B0604020202020204" pitchFamily="34" charset="0"/>
            </a:rPr>
            <a:pPr algn="ctr"/>
            <a:t>Submit Application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6S6">
      <xdr:nvSpPr>
        <xdr:cNvPr id="16" name="SUBMENU6" hidden="1">
          <a:extLst>
            <a:ext uri="{FF2B5EF4-FFF2-40B4-BE49-F238E27FC236}">
              <a16:creationId xmlns:a16="http://schemas.microsoft.com/office/drawing/2014/main" id="{00000000-0008-0000-2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E141483-F39D-41F4-A16B-FC68CC4C10D2}" type="TxLink">
            <a:rPr lang="en-US" sz="1100" b="0" i="0" u="none" strike="noStrike">
              <a:solidFill>
                <a:srgbClr val="000000"/>
              </a:solidFill>
              <a:latin typeface="Calibri"/>
              <a:cs typeface="Calibri"/>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6S7">
      <xdr:nvSpPr>
        <xdr:cNvPr id="17" name="SUBMENU7">
          <a:hlinkClick xmlns:r="http://schemas.openxmlformats.org/officeDocument/2006/relationships" r:id="rId12"/>
          <a:extLst>
            <a:ext uri="{FF2B5EF4-FFF2-40B4-BE49-F238E27FC236}">
              <a16:creationId xmlns:a16="http://schemas.microsoft.com/office/drawing/2014/main" id="{00000000-0008-0000-2D00-000011000000}"/>
            </a:ext>
          </a:extLst>
        </xdr:cNvPr>
        <xdr:cNvSpPr/>
      </xdr:nvSpPr>
      <xdr:spPr>
        <a:xfrm>
          <a:off x="10061265" y="105160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9692F5-65E4-4EB6-90FA-F0059E416F71}" type="TxLink">
            <a:rPr lang="en-US" sz="1100" b="0" i="0" u="none" strike="noStrike">
              <a:solidFill>
                <a:schemeClr val="bg1"/>
              </a:solidFill>
              <a:latin typeface="Arial" panose="020B0604020202020204" pitchFamily="34" charset="0"/>
              <a:cs typeface="Arial" panose="020B0604020202020204" pitchFamily="34" charset="0"/>
            </a:rPr>
            <a:pPr algn="ctr"/>
            <a:t>Summary Form</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303117</xdr:colOff>
      <xdr:row>8</xdr:row>
      <xdr:rowOff>0</xdr:rowOff>
    </xdr:from>
    <xdr:to>
      <xdr:col>43</xdr:col>
      <xdr:colOff>302559</xdr:colOff>
      <xdr:row>199</xdr:row>
      <xdr:rowOff>33618</xdr:rowOff>
    </xdr:to>
    <xdr:sp macro="" textlink="">
      <xdr:nvSpPr>
        <xdr:cNvPr id="19" name="BORDER">
          <a:extLst>
            <a:ext uri="{FF2B5EF4-FFF2-40B4-BE49-F238E27FC236}">
              <a16:creationId xmlns:a16="http://schemas.microsoft.com/office/drawing/2014/main" id="{00000000-0008-0000-2D00-000013000000}"/>
            </a:ext>
          </a:extLst>
        </xdr:cNvPr>
        <xdr:cNvSpPr/>
      </xdr:nvSpPr>
      <xdr:spPr>
        <a:xfrm>
          <a:off x="303117" y="1613647"/>
          <a:ext cx="13491324" cy="1092573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a:extLst>
            <a:ext uri="{FF2B5EF4-FFF2-40B4-BE49-F238E27FC236}">
              <a16:creationId xmlns:a16="http://schemas.microsoft.com/office/drawing/2014/main" id="{00000000-0008-0000-2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2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a:extLst>
            <a:ext uri="{FF2B5EF4-FFF2-40B4-BE49-F238E27FC236}">
              <a16:creationId xmlns:a16="http://schemas.microsoft.com/office/drawing/2014/main" id="{00000000-0008-0000-2D00-00001C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2D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2D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2" name="SUBMENU6">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3" name="SUBMENU7">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4" name="SUBMENU8">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310633</xdr:colOff>
      <xdr:row>11</xdr:row>
      <xdr:rowOff>60916</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A00-000005000000}"/>
            </a:ext>
          </a:extLst>
        </xdr:cNvPr>
        <xdr:cNvSpPr>
          <a:spLocks noChangeAspect="1"/>
        </xdr:cNvSpPr>
      </xdr:nvSpPr>
      <xdr:spPr>
        <a:xfrm>
          <a:off x="12887325" y="1801272"/>
          <a:ext cx="628881"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11</xdr:col>
      <xdr:colOff>0</xdr:colOff>
      <xdr:row>4</xdr:row>
      <xdr:rowOff>133351</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A00-000006000000}"/>
            </a:ext>
          </a:extLst>
        </xdr:cNvPr>
        <xdr:cNvSpPr/>
      </xdr:nvSpPr>
      <xdr:spPr>
        <a:xfrm>
          <a:off x="2203283" y="333376"/>
          <a:ext cx="1254292"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2551</xdr:colOff>
      <xdr:row>1</xdr:row>
      <xdr:rowOff>1</xdr:rowOff>
    </xdr:from>
    <xdr:to>
      <xdr:col>14</xdr:col>
      <xdr:colOff>315515</xdr:colOff>
      <xdr:row>4</xdr:row>
      <xdr:rowOff>1</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A00-000007000000}"/>
            </a:ext>
          </a:extLst>
        </xdr:cNvPr>
        <xdr:cNvSpPr/>
      </xdr:nvSpPr>
      <xdr:spPr>
        <a:xfrm>
          <a:off x="3460126" y="200026"/>
          <a:ext cx="1255939"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315515</xdr:colOff>
      <xdr:row>1</xdr:row>
      <xdr:rowOff>0</xdr:rowOff>
    </xdr:from>
    <xdr:to>
      <xdr:col>19</xdr:col>
      <xdr:colOff>0</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A00-000008000000}"/>
            </a:ext>
          </a:extLst>
        </xdr:cNvPr>
        <xdr:cNvSpPr/>
      </xdr:nvSpPr>
      <xdr:spPr>
        <a:xfrm>
          <a:off x="4716065" y="200025"/>
          <a:ext cx="125611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E5126F5-56E1-4421-A31C-FD3022E74F65}"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2</xdr:rowOff>
    </xdr:from>
    <xdr:to>
      <xdr:col>22</xdr:col>
      <xdr:colOff>315515</xdr:colOff>
      <xdr:row>4</xdr:row>
      <xdr:rowOff>2</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A00-000009000000}"/>
            </a:ext>
          </a:extLst>
        </xdr:cNvPr>
        <xdr:cNvSpPr/>
      </xdr:nvSpPr>
      <xdr:spPr>
        <a:xfrm>
          <a:off x="5972175" y="200027"/>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2FE8F5C-4555-4A1F-ADD1-89C220D03EC9}"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315515</xdr:colOff>
      <xdr:row>1</xdr:row>
      <xdr:rowOff>1</xdr:rowOff>
    </xdr:from>
    <xdr:to>
      <xdr:col>26</xdr:col>
      <xdr:colOff>315515</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A00-00000A000000}"/>
            </a:ext>
          </a:extLst>
        </xdr:cNvPr>
        <xdr:cNvSpPr/>
      </xdr:nvSpPr>
      <xdr:spPr>
        <a:xfrm>
          <a:off x="723066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7409298-1405-4F38-84B0-AE9439D9F524}"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315515</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A00-00000B000000}"/>
            </a:ext>
          </a:extLst>
        </xdr:cNvPr>
        <xdr:cNvSpPr/>
      </xdr:nvSpPr>
      <xdr:spPr>
        <a:xfrm>
          <a:off x="8486775" y="200025"/>
          <a:ext cx="125849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EDBFABB8-34E9-4D3D-BDD8-5FDC595A3939}"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A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A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4" name="SUBMENU1">
          <a:hlinkClick xmlns:r="http://schemas.openxmlformats.org/officeDocument/2006/relationships" r:id="rId5"/>
          <a:extLst>
            <a:ext uri="{FF2B5EF4-FFF2-40B4-BE49-F238E27FC236}">
              <a16:creationId xmlns:a16="http://schemas.microsoft.com/office/drawing/2014/main" id="{00000000-0008-0000-0A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5" name="SUBMENU2">
          <a:hlinkClick xmlns:r="http://schemas.openxmlformats.org/officeDocument/2006/relationships" r:id="rId11"/>
          <a:extLst>
            <a:ext uri="{FF2B5EF4-FFF2-40B4-BE49-F238E27FC236}">
              <a16:creationId xmlns:a16="http://schemas.microsoft.com/office/drawing/2014/main" id="{00000000-0008-0000-0A00-00000F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6" name="SUBMENU3">
          <a:hlinkClick xmlns:r="http://schemas.openxmlformats.org/officeDocument/2006/relationships" r:id="rId12"/>
          <a:extLst>
            <a:ext uri="{FF2B5EF4-FFF2-40B4-BE49-F238E27FC236}">
              <a16:creationId xmlns:a16="http://schemas.microsoft.com/office/drawing/2014/main" id="{00000000-0008-0000-0A00-000010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1S4">
      <xdr:nvSpPr>
        <xdr:cNvPr id="17" name="SUBMENU4">
          <a:hlinkClick xmlns:r="http://schemas.openxmlformats.org/officeDocument/2006/relationships" r:id="rId13"/>
          <a:extLst>
            <a:ext uri="{FF2B5EF4-FFF2-40B4-BE49-F238E27FC236}">
              <a16:creationId xmlns:a16="http://schemas.microsoft.com/office/drawing/2014/main" id="{00000000-0008-0000-0A00-000011000000}"/>
            </a:ext>
          </a:extLst>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8" name="SUBMENU5">
          <a:hlinkClick xmlns:r="http://schemas.openxmlformats.org/officeDocument/2006/relationships" r:id="rId4"/>
          <a:extLst>
            <a:ext uri="{FF2B5EF4-FFF2-40B4-BE49-F238E27FC236}">
              <a16:creationId xmlns:a16="http://schemas.microsoft.com/office/drawing/2014/main" id="{00000000-0008-0000-0A00-000012000000}"/>
            </a:ext>
          </a:extLst>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11207</xdr:rowOff>
    </xdr:from>
    <xdr:to>
      <xdr:col>44</xdr:col>
      <xdr:colOff>0</xdr:colOff>
      <xdr:row>164</xdr:row>
      <xdr:rowOff>1</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883" y="1411382"/>
          <a:ext cx="13515417" cy="31392718"/>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3</xdr:col>
      <xdr:colOff>311363</xdr:colOff>
      <xdr:row>11</xdr:row>
      <xdr:rowOff>56995</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206748</xdr:colOff>
      <xdr:row>3</xdr:row>
      <xdr:rowOff>146054</xdr:rowOff>
    </xdr:to>
    <xdr:pic>
      <xdr:nvPicPr>
        <xdr:cNvPr id="22" name="LOGO">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23" name="Rounded Rectangle 39" hidden="1">
          <a:hlinkClick xmlns:r="http://schemas.openxmlformats.org/officeDocument/2006/relationships" r:id="rId15"/>
          <a:extLst>
            <a:ext uri="{FF2B5EF4-FFF2-40B4-BE49-F238E27FC236}">
              <a16:creationId xmlns:a16="http://schemas.microsoft.com/office/drawing/2014/main" id="{00000000-0008-0000-0A00-000017000000}"/>
            </a:ext>
          </a:extLst>
        </xdr:cNvPr>
        <xdr:cNvSpPr/>
      </xdr:nvSpPr>
      <xdr:spPr>
        <a:xfrm>
          <a:off x="11595846" y="1811431"/>
          <a:ext cx="942974"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twoCellAnchor>
    <xdr:from>
      <xdr:col>36</xdr:col>
      <xdr:colOff>314324</xdr:colOff>
      <xdr:row>1</xdr:row>
      <xdr:rowOff>0</xdr:rowOff>
    </xdr:from>
    <xdr:to>
      <xdr:col>41</xdr:col>
      <xdr:colOff>314324</xdr:colOff>
      <xdr:row>4</xdr:row>
      <xdr:rowOff>0</xdr:rowOff>
    </xdr:to>
    <xdr:sp macro="" textlink="MAIN7">
      <xdr:nvSpPr>
        <xdr:cNvPr id="24" name="MENU7">
          <a:extLst>
            <a:ext uri="{FF2B5EF4-FFF2-40B4-BE49-F238E27FC236}">
              <a16:creationId xmlns:a16="http://schemas.microsoft.com/office/drawing/2014/main" id="{00000000-0008-0000-0A00-000018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a:extLst>
            <a:ext uri="{FF2B5EF4-FFF2-40B4-BE49-F238E27FC236}">
              <a16:creationId xmlns:a16="http://schemas.microsoft.com/office/drawing/2014/main" id="{00000000-0008-0000-0A00-000019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27</xdr:col>
      <xdr:colOff>42931</xdr:colOff>
      <xdr:row>12</xdr:row>
      <xdr:rowOff>44824</xdr:rowOff>
    </xdr:from>
    <xdr:to>
      <xdr:col>41</xdr:col>
      <xdr:colOff>0</xdr:colOff>
      <xdr:row>41</xdr:row>
      <xdr:rowOff>201704</xdr:rowOff>
    </xdr:to>
    <xdr:grpSp>
      <xdr:nvGrpSpPr>
        <xdr:cNvPr id="41" name="Group 40">
          <a:hlinkClick xmlns:r="http://schemas.openxmlformats.org/officeDocument/2006/relationships" r:id="rId16"/>
          <a:extLst>
            <a:ext uri="{FF2B5EF4-FFF2-40B4-BE49-F238E27FC236}">
              <a16:creationId xmlns:a16="http://schemas.microsoft.com/office/drawing/2014/main" id="{00000000-0008-0000-0A00-000029000000}"/>
            </a:ext>
          </a:extLst>
        </xdr:cNvPr>
        <xdr:cNvGrpSpPr/>
      </xdr:nvGrpSpPr>
      <xdr:grpSpPr>
        <a:xfrm>
          <a:off x="8514578" y="2465295"/>
          <a:ext cx="4349775" cy="6006350"/>
          <a:chOff x="8514578" y="2465295"/>
          <a:chExt cx="4349775" cy="6006350"/>
        </a:xfrm>
      </xdr:grpSpPr>
      <xdr:sp macro="" textlink="">
        <xdr:nvSpPr>
          <xdr:cNvPr id="36" name="TextBox 35">
            <a:hlinkClick xmlns:r="http://schemas.openxmlformats.org/officeDocument/2006/relationships" r:id="rId16"/>
            <a:extLst>
              <a:ext uri="{FF2B5EF4-FFF2-40B4-BE49-F238E27FC236}">
                <a16:creationId xmlns:a16="http://schemas.microsoft.com/office/drawing/2014/main" id="{00000000-0008-0000-0A00-000024000000}"/>
              </a:ext>
            </a:extLst>
          </xdr:cNvPr>
          <xdr:cNvSpPr txBox="1"/>
        </xdr:nvSpPr>
        <xdr:spPr>
          <a:xfrm>
            <a:off x="8514578" y="2543736"/>
            <a:ext cx="4349774" cy="5927909"/>
          </a:xfrm>
          <a:prstGeom prst="roundRect">
            <a:avLst/>
          </a:prstGeom>
          <a:solidFill>
            <a:srgbClr val="439639"/>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pic>
        <xdr:nvPicPr>
          <xdr:cNvPr id="37" name="Picture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514578" y="2465295"/>
            <a:ext cx="4349775" cy="5257800"/>
          </a:xfrm>
          <a:prstGeom prst="rect">
            <a:avLst/>
          </a:prstGeom>
        </xdr:spPr>
      </xdr:pic>
    </xdr:grpSp>
    <xdr:clientData/>
  </xdr:twoCellAnchor>
  <xdr:twoCellAnchor>
    <xdr:from>
      <xdr:col>4</xdr:col>
      <xdr:colOff>0</xdr:colOff>
      <xdr:row>12</xdr:row>
      <xdr:rowOff>67235</xdr:rowOff>
    </xdr:from>
    <xdr:to>
      <xdr:col>20</xdr:col>
      <xdr:colOff>196141</xdr:colOff>
      <xdr:row>41</xdr:row>
      <xdr:rowOff>201705</xdr:rowOff>
    </xdr:to>
    <xdr:grpSp>
      <xdr:nvGrpSpPr>
        <xdr:cNvPr id="40" name="Group 39">
          <a:extLst>
            <a:ext uri="{FF2B5EF4-FFF2-40B4-BE49-F238E27FC236}">
              <a16:creationId xmlns:a16="http://schemas.microsoft.com/office/drawing/2014/main" id="{00000000-0008-0000-0A00-000028000000}"/>
            </a:ext>
          </a:extLst>
        </xdr:cNvPr>
        <xdr:cNvGrpSpPr/>
      </xdr:nvGrpSpPr>
      <xdr:grpSpPr>
        <a:xfrm>
          <a:off x="1255059" y="2487706"/>
          <a:ext cx="5216376" cy="5983940"/>
          <a:chOff x="1255059" y="2487706"/>
          <a:chExt cx="5216376" cy="5983940"/>
        </a:xfrm>
      </xdr:grpSpPr>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1255059" y="6286499"/>
            <a:ext cx="5216376" cy="2185147"/>
          </a:xfrm>
          <a:prstGeom prst="roundRect">
            <a:avLst/>
          </a:prstGeom>
          <a:solidFill>
            <a:srgbClr val="439639"/>
          </a:solidFill>
          <a:ln w="9525" cmpd="sng">
            <a:solidFill>
              <a:schemeClr val="lt1">
                <a:shade val="50000"/>
              </a:schemeClr>
            </a:solidFill>
          </a:ln>
          <a:scene3d>
            <a:camera prst="orthographicFront"/>
            <a:lightRig rig="threePt" dir="t"/>
          </a:scene3d>
          <a:sp3d>
            <a:bevelT w="38100" h="508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100" b="1" baseline="0">
              <a:solidFill>
                <a:schemeClr val="bg1"/>
              </a:solidFill>
            </a:endParaRPr>
          </a:p>
        </xdr:txBody>
      </xdr:sp>
      <xdr:pic>
        <xdr:nvPicPr>
          <xdr:cNvPr id="32" name="Picture 31">
            <a:hlinkClick xmlns:r="http://schemas.openxmlformats.org/officeDocument/2006/relationships" r:id="rId18"/>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55059" y="2487706"/>
            <a:ext cx="5216376" cy="4572000"/>
          </a:xfrm>
          <a:prstGeom prst="rect">
            <a:avLst/>
          </a:prstGeom>
        </xdr:spPr>
      </xdr:pic>
      <xdr:sp macro="" textlink="">
        <xdr:nvSpPr>
          <xdr:cNvPr id="38" name="TextBox 37">
            <a:hlinkClick xmlns:r="http://schemas.openxmlformats.org/officeDocument/2006/relationships" r:id="rId18"/>
            <a:extLst>
              <a:ext uri="{FF2B5EF4-FFF2-40B4-BE49-F238E27FC236}">
                <a16:creationId xmlns:a16="http://schemas.microsoft.com/office/drawing/2014/main" id="{00000000-0008-0000-0A00-000026000000}"/>
              </a:ext>
            </a:extLst>
          </xdr:cNvPr>
          <xdr:cNvSpPr txBox="1"/>
        </xdr:nvSpPr>
        <xdr:spPr>
          <a:xfrm>
            <a:off x="2196353" y="7362266"/>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standard incentive list and brochure</a:t>
            </a:r>
            <a:endParaRPr lang="en-US" sz="14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29</xdr:col>
      <xdr:colOff>75891</xdr:colOff>
      <xdr:row>38</xdr:row>
      <xdr:rowOff>35859</xdr:rowOff>
    </xdr:from>
    <xdr:to>
      <xdr:col>39</xdr:col>
      <xdr:colOff>78441</xdr:colOff>
      <xdr:row>41</xdr:row>
      <xdr:rowOff>136712</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00000000-0008-0000-0A00-000027000000}"/>
            </a:ext>
          </a:extLst>
        </xdr:cNvPr>
        <xdr:cNvSpPr txBox="1"/>
      </xdr:nvSpPr>
      <xdr:spPr>
        <a:xfrm>
          <a:off x="9175067" y="7700683"/>
          <a:ext cx="3140198" cy="705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Arial" panose="020B0604020202020204" pitchFamily="34" charset="0"/>
              <a:cs typeface="Arial" panose="020B0604020202020204" pitchFamily="34" charset="0"/>
            </a:rPr>
            <a:t>Click here</a:t>
          </a:r>
          <a:r>
            <a:rPr lang="en-US" sz="1400" b="1" baseline="0">
              <a:solidFill>
                <a:schemeClr val="bg1"/>
              </a:solidFill>
              <a:latin typeface="Arial" panose="020B0604020202020204" pitchFamily="34" charset="0"/>
              <a:cs typeface="Arial" panose="020B0604020202020204" pitchFamily="34" charset="0"/>
            </a:rPr>
            <a:t> to download the custom incentive list and brochure</a:t>
          </a:r>
          <a:endParaRPr lang="en-US" sz="14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B00-000002000000}"/>
            </a:ext>
          </a:extLst>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3009</xdr:colOff>
      <xdr:row>1</xdr:row>
      <xdr:rowOff>133351</xdr:rowOff>
    </xdr:from>
    <xdr:to>
      <xdr:col>11</xdr:col>
      <xdr:colOff>1</xdr:colOff>
      <xdr:row>4</xdr:row>
      <xdr:rowOff>133351</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B00-000003000000}"/>
            </a:ext>
          </a:extLst>
        </xdr:cNvPr>
        <xdr:cNvSpPr/>
      </xdr:nvSpPr>
      <xdr:spPr>
        <a:xfrm>
          <a:off x="2206183" y="332134"/>
          <a:ext cx="1255948"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11</xdr:col>
      <xdr:colOff>2552</xdr:colOff>
      <xdr:row>1</xdr:row>
      <xdr:rowOff>0</xdr:rowOff>
    </xdr:from>
    <xdr:to>
      <xdr:col>15</xdr:col>
      <xdr:colOff>0</xdr:colOff>
      <xdr:row>4</xdr:row>
      <xdr:rowOff>0</xdr:rowOff>
    </xdr:to>
    <xdr:sp macro="" textlink="MAIN2">
      <xdr:nvSpPr>
        <xdr:cNvPr id="4" name="MENU2">
          <a:hlinkClick xmlns:r="http://schemas.openxmlformats.org/officeDocument/2006/relationships" r:id="rId4"/>
          <a:extLst>
            <a:ext uri="{FF2B5EF4-FFF2-40B4-BE49-F238E27FC236}">
              <a16:creationId xmlns:a16="http://schemas.microsoft.com/office/drawing/2014/main" id="{00000000-0008-0000-0B00-000004000000}"/>
            </a:ext>
          </a:extLst>
        </xdr:cNvPr>
        <xdr:cNvSpPr/>
      </xdr:nvSpPr>
      <xdr:spPr>
        <a:xfrm>
          <a:off x="3464682" y="198783"/>
          <a:ext cx="1256405"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0</xdr:rowOff>
    </xdr:from>
    <xdr:to>
      <xdr:col>18</xdr:col>
      <xdr:colOff>311875</xdr:colOff>
      <xdr:row>4</xdr:row>
      <xdr:rowOff>0</xdr:rowOff>
    </xdr:to>
    <xdr:sp macro="" textlink="MAIN3">
      <xdr:nvSpPr>
        <xdr:cNvPr id="8" name="MENU3">
          <a:hlinkClick xmlns:r="http://schemas.openxmlformats.org/officeDocument/2006/relationships" r:id="rId6"/>
          <a:extLst>
            <a:ext uri="{FF2B5EF4-FFF2-40B4-BE49-F238E27FC236}">
              <a16:creationId xmlns:a16="http://schemas.microsoft.com/office/drawing/2014/main" id="{00000000-0008-0000-0B00-000008000000}"/>
            </a:ext>
          </a:extLst>
        </xdr:cNvPr>
        <xdr:cNvSpPr/>
      </xdr:nvSpPr>
      <xdr:spPr>
        <a:xfrm>
          <a:off x="4721087" y="198783"/>
          <a:ext cx="1256092"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536DC5-91F5-44EE-9110-86B8E9589360}"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7"/>
          <a:extLst>
            <a:ext uri="{FF2B5EF4-FFF2-40B4-BE49-F238E27FC236}">
              <a16:creationId xmlns:a16="http://schemas.microsoft.com/office/drawing/2014/main" id="{00000000-0008-0000-0B00-000005000000}"/>
            </a:ext>
          </a:extLst>
        </xdr:cNvPr>
        <xdr:cNvSpPr/>
      </xdr:nvSpPr>
      <xdr:spPr>
        <a:xfrm>
          <a:off x="5990325" y="197069"/>
          <a:ext cx="1261813" cy="59120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8FDE8EC-B911-44F3-A0C2-167174942D9A}"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8"/>
          <a:extLst>
            <a:ext uri="{FF2B5EF4-FFF2-40B4-BE49-F238E27FC236}">
              <a16:creationId xmlns:a16="http://schemas.microsoft.com/office/drawing/2014/main" id="{00000000-0008-0000-0B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1304E7-EB36-4EF1-82FF-4DA7DA696215}"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9"/>
          <a:extLst>
            <a:ext uri="{FF2B5EF4-FFF2-40B4-BE49-F238E27FC236}">
              <a16:creationId xmlns:a16="http://schemas.microsoft.com/office/drawing/2014/main" id="{00000000-0008-0000-0B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E26575E-BAEA-4A3E-8795-2297061673F3}"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a:extLst>
            <a:ext uri="{FF2B5EF4-FFF2-40B4-BE49-F238E27FC236}">
              <a16:creationId xmlns:a16="http://schemas.microsoft.com/office/drawing/2014/main" id="{00000000-0008-0000-0B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a:extLst>
            <a:ext uri="{FF2B5EF4-FFF2-40B4-BE49-F238E27FC236}">
              <a16:creationId xmlns:a16="http://schemas.microsoft.com/office/drawing/2014/main" id="{00000000-0008-0000-0B00-00000D000000}"/>
            </a:ext>
          </a:extLst>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a:extLst>
            <a:ext uri="{FF2B5EF4-FFF2-40B4-BE49-F238E27FC236}">
              <a16:creationId xmlns:a16="http://schemas.microsoft.com/office/drawing/2014/main" id="{00000000-0008-0000-0B00-00000E000000}"/>
            </a:ext>
          </a:extLst>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 &amp; Program Guidelines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1S5">
      <xdr:nvSpPr>
        <xdr:cNvPr id="15" name="SUBMENU5">
          <a:hlinkClick xmlns:r="http://schemas.openxmlformats.org/officeDocument/2006/relationships" r:id="rId13"/>
          <a:extLst>
            <a:ext uri="{FF2B5EF4-FFF2-40B4-BE49-F238E27FC236}">
              <a16:creationId xmlns:a16="http://schemas.microsoft.com/office/drawing/2014/main" id="{00000000-0008-0000-0B00-00000F000000}"/>
            </a:ext>
          </a:extLst>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B00-000014000000}"/>
            </a:ext>
          </a:extLst>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B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B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B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B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B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B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B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B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B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B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B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314324</xdr:colOff>
      <xdr:row>1</xdr:row>
      <xdr:rowOff>0</xdr:rowOff>
    </xdr:from>
    <xdr:to>
      <xdr:col>41</xdr:col>
      <xdr:colOff>314324</xdr:colOff>
      <xdr:row>4</xdr:row>
      <xdr:rowOff>0</xdr:rowOff>
    </xdr:to>
    <xdr:sp macro="" textlink="MAIN7">
      <xdr:nvSpPr>
        <xdr:cNvPr id="34" name="MENU7">
          <a:extLst>
            <a:ext uri="{FF2B5EF4-FFF2-40B4-BE49-F238E27FC236}">
              <a16:creationId xmlns:a16="http://schemas.microsoft.com/office/drawing/2014/main" id="{00000000-0008-0000-0B00-000022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5" name="MENU7">
          <a:extLst>
            <a:ext uri="{FF2B5EF4-FFF2-40B4-BE49-F238E27FC236}">
              <a16:creationId xmlns:a16="http://schemas.microsoft.com/office/drawing/2014/main" id="{00000000-0008-0000-0B00-000023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3"/>
          <a:extLst>
            <a:ext uri="{FF2B5EF4-FFF2-40B4-BE49-F238E27FC236}">
              <a16:creationId xmlns:a16="http://schemas.microsoft.com/office/drawing/2014/main" id="{00000000-0008-0000-0C00-000005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6" name="NEXT">
          <a:hlinkClick xmlns:r="http://schemas.openxmlformats.org/officeDocument/2006/relationships" r:id="rId4"/>
          <a:extLst>
            <a:ext uri="{FF2B5EF4-FFF2-40B4-BE49-F238E27FC236}">
              <a16:creationId xmlns:a16="http://schemas.microsoft.com/office/drawing/2014/main" id="{00000000-0008-0000-0C00-000006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7" name="MENU1">
          <a:hlinkClick xmlns:r="http://schemas.openxmlformats.org/officeDocument/2006/relationships" r:id="rId5"/>
          <a:extLst>
            <a:ext uri="{FF2B5EF4-FFF2-40B4-BE49-F238E27FC236}">
              <a16:creationId xmlns:a16="http://schemas.microsoft.com/office/drawing/2014/main" id="{00000000-0008-0000-0C00-000007000000}"/>
            </a:ext>
          </a:extLst>
        </xdr:cNvPr>
        <xdr:cNvSpPr/>
      </xdr:nvSpPr>
      <xdr:spPr>
        <a:xfrm>
          <a:off x="2200732"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315057</xdr:colOff>
      <xdr:row>1</xdr:row>
      <xdr:rowOff>133350</xdr:rowOff>
    </xdr:from>
    <xdr:to>
      <xdr:col>15</xdr:col>
      <xdr:colOff>0</xdr:colOff>
      <xdr:row>4</xdr:row>
      <xdr:rowOff>133350</xdr:rowOff>
    </xdr:to>
    <xdr:sp macro="" textlink="MAIN2">
      <xdr:nvSpPr>
        <xdr:cNvPr id="8" name="MENU2">
          <a:hlinkClick xmlns:r="http://schemas.openxmlformats.org/officeDocument/2006/relationships" r:id="rId6"/>
          <a:extLst>
            <a:ext uri="{FF2B5EF4-FFF2-40B4-BE49-F238E27FC236}">
              <a16:creationId xmlns:a16="http://schemas.microsoft.com/office/drawing/2014/main" id="{00000000-0008-0000-0C00-000008000000}"/>
            </a:ext>
          </a:extLst>
        </xdr:cNvPr>
        <xdr:cNvSpPr/>
      </xdr:nvSpPr>
      <xdr:spPr>
        <a:xfrm>
          <a:off x="3458307" y="333375"/>
          <a:ext cx="1256568"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0</xdr:colOff>
      <xdr:row>1</xdr:row>
      <xdr:rowOff>7328</xdr:rowOff>
    </xdr:from>
    <xdr:to>
      <xdr:col>19</xdr:col>
      <xdr:colOff>0</xdr:colOff>
      <xdr:row>4</xdr:row>
      <xdr:rowOff>7328</xdr:rowOff>
    </xdr:to>
    <xdr:sp macro="" textlink="MAIN3">
      <xdr:nvSpPr>
        <xdr:cNvPr id="9" name="MENU3">
          <a:hlinkClick xmlns:r="http://schemas.openxmlformats.org/officeDocument/2006/relationships" r:id="rId7"/>
          <a:extLst>
            <a:ext uri="{FF2B5EF4-FFF2-40B4-BE49-F238E27FC236}">
              <a16:creationId xmlns:a16="http://schemas.microsoft.com/office/drawing/2014/main" id="{00000000-0008-0000-0C00-000009000000}"/>
            </a:ext>
          </a:extLst>
        </xdr:cNvPr>
        <xdr:cNvSpPr/>
      </xdr:nvSpPr>
      <xdr:spPr>
        <a:xfrm>
          <a:off x="4714875" y="207353"/>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3FB828-EF8F-43B8-AFBE-76E0140347C7}"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7328</xdr:rowOff>
    </xdr:from>
    <xdr:to>
      <xdr:col>23</xdr:col>
      <xdr:colOff>0</xdr:colOff>
      <xdr:row>4</xdr:row>
      <xdr:rowOff>7328</xdr:rowOff>
    </xdr:to>
    <xdr:sp macro="" textlink="MAIN4">
      <xdr:nvSpPr>
        <xdr:cNvPr id="10" name="MENU4">
          <a:hlinkClick xmlns:r="http://schemas.openxmlformats.org/officeDocument/2006/relationships" r:id="rId8"/>
          <a:extLst>
            <a:ext uri="{FF2B5EF4-FFF2-40B4-BE49-F238E27FC236}">
              <a16:creationId xmlns:a16="http://schemas.microsoft.com/office/drawing/2014/main" id="{00000000-0008-0000-0C00-00000A000000}"/>
            </a:ext>
          </a:extLst>
        </xdr:cNvPr>
        <xdr:cNvSpPr/>
      </xdr:nvSpPr>
      <xdr:spPr>
        <a:xfrm>
          <a:off x="5972175" y="207353"/>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18E2739-01B4-4C54-A53E-43A869CB4505}"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1" name="MENU5">
          <a:hlinkClick xmlns:r="http://schemas.openxmlformats.org/officeDocument/2006/relationships" r:id="rId9"/>
          <a:extLst>
            <a:ext uri="{FF2B5EF4-FFF2-40B4-BE49-F238E27FC236}">
              <a16:creationId xmlns:a16="http://schemas.microsoft.com/office/drawing/2014/main" id="{00000000-0008-0000-0C00-00000B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7A46CEB-E5B8-407A-A69A-04734F717696}"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31</xdr:col>
      <xdr:colOff>0</xdr:colOff>
      <xdr:row>4</xdr:row>
      <xdr:rowOff>0</xdr:rowOff>
    </xdr:to>
    <xdr:sp macro="" textlink="MAIN6">
      <xdr:nvSpPr>
        <xdr:cNvPr id="12" name="MENU6">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a:off x="8486775" y="200025"/>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CDEE613-0B49-40FC-ADDC-04BB0639E56D}"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0C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4" name="TOPRIBBON">
          <a:extLst>
            <a:ext uri="{FF2B5EF4-FFF2-40B4-BE49-F238E27FC236}">
              <a16:creationId xmlns:a16="http://schemas.microsoft.com/office/drawing/2014/main" id="{00000000-0008-0000-0C00-00000E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5" name="SUBMENU1">
          <a:hlinkClick xmlns:r="http://schemas.openxmlformats.org/officeDocument/2006/relationships" r:id="rId6"/>
          <a:extLst>
            <a:ext uri="{FF2B5EF4-FFF2-40B4-BE49-F238E27FC236}">
              <a16:creationId xmlns:a16="http://schemas.microsoft.com/office/drawing/2014/main" id="{00000000-0008-0000-0C00-00000F000000}"/>
            </a:ext>
          </a:extLst>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6" name="SUBMENU2">
          <a:hlinkClick xmlns:r="http://schemas.openxmlformats.org/officeDocument/2006/relationships" r:id="rId4"/>
          <a:extLst>
            <a:ext uri="{FF2B5EF4-FFF2-40B4-BE49-F238E27FC236}">
              <a16:creationId xmlns:a16="http://schemas.microsoft.com/office/drawing/2014/main" id="{00000000-0008-0000-0C00-000010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2552</xdr:colOff>
      <xdr:row>5</xdr:row>
      <xdr:rowOff>1922</xdr:rowOff>
    </xdr:from>
    <xdr:to>
      <xdr:col>17</xdr:col>
      <xdr:colOff>2551</xdr:colOff>
      <xdr:row>7</xdr:row>
      <xdr:rowOff>0</xdr:rowOff>
    </xdr:to>
    <xdr:sp macro="" textlink="M2S5">
      <xdr:nvSpPr>
        <xdr:cNvPr id="2" name="SUBMENU5">
          <a:hlinkClick xmlns:r="http://schemas.openxmlformats.org/officeDocument/2006/relationships" r:id="rId11"/>
          <a:extLst>
            <a:ext uri="{FF2B5EF4-FFF2-40B4-BE49-F238E27FC236}">
              <a16:creationId xmlns:a16="http://schemas.microsoft.com/office/drawing/2014/main" id="{00000000-0008-0000-0C00-000002000000}"/>
            </a:ext>
          </a:extLst>
        </xdr:cNvPr>
        <xdr:cNvSpPr/>
      </xdr:nvSpPr>
      <xdr:spPr>
        <a:xfrm>
          <a:off x="3779422"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2553</xdr:colOff>
      <xdr:row>5</xdr:row>
      <xdr:rowOff>1922</xdr:rowOff>
    </xdr:from>
    <xdr:to>
      <xdr:col>22</xdr:col>
      <xdr:colOff>2551</xdr:colOff>
      <xdr:row>7</xdr:row>
      <xdr:rowOff>0</xdr:rowOff>
    </xdr:to>
    <xdr:sp macro="" textlink="M2S3">
      <xdr:nvSpPr>
        <xdr:cNvPr id="17" name="SUBMENU3">
          <a:hlinkClick xmlns:r="http://schemas.openxmlformats.org/officeDocument/2006/relationships" r:id="rId12"/>
          <a:extLst>
            <a:ext uri="{FF2B5EF4-FFF2-40B4-BE49-F238E27FC236}">
              <a16:creationId xmlns:a16="http://schemas.microsoft.com/office/drawing/2014/main" id="{00000000-0008-0000-0C00-000011000000}"/>
            </a:ext>
          </a:extLst>
        </xdr:cNvPr>
        <xdr:cNvSpPr/>
      </xdr:nvSpPr>
      <xdr:spPr>
        <a:xfrm>
          <a:off x="5353118" y="995835"/>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2867</xdr:colOff>
      <xdr:row>5</xdr:row>
      <xdr:rowOff>0</xdr:rowOff>
    </xdr:from>
    <xdr:to>
      <xdr:col>27</xdr:col>
      <xdr:colOff>2866</xdr:colOff>
      <xdr:row>6</xdr:row>
      <xdr:rowOff>196860</xdr:rowOff>
    </xdr:to>
    <xdr:sp macro="" textlink="M2S4">
      <xdr:nvSpPr>
        <xdr:cNvPr id="18" name="SUBMENU4">
          <a:hlinkClick xmlns:r="http://schemas.openxmlformats.org/officeDocument/2006/relationships" r:id="rId13"/>
          <a:extLst>
            <a:ext uri="{FF2B5EF4-FFF2-40B4-BE49-F238E27FC236}">
              <a16:creationId xmlns:a16="http://schemas.microsoft.com/office/drawing/2014/main" id="{00000000-0008-0000-0C00-000012000000}"/>
            </a:ext>
          </a:extLst>
        </xdr:cNvPr>
        <xdr:cNvSpPr/>
      </xdr:nvSpPr>
      <xdr:spPr>
        <a:xfrm>
          <a:off x="6927128" y="993913"/>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00199"/>
          <a:ext cx="13515977" cy="252984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20" name="BACK">
          <a:hlinkClick xmlns:r="http://schemas.openxmlformats.org/officeDocument/2006/relationships" r:id="rId14"/>
          <a:extLst>
            <a:ext uri="{FF2B5EF4-FFF2-40B4-BE49-F238E27FC236}">
              <a16:creationId xmlns:a16="http://schemas.microsoft.com/office/drawing/2014/main" id="{00000000-0008-0000-0C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2" name="LOGO">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C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C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twoCellAnchor>
    <xdr:from>
      <xdr:col>2</xdr:col>
      <xdr:colOff>0</xdr:colOff>
      <xdr:row>17</xdr:row>
      <xdr:rowOff>0</xdr:rowOff>
    </xdr:from>
    <xdr:to>
      <xdr:col>43</xdr:col>
      <xdr:colOff>0</xdr:colOff>
      <xdr:row>106</xdr:row>
      <xdr:rowOff>190500</xdr:rowOff>
    </xdr:to>
    <xdr:sp macro="" textlink="">
      <xdr:nvSpPr>
        <xdr:cNvPr id="28" name="TextBox 27">
          <a:extLst>
            <a:ext uri="{FF2B5EF4-FFF2-40B4-BE49-F238E27FC236}">
              <a16:creationId xmlns:a16="http://schemas.microsoft.com/office/drawing/2014/main" id="{00000000-0008-0000-0C00-00001C000000}"/>
            </a:ext>
          </a:extLst>
        </xdr:cNvPr>
        <xdr:cNvSpPr txBox="1"/>
      </xdr:nvSpPr>
      <xdr:spPr>
        <a:xfrm>
          <a:off x="627529" y="3429000"/>
          <a:ext cx="12864353" cy="181423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chemeClr val="dk1"/>
              </a:solidFill>
              <a:effectLst/>
              <a:latin typeface="+mn-lt"/>
              <a:ea typeface="+mn-ea"/>
              <a:cs typeface="+mn-cs"/>
            </a:rPr>
            <a:t>1. ELIGIBILITY: </a:t>
          </a:r>
          <a:endParaRPr lang="en-US">
            <a:effectLst/>
          </a:endParaRPr>
        </a:p>
        <a:p>
          <a:r>
            <a:rPr lang="en-US" sz="1100" b="1" i="1">
              <a:solidFill>
                <a:schemeClr val="dk1"/>
              </a:solidFill>
              <a:effectLst/>
              <a:latin typeface="+mn-lt"/>
              <a:ea typeface="+mn-ea"/>
              <a:cs typeface="+mn-cs"/>
            </a:rPr>
            <a:t>a) Qualifying EEMs </a:t>
          </a:r>
          <a:r>
            <a:rPr lang="en-US" sz="1100">
              <a:solidFill>
                <a:schemeClr val="dk1"/>
              </a:solidFill>
              <a:effectLst/>
              <a:latin typeface="+mn-lt"/>
              <a:ea typeface="+mn-ea"/>
              <a:cs typeface="+mn-cs"/>
            </a:rPr>
            <a:t>include Standard, Custom, RCx, Business Social Services (“BSS”) and Small Business Direct Install (“SBDI”) EEMs as identified in applicable Program materials. In order to qualify, all EEMs must be purchased and installed or otherwise implemented by the applicable deadline set forth in Section 5 and meet the remaining requirements of these Terms and Conditions and those of any individual Program. </a:t>
          </a:r>
          <a:endParaRPr lang="en-US">
            <a:effectLst/>
          </a:endParaRPr>
        </a:p>
        <a:p>
          <a:r>
            <a:rPr lang="en-US" sz="1100" b="1" i="1" baseline="0">
              <a:solidFill>
                <a:schemeClr val="dk1"/>
              </a:solidFill>
              <a:effectLst/>
              <a:latin typeface="+mn-lt"/>
              <a:ea typeface="+mn-ea"/>
              <a:cs typeface="+mn-cs"/>
            </a:rPr>
            <a:t>b) Non-qualifying EEMs </a:t>
          </a:r>
          <a:r>
            <a:rPr lang="en-US" sz="1100" b="0" i="0" baseline="0">
              <a:solidFill>
                <a:schemeClr val="dk1"/>
              </a:solidFill>
              <a:effectLst/>
              <a:latin typeface="+mn-lt"/>
              <a:ea typeface="+mn-ea"/>
              <a:cs typeface="+mn-cs"/>
            </a:rPr>
            <a:t>include: (i) EEMs purchased, contracted for, or partially or fully installed prior to the applicable Program’s official launch date; (ii) technologies purporting to reduce electricity usage through a reduction of voltage or power conditioning; (iii) EEMs that reduce electrical energy use by increased use of an alternate fuel (i.e., fuel switching); (iv) unless pre-approved by Ameren Missouri, in writing, used or un-warrantied EEM equipment; and (v) </a:t>
          </a:r>
          <a:r>
            <a:rPr lang="en-US" sz="1100">
              <a:solidFill>
                <a:schemeClr val="dk1"/>
              </a:solidFill>
              <a:effectLst/>
              <a:latin typeface="+mn-lt"/>
              <a:ea typeface="+mn-ea"/>
              <a:cs typeface="+mn-cs"/>
            </a:rPr>
            <a:t>EEMs resulting in a total project incentive payment of less than $150.00.  </a:t>
          </a:r>
          <a:endParaRPr lang="en-US">
            <a:effectLst/>
          </a:endParaRPr>
        </a:p>
        <a:p>
          <a:r>
            <a:rPr lang="en-US" sz="1100" b="1" i="1">
              <a:solidFill>
                <a:schemeClr val="dk1"/>
              </a:solidFill>
              <a:effectLst/>
              <a:latin typeface="+mn-lt"/>
              <a:ea typeface="+mn-ea"/>
              <a:cs typeface="+mn-cs"/>
            </a:rPr>
            <a:t>c) Eligible Customer </a:t>
          </a:r>
          <a:r>
            <a:rPr lang="en-US" sz="1100">
              <a:solidFill>
                <a:schemeClr val="dk1"/>
              </a:solidFill>
              <a:effectLst/>
              <a:latin typeface="+mn-lt"/>
              <a:ea typeface="+mn-ea"/>
              <a:cs typeface="+mn-cs"/>
            </a:rPr>
            <a:t>means an Ameren Missouri non-residential electric customer that implements one or more qualifying EEMs at the Ameren Missouri serviced location identified in its application. Total incentives across all programs shall be capped at $3,000,000 per customer for the term starting January 1st, 2022 through December 31st, 2024.</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2. PRE-APPROVAL REQUIRED FOR CERTAIN APPLICATIONS: </a:t>
          </a:r>
          <a:endParaRPr lang="en-US" sz="1100" b="0" i="0" u="none" strike="noStrike" baseline="0">
            <a:solidFill>
              <a:schemeClr val="dk1"/>
            </a:solidFill>
            <a:latin typeface="+mn-lt"/>
            <a:ea typeface="+mn-ea"/>
            <a:cs typeface="+mn-cs"/>
          </a:endParaRPr>
        </a:p>
        <a:p>
          <a:r>
            <a:rPr lang="en-US" sz="1100" b="1" i="1" baseline="0">
              <a:solidFill>
                <a:schemeClr val="dk1"/>
              </a:solidFill>
              <a:effectLst/>
              <a:latin typeface="+mn-lt"/>
              <a:ea typeface="+mn-ea"/>
              <a:cs typeface="+mn-cs"/>
            </a:rPr>
            <a:t>a) </a:t>
          </a:r>
          <a:r>
            <a:rPr lang="en-US" sz="1100" b="1">
              <a:solidFill>
                <a:schemeClr val="dk1"/>
              </a:solidFill>
              <a:effectLst/>
              <a:latin typeface="+mn-lt"/>
              <a:ea typeface="+mn-ea"/>
              <a:cs typeface="+mn-cs"/>
            </a:rPr>
            <a:t>Based on program guidelines and incentive documents, certain applications require pre-approval </a:t>
          </a:r>
          <a:r>
            <a:rPr lang="en-US" sz="1100">
              <a:solidFill>
                <a:schemeClr val="dk1"/>
              </a:solidFill>
              <a:effectLst/>
              <a:latin typeface="+mn-lt"/>
              <a:ea typeface="+mn-ea"/>
              <a:cs typeface="+mn-cs"/>
            </a:rPr>
            <a:t>by Ameren Missouri prior to the purchase of any related equipment or commencement of installation. Any project exceeding $15,000 in incentive requires pre-approval by Ameren Missouri. </a:t>
          </a:r>
          <a:endParaRPr lang="en-US">
            <a:effectLst/>
          </a:endParaRPr>
        </a:p>
        <a:p>
          <a:r>
            <a:rPr lang="en-US" sz="1100" b="1" i="1" baseline="0">
              <a:solidFill>
                <a:schemeClr val="dk1"/>
              </a:solidFill>
              <a:effectLst/>
              <a:latin typeface="+mn-lt"/>
              <a:ea typeface="+mn-ea"/>
              <a:cs typeface="+mn-cs"/>
            </a:rPr>
            <a:t>b) </a:t>
          </a:r>
          <a:r>
            <a:rPr lang="en-US" sz="1100" b="0" i="0" baseline="0">
              <a:solidFill>
                <a:schemeClr val="dk1"/>
              </a:solidFill>
              <a:effectLst/>
              <a:latin typeface="+mn-lt"/>
              <a:ea typeface="+mn-ea"/>
              <a:cs typeface="+mn-cs"/>
            </a:rPr>
            <a:t>Ameren Missouri will review each such submitted application in order to independently verify its projected EEM energy savings and cost estimates. Ameren Missouri reserves the right to reject or modify any such estimates or calculations based on its analysis. </a:t>
          </a:r>
          <a:r>
            <a:rPr lang="en-US" sz="1100" b="1" i="0" baseline="0">
              <a:solidFill>
                <a:schemeClr val="dk1"/>
              </a:solidFill>
              <a:effectLst/>
              <a:latin typeface="+mn-lt"/>
              <a:ea typeface="+mn-ea"/>
              <a:cs typeface="+mn-cs"/>
            </a:rPr>
            <a:t>All pre- approval projects are subject to random or for-cause inspections by Ameren Missouri. All pre-approval projects with an estimated incentive greater than $15,000 will receive an inspection by Ameren Missouri. </a:t>
          </a:r>
          <a:endParaRPr lang="en-US">
            <a:effectLst/>
          </a:endParaRPr>
        </a:p>
        <a:p>
          <a:r>
            <a:rPr lang="en-US" sz="1100" b="1" i="1"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Ameren Missouri has the sole discretion to approve or deny any BizSavers incentive application and will only approve applications that it reasonably believes to have reliable and cost-effective energy savings potential based solely on the information provided in the application. </a:t>
          </a:r>
        </a:p>
        <a:p>
          <a:r>
            <a:rPr lang="en-US" sz="1100" b="1" i="1"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After an application has been reviewed, inspected (if applicable), and approved by Ameren Missouri (“Approved Application”) as set forth in this Section, the Customer will receive a notification (“Pre-Installation Approval”) of the maximum pre-approved incentive amount (the “Approved Incentive”). </a:t>
          </a:r>
          <a:r>
            <a:rPr lang="en-US" sz="1100" b="1" i="1" u="none" strike="noStrike" baseline="0">
              <a:solidFill>
                <a:schemeClr val="dk1"/>
              </a:solidFill>
              <a:latin typeface="+mn-lt"/>
              <a:ea typeface="+mn-ea"/>
              <a:cs typeface="+mn-cs"/>
            </a:rPr>
            <a:t>Ameren Missouri will not pay incentives for any EEMs purchased or installed prior to issuance of a required Pre-Installation Approval or in excess of the Approved Incentive.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3. VENDOR SELECTION: </a:t>
          </a:r>
          <a:r>
            <a:rPr lang="en-US" sz="1100" b="0" i="0" u="none" strike="noStrike" baseline="0">
              <a:solidFill>
                <a:schemeClr val="dk1"/>
              </a:solidFill>
              <a:latin typeface="+mn-lt"/>
              <a:ea typeface="+mn-ea"/>
              <a:cs typeface="+mn-cs"/>
            </a:rPr>
            <a:t>The Customer may self-perform, or select any vendor or contractor to perform, the work contemplated by its application, except to the extent any Program specifically requires the use of pre-approved vendors. Notwithstanding the foregoing, Ameren Missouri has the right, in its sole discretion, to prohibit any vendor or contractor from Program participation based on: such vendor's or contractor’s past performance in connection with BizSavers, or diversity status in order to support Ameren Missouri’s supplier diversity goals.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4. REMOVAL OF EQUIPMENT: </a:t>
          </a:r>
          <a:r>
            <a:rPr lang="en-US" sz="1100" b="0" i="0" u="none" strike="noStrike" baseline="0">
              <a:solidFill>
                <a:schemeClr val="dk1"/>
              </a:solidFill>
              <a:latin typeface="+mn-lt"/>
              <a:ea typeface="+mn-ea"/>
              <a:cs typeface="+mn-cs"/>
            </a:rPr>
            <a:t>The Customer agrees to remove and dispose of all materials and equipment replaced by BizSavers EEMs in accordance with all applicable laws, rules, and regulations. The Customer further agrees not to reinstall any such materials or equipment in the State of Missouri, or to knowingly transfer them to any third party for installation in the State of Missouri. </a:t>
          </a:r>
        </a:p>
        <a:p>
          <a:endParaRPr lang="en-US" sz="1100" b="0" i="0" u="none" strike="noStrike" baseline="0">
            <a:solidFill>
              <a:schemeClr val="dk1"/>
            </a:solidFill>
            <a:latin typeface="+mn-lt"/>
            <a:ea typeface="+mn-ea"/>
            <a:cs typeface="+mn-cs"/>
          </a:endParaRPr>
        </a:p>
        <a:p>
          <a:r>
            <a:rPr lang="en-US" sz="1100" b="1">
              <a:solidFill>
                <a:schemeClr val="dk1"/>
              </a:solidFill>
              <a:effectLst/>
              <a:latin typeface="+mn-lt"/>
              <a:ea typeface="+mn-ea"/>
              <a:cs typeface="+mn-cs"/>
            </a:rPr>
            <a:t>5. INSTALLATION AND DOCUMENTATION SUBMITTAL DEADLINES: </a:t>
          </a:r>
          <a:r>
            <a:rPr lang="en-US" sz="1100">
              <a:solidFill>
                <a:schemeClr val="dk1"/>
              </a:solidFill>
              <a:effectLst/>
              <a:latin typeface="+mn-lt"/>
              <a:ea typeface="+mn-ea"/>
              <a:cs typeface="+mn-cs"/>
            </a:rPr>
            <a:t>In order to receive a BizSavers incentive, </a:t>
          </a:r>
          <a:r>
            <a:rPr lang="en-US" sz="1100" b="1">
              <a:solidFill>
                <a:schemeClr val="dk1"/>
              </a:solidFill>
              <a:effectLst/>
              <a:latin typeface="+mn-lt"/>
              <a:ea typeface="+mn-ea"/>
              <a:cs typeface="+mn-cs"/>
            </a:rPr>
            <a:t>Customers must complete installation of the EEMs and submit supporting documentation no later than the earliest of: (i) for applications which do not require pre- approval pursuant to Section 2, applications must be submitted with invoices dated on or after January 1, 2023 or (ii) in all cases, December 31, 2024 or such earlier date as may be specified by an individual Program. </a:t>
          </a:r>
          <a:r>
            <a:rPr lang="en-US" sz="1100">
              <a:solidFill>
                <a:schemeClr val="dk1"/>
              </a:solidFill>
              <a:effectLst/>
              <a:latin typeface="+mn-lt"/>
              <a:ea typeface="+mn-ea"/>
              <a:cs typeface="+mn-cs"/>
            </a:rPr>
            <a:t>Required supporting documentation may include copies of all invoices (or other documentation reasonably satisfactory to Ameren Missouri) of costs incurred by the Customer for the purchase and installation of the EEMs set forth in its application, including all materials, labor, and equipment discounts. If a single BizSavers application is submitted for two or more EEMs, the supporting documentation must be break out the costs of each EEM separately. </a:t>
          </a:r>
        </a:p>
        <a:p>
          <a:endParaRPr lang="en-US" sz="1100">
            <a:solidFill>
              <a:schemeClr val="dk1"/>
            </a:solidFill>
            <a:effectLst/>
            <a:latin typeface="+mn-lt"/>
            <a:ea typeface="+mn-ea"/>
            <a:cs typeface="+mn-cs"/>
          </a:endParaRPr>
        </a:p>
        <a:p>
          <a:r>
            <a:rPr lang="en-US" sz="1100" b="1" i="0" u="none" strike="noStrike" baseline="0">
              <a:solidFill>
                <a:schemeClr val="dk1"/>
              </a:solidFill>
              <a:latin typeface="+mn-lt"/>
              <a:ea typeface="+mn-ea"/>
              <a:cs typeface="+mn-cs"/>
            </a:rPr>
            <a:t>6. ADJUSTMENT OF INCENTIVE AMOUNTS: </a:t>
          </a:r>
          <a:r>
            <a:rPr lang="en-US" sz="1100" b="0" i="0" u="none" strike="noStrike" baseline="0">
              <a:solidFill>
                <a:schemeClr val="dk1"/>
              </a:solidFill>
              <a:latin typeface="+mn-lt"/>
              <a:ea typeface="+mn-ea"/>
              <a:cs typeface="+mn-cs"/>
            </a:rPr>
            <a:t>Ameren Missouri reserves the right to adjust and/or negotiate the incentive amount based on its independent assessment of appropriate savings or cost estimates or if the quantity and/or cost of EEMs actually installed by the Customer differ from that stated in the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7. INCENTIVE PAYMENTS: a) </a:t>
          </a:r>
          <a:r>
            <a:rPr lang="en-US" sz="1100" b="0" i="0" u="none" strike="noStrike" baseline="0">
              <a:solidFill>
                <a:schemeClr val="dk1"/>
              </a:solidFill>
              <a:latin typeface="+mn-lt"/>
              <a:ea typeface="+mn-ea"/>
              <a:cs typeface="+mn-cs"/>
            </a:rPr>
            <a:t>Ameren Missouri anticipates payment of BizSavers incentives within forty-five (45) days following Customer's submission to Ameren Missouri of all documentation required by these Terms and Conditions, including, without limitation, installation documentation as described in Section 5. All submitted documentation is subject to Ameren Missouri's review and approval.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reserves the right to credit BizSavers incentives against any of Customer's unpaid or overdue Ameren Missouri utility accounts.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An incentive check may only be made payable to a third-party entity if the entity is an approved Trade Ally.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Except for certain BizSavers incentives, which, if the Program requires, may be payable only to the contractor identified on the application, Customer may elect to receive incentives either by check or as credit against an Ameren Missouri utility account;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Trade Allies will be limited to three check reissue requests annually. If a Trade Ally exceeds three check reissue requests annually, they will no longer be able to list themselves as the payee on the applications.</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8. POST-INSTALLATION VERIFICATION - INCENTIVES GREATER THAN $15,000: </a:t>
          </a:r>
          <a:r>
            <a:rPr lang="en-US" sz="1100" b="0" i="0" u="none" strike="noStrike" baseline="0">
              <a:solidFill>
                <a:schemeClr val="dk1"/>
              </a:solidFill>
              <a:latin typeface="+mn-lt"/>
              <a:ea typeface="+mn-ea"/>
              <a:cs typeface="+mn-cs"/>
            </a:rPr>
            <a:t>Ameren Missouri shall only pay incentives for Approved Applications in excess of $15,000 after it has performed a satisfactory post-installation verification. In the event Ameren Missouri determines that: (i) EEMs were not installed in a manner consistent with the Approved Application; (ii) unapproved EEMs were installed, (iii) installation was not consistent with generally accepted industry practices, and/or (iv) Customer has not received all applicable final drawings, operation and maintenance manuals, and/or operator training; then Ameren Missouri reserves the right to decrease or deny the related Approved Incentive payment.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9. POST-INCENTIVE MONITORING AND EVALUATION FOLLOW-UP VISITS: </a:t>
          </a:r>
          <a:r>
            <a:rPr lang="en-US" sz="1100" b="0" i="0" u="none" strike="noStrike" baseline="0">
              <a:solidFill>
                <a:schemeClr val="dk1"/>
              </a:solidFill>
              <a:latin typeface="+mn-lt"/>
              <a:ea typeface="+mn-ea"/>
              <a:cs typeface="+mn-cs"/>
            </a:rPr>
            <a:t>Ameren Missouri reserves the right to make follow-up visits to a Customer's facility for which any BizSavers incentive was received for a period of thirty-six (36) months following installation of the applicable EEM. Such site visits shall be made during normal business hours and with no less than one-week's advance notice to Customer. During such site visits, Ameren Missouri will review operation of the EEMs (including energy performance), in order to determine whether all applicable Program conditions have been met. During such site visit, Customer shall provide Ameren Missouri with access to observe the EEMs and review related project documentation. Ameren Missouri reserves the right to seek repayment of any BizSavers incentive in the event the applicable EEMs cannot be located, have not been installed, are not operational, or are not otherwise in compliance with the provisions of these Terms and Conditions or an application.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10. INDEPENDENT TESTING: </a:t>
          </a:r>
          <a:r>
            <a:rPr lang="en-US" sz="1100" b="0" i="0" u="none" strike="noStrike" baseline="0">
              <a:solidFill>
                <a:schemeClr val="dk1"/>
              </a:solidFill>
              <a:latin typeface="+mn-lt"/>
              <a:ea typeface="+mn-ea"/>
              <a:cs typeface="+mn-cs"/>
            </a:rPr>
            <a:t>Ameren Missouri reserves the right to deny BizSavers incentives for any EEM that has not been approved by a recognized, independent authority, such as the Underwriter's Laboratory (UL), Intertek ETL, and the American Refrigeration Institute (ARI). Ameren Missouri may, in its discretion, require the Customer to undertake, at its own expense, testing of a proposed EEM that does not carry the Listing Mark by UL, or an equivalent independent testing facility approved in advance by Ameren Missouri.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11. CHANGES IN/CANCELLATION OF THE PROGRAM: a) </a:t>
          </a:r>
          <a:r>
            <a:rPr lang="en-US" sz="1100" b="0" i="0" u="none" strike="noStrike" baseline="0">
              <a:solidFill>
                <a:schemeClr val="dk1"/>
              </a:solidFill>
              <a:latin typeface="+mn-lt"/>
              <a:ea typeface="+mn-ea"/>
              <a:cs typeface="+mn-cs"/>
            </a:rPr>
            <a:t>Ameren Missouri may change BizSavers' or any individual Program's requirements, incentives, or Terms &amp; Conditions at any time without notice, including suspending acceptance of applications or terminating any Program. Ameren Missouri is not obligated to approve any application in excess of its Program budgets.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In the event of a Program change, Approved Applications will be processed to completion under the Terms &amp; Conditions in effect as of the Pre-Installation Approval date.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Applications which do not require pre-approval will be subject to Program rules in effect on the date of the application's submittal.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BizSavers Incentives are offered on a first-come, first-served basis and are subject to the availability of Program funds.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12. PUBLICITY OF CUSTOMER PARTICIPATION: a) </a:t>
          </a:r>
          <a:r>
            <a:rPr lang="en-US" sz="1100" b="0" i="0" u="none" strike="noStrike" baseline="0">
              <a:solidFill>
                <a:schemeClr val="dk1"/>
              </a:solidFill>
              <a:latin typeface="+mn-lt"/>
              <a:ea typeface="+mn-ea"/>
              <a:cs typeface="+mn-cs"/>
            </a:rPr>
            <a:t>Ameren Missouri may publicize information relating to Customer's participation in BizSavers, including such data as: projected Program energy savings, incentive amounts paid, before and after pictures, and such other information that does not compromise Customer's reasonable expectations of confidentiality of proprietary or competitive information. In the latter instance, Ameren Missouri will obtain Customer's consent to make such information public, which consent shall not be unreasonably withheld or delayed.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By participating in this program, you agree to receive emails from Ameren at the email address provided for this program. These emails may contain information about Ameren's products and services; other energy related products, services and programs; as well as energy related legislative and environmental issues. You may unsubscribe from receiving these emails at any time by contacting the Ameren Missouri BizSavers program at 1-866-941-7299 or Bizefficiency@ameren.com; however, it may take up to 10 days to take effect.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13. OWNERSHIP OF CAPACITY AND/OR ENVIRONMENTAL CREDITS: a) </a:t>
          </a:r>
          <a:r>
            <a:rPr lang="en-US" sz="1100" b="0" i="0" u="none" strike="noStrike" baseline="0">
              <a:solidFill>
                <a:schemeClr val="dk1"/>
              </a:solidFill>
              <a:latin typeface="+mn-lt"/>
              <a:ea typeface="+mn-ea"/>
              <a:cs typeface="+mn-cs"/>
            </a:rPr>
            <a:t>Except as set forth in this Section 13, the Customer is the owner of all EEMs for which it receives BizSavers incentive.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Ameren Missouri has the sole ownership interest in, and right to, any electric system capacity credits and environmental credits that may be associated with EEMs for which BizSavers incentives were received, and Ameren Missouri may dispose of such credits in any manner authorized by law or regulation.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No action taken with respect to the credits set forth in Section 13(b) shall interfere with Customer's use of its EEMs.</a:t>
          </a:r>
        </a:p>
        <a:p>
          <a:r>
            <a:rPr lang="en-US" sz="1100" b="0" i="0" u="none" strike="noStrike" baseline="0">
              <a:solidFill>
                <a:schemeClr val="dk1"/>
              </a:solidFill>
              <a:latin typeface="+mn-lt"/>
              <a:ea typeface="+mn-ea"/>
              <a:cs typeface="+mn-cs"/>
            </a:rPr>
            <a:t> </a:t>
          </a:r>
        </a:p>
        <a:p>
          <a:r>
            <a:rPr lang="en-US" sz="1100" b="1" i="0" u="none" strike="noStrike" baseline="0">
              <a:solidFill>
                <a:schemeClr val="dk1"/>
              </a:solidFill>
              <a:latin typeface="+mn-lt"/>
              <a:ea typeface="+mn-ea"/>
              <a:cs typeface="+mn-cs"/>
            </a:rPr>
            <a:t>14. LIMITATION OF LIABILITY AND INDEMNIFICATION: a</a:t>
          </a:r>
          <a:r>
            <a:rPr lang="en-US" sz="1100" b="0" i="0" u="none" strike="noStrike" baseline="0">
              <a:solidFill>
                <a:schemeClr val="dk1"/>
              </a:solidFill>
              <a:latin typeface="+mn-lt"/>
              <a:ea typeface="+mn-ea"/>
              <a:cs typeface="+mn-cs"/>
            </a:rPr>
            <a:t>) Ameren Missouri’s liability to Customer under BizSavers will be limited to payment of incentive amounts as set forth in this document. Neither Ameren Missouri nor any of its affiliates or representatives shall be liable to the Customer for any special, indirect, consequential or incidental damages or for any damages in tort (including negligence) caused by any activities associated with BizSavers. By participating in BizSavers, Customer agrees to waive any claims it may have against, and fully releases, Ameren Missouri from all such damages, of any kind or nature.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The Customer shall protect, indemnify, and hold harmless Ameren Missouri and its affiliates and representatives from and against all liabilities, losses, claims, damages, judgments, penalties, causes of action, costs and expenses (including, without limitation, attorney's fees and expenses) incurred by or assessed against Ameren Missouri or its affiliates or representatives arising out of or relating to Customer’s participation in BizSavers.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15. NO WARRANTIES: a) NEITHER AMEREN MISSOURI NOR ITS REPRESENTATIVES ENDORSES, GUARANTEES, OR PROVIDES ANY WARRANTY WITH RESPECT TO ANY EEM, CONTRACTOR, MANUFACTURER OR PRODUCT, EXPRESSED OR IMPLIED, INCLUDING ANY IMPLIED WARRANTY OF MERCHANTABILITY OR IMPLIED WARRANTY OF FITNESS FOR A PARTICULAR PURPOSE. AMEREN MISSOURI IS NOT LIABLE OR RESPONSIBLE FOR ANY NEGLIGENT ACT OR OMISSION OF ANY CONTRACTOR ENGAGED BY CUSTOMER. b) NEITHER AMEREN MISSOURI NOR ITS REPRESENTATIVES ARE RESPONSIBLE FOR ENSURING THAT THE DESIGN, ENGINEERING OR INSTALLATION OF ANY EEM IS PROPER OR COMPLIES WITH ANY APPLICABLE LAW, CODE, OR INDUSTRY STANDARD. AMEREN MISSOURI DOES NOT MAKE ANY REPRESENTATION OF ANY KIND REGARDING THE ENERGY SAVINGS OR OTHER RESULTS ACHIEVABLE BY ANY EEMs OR THE SAFETY OF SUCH MEASURES.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16. ELIGIBILITY DISCLAIMER: </a:t>
          </a:r>
          <a:r>
            <a:rPr lang="en-US" sz="1100" b="0" i="0" u="none" strike="noStrike" baseline="0">
              <a:solidFill>
                <a:schemeClr val="dk1"/>
              </a:solidFill>
              <a:latin typeface="+mn-lt"/>
              <a:ea typeface="+mn-ea"/>
              <a:cs typeface="+mn-cs"/>
            </a:rPr>
            <a:t>Customer electricity rates, charges and service fees determined by the Missouri Public Service Commission are subject to change. Future rate adjustments may positively or negatively impact financial savings projected from your energy efficiency investment. Ameren Missouri makes no guarantees regarding savings based on future electricity rate projections, including those formulated by third parties.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17. PAYEE MUST PAY ALL TAXES: Incentives received by the Payee under this Application may be taxable by the federal, state, and local government. The Payee is responsible for declaring and paying all such taxes. </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18. MISCELLANEOUS: a) </a:t>
          </a:r>
          <a:r>
            <a:rPr lang="en-US" sz="1100" b="0" i="0" u="none" strike="noStrike" baseline="0">
              <a:solidFill>
                <a:schemeClr val="dk1"/>
              </a:solidFill>
              <a:latin typeface="+mn-lt"/>
              <a:ea typeface="+mn-ea"/>
              <a:cs typeface="+mn-cs"/>
            </a:rPr>
            <a:t>The entire agreement between the Customer and Ameren Missouri is composed of all applicable Program forms and documents (including, without limitation, Customer's application) and these Terms and Conditions. </a:t>
          </a:r>
          <a:r>
            <a:rPr lang="en-US" sz="1100" b="1" i="0" u="none" strike="noStrike" baseline="0">
              <a:solidFill>
                <a:schemeClr val="dk1"/>
              </a:solidFill>
              <a:latin typeface="+mn-lt"/>
              <a:ea typeface="+mn-ea"/>
              <a:cs typeface="+mn-cs"/>
            </a:rPr>
            <a:t>b) </a:t>
          </a:r>
          <a:r>
            <a:rPr lang="en-US" sz="1100" b="0" i="0" u="none" strike="noStrike" baseline="0">
              <a:solidFill>
                <a:schemeClr val="dk1"/>
              </a:solidFill>
              <a:latin typeface="+mn-lt"/>
              <a:ea typeface="+mn-ea"/>
              <a:cs typeface="+mn-cs"/>
            </a:rPr>
            <a:t>Paragraph headings are for the convenience of the parties only and are not to be construed as part of these Terms and Conditions. </a:t>
          </a:r>
          <a:r>
            <a:rPr lang="en-US" sz="1100" b="1" i="0" u="none" strike="noStrike" baseline="0">
              <a:solidFill>
                <a:schemeClr val="dk1"/>
              </a:solidFill>
              <a:latin typeface="+mn-lt"/>
              <a:ea typeface="+mn-ea"/>
              <a:cs typeface="+mn-cs"/>
            </a:rPr>
            <a:t>c) </a:t>
          </a:r>
          <a:r>
            <a:rPr lang="en-US" sz="1100" b="0" i="0" u="none" strike="noStrike" baseline="0">
              <a:solidFill>
                <a:schemeClr val="dk1"/>
              </a:solidFill>
              <a:latin typeface="+mn-lt"/>
              <a:ea typeface="+mn-ea"/>
              <a:cs typeface="+mn-cs"/>
            </a:rPr>
            <a:t>The Customer acknowledges that the only individuals authorized to bind Ameren Missouri under BizSavers are Ameren Missouri's staff and authorized agents. </a:t>
          </a:r>
          <a:r>
            <a:rPr lang="en-US" sz="1100" b="1" i="0" u="none" strike="noStrike" baseline="0">
              <a:solidFill>
                <a:schemeClr val="dk1"/>
              </a:solidFill>
              <a:latin typeface="+mn-lt"/>
              <a:ea typeface="+mn-ea"/>
              <a:cs typeface="+mn-cs"/>
            </a:rPr>
            <a:t>d) </a:t>
          </a:r>
          <a:r>
            <a:rPr lang="en-US" sz="1100" b="0" i="0" u="none" strike="noStrike" baseline="0">
              <a:solidFill>
                <a:schemeClr val="dk1"/>
              </a:solidFill>
              <a:latin typeface="+mn-lt"/>
              <a:ea typeface="+mn-ea"/>
              <a:cs typeface="+mn-cs"/>
            </a:rPr>
            <a:t>If any provision of these Terms and Conditions is deemed invalid by any court or administrative body having jurisdiction, such ruling shall not invalidate any other provision, and the remaining Terms and Conditions shall remain in full force and effect. </a:t>
          </a:r>
          <a:r>
            <a:rPr lang="en-US" sz="1100" b="1" i="0" u="none" strike="noStrike" baseline="0">
              <a:solidFill>
                <a:schemeClr val="dk1"/>
              </a:solidFill>
              <a:latin typeface="+mn-lt"/>
              <a:ea typeface="+mn-ea"/>
              <a:cs typeface="+mn-cs"/>
            </a:rPr>
            <a:t>e) </a:t>
          </a:r>
          <a:r>
            <a:rPr lang="en-US" sz="1100" b="0" i="0" u="none" strike="noStrike" baseline="0">
              <a:solidFill>
                <a:schemeClr val="dk1"/>
              </a:solidFill>
              <a:latin typeface="+mn-lt"/>
              <a:ea typeface="+mn-ea"/>
              <a:cs typeface="+mn-cs"/>
            </a:rPr>
            <a:t>If a dispute arises out of, or relates to a BizSavers incentive or these Terms and Conditions, and if such dispute cannot be settled through negotiation, Ameren Missouri and the Customer agree first to try in good faith to settle the dispute by mediation administered by the American Arbitration Association under its Commercial Mediation Procedures. If the parties do not reach resolution within a period of 10 days after submittal to mediation, then, upon notice by either party to the other, all disputes, claims, questions, or differences shall be finally settled by arbitration administered by the American Arbitration Association at a location selected by Ameren Missouri in the State of Missouri, in accordance with the provisions of its Commercial Arbitration Rules. Resolution of disputes concerning these Terms and Conditions, or any other requirement of a BizSavers application or condition of incentive award, resolution will be governed in all respects by the laws, statutes, and regulations of the State of Missouri. </a:t>
          </a:r>
          <a:r>
            <a:rPr lang="en-US" sz="1100" b="1" i="0" u="none" strike="noStrike" baseline="0">
              <a:solidFill>
                <a:schemeClr val="dk1"/>
              </a:solidFill>
              <a:latin typeface="+mn-lt"/>
              <a:ea typeface="+mn-ea"/>
              <a:cs typeface="+mn-cs"/>
            </a:rPr>
            <a:t>f</a:t>
          </a:r>
          <a:r>
            <a:rPr lang="en-US" sz="1100" b="0" i="0" u="none" strike="noStrike" baseline="0">
              <a:solidFill>
                <a:schemeClr val="dk1"/>
              </a:solidFill>
              <a:latin typeface="+mn-lt"/>
              <a:ea typeface="+mn-ea"/>
              <a:cs typeface="+mn-cs"/>
            </a:rPr>
            <a:t>) </a:t>
          </a:r>
          <a:r>
            <a:rPr lang="en-US" sz="1100" b="1" i="0" u="none" strike="noStrike" baseline="0">
              <a:solidFill>
                <a:schemeClr val="dk1"/>
              </a:solidFill>
              <a:latin typeface="+mn-lt"/>
              <a:ea typeface="+mn-ea"/>
              <a:cs typeface="+mn-cs"/>
            </a:rPr>
            <a:t>AMEREN MISSOURI AND CUSTOMER HEREBY IRREVOCABLY AND UNCONDITIONALLY WAIVE ANY RIGHT EITHER SUCH PARTY MAY HAVE TO A TRIAL BY JURY OR TO INITIATE OR BECOME A PARTY TO ANY CLASS ACTION CLAIM IN RESPECT OF ANY ACTION, SUIT OR PROCEEDING DIRECTLY OR INDIRECTLY ARISING OUT OF OR RELATING TO A BIZSAVERS APPLICATION, THESE TERMS AND CONDITIONS, OR A BIZSAVERS INCENTIVE. g) </a:t>
          </a:r>
          <a:r>
            <a:rPr lang="en-US" sz="1100" b="0" i="0" u="none" strike="noStrike" baseline="0">
              <a:solidFill>
                <a:schemeClr val="dk1"/>
              </a:solidFill>
              <a:latin typeface="+mn-lt"/>
              <a:ea typeface="+mn-ea"/>
              <a:cs typeface="+mn-cs"/>
            </a:rPr>
            <a:t>Customer shall not assign any rights it may have hereunder without the prior written consent of Ameren Missouri, except for the optional third-party assignment of incentives as provided herein. Any assignment in violation of this provision shall be deemed null and void.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D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D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D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D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D00-000003000000}"/>
            </a:ext>
          </a:extLst>
        </xdr:cNvPr>
        <xdr:cNvSpPr/>
      </xdr:nvSpPr>
      <xdr:spPr>
        <a:xfrm>
          <a:off x="2205862" y="197827"/>
          <a:ext cx="1259774"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D00-000004000000}"/>
            </a:ext>
          </a:extLst>
        </xdr:cNvPr>
        <xdr:cNvSpPr/>
      </xdr:nvSpPr>
      <xdr:spPr>
        <a:xfrm>
          <a:off x="3465636" y="331177"/>
          <a:ext cx="1260231" cy="593481"/>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4725867" y="197827"/>
          <a:ext cx="1260231" cy="593481"/>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D00-000005000000}"/>
            </a:ext>
          </a:extLst>
        </xdr:cNvPr>
        <xdr:cNvSpPr/>
      </xdr:nvSpPr>
      <xdr:spPr>
        <a:xfrm>
          <a:off x="5986096"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D00-000006000000}"/>
            </a:ext>
          </a:extLst>
        </xdr:cNvPr>
        <xdr:cNvSpPr/>
      </xdr:nvSpPr>
      <xdr:spPr>
        <a:xfrm>
          <a:off x="7246327" y="197828"/>
          <a:ext cx="1260231"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D00-000007000000}"/>
            </a:ext>
          </a:extLst>
        </xdr:cNvPr>
        <xdr:cNvSpPr/>
      </xdr:nvSpPr>
      <xdr:spPr>
        <a:xfrm>
          <a:off x="8506558" y="197827"/>
          <a:ext cx="1260230" cy="593481"/>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D00-00000A000000}"/>
            </a:ext>
          </a:extLst>
        </xdr:cNvPr>
        <xdr:cNvSpPr/>
      </xdr:nvSpPr>
      <xdr:spPr>
        <a:xfrm>
          <a:off x="313765" y="806825"/>
          <a:ext cx="13491882" cy="605116"/>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D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D00-00000C000000}"/>
            </a:ext>
          </a:extLst>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4</xdr:row>
      <xdr:rowOff>200705</xdr:rowOff>
    </xdr:from>
    <xdr:to>
      <xdr:col>17</xdr:col>
      <xdr:colOff>2551</xdr:colOff>
      <xdr:row>7</xdr:row>
      <xdr:rowOff>0</xdr:rowOff>
    </xdr:to>
    <xdr:sp macro="" textlink="M2S5">
      <xdr:nvSpPr>
        <xdr:cNvPr id="15" name="SUBMENU5">
          <a:hlinkClick xmlns:r="http://schemas.openxmlformats.org/officeDocument/2006/relationships" r:id="rId4"/>
          <a:extLst>
            <a:ext uri="{FF2B5EF4-FFF2-40B4-BE49-F238E27FC236}">
              <a16:creationId xmlns:a16="http://schemas.microsoft.com/office/drawing/2014/main" id="{00000000-0008-0000-0D00-00000F000000}"/>
            </a:ext>
          </a:extLst>
        </xdr:cNvPr>
        <xdr:cNvSpPr/>
      </xdr:nvSpPr>
      <xdr:spPr>
        <a:xfrm>
          <a:off x="3767730" y="1007529"/>
          <a:ext cx="1568821"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0</xdr:rowOff>
    </xdr:from>
    <xdr:to>
      <xdr:col>22</xdr:col>
      <xdr:colOff>2550</xdr:colOff>
      <xdr:row>7</xdr:row>
      <xdr:rowOff>1000</xdr:rowOff>
    </xdr:to>
    <xdr:sp macro="" textlink="M2S3">
      <xdr:nvSpPr>
        <xdr:cNvPr id="13" name="SUBMENU3">
          <a:hlinkClick xmlns:r="http://schemas.openxmlformats.org/officeDocument/2006/relationships" r:id="rId12"/>
          <a:extLst>
            <a:ext uri="{FF2B5EF4-FFF2-40B4-BE49-F238E27FC236}">
              <a16:creationId xmlns:a16="http://schemas.microsoft.com/office/drawing/2014/main" id="{00000000-0008-0000-0D00-00000D000000}"/>
            </a:ext>
          </a:extLst>
        </xdr:cNvPr>
        <xdr:cNvSpPr/>
      </xdr:nvSpPr>
      <xdr:spPr>
        <a:xfrm>
          <a:off x="5336551" y="1008529"/>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2550</xdr:colOff>
      <xdr:row>5</xdr:row>
      <xdr:rowOff>3879</xdr:rowOff>
    </xdr:from>
    <xdr:to>
      <xdr:col>27</xdr:col>
      <xdr:colOff>2550</xdr:colOff>
      <xdr:row>7</xdr:row>
      <xdr:rowOff>4879</xdr:rowOff>
    </xdr:to>
    <xdr:sp macro="" textlink="M2S4">
      <xdr:nvSpPr>
        <xdr:cNvPr id="14" name="SUBMENU4">
          <a:hlinkClick xmlns:r="http://schemas.openxmlformats.org/officeDocument/2006/relationships" r:id="rId13"/>
          <a:extLst>
            <a:ext uri="{FF2B5EF4-FFF2-40B4-BE49-F238E27FC236}">
              <a16:creationId xmlns:a16="http://schemas.microsoft.com/office/drawing/2014/main" id="{00000000-0008-0000-0D00-00000E000000}"/>
            </a:ext>
          </a:extLst>
        </xdr:cNvPr>
        <xdr:cNvSpPr/>
      </xdr:nvSpPr>
      <xdr:spPr>
        <a:xfrm>
          <a:off x="6905374" y="1012408"/>
          <a:ext cx="1568823"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1</xdr:colOff>
      <xdr:row>8</xdr:row>
      <xdr:rowOff>0</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0D00-000013000000}"/>
            </a:ext>
          </a:extLst>
        </xdr:cNvPr>
        <xdr:cNvSpPr/>
      </xdr:nvSpPr>
      <xdr:spPr>
        <a:xfrm>
          <a:off x="313766" y="1613647"/>
          <a:ext cx="13491882" cy="908797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a:extLst>
            <a:ext uri="{FF2B5EF4-FFF2-40B4-BE49-F238E27FC236}">
              <a16:creationId xmlns:a16="http://schemas.microsoft.com/office/drawing/2014/main" id="{00000000-0008-0000-0D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D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D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D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2" name="SUBMENU6">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3" name="SUBMENU7">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4" name="SUBMENU8">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67721</xdr:rowOff>
    </xdr:to>
    <xdr:sp macro="" textlink="">
      <xdr:nvSpPr>
        <xdr:cNvPr id="5" name="NEXT">
          <a:hlinkClick xmlns:r="http://schemas.openxmlformats.org/officeDocument/2006/relationships" r:id="rId4"/>
          <a:extLst>
            <a:ext uri="{FF2B5EF4-FFF2-40B4-BE49-F238E27FC236}">
              <a16:creationId xmlns:a16="http://schemas.microsoft.com/office/drawing/2014/main" id="{00000000-0008-0000-0E00-000005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458</xdr:colOff>
      <xdr:row>1</xdr:row>
      <xdr:rowOff>0</xdr:rowOff>
    </xdr:from>
    <xdr:to>
      <xdr:col>11</xdr:col>
      <xdr:colOff>1</xdr:colOff>
      <xdr:row>4</xdr:row>
      <xdr:rowOff>0</xdr:rowOff>
    </xdr:to>
    <xdr:sp macro="" textlink="MAIN1">
      <xdr:nvSpPr>
        <xdr:cNvPr id="6" name="MENU1">
          <a:hlinkClick xmlns:r="http://schemas.openxmlformats.org/officeDocument/2006/relationships" r:id="rId5"/>
          <a:extLst>
            <a:ext uri="{FF2B5EF4-FFF2-40B4-BE49-F238E27FC236}">
              <a16:creationId xmlns:a16="http://schemas.microsoft.com/office/drawing/2014/main" id="{00000000-0008-0000-0E00-000006000000}"/>
            </a:ext>
          </a:extLst>
        </xdr:cNvPr>
        <xdr:cNvSpPr/>
      </xdr:nvSpPr>
      <xdr:spPr>
        <a:xfrm>
          <a:off x="2200733" y="200025"/>
          <a:ext cx="1256843"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2</xdr:colOff>
      <xdr:row>4</xdr:row>
      <xdr:rowOff>133350</xdr:rowOff>
    </xdr:to>
    <xdr:sp macro="" textlink="MAIN2">
      <xdr:nvSpPr>
        <xdr:cNvPr id="7" name="MENU2">
          <a:hlinkClick xmlns:r="http://schemas.openxmlformats.org/officeDocument/2006/relationships" r:id="rId6"/>
          <a:extLst>
            <a:ext uri="{FF2B5EF4-FFF2-40B4-BE49-F238E27FC236}">
              <a16:creationId xmlns:a16="http://schemas.microsoft.com/office/drawing/2014/main" id="{00000000-0008-0000-0E00-000007000000}"/>
            </a:ext>
          </a:extLst>
        </xdr:cNvPr>
        <xdr:cNvSpPr/>
      </xdr:nvSpPr>
      <xdr:spPr>
        <a:xfrm>
          <a:off x="3457576" y="333375"/>
          <a:ext cx="1257301" cy="600075"/>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2</xdr:colOff>
      <xdr:row>1</xdr:row>
      <xdr:rowOff>0</xdr:rowOff>
    </xdr:from>
    <xdr:to>
      <xdr:col>19</xdr:col>
      <xdr:colOff>2</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E00-000008000000}"/>
            </a:ext>
          </a:extLst>
        </xdr:cNvPr>
        <xdr:cNvSpPr/>
      </xdr:nvSpPr>
      <xdr:spPr>
        <a:xfrm>
          <a:off x="4714877" y="200025"/>
          <a:ext cx="1257300" cy="600075"/>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A7013C38-B55C-49BA-903D-39DD8488744E}"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19</xdr:col>
      <xdr:colOff>0</xdr:colOff>
      <xdr:row>1</xdr:row>
      <xdr:rowOff>1</xdr:rowOff>
    </xdr:from>
    <xdr:to>
      <xdr:col>23</xdr:col>
      <xdr:colOff>0</xdr:colOff>
      <xdr:row>4</xdr:row>
      <xdr:rowOff>1</xdr:rowOff>
    </xdr:to>
    <xdr:sp macro="" textlink="MAIN4">
      <xdr:nvSpPr>
        <xdr:cNvPr id="9" name="MENU4">
          <a:hlinkClick xmlns:r="http://schemas.openxmlformats.org/officeDocument/2006/relationships" r:id="rId8"/>
          <a:extLst>
            <a:ext uri="{FF2B5EF4-FFF2-40B4-BE49-F238E27FC236}">
              <a16:creationId xmlns:a16="http://schemas.microsoft.com/office/drawing/2014/main" id="{00000000-0008-0000-0E00-000009000000}"/>
            </a:ext>
          </a:extLst>
        </xdr:cNvPr>
        <xdr:cNvSpPr/>
      </xdr:nvSpPr>
      <xdr:spPr>
        <a:xfrm>
          <a:off x="59721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2B61B37-C63F-4505-99AE-87548540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1</xdr:rowOff>
    </xdr:from>
    <xdr:to>
      <xdr:col>27</xdr:col>
      <xdr:colOff>0</xdr:colOff>
      <xdr:row>4</xdr:row>
      <xdr:rowOff>1</xdr:rowOff>
    </xdr:to>
    <xdr:sp macro="" textlink="MAIN5">
      <xdr:nvSpPr>
        <xdr:cNvPr id="10" name="MENU5">
          <a:hlinkClick xmlns:r="http://schemas.openxmlformats.org/officeDocument/2006/relationships" r:id="rId9"/>
          <a:extLst>
            <a:ext uri="{FF2B5EF4-FFF2-40B4-BE49-F238E27FC236}">
              <a16:creationId xmlns:a16="http://schemas.microsoft.com/office/drawing/2014/main" id="{00000000-0008-0000-0E00-00000A000000}"/>
            </a:ext>
          </a:extLst>
        </xdr:cNvPr>
        <xdr:cNvSpPr/>
      </xdr:nvSpPr>
      <xdr:spPr>
        <a:xfrm>
          <a:off x="7229475" y="200026"/>
          <a:ext cx="1257300"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39EAEB37-5FB7-4359-886E-5F76ADA514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30</xdr:col>
      <xdr:colOff>315057</xdr:colOff>
      <xdr:row>4</xdr:row>
      <xdr:rowOff>0</xdr:rowOff>
    </xdr:to>
    <xdr:sp macro="" textlink="MAIN6">
      <xdr:nvSpPr>
        <xdr:cNvPr id="11" name="MENU6">
          <a:hlinkClick xmlns:r="http://schemas.openxmlformats.org/officeDocument/2006/relationships" r:id="rId10"/>
          <a:extLst>
            <a:ext uri="{FF2B5EF4-FFF2-40B4-BE49-F238E27FC236}">
              <a16:creationId xmlns:a16="http://schemas.microsoft.com/office/drawing/2014/main" id="{00000000-0008-0000-0E00-00000B000000}"/>
            </a:ext>
          </a:extLst>
        </xdr:cNvPr>
        <xdr:cNvSpPr/>
      </xdr:nvSpPr>
      <xdr:spPr>
        <a:xfrm>
          <a:off x="8486775" y="200025"/>
          <a:ext cx="1258032"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7A5B5E6F-5C53-4E5D-8C02-D21721483380}"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0E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3" name="TOPRIBBON">
          <a:extLst>
            <a:ext uri="{FF2B5EF4-FFF2-40B4-BE49-F238E27FC236}">
              <a16:creationId xmlns:a16="http://schemas.microsoft.com/office/drawing/2014/main" id="{00000000-0008-0000-0E00-00000D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4" name="SUBMENU1">
          <a:hlinkClick xmlns:r="http://schemas.openxmlformats.org/officeDocument/2006/relationships" r:id="rId6"/>
          <a:extLst>
            <a:ext uri="{FF2B5EF4-FFF2-40B4-BE49-F238E27FC236}">
              <a16:creationId xmlns:a16="http://schemas.microsoft.com/office/drawing/2014/main" id="{00000000-0008-0000-0E00-00000E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2554</xdr:colOff>
      <xdr:row>4</xdr:row>
      <xdr:rowOff>197541</xdr:rowOff>
    </xdr:from>
    <xdr:to>
      <xdr:col>12</xdr:col>
      <xdr:colOff>2553</xdr:colOff>
      <xdr:row>6</xdr:row>
      <xdr:rowOff>196860</xdr:rowOff>
    </xdr:to>
    <xdr:sp macro="" textlink="M2S2">
      <xdr:nvSpPr>
        <xdr:cNvPr id="15" name="SUBMENU2">
          <a:hlinkClick xmlns:r="http://schemas.openxmlformats.org/officeDocument/2006/relationships" r:id="rId11"/>
          <a:extLst>
            <a:ext uri="{FF2B5EF4-FFF2-40B4-BE49-F238E27FC236}">
              <a16:creationId xmlns:a16="http://schemas.microsoft.com/office/drawing/2014/main" id="{00000000-0008-0000-0E00-00000F000000}"/>
            </a:ext>
          </a:extLst>
        </xdr:cNvPr>
        <xdr:cNvSpPr/>
      </xdr:nvSpPr>
      <xdr:spPr>
        <a:xfrm>
          <a:off x="2205728" y="992671"/>
          <a:ext cx="1573695" cy="396885"/>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2553</xdr:colOff>
      <xdr:row>5</xdr:row>
      <xdr:rowOff>52722</xdr:rowOff>
    </xdr:from>
    <xdr:to>
      <xdr:col>17</xdr:col>
      <xdr:colOff>2552</xdr:colOff>
      <xdr:row>7</xdr:row>
      <xdr:rowOff>50800</xdr:rowOff>
    </xdr:to>
    <xdr:sp macro="" textlink="M2S5">
      <xdr:nvSpPr>
        <xdr:cNvPr id="24" name="SUBMENU5">
          <a:hlinkClick xmlns:r="http://schemas.openxmlformats.org/officeDocument/2006/relationships" r:id="rId12"/>
          <a:extLst>
            <a:ext uri="{FF2B5EF4-FFF2-40B4-BE49-F238E27FC236}">
              <a16:creationId xmlns:a16="http://schemas.microsoft.com/office/drawing/2014/main" id="{00000000-0008-0000-0E00-000018000000}"/>
            </a:ext>
          </a:extLst>
        </xdr:cNvPr>
        <xdr:cNvSpPr/>
      </xdr:nvSpPr>
      <xdr:spPr>
        <a:xfrm>
          <a:off x="3779423" y="1046635"/>
          <a:ext cx="1573694" cy="395643"/>
        </a:xfrm>
        <a:prstGeom prst="round2SameRect">
          <a:avLst/>
        </a:prstGeom>
        <a:solidFill>
          <a:srgbClr val="1B6CB5"/>
        </a:solidFill>
        <a:ln w="12700">
          <a:solidFill>
            <a:srgbClr val="7F7F7F"/>
          </a:solidFill>
        </a:ln>
        <a:effectLst>
          <a:outerShdw blurRad="12700" dist="508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2552</xdr:colOff>
      <xdr:row>5</xdr:row>
      <xdr:rowOff>0</xdr:rowOff>
    </xdr:from>
    <xdr:to>
      <xdr:col>22</xdr:col>
      <xdr:colOff>2550</xdr:colOff>
      <xdr:row>6</xdr:row>
      <xdr:rowOff>196860</xdr:rowOff>
    </xdr:to>
    <xdr:sp macro="" textlink="M2S3">
      <xdr:nvSpPr>
        <xdr:cNvPr id="16" name="SUBMENU3">
          <a:hlinkClick xmlns:r="http://schemas.openxmlformats.org/officeDocument/2006/relationships" r:id="rId4"/>
          <a:extLst>
            <a:ext uri="{FF2B5EF4-FFF2-40B4-BE49-F238E27FC236}">
              <a16:creationId xmlns:a16="http://schemas.microsoft.com/office/drawing/2014/main" id="{00000000-0008-0000-0E00-000010000000}"/>
            </a:ext>
          </a:extLst>
        </xdr:cNvPr>
        <xdr:cNvSpPr/>
      </xdr:nvSpPr>
      <xdr:spPr>
        <a:xfrm>
          <a:off x="5353117" y="993913"/>
          <a:ext cx="1573694"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5</xdr:row>
      <xdr:rowOff>1922</xdr:rowOff>
    </xdr:from>
    <xdr:to>
      <xdr:col>26</xdr:col>
      <xdr:colOff>314739</xdr:colOff>
      <xdr:row>7</xdr:row>
      <xdr:rowOff>0</xdr:rowOff>
    </xdr:to>
    <xdr:sp macro="" textlink="M2S4">
      <xdr:nvSpPr>
        <xdr:cNvPr id="17" name="SUBMENU4">
          <a:hlinkClick xmlns:r="http://schemas.openxmlformats.org/officeDocument/2006/relationships" r:id="rId13"/>
          <a:extLst>
            <a:ext uri="{FF2B5EF4-FFF2-40B4-BE49-F238E27FC236}">
              <a16:creationId xmlns:a16="http://schemas.microsoft.com/office/drawing/2014/main" id="{00000000-0008-0000-0E00-000011000000}"/>
            </a:ext>
          </a:extLst>
        </xdr:cNvPr>
        <xdr:cNvSpPr/>
      </xdr:nvSpPr>
      <xdr:spPr>
        <a:xfrm>
          <a:off x="6924261" y="995835"/>
          <a:ext cx="1573695" cy="39564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8" name="BORDER">
          <a:extLst>
            <a:ext uri="{FF2B5EF4-FFF2-40B4-BE49-F238E27FC236}">
              <a16:creationId xmlns:a16="http://schemas.microsoft.com/office/drawing/2014/main" id="{00000000-0008-0000-0E00-000012000000}"/>
            </a:ext>
          </a:extLst>
        </xdr:cNvPr>
        <xdr:cNvSpPr/>
      </xdr:nvSpPr>
      <xdr:spPr>
        <a:xfrm>
          <a:off x="314323" y="1600199"/>
          <a:ext cx="13515977" cy="146018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67882</xdr:rowOff>
    </xdr:to>
    <xdr:sp macro="" textlink="">
      <xdr:nvSpPr>
        <xdr:cNvPr id="19" name="BACK">
          <a:hlinkClick xmlns:r="http://schemas.openxmlformats.org/officeDocument/2006/relationships" r:id="rId11"/>
          <a:extLst>
            <a:ext uri="{FF2B5EF4-FFF2-40B4-BE49-F238E27FC236}">
              <a16:creationId xmlns:a16="http://schemas.microsoft.com/office/drawing/2014/main" id="{00000000-0008-0000-0E00-000013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0" name="BOTTOMRIBBON">
          <a:extLst>
            <a:ext uri="{FF2B5EF4-FFF2-40B4-BE49-F238E27FC236}">
              <a16:creationId xmlns:a16="http://schemas.microsoft.com/office/drawing/2014/main" id="{00000000-0008-0000-0E00-000014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1" name="LOGO">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2" name="MENU7">
          <a:extLst>
            <a:ext uri="{FF2B5EF4-FFF2-40B4-BE49-F238E27FC236}">
              <a16:creationId xmlns:a16="http://schemas.microsoft.com/office/drawing/2014/main" id="{00000000-0008-0000-0E00-000016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3" name="MENU7">
          <a:extLst>
            <a:ext uri="{FF2B5EF4-FFF2-40B4-BE49-F238E27FC236}">
              <a16:creationId xmlns:a16="http://schemas.microsoft.com/office/drawing/2014/main" id="{00000000-0008-0000-0E00-000017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11</xdr:col>
      <xdr:colOff>0</xdr:colOff>
      <xdr:row>4</xdr:row>
      <xdr:rowOff>0</xdr:rowOff>
    </xdr:to>
    <xdr:sp macro="" textlink="MAIN1">
      <xdr:nvSpPr>
        <xdr:cNvPr id="3" name="MENU1">
          <a:hlinkClick xmlns:r="http://schemas.openxmlformats.org/officeDocument/2006/relationships" r:id="rId5"/>
          <a:extLst>
            <a:ext uri="{FF2B5EF4-FFF2-40B4-BE49-F238E27FC236}">
              <a16:creationId xmlns:a16="http://schemas.microsoft.com/office/drawing/2014/main" id="{00000000-0008-0000-0F00-000003000000}"/>
            </a:ext>
          </a:extLst>
        </xdr:cNvPr>
        <xdr:cNvSpPr/>
      </xdr:nvSpPr>
      <xdr:spPr>
        <a:xfrm>
          <a:off x="2203631" y="198783"/>
          <a:ext cx="1258499"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11</xdr:col>
      <xdr:colOff>1</xdr:colOff>
      <xdr:row>1</xdr:row>
      <xdr:rowOff>133350</xdr:rowOff>
    </xdr:from>
    <xdr:to>
      <xdr:col>15</xdr:col>
      <xdr:colOff>0</xdr:colOff>
      <xdr:row>4</xdr:row>
      <xdr:rowOff>133350</xdr:rowOff>
    </xdr:to>
    <xdr:sp macro="" textlink="MAIN2">
      <xdr:nvSpPr>
        <xdr:cNvPr id="4" name="MENU2">
          <a:hlinkClick xmlns:r="http://schemas.openxmlformats.org/officeDocument/2006/relationships" r:id="rId6"/>
          <a:extLst>
            <a:ext uri="{FF2B5EF4-FFF2-40B4-BE49-F238E27FC236}">
              <a16:creationId xmlns:a16="http://schemas.microsoft.com/office/drawing/2014/main" id="{00000000-0008-0000-0F00-000004000000}"/>
            </a:ext>
          </a:extLst>
        </xdr:cNvPr>
        <xdr:cNvSpPr/>
      </xdr:nvSpPr>
      <xdr:spPr>
        <a:xfrm>
          <a:off x="3462131" y="332133"/>
          <a:ext cx="1258956" cy="596347"/>
        </a:xfrm>
        <a:prstGeom prst="round2SameRect">
          <a:avLst/>
        </a:prstGeom>
        <a:solidFill>
          <a:srgbClr val="EE3224"/>
        </a:solidFill>
        <a:ln w="12700">
          <a:no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14</xdr:col>
      <xdr:colOff>314738</xdr:colOff>
      <xdr:row>1</xdr:row>
      <xdr:rowOff>0</xdr:rowOff>
    </xdr:from>
    <xdr:to>
      <xdr:col>18</xdr:col>
      <xdr:colOff>314739</xdr:colOff>
      <xdr:row>4</xdr:row>
      <xdr:rowOff>0</xdr:rowOff>
    </xdr:to>
    <xdr:sp macro="" textlink="MAIN3">
      <xdr:nvSpPr>
        <xdr:cNvPr id="8" name="MENU3">
          <a:hlinkClick xmlns:r="http://schemas.openxmlformats.org/officeDocument/2006/relationships" r:id="rId7"/>
          <a:extLst>
            <a:ext uri="{FF2B5EF4-FFF2-40B4-BE49-F238E27FC236}">
              <a16:creationId xmlns:a16="http://schemas.microsoft.com/office/drawing/2014/main" id="{00000000-0008-0000-0F00-000008000000}"/>
            </a:ext>
          </a:extLst>
        </xdr:cNvPr>
        <xdr:cNvSpPr/>
      </xdr:nvSpPr>
      <xdr:spPr>
        <a:xfrm>
          <a:off x="4721086" y="198783"/>
          <a:ext cx="1258957" cy="596347"/>
        </a:xfrm>
        <a:prstGeom prst="round2SameRect">
          <a:avLst/>
        </a:prstGeom>
        <a:solidFill>
          <a:srgbClr val="C61D10"/>
        </a:solidFill>
        <a:ln w="12700" cap="flat" cmpd="sng" algn="ctr">
          <a:solidFill>
            <a:srgbClr val="7F7F7F"/>
          </a:solidFill>
          <a:prstDash val="solid"/>
          <a:miter lim="800000"/>
        </a:ln>
        <a:effectLst>
          <a:outerShdw blurRad="50800" dist="12700" dir="189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45067D8-F886-4D18-8D68-0060315A3DA6}" type="TxLink">
            <a:rPr lang="en-US" sz="1100" b="0" i="0" u="none" strike="noStrike">
              <a:solidFill>
                <a:schemeClr val="bg1"/>
              </a:solidFill>
              <a:latin typeface="Arial" panose="020B0604020202020204" pitchFamily="34" charset="0"/>
              <a:cs typeface="Arial" panose="020B0604020202020204" pitchFamily="34" charset="0"/>
            </a:rPr>
            <a:pPr algn="ctr"/>
            <a:t>LIGHTING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18</xdr:col>
      <xdr:colOff>314739</xdr:colOff>
      <xdr:row>1</xdr:row>
      <xdr:rowOff>0</xdr:rowOff>
    </xdr:from>
    <xdr:to>
      <xdr:col>23</xdr:col>
      <xdr:colOff>0</xdr:colOff>
      <xdr:row>4</xdr:row>
      <xdr:rowOff>0</xdr:rowOff>
    </xdr:to>
    <xdr:sp macro="" textlink="MAIN4">
      <xdr:nvSpPr>
        <xdr:cNvPr id="5" name="MENU4">
          <a:hlinkClick xmlns:r="http://schemas.openxmlformats.org/officeDocument/2006/relationships" r:id="rId8"/>
          <a:extLst>
            <a:ext uri="{FF2B5EF4-FFF2-40B4-BE49-F238E27FC236}">
              <a16:creationId xmlns:a16="http://schemas.microsoft.com/office/drawing/2014/main" id="{00000000-0008-0000-0F00-000005000000}"/>
            </a:ext>
          </a:extLst>
        </xdr:cNvPr>
        <xdr:cNvSpPr/>
      </xdr:nvSpPr>
      <xdr:spPr>
        <a:xfrm>
          <a:off x="5980043" y="198783"/>
          <a:ext cx="1258957"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19B00D2E-287C-4DA6-A60D-BCD360389BD1}" type="TxLink">
            <a:rPr lang="en-US" sz="1100" b="0" i="0" u="none" strike="noStrike">
              <a:solidFill>
                <a:schemeClr val="bg1"/>
              </a:solidFill>
              <a:latin typeface="Arial" panose="020B0604020202020204" pitchFamily="34" charset="0"/>
              <a:cs typeface="Arial" panose="020B0604020202020204" pitchFamily="34" charset="0"/>
            </a:rPr>
            <a:pPr algn="ctr"/>
            <a:t>STANDARD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23</xdr:col>
      <xdr:colOff>0</xdr:colOff>
      <xdr:row>1</xdr:row>
      <xdr:rowOff>0</xdr:rowOff>
    </xdr:from>
    <xdr:to>
      <xdr:col>26</xdr:col>
      <xdr:colOff>314739</xdr:colOff>
      <xdr:row>4</xdr:row>
      <xdr:rowOff>0</xdr:rowOff>
    </xdr:to>
    <xdr:sp macro="" textlink="MAIN5">
      <xdr:nvSpPr>
        <xdr:cNvPr id="6" name="MENU5">
          <a:hlinkClick xmlns:r="http://schemas.openxmlformats.org/officeDocument/2006/relationships" r:id="rId9"/>
          <a:extLst>
            <a:ext uri="{FF2B5EF4-FFF2-40B4-BE49-F238E27FC236}">
              <a16:creationId xmlns:a16="http://schemas.microsoft.com/office/drawing/2014/main" id="{00000000-0008-0000-0F00-000006000000}"/>
            </a:ext>
          </a:extLst>
        </xdr:cNvPr>
        <xdr:cNvSpPr/>
      </xdr:nvSpPr>
      <xdr:spPr>
        <a:xfrm>
          <a:off x="7239000"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7156320-5507-490B-B6BE-2C04E94BE971}" type="TxLink">
            <a:rPr lang="en-US" sz="1100" b="0" i="0" u="none" strike="noStrike">
              <a:solidFill>
                <a:schemeClr val="bg1"/>
              </a:solidFill>
              <a:latin typeface="Arial" panose="020B0604020202020204" pitchFamily="34" charset="0"/>
              <a:cs typeface="Arial" panose="020B0604020202020204" pitchFamily="34" charset="0"/>
            </a:rPr>
            <a:pPr algn="ctr"/>
            <a:t>CUSTOM MEASURES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1</xdr:colOff>
      <xdr:row>1</xdr:row>
      <xdr:rowOff>0</xdr:rowOff>
    </xdr:from>
    <xdr:to>
      <xdr:col>31</xdr:col>
      <xdr:colOff>1</xdr:colOff>
      <xdr:row>4</xdr:row>
      <xdr:rowOff>0</xdr:rowOff>
    </xdr:to>
    <xdr:sp macro="" textlink="MAIN6">
      <xdr:nvSpPr>
        <xdr:cNvPr id="7" name="MENU6">
          <a:hlinkClick xmlns:r="http://schemas.openxmlformats.org/officeDocument/2006/relationships" r:id="rId10"/>
          <a:extLst>
            <a:ext uri="{FF2B5EF4-FFF2-40B4-BE49-F238E27FC236}">
              <a16:creationId xmlns:a16="http://schemas.microsoft.com/office/drawing/2014/main" id="{00000000-0008-0000-0F00-000007000000}"/>
            </a:ext>
          </a:extLst>
        </xdr:cNvPr>
        <xdr:cNvSpPr/>
      </xdr:nvSpPr>
      <xdr:spPr>
        <a:xfrm>
          <a:off x="8497958" y="198783"/>
          <a:ext cx="1258956" cy="596347"/>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02B229E-81AA-41F7-8A97-6874AC3141C5}"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 and Eligibility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a:extLst>
            <a:ext uri="{FF2B5EF4-FFF2-40B4-BE49-F238E27FC236}">
              <a16:creationId xmlns:a16="http://schemas.microsoft.com/office/drawing/2014/main" id="{00000000-0008-0000-0F00-00000C000000}"/>
            </a:ext>
          </a:extLst>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2554</xdr:colOff>
      <xdr:row>5</xdr:row>
      <xdr:rowOff>0</xdr:rowOff>
    </xdr:from>
    <xdr:to>
      <xdr:col>17</xdr:col>
      <xdr:colOff>2551</xdr:colOff>
      <xdr:row>7</xdr:row>
      <xdr:rowOff>0</xdr:rowOff>
    </xdr:to>
    <xdr:sp macro="" textlink="M2S5">
      <xdr:nvSpPr>
        <xdr:cNvPr id="15" name="SUBMENU5">
          <a:hlinkClick xmlns:r="http://schemas.openxmlformats.org/officeDocument/2006/relationships" r:id="rId12"/>
          <a:extLst>
            <a:ext uri="{FF2B5EF4-FFF2-40B4-BE49-F238E27FC236}">
              <a16:creationId xmlns:a16="http://schemas.microsoft.com/office/drawing/2014/main" id="{00000000-0008-0000-0F00-00000F000000}"/>
            </a:ext>
          </a:extLst>
        </xdr:cNvPr>
        <xdr:cNvSpPr/>
      </xdr:nvSpPr>
      <xdr:spPr>
        <a:xfrm>
          <a:off x="3767730" y="1008529"/>
          <a:ext cx="1568821" cy="403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Contact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5</xdr:row>
      <xdr:rowOff>51480</xdr:rowOff>
    </xdr:from>
    <xdr:to>
      <xdr:col>22</xdr:col>
      <xdr:colOff>-1</xdr:colOff>
      <xdr:row>7</xdr:row>
      <xdr:rowOff>50800</xdr:rowOff>
    </xdr:to>
    <xdr:sp macro="" textlink="M2S3">
      <xdr:nvSpPr>
        <xdr:cNvPr id="13" name="SUBMENU3">
          <a:hlinkClick xmlns:r="http://schemas.openxmlformats.org/officeDocument/2006/relationships" r:id="rId13"/>
          <a:extLst>
            <a:ext uri="{FF2B5EF4-FFF2-40B4-BE49-F238E27FC236}">
              <a16:creationId xmlns:a16="http://schemas.microsoft.com/office/drawing/2014/main" id="{00000000-0008-0000-0F00-00000D000000}"/>
            </a:ext>
          </a:extLst>
        </xdr:cNvPr>
        <xdr:cNvSpPr/>
      </xdr:nvSpPr>
      <xdr:spPr>
        <a:xfrm>
          <a:off x="5334000" y="1060009"/>
          <a:ext cx="1568823" cy="40273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4</xdr:row>
      <xdr:rowOff>200705</xdr:rowOff>
    </xdr:from>
    <xdr:to>
      <xdr:col>27</xdr:col>
      <xdr:colOff>0</xdr:colOff>
      <xdr:row>6</xdr:row>
      <xdr:rowOff>197827</xdr:rowOff>
    </xdr:to>
    <xdr:sp macro="" textlink="M2S4">
      <xdr:nvSpPr>
        <xdr:cNvPr id="14" name="SUBMENU4">
          <a:hlinkClick xmlns:r="http://schemas.openxmlformats.org/officeDocument/2006/relationships" r:id="rId4"/>
          <a:extLst>
            <a:ext uri="{FF2B5EF4-FFF2-40B4-BE49-F238E27FC236}">
              <a16:creationId xmlns:a16="http://schemas.microsoft.com/office/drawing/2014/main" id="{00000000-0008-0000-0F00-00000E000000}"/>
            </a:ext>
          </a:extLst>
        </xdr:cNvPr>
        <xdr:cNvSpPr/>
      </xdr:nvSpPr>
      <xdr:spPr>
        <a:xfrm>
          <a:off x="6902824" y="1007529"/>
          <a:ext cx="1568823" cy="400533"/>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and Tax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628650" y="200025"/>
          <a:ext cx="1152525" cy="554268"/>
        </a:xfrm>
        <a:prstGeom prst="rect">
          <a:avLst/>
        </a:prstGeom>
      </xdr:spPr>
    </xdr:pic>
    <xdr:clientData/>
  </xdr:twoCellAnchor>
  <xdr:twoCellAnchor>
    <xdr:from>
      <xdr:col>36</xdr:col>
      <xdr:colOff>314324</xdr:colOff>
      <xdr:row>1</xdr:row>
      <xdr:rowOff>0</xdr:rowOff>
    </xdr:from>
    <xdr:to>
      <xdr:col>41</xdr:col>
      <xdr:colOff>314324</xdr:colOff>
      <xdr:row>4</xdr:row>
      <xdr:rowOff>0</xdr:rowOff>
    </xdr:to>
    <xdr:sp macro="" textlink="MAIN7">
      <xdr:nvSpPr>
        <xdr:cNvPr id="23" name="MENU7">
          <a:extLst>
            <a:ext uri="{FF2B5EF4-FFF2-40B4-BE49-F238E27FC236}">
              <a16:creationId xmlns:a16="http://schemas.microsoft.com/office/drawing/2014/main" id="{00000000-0008-0000-0F00-000017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FORM7</a:t>
          </a:fld>
          <a:endParaRPr lang="en-US" sz="1100">
            <a:noFill/>
            <a:latin typeface="Arial" panose="020B0604020202020204" pitchFamily="34" charset="0"/>
            <a:cs typeface="Arial" panose="020B0604020202020204" pitchFamily="34" charset="0"/>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4" name="MENU7">
          <a:extLst>
            <a:ext uri="{FF2B5EF4-FFF2-40B4-BE49-F238E27FC236}">
              <a16:creationId xmlns:a16="http://schemas.microsoft.com/office/drawing/2014/main" id="{00000000-0008-0000-0F00-000018000000}"/>
            </a:ext>
          </a:extLst>
        </xdr:cNvPr>
        <xdr:cNvSpPr/>
      </xdr:nvSpPr>
      <xdr:spPr>
        <a:xfrm>
          <a:off x="11944350" y="200025"/>
          <a:ext cx="1571625"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FORM7</a:t>
          </a:fld>
          <a:endParaRPr lang="en-US" sz="1100">
            <a:no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tLouisMO\ees_ameren_ci\ENGINEERING\Application%20Development\NC\Cycle%204%20Released\3.0.0\3.8.0\AmerenNewConstruction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ESCRIPTIVE"/>
      <sheetName val="SBDI"/>
      <sheetName val="CUSTOMRCXNC"/>
      <sheetName val="CBDATA"/>
      <sheetName val="DATA TABLES"/>
      <sheetName val="Changelog"/>
      <sheetName val="EXPORT"/>
      <sheetName val="M01-S01"/>
      <sheetName val="M01-S02"/>
      <sheetName val="M01-S02-2"/>
      <sheetName val="M01-S03"/>
      <sheetName val="M01-S04"/>
      <sheetName val="M01-S05"/>
      <sheetName val="M01-S06"/>
      <sheetName val="M02-S01"/>
      <sheetName val="M02-S02"/>
      <sheetName val="M02-S03"/>
      <sheetName val="M02-S04"/>
      <sheetName val="M02-S05"/>
      <sheetName val="M03-S01"/>
      <sheetName val="M03-S02"/>
      <sheetName val="M03-S04"/>
      <sheetName val="M03-S05"/>
      <sheetName val="M03-S06"/>
      <sheetName val="M03-S07"/>
      <sheetName val="M03-S08"/>
      <sheetName val="M04-S01"/>
      <sheetName val="M04-S02"/>
      <sheetName val="M04-S03"/>
      <sheetName val="M04-S04"/>
      <sheetName val="M04-S05"/>
      <sheetName val="M04-S06"/>
      <sheetName val="M04-S07"/>
      <sheetName val="M04-S08"/>
      <sheetName val="M05-S01"/>
      <sheetName val="M05-S02"/>
      <sheetName val="M05-S03"/>
      <sheetName val="M05-S04"/>
      <sheetName val="M05-S05"/>
      <sheetName val="M05-S06"/>
      <sheetName val="M05-S07"/>
      <sheetName val="M05-S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PMEREFRI" displayName="PMEREFRI" ref="A1:AJ15" totalsRowShown="0" headerRowDxfId="1288" dataDxfId="1287" headerRowCellStyle="Normal 2" dataCellStyle="Normal 2">
  <autoFilter ref="A1:AJ15" xr:uid="{00000000-0009-0000-0100-000009000000}"/>
  <tableColumns count="36">
    <tableColumn id="1" xr3:uid="{00000000-0010-0000-0200-000001000000}" name="Measure #" dataDxfId="1286" dataCellStyle="Normal 2"/>
    <tableColumn id="2" xr3:uid="{00000000-0010-0000-0200-000002000000}" name="Measure Name" dataDxfId="1285" dataCellStyle="Normal 2"/>
    <tableColumn id="3" xr3:uid="{00000000-0010-0000-0200-000003000000}" name="Equipment Description" dataDxfId="1284" dataCellStyle="Normal 2"/>
    <tableColumn id="4" xr3:uid="{00000000-0010-0000-0200-000004000000}" name="Eff Category" dataDxfId="1283" dataCellStyle="Normal 2"/>
    <tableColumn id="5" xr3:uid="{00000000-0010-0000-0200-000005000000}" name="Eff Measure Group" dataDxfId="1282" dataCellStyle="Normal 2"/>
    <tableColumn id="6" xr3:uid="{00000000-0010-0000-0200-000006000000}" name="Eff Equip Descr" dataDxfId="1281" dataCellStyle="Normal 2"/>
    <tableColumn id="7" xr3:uid="{00000000-0010-0000-0200-000007000000}" name="Base Category" dataDxfId="1280" dataCellStyle="Normal 2"/>
    <tableColumn id="8" xr3:uid="{00000000-0010-0000-0200-000008000000}" name="Base Measure Group" dataDxfId="1279" dataCellStyle="Normal 2"/>
    <tableColumn id="9" xr3:uid="{00000000-0010-0000-0200-000009000000}" name="Base Equip Descr" dataDxfId="1278" dataCellStyle="Normal 2"/>
    <tableColumn id="10" xr3:uid="{00000000-0010-0000-0200-00000A000000}" name="TRM Description" dataDxfId="1277" dataCellStyle="Normal 2"/>
    <tableColumn id="11" xr3:uid="{00000000-0010-0000-0200-00000B000000}" name="TRM Reference No." dataDxfId="1276" dataCellStyle="Normal 2"/>
    <tableColumn id="12" xr3:uid="{00000000-0010-0000-0200-00000C000000}" name="Measure Life" dataDxfId="1275" dataCellStyle="Normal 2"/>
    <tableColumn id="13" xr3:uid="{00000000-0010-0000-0200-00000D000000}" name="Created On" dataDxfId="1274" dataCellStyle="Normal 2"/>
    <tableColumn id="14" xr3:uid="{00000000-0010-0000-0200-00000E000000}" name="Source" dataDxfId="1273" dataCellStyle="Normal 2"/>
    <tableColumn id="15" xr3:uid="{00000000-0010-0000-0200-00000F000000}" name="End Use Category" dataDxfId="1272" dataCellStyle="Normal 2"/>
    <tableColumn id="16" xr3:uid="{00000000-0010-0000-0200-000010000000}" name="Inc Rate Unit" dataDxfId="1271" dataCellStyle="Normal 2"/>
    <tableColumn id="17" xr3:uid="{00000000-0010-0000-0200-000011000000}" name="Savings per Unit kWh" dataDxfId="1270" dataCellStyle="Normal 2"/>
    <tableColumn id="18" xr3:uid="{00000000-0010-0000-0200-000012000000}" name="Savings per Unit kW" dataDxfId="1269" dataCellStyle="Normal 2"/>
    <tableColumn id="19" xr3:uid="{00000000-0010-0000-0200-000013000000}" name="Inc Rate kWh" dataDxfId="1268" dataCellStyle="Normal 2"/>
    <tableColumn id="30" xr3:uid="{00000000-0010-0000-0200-00001E000000}" name="Inc Rate kW" dataDxfId="1267" dataCellStyle="Normal 2"/>
    <tableColumn id="31" xr3:uid="{00000000-0010-0000-0200-00001F000000}" name="Energy Type" dataDxfId="1266" dataCellStyle="Normal 2"/>
    <tableColumn id="36" xr3:uid="{00000000-0010-0000-0200-000024000000}" name="Program" dataDxfId="1265" dataCellStyle="Normal 2"/>
    <tableColumn id="35" xr3:uid="{00000000-0010-0000-0200-000023000000}" name="Lighting vs Non Lighting" dataDxfId="1264" dataCellStyle="Normal 2"/>
    <tableColumn id="34" xr3:uid="{00000000-0010-0000-0200-000022000000}" name="Status" dataDxfId="1263" dataCellStyle="Normal 2"/>
    <tableColumn id="33" xr3:uid="{00000000-0010-0000-0200-000021000000}" name="SUTO" dataDxfId="1262" dataCellStyle="Normal 2"/>
    <tableColumn id="32" xr3:uid="{00000000-0010-0000-0200-000020000000}" name="Cost Basis" dataDxfId="1261" dataCellStyle="Normal 2"/>
    <tableColumn id="20" xr3:uid="{00000000-0010-0000-0200-000014000000}" name="Typical Unit Size" dataDxfId="1260" dataCellStyle="Normal 2"/>
    <tableColumn id="21" xr3:uid="{00000000-0010-0000-0200-000015000000}" name="Unit of Measure" dataDxfId="1259" dataCellStyle="Normal 2"/>
    <tableColumn id="22" xr3:uid="{00000000-0010-0000-0200-000016000000}" name="Base Desc 1" dataDxfId="1258" dataCellStyle="Normal 2"/>
    <tableColumn id="23" xr3:uid="{00000000-0010-0000-0200-000017000000}" name="Base Desc 2" dataDxfId="1257" dataCellStyle="Normal 2"/>
    <tableColumn id="24" xr3:uid="{00000000-0010-0000-0200-000018000000}" name="Base Watt" dataDxfId="1256" dataCellStyle="Normal 2"/>
    <tableColumn id="28" xr3:uid="{00000000-0010-0000-0200-00001C000000}" name="Base Watt 2" dataDxfId="1255" dataCellStyle="Normal 2"/>
    <tableColumn id="25" xr3:uid="{00000000-0010-0000-0200-000019000000}" name="Eff Desc 1" dataDxfId="1254" dataCellStyle="Normal 2"/>
    <tableColumn id="26" xr3:uid="{00000000-0010-0000-0200-00001A000000}" name="Eff Desc 2" dataDxfId="1253" dataCellStyle="Normal 2"/>
    <tableColumn id="27" xr3:uid="{00000000-0010-0000-0200-00001B000000}" name="Eff Watt" dataDxfId="1252" dataCellStyle="Normal 2"/>
    <tableColumn id="29" xr3:uid="{00000000-0010-0000-0200-00001D000000}" name="Eff Watt 22" dataDxfId="1251"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0000000}" name="LINFIXT" displayName="LINFIXT" ref="AL37:AN74" totalsRowShown="0" headerRowCellStyle="Normal 2">
  <autoFilter ref="AL37:AN74" xr:uid="{00000000-0009-0000-0100-000037000000}"/>
  <tableColumns count="3">
    <tableColumn id="1" xr3:uid="{00000000-0010-0000-1000-000001000000}" name="T12" dataDxfId="1126"/>
    <tableColumn id="2" xr3:uid="{00000000-0010-0000-1000-000002000000}" name="T8"/>
    <tableColumn id="3" xr3:uid="{00000000-0010-0000-1000-000003000000}" name="T5"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3DCCC0-CDB7-44E9-B7BE-221F70CC4BDB}" name="HVACTABL" displayName="HVACTABL" ref="A52:B67" totalsRowShown="0">
  <autoFilter ref="A52:B67" xr:uid="{004B4C15-9A27-4AAB-B3F5-631DA3336D58}"/>
  <tableColumns count="2">
    <tableColumn id="1" xr3:uid="{6FD51D8C-2A1A-489E-A683-50894F0124AC}" name="Mechanical Equipment Upgrade" dataDxfId="1125" dataCellStyle="Normal 2"/>
    <tableColumn id="2" xr3:uid="{A08740E9-5A0E-462C-B01B-F267E1D1FF57}" name="Learning Thermostat" dataDxfId="1124"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D050BA2-6B84-493B-B510-37132A85F84D}" name="PMEHVAC" displayName="PMEHVAC" ref="D52:N82" totalsRowShown="0" headerRowDxfId="1123" dataDxfId="1122" headerRowCellStyle="Normal 2" dataCellStyle="Normal 2">
  <autoFilter ref="D52:N82" xr:uid="{C2610CE7-4520-41AE-B082-703E1A901831}"/>
  <tableColumns count="11">
    <tableColumn id="1" xr3:uid="{5E79C35B-F19F-44D6-BFF6-3FCDE9F6E5C4}" name="Measure Type" dataDxfId="1121" dataCellStyle="Normal 2"/>
    <tableColumn id="2" xr3:uid="{46818558-3BE5-4778-981D-C2B644A2C3F3}" name="Measure #" dataDxfId="1120" dataCellStyle="Normal 2"/>
    <tableColumn id="3" xr3:uid="{99B33E2D-D758-4313-8AF1-349BC6550DA7}" name="Savings per ton per EER kWh" dataDxfId="1119" dataCellStyle="Normal 2"/>
    <tableColumn id="4" xr3:uid="{5D622FA6-8645-4C95-A215-7A5CF6408E92}" name="Inc Rate Unit" dataDxfId="1118" dataCellStyle="Normal 2"/>
    <tableColumn id="5" xr3:uid="{421D2A1E-D686-4A0B-AD4F-5D9DEA142D49}" name="Base EER1" dataDxfId="1117" dataCellStyle="Normal 2"/>
    <tableColumn id="6" xr3:uid="{A440BD4C-8D14-42D1-918F-B415024FCAF7}" name="Base EER 2" dataDxfId="1116" dataCellStyle="Normal 2"/>
    <tableColumn id="7" xr3:uid="{AE2272B8-34B3-4F1D-9BCA-F9484AC1BA14}" name="Eff Ton 1" dataDxfId="1115" dataCellStyle="Normal 2"/>
    <tableColumn id="8" xr3:uid="{3DBB8DF8-FC3C-4BFF-9E01-5682E1F6A7B2}" name="Eff Ton 2" dataDxfId="1114" dataCellStyle="Normal 2"/>
    <tableColumn id="9" xr3:uid="{4B93043B-A870-43C0-BC01-E3D08C714BE7}" name="End Use Category" dataDxfId="1113" dataCellStyle="Normal 2"/>
    <tableColumn id="10" xr3:uid="{A7181090-651E-42F5-9155-80AB359937E4}" name="Base Desc 1" dataDxfId="1112" dataCellStyle="Normal 2"/>
    <tableColumn id="11" xr3:uid="{FF1CA760-768C-4FE6-A94C-1228A76FAC0B}" name="Unit" dataDxfId="1111"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24907C1-B68E-4918-8140-31A3E86671D2}" name="PMEVFD" displayName="PMEVFD" ref="A23:AJ29" totalsRowShown="0" headerRowDxfId="1110" dataDxfId="1108" headerRowBorderDxfId="1109" tableBorderDxfId="1107" headerRowCellStyle="Normal 2">
  <autoFilter ref="A23:AJ29" xr:uid="{16AFDD09-DC06-4D74-A564-9D42592C1F63}"/>
  <tableColumns count="36">
    <tableColumn id="1" xr3:uid="{CC319602-8F26-45EE-8644-2FA5F6FCE749}" name="Measure #" dataDxfId="1106"/>
    <tableColumn id="2" xr3:uid="{09E06F73-4444-48EB-B392-CA2447AAB255}" name="Measure Name" dataDxfId="1105"/>
    <tableColumn id="3" xr3:uid="{5D18C65B-B360-4008-873A-6A01125AEE87}" name="Equipment Description" dataDxfId="1104"/>
    <tableColumn id="4" xr3:uid="{810AEA87-45AB-4C47-AFD7-74470CF327C9}" name="Eff Category" dataDxfId="1103"/>
    <tableColumn id="5" xr3:uid="{AEB92199-9137-4A09-8C04-02B6F74123CB}" name="Eff Measure Group" dataDxfId="1102" dataCellStyle="Normal 2"/>
    <tableColumn id="6" xr3:uid="{D162BF60-5193-40F9-BF2B-EFCE24DA9928}" name="Eff Equip Descr" dataDxfId="1101"/>
    <tableColumn id="7" xr3:uid="{361A3E74-5685-4BAE-A11A-5F8919CE0261}" name="Base Category" dataDxfId="1100"/>
    <tableColumn id="8" xr3:uid="{709BF0A3-362F-4F0E-A892-B8532F9BC4FC}" name="Base Measure Group" dataDxfId="1099"/>
    <tableColumn id="9" xr3:uid="{65810585-5E6E-4758-84F5-AA291C0D4776}" name="Base Equip Descr" dataDxfId="1098"/>
    <tableColumn id="10" xr3:uid="{A5B38672-F79B-4D67-B2AB-824375C270B8}" name="TRM Description" dataDxfId="1097"/>
    <tableColumn id="11" xr3:uid="{E86DC09C-92E6-4057-A3A9-EB98451D6573}" name="TRM Reference No." dataDxfId="1096"/>
    <tableColumn id="12" xr3:uid="{4EBEC813-DEAD-4B02-8AA6-C754BCC6B83F}" name="Measure Life" dataDxfId="1095"/>
    <tableColumn id="13" xr3:uid="{15D3847D-5E3F-4F20-914C-1C7C2C91A510}" name="Created On" dataDxfId="1094"/>
    <tableColumn id="14" xr3:uid="{4A5AD9D2-5483-4F08-8AA2-7B79DA495B8D}" name="Source" dataDxfId="1093"/>
    <tableColumn id="15" xr3:uid="{A9F0C1D7-2D21-47E7-B88C-378334DEEAA5}" name="End Use Category" dataDxfId="1092"/>
    <tableColumn id="16" xr3:uid="{32B03AA8-0D33-4E94-90EC-482F5FAF5A61}" name="Inc Rate Unit" dataDxfId="1091"/>
    <tableColumn id="17" xr3:uid="{D0A09B6B-69DE-458B-8413-A9A4BDB96174}" name="Savings per Unit kWh" dataDxfId="1090"/>
    <tableColumn id="18" xr3:uid="{85F46D75-89CF-4F0B-8D8F-38F114E9C4F1}" name="Savings per Unit kW" dataDxfId="1089"/>
    <tableColumn id="19" xr3:uid="{EF4E63D2-08FD-4317-9C8F-E0EE3AD6E3A0}" name="Inc Rate kWh" dataDxfId="1088"/>
    <tableColumn id="20" xr3:uid="{AC004A2E-D176-47F7-8A13-9921B9256F5E}" name="Inc Rate kW" dataDxfId="1087"/>
    <tableColumn id="21" xr3:uid="{A6E18B1C-DA27-4CF3-AAF6-6282BB31B47A}" name="Energy Type" dataDxfId="1086"/>
    <tableColumn id="22" xr3:uid="{C6740E87-1FDD-492F-86A9-3A11F8FF13EE}" name="Program" dataDxfId="1085"/>
    <tableColumn id="23" xr3:uid="{634F8013-82C5-4D40-B063-0E4D30E83043}" name="Lighting vs Non Lighting" dataDxfId="1084"/>
    <tableColumn id="24" xr3:uid="{28A5F77E-D038-4DE4-AF1A-44FAB910EE05}" name="Status" dataDxfId="1083"/>
    <tableColumn id="25" xr3:uid="{836E9376-BE30-4AB4-8889-ECC28342E6D9}" name="SUTO" dataDxfId="1082"/>
    <tableColumn id="26" xr3:uid="{230888D4-9D9F-4F94-A65D-2431F6F1D19A}" name="Cost Basis" dataDxfId="1081"/>
    <tableColumn id="27" xr3:uid="{D29935DC-A64B-4A8C-A8B3-189AC33D72E6}" name="Typical Unit Size" dataDxfId="1080"/>
    <tableColumn id="28" xr3:uid="{BDF1AB54-E8BE-4525-AEB0-F46CA4B04D9A}" name="Unit of Measure" dataDxfId="1079"/>
    <tableColumn id="29" xr3:uid="{4FE86FA2-7CED-4345-A2E3-DC123E41CEA9}" name="Base Desc 1" dataDxfId="1078"/>
    <tableColumn id="30" xr3:uid="{E340327C-6160-4F2A-8633-F908E590BDEC}" name="Base Desc 2" dataDxfId="1077"/>
    <tableColumn id="31" xr3:uid="{7625FF16-DBEC-4E5E-AA6C-B2A776780074}" name="Base Watt" dataDxfId="1076"/>
    <tableColumn id="32" xr3:uid="{40890B23-C2E8-40EA-87FC-C7251913C7B6}" name="Base Watt 2" dataDxfId="1075"/>
    <tableColumn id="33" xr3:uid="{0BF5E6FE-5611-434A-808E-596FE2752870}" name="Eff Desc 1" dataDxfId="1074"/>
    <tableColumn id="34" xr3:uid="{AA0046A5-8EC5-46E8-BC2B-5AA736D6201E}" name="Eff Desc 2" dataDxfId="1073"/>
    <tableColumn id="35" xr3:uid="{BDE1A4B5-7C5E-4BDE-9201-51E269669E32}" name="Eff HP 1" dataDxfId="1072"/>
    <tableColumn id="36" xr3:uid="{7675C223-81FF-47DD-BB1A-3F2AB70D191B}" name="Eff HP 2" dataDxfId="107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DF768B-C325-4F58-85AF-6F216D8CBD48}" name="LEDREDEFF" displayName="LEDREDEFF" ref="AP37:AP40" totalsRowShown="0" headerRowDxfId="1070" headerRowCellStyle="Normal 2">
  <autoFilter ref="AP37:AP40" xr:uid="{1761977B-AAD5-407C-A924-851EFA580337}"/>
  <tableColumns count="1">
    <tableColumn id="1" xr3:uid="{B68DE5BC-76D0-47F8-81B3-C99898898145}" name="Redesign LED"/>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8DEAFBA-B28E-418C-864B-EB4D0C13F3F7}" name="LINLEDREPL" displayName="LINLEDREPL" ref="AR37:AR45" totalsRowShown="0" headerRowDxfId="1069" dataDxfId="1068" headerRowCellStyle="Normal 2" dataCellStyle="Normal 2">
  <autoFilter ref="AR37:AR45" xr:uid="{8AA1219E-82EE-49E1-94A7-E1A79450A004}"/>
  <tableColumns count="1">
    <tableColumn id="1" xr3:uid="{AB175309-17A2-4D1B-B7A1-8A2049E1A6A7}" name="Efficient Linear LEDs" dataDxfId="1067"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6121299-5DB0-45B0-B257-97C6FC1DCDCB}" name="REDESIGNBASE" displayName="REDESIGNBASE" ref="BX1:CH125" totalsRowShown="0">
  <autoFilter ref="BX1:CH125" xr:uid="{721BC8ED-4C3E-4EF5-AF24-518D998405B3}"/>
  <tableColumns count="11">
    <tableColumn id="1" xr3:uid="{8D19D9A1-60FD-4182-A6E6-8BDC335D7F7B}" name="Measure Number"/>
    <tableColumn id="2" xr3:uid="{E09243F3-9EBA-4055-B1B1-F09B70B7EEC0}" name="Base Desc 1"/>
    <tableColumn id="3" xr3:uid="{986576FB-2AD2-4A3A-AA30-CDD4D1C9DCC8}" name="Base Desc 2"/>
    <tableColumn id="4" xr3:uid="{155C2EC3-7C77-43ED-95DB-D81DAB4B9B9E}" name="Base Watt 1"/>
    <tableColumn id="5" xr3:uid="{EE6AF865-BFFC-4430-9E92-C9B526004022}" name="Base Watt 2"/>
    <tableColumn id="6" xr3:uid="{05E6DDA7-9659-40C4-B695-AF07388ACF5F}" name="Measure Group"/>
    <tableColumn id="7" xr3:uid="{0BDD698A-FABB-48F1-A56F-04C6B3ABFBF5}" name="Measure Subgroup 1"/>
    <tableColumn id="8" xr3:uid="{99BA29EB-1459-4D9C-B0D8-307933E5D419}" name="Measure Subgroup 2"/>
    <tableColumn id="9" xr3:uid="{1D49BAF9-752C-41E4-A7B5-97B5C413C234}" name="Unit"/>
    <tableColumn id="10" xr3:uid="{FAACEE0D-A576-4BA6-91EE-6D4897FA5130}" name="Order"/>
    <tableColumn id="11" xr3:uid="{E24304DB-41B1-4B93-845E-285B00BABB79}" name="Source (Standard Wattage Table)"/>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888F00-F8F1-4215-B867-2796BE0E5252}" name="PMECOMPAIR" displayName="PMECOMPAIR" ref="A35:AJ42" totalsRowShown="0" dataDxfId="1066" headerRowCellStyle="Normal 2" dataCellStyle="Normal 2">
  <autoFilter ref="A35:AJ42" xr:uid="{D2BA0804-B06D-4F44-A3EB-835B3606FC99}"/>
  <tableColumns count="36">
    <tableColumn id="1" xr3:uid="{E162968C-FFA2-4FB8-9920-43E9B0A57EF0}" name="Measure #" dataDxfId="1065" dataCellStyle="Normal 2"/>
    <tableColumn id="2" xr3:uid="{5627943D-42A8-48C8-8B4E-514393A5CA9C}" name="Measure Name" dataDxfId="1064" dataCellStyle="Normal 2"/>
    <tableColumn id="3" xr3:uid="{1A46C992-A83D-4230-8F74-A9DD8CEB2467}" name="Equipment Description" dataDxfId="1063" dataCellStyle="Normal 2"/>
    <tableColumn id="4" xr3:uid="{9F8F7E5E-E34F-48A6-B287-CA287E3CA1C7}" name="Eff Category" dataDxfId="1062" dataCellStyle="Normal 2"/>
    <tableColumn id="5" xr3:uid="{2F193A94-EF68-4843-BF30-20D25929417F}" name="Eff Measure Group" dataDxfId="1061" dataCellStyle="Normal 2"/>
    <tableColumn id="6" xr3:uid="{9D4D97AC-2EF0-43ED-8772-250958C9A015}" name="Eff Equip Descr" dataDxfId="1060" dataCellStyle="Normal 2"/>
    <tableColumn id="7" xr3:uid="{1D99DA1E-AB2D-44E0-BA8C-AB1B288A5D6D}" name="Base Category" dataDxfId="1059" dataCellStyle="Normal 2"/>
    <tableColumn id="8" xr3:uid="{B2246D9D-8423-443F-AC93-D4F2FC9C355D}" name="Base Measure Group" dataDxfId="1058" dataCellStyle="Normal 2"/>
    <tableColumn id="9" xr3:uid="{8E7D918A-BA86-419E-A2C1-E7F2D59BABDD}" name="Base Equip Descr" dataDxfId="1057" dataCellStyle="Normal 2"/>
    <tableColumn id="10" xr3:uid="{0806BD0A-36DE-48E6-B7C0-1BD21D545DE1}" name="TRM Description" dataDxfId="1056" dataCellStyle="Normal 2"/>
    <tableColumn id="11" xr3:uid="{133D13A9-61DA-447A-A888-0D315461BE52}" name="TRM Reference No." dataDxfId="1055" dataCellStyle="Normal 2"/>
    <tableColumn id="12" xr3:uid="{A7980D2B-0D94-4DB3-8231-E7249C46B86C}" name="Measure Life" dataDxfId="1054" dataCellStyle="Normal 2"/>
    <tableColumn id="13" xr3:uid="{31CC3AD9-9926-4B3E-BDBF-1C7139450DB4}" name="Created On" dataDxfId="1053" dataCellStyle="Normal 2"/>
    <tableColumn id="14" xr3:uid="{53F481AD-3B34-40B8-82B8-E0A99018237D}" name="Source" dataDxfId="1052" dataCellStyle="Normal 2"/>
    <tableColumn id="15" xr3:uid="{35A068CA-FA49-438B-AAF6-615C1D7F7C71}" name="End Use Category" dataDxfId="1051" dataCellStyle="Normal 2"/>
    <tableColumn id="16" xr3:uid="{9F1096B4-3126-4F70-BCF0-DD0DA157314F}" name="Inc Rate Unit" dataDxfId="1050" dataCellStyle="Normal 2"/>
    <tableColumn id="17" xr3:uid="{946F82D6-919A-4D0B-87D6-BFEA1925FA11}" name="Savings per Unit kWh" dataDxfId="1049" dataCellStyle="Normal 2"/>
    <tableColumn id="18" xr3:uid="{E81F90C4-ED5B-4061-AE80-C8E572A50D60}" name="Savings per Unit kW" dataDxfId="1048" dataCellStyle="Normal 2"/>
    <tableColumn id="19" xr3:uid="{AFDF19DB-2298-4F34-A7E5-D916A039D307}" name="Inc Rate kWh" dataDxfId="1047" dataCellStyle="Normal 2"/>
    <tableColumn id="20" xr3:uid="{88469EF1-B94C-48AB-945C-EB707C1FB9FF}" name="Inc Rate kW" dataDxfId="1046" dataCellStyle="Normal 2"/>
    <tableColumn id="21" xr3:uid="{F5742C4B-3ABF-4CA2-A017-70B2D15BDC7C}" name="Energy Type" dataDxfId="1045" dataCellStyle="Normal 2"/>
    <tableColumn id="22" xr3:uid="{E3C6DE74-B34E-4101-8B76-81B7F271D524}" name="Program" dataDxfId="1044" dataCellStyle="Normal 2"/>
    <tableColumn id="23" xr3:uid="{B78E86E9-E31B-4C44-A36A-5DEC7F4199ED}" name="Lighting vs Non Lighting" dataDxfId="1043" dataCellStyle="Normal 2"/>
    <tableColumn id="24" xr3:uid="{D94EC364-BD71-4DE3-8C30-50A84E56972A}" name="Status" dataDxfId="1042" dataCellStyle="Normal 2"/>
    <tableColumn id="25" xr3:uid="{C2FF0E32-0287-4726-B703-7AEE0DC53B22}" name="SUTO" dataDxfId="1041" dataCellStyle="Normal 2"/>
    <tableColumn id="26" xr3:uid="{37ED0D8D-552A-4532-B74C-FA3D43BF0C46}" name="Cost Basis" dataDxfId="1040" dataCellStyle="Normal 2"/>
    <tableColumn id="27" xr3:uid="{3E9260AE-EF74-412F-A305-7348D05A68BA}" name="Typical Unit Size" dataDxfId="1039" dataCellStyle="Normal 2"/>
    <tableColumn id="28" xr3:uid="{A91E9F2A-A92F-49E2-890C-F61D8822756E}" name="Unit of Measure" dataDxfId="1038" dataCellStyle="Normal 2"/>
    <tableColumn id="29" xr3:uid="{6E65713B-99E6-4F4D-B051-D4E504DF574E}" name="Base Desc 1" dataDxfId="1037" dataCellStyle="Normal 2"/>
    <tableColumn id="30" xr3:uid="{897C9AF9-5B7B-4115-89C0-6D8CC0A99A64}" name="Base Desc 2" dataDxfId="1036" dataCellStyle="Normal 2"/>
    <tableColumn id="31" xr3:uid="{C0B6DDB0-C90B-4792-A55A-EBF62DBE300C}" name="Base Watt" dataDxfId="1035" dataCellStyle="Normal 2"/>
    <tableColumn id="32" xr3:uid="{BBF60266-769E-40F2-8258-5686156EDF18}" name="Base Watt 2" dataDxfId="1034" dataCellStyle="Normal 2"/>
    <tableColumn id="33" xr3:uid="{F7B84C45-1BA8-4FF4-A3D6-8767F3DFB04D}" name="Eff Desc 1" dataDxfId="1033" dataCellStyle="Normal 2"/>
    <tableColumn id="34" xr3:uid="{C83F9A31-D3D4-4F68-BD13-FF982F7A2EF4}" name="Eff Desc 2" dataDxfId="1032" dataCellStyle="Normal 2"/>
    <tableColumn id="35" xr3:uid="{4B43550F-C4FE-4B04-B436-B217B21186D5}" name="Eff HP 1" dataDxfId="1031" dataCellStyle="Normal 2"/>
    <tableColumn id="36" xr3:uid="{C683D25F-2B55-409D-831E-EE640D7FFD1D}" name="Eff HP 2" dataDxfId="1030" dataCellStyle="Normal 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A1E574-9E8A-4355-88BC-42D7B16A3BE2}" name="PMEOCCSEN" displayName="PMEOCCSEN" ref="AY46:BF48" totalsRowShown="0" headerRowDxfId="1029" dataDxfId="1028" headerRowCellStyle="Normal 2" dataCellStyle="Normal 2">
  <autoFilter ref="AY46:BF48" xr:uid="{B017FEA5-9310-44E8-B466-91DA25422DD8}"/>
  <tableColumns count="8">
    <tableColumn id="1" xr3:uid="{9DC8F88B-8E47-49FF-8F95-777B39E3F3FF}" name="Measure Number" dataDxfId="1027" dataCellStyle="Normal 2"/>
    <tableColumn id="2" xr3:uid="{DDE653DC-132F-4DEF-B3CA-0DA10A0274BD}" name="Measure Type" dataDxfId="1026" dataCellStyle="Normal 2"/>
    <tableColumn id="3" xr3:uid="{F386C5F6-113A-4C92-8943-82B1D3EC4E8F}" name="Base Condition" dataDxfId="1025" dataCellStyle="Normal 2"/>
    <tableColumn id="4" xr3:uid="{DC9E9D25-9DFD-474A-ABF2-4381D023E7FA}" name="Inc Rate Unit" dataDxfId="1024" dataCellStyle="Normal 2"/>
    <tableColumn id="5" xr3:uid="{CB2725A4-19B4-4021-A0AB-D140452C4000}" name="ESF" dataDxfId="1023" dataCellStyle="Normal 2"/>
    <tableColumn id="6" xr3:uid="{8B819CE8-A80B-4BF3-AA67-109C624986A6}" name="EUL" dataDxfId="1022" dataCellStyle="Normal 2"/>
    <tableColumn id="7" xr3:uid="{76CBEF3B-5710-462B-917A-4A2C682F615E}" name="End Use" dataDxfId="1021" dataCellStyle="Normal 2"/>
    <tableColumn id="8" xr3:uid="{52C04BA4-CD5C-4AC4-B8BE-964BD989163A}" name="Watt 1" dataDxfId="1020" dataCellStyle="Normal 2"/>
  </tableColumns>
  <tableStyleInfo name="TableStyleLight14"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71A1ECD-B1DC-4F1E-86C8-E50F95D40F38}" name="PMEFANS" displayName="PMEFANS" ref="D97:N100" totalsRowShown="0" headerRowDxfId="1019" dataDxfId="1018" dataCellStyle="Normal 2">
  <autoFilter ref="D97:N100" xr:uid="{BCE652F4-A9E4-4480-98F5-6EC97A3A3683}"/>
  <tableColumns count="11">
    <tableColumn id="1" xr3:uid="{7831BC6D-2D5A-4AFB-84C9-0F6BC70DB6C1}" name="Measure Type" dataDxfId="1017" dataCellStyle="Normal 2"/>
    <tableColumn id="2" xr3:uid="{EE26F2FD-5D0E-4430-B089-D5C7E034855E}" name="Measure #" dataDxfId="1016" dataCellStyle="Normal 2"/>
    <tableColumn id="3" xr3:uid="{EA4972A2-8931-4D2F-B08A-229FAE33C662}" name="Savings per Unit kWh" dataDxfId="1015" dataCellStyle="Normal 2"/>
    <tableColumn id="4" xr3:uid="{1FA55F0C-1115-40B2-AF44-C302C413EEAF}" name="Inc Rate Unit" dataDxfId="1014" dataCellStyle="Normal 2"/>
    <tableColumn id="5" xr3:uid="{FB5E956A-4BF7-4A82-BBD9-8EEE4126AF1E}" name="Column1" dataDxfId="1013" dataCellStyle="Normal 2"/>
    <tableColumn id="6" xr3:uid="{DCF66FBF-4B69-43DB-8B1B-CBF8A9E4A29E}" name="Column2" dataDxfId="1012" dataCellStyle="Normal 2"/>
    <tableColumn id="7" xr3:uid="{4DBE4D65-22E9-421B-A6A4-0136D4F7C9B3}" name="Column3" dataDxfId="1011" dataCellStyle="Normal 2"/>
    <tableColumn id="8" xr3:uid="{8FFDC5A6-3B97-4255-92C3-D5663078433C}" name="Column4" dataDxfId="1010" dataCellStyle="Normal 2"/>
    <tableColumn id="9" xr3:uid="{09B074EE-65AF-43DE-81EF-59EA20382CF2}" name="End Use" dataDxfId="1009" dataCellStyle="Normal 2"/>
    <tableColumn id="10" xr3:uid="{4763D9F9-02C4-436A-B967-64B85AABE802}" name="Base Desc 1" dataDxfId="1008" dataCellStyle="Normal 2"/>
    <tableColumn id="11" xr3:uid="{285484CE-817F-43E4-B33D-BFEAEDA81E12}" name="Unit" dataDxfId="1007" dataCellStyle="Normal 2"/>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PMEMOTOR" displayName="PMEMOTOR" ref="A17:AJ21" totalsRowShown="0" headerRowDxfId="1250" dataDxfId="1249" headerRowCellStyle="Normal 2" dataCellStyle="Normal 2">
  <autoFilter ref="A17:AJ21" xr:uid="{00000000-0009-0000-0100-00000A000000}"/>
  <tableColumns count="36">
    <tableColumn id="1" xr3:uid="{00000000-0010-0000-0300-000001000000}" name="Measure #" dataDxfId="1248" dataCellStyle="Normal 2"/>
    <tableColumn id="2" xr3:uid="{00000000-0010-0000-0300-000002000000}" name="Measure Name" dataDxfId="1247" dataCellStyle="Normal 2"/>
    <tableColumn id="3" xr3:uid="{00000000-0010-0000-0300-000003000000}" name="Equipment Description" dataDxfId="1246" dataCellStyle="Normal 2"/>
    <tableColumn id="4" xr3:uid="{00000000-0010-0000-0300-000004000000}" name="Eff Category" dataDxfId="1245" dataCellStyle="Normal 2"/>
    <tableColumn id="5" xr3:uid="{00000000-0010-0000-0300-000005000000}" name="Eff Measure Group" dataDxfId="1244" dataCellStyle="Normal 2"/>
    <tableColumn id="6" xr3:uid="{00000000-0010-0000-0300-000006000000}" name="Eff Equip Descr" dataDxfId="1243" dataCellStyle="Normal 2"/>
    <tableColumn id="7" xr3:uid="{00000000-0010-0000-0300-000007000000}" name="Base Category" dataDxfId="1242" dataCellStyle="Normal 2"/>
    <tableColumn id="8" xr3:uid="{00000000-0010-0000-0300-000008000000}" name="Base Measure Group" dataDxfId="1241" dataCellStyle="Normal 2"/>
    <tableColumn id="9" xr3:uid="{00000000-0010-0000-0300-000009000000}" name="Base Equip Descr" dataDxfId="1240" dataCellStyle="Normal 2"/>
    <tableColumn id="10" xr3:uid="{00000000-0010-0000-0300-00000A000000}" name="TRM Description" dataDxfId="1239" dataCellStyle="Normal 2"/>
    <tableColumn id="11" xr3:uid="{00000000-0010-0000-0300-00000B000000}" name="TRM Reference No." dataDxfId="1238" dataCellStyle="Normal 2"/>
    <tableColumn id="12" xr3:uid="{00000000-0010-0000-0300-00000C000000}" name="Measure Life" dataDxfId="1237" dataCellStyle="Normal 2"/>
    <tableColumn id="13" xr3:uid="{00000000-0010-0000-0300-00000D000000}" name="Created On" dataDxfId="1236" dataCellStyle="Normal 2"/>
    <tableColumn id="14" xr3:uid="{00000000-0010-0000-0300-00000E000000}" name="Source" dataDxfId="1235" dataCellStyle="Normal 2"/>
    <tableColumn id="15" xr3:uid="{00000000-0010-0000-0300-00000F000000}" name="End Use Category" dataDxfId="1234" dataCellStyle="Normal 2"/>
    <tableColumn id="16" xr3:uid="{00000000-0010-0000-0300-000010000000}" name="Inc Rate Unit" dataDxfId="1233" dataCellStyle="Normal 2"/>
    <tableColumn id="17" xr3:uid="{00000000-0010-0000-0300-000011000000}" name="Savings per Unit kWh" dataDxfId="1232" dataCellStyle="Normal 2"/>
    <tableColumn id="18" xr3:uid="{00000000-0010-0000-0300-000012000000}" name="Savings per Unit kW" dataDxfId="1231" dataCellStyle="Normal 2"/>
    <tableColumn id="19" xr3:uid="{00000000-0010-0000-0300-000013000000}" name="Inc Rate kWh" dataDxfId="1230" dataCellStyle="Normal 2"/>
    <tableColumn id="20" xr3:uid="{00000000-0010-0000-0300-000014000000}" name="Inc Rate kW" dataDxfId="1229" dataCellStyle="Normal 2"/>
    <tableColumn id="32" xr3:uid="{00000000-0010-0000-0300-000020000000}" name="Energy Type" dataDxfId="1228" dataCellStyle="Normal 2"/>
    <tableColumn id="36" xr3:uid="{00000000-0010-0000-0300-000024000000}" name="Program" dataDxfId="1227" dataCellStyle="Normal 2"/>
    <tableColumn id="35" xr3:uid="{00000000-0010-0000-0300-000023000000}" name="Lighting vs Non Lighting" dataDxfId="1226" dataCellStyle="Normal 2"/>
    <tableColumn id="34" xr3:uid="{00000000-0010-0000-0300-000022000000}" name="Status" dataDxfId="1225" dataCellStyle="Normal 2"/>
    <tableColumn id="33" xr3:uid="{00000000-0010-0000-0300-000021000000}" name="SUTO" dataDxfId="1224" dataCellStyle="Normal 2"/>
    <tableColumn id="30" xr3:uid="{00000000-0010-0000-0300-00001E000000}" name="Cost Basis" dataDxfId="1223" dataCellStyle="Normal 2"/>
    <tableColumn id="31" xr3:uid="{00000000-0010-0000-0300-00001F000000}" name="Typical Unit Size" dataDxfId="1222" dataCellStyle="Normal 2"/>
    <tableColumn id="21" xr3:uid="{00000000-0010-0000-0300-000015000000}" name="Unit of Measure" dataDxfId="1221" dataCellStyle="Normal 2"/>
    <tableColumn id="22" xr3:uid="{00000000-0010-0000-0300-000016000000}" name="Base Desc 1" dataDxfId="1220" dataCellStyle="Normal 2"/>
    <tableColumn id="23" xr3:uid="{00000000-0010-0000-0300-000017000000}" name="Base Desc 2" dataDxfId="1219" dataCellStyle="Normal 2"/>
    <tableColumn id="24" xr3:uid="{00000000-0010-0000-0300-000018000000}" name="Base Watt" dataDxfId="1218" dataCellStyle="Normal 2"/>
    <tableColumn id="28" xr3:uid="{00000000-0010-0000-0300-00001C000000}" name="Base Watt 2" dataDxfId="1217" dataCellStyle="Normal 2"/>
    <tableColumn id="25" xr3:uid="{00000000-0010-0000-0300-000019000000}" name="Eff Desc 1" dataDxfId="1216" dataCellStyle="Normal 2"/>
    <tableColumn id="26" xr3:uid="{00000000-0010-0000-0300-00001A000000}" name="Eff Desc 2" dataDxfId="1215" dataCellStyle="Normal 2"/>
    <tableColumn id="27" xr3:uid="{00000000-0010-0000-0300-00001B000000}" name="Eff Watt" dataDxfId="1214" dataCellStyle="Normal 2"/>
    <tableColumn id="29" xr3:uid="{00000000-0010-0000-0300-00001D000000}" name="Eff Watt 22" dataDxfId="1213"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B9C7161-7E84-4E73-9F62-F548834F8117}" name="BASEINCANDEX" displayName="BASEINCANDEX" ref="BL28:BN32" totalsRowShown="0" headerRowCellStyle="Normal 2" dataCellStyle="Normal 2">
  <autoFilter ref="BL28:BN32" xr:uid="{5FF2C28B-3161-4426-B550-DDB53B68E34A}"/>
  <tableColumns count="3">
    <tableColumn id="1" xr3:uid="{7622F495-481F-4A80-AB38-70EE26F8B7F3}" name="Incandescent" dataCellStyle="Normal 2"/>
    <tableColumn id="2" xr3:uid="{8A7561D2-77AF-43F0-B9BD-368176D1DECA}" name="CFL" dataCellStyle="Normal 2"/>
    <tableColumn id="3" xr3:uid="{7F4E6C18-57C4-4DD2-9A89-F32C90BED173}" name="Halogen"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D943E3D-634D-43A2-A7B4-FD7800DEE952}" name="LINEXTLED" displayName="LINEXTLED" ref="BP22:BP28" totalsRowShown="0" headerRowDxfId="1006" dataDxfId="1005" headerRowCellStyle="Normal 2">
  <autoFilter ref="BP22:BP28" xr:uid="{2DAA03D9-1B59-4A6B-9DAA-4644DD7DC33D}"/>
  <tableColumns count="1">
    <tableColumn id="1" xr3:uid="{63EF0A79-02A5-4563-8782-6C5E1B16F42B}" name="Exterior Linear" dataDxfId="100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DE30665-664B-42B6-9C3F-C7087869D69D}" name="HIDEXTLED" displayName="HIDEXTLED" ref="BR22:BR25" totalsRowShown="0" headerRowDxfId="1003" dataDxfId="1002" headerRowCellStyle="Normal 2" dataCellStyle="Normal 2">
  <autoFilter ref="BR22:BR25" xr:uid="{C1CD953E-872A-4FF6-B9B5-7BF5313DE7B9}"/>
  <tableColumns count="1">
    <tableColumn id="1" xr3:uid="{C401D16C-950F-4AAF-9159-1EBF11AB38C5}" name="Exterior HID" dataDxfId="1001" dataCellStyle="Normal 2"/>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6075E73-6486-4D94-8AC4-EC090ADA50EC}" name="EXTLED" displayName="EXTLED" ref="BL34:BO58" totalsRowShown="0" dataDxfId="1000" headerRowCellStyle="Normal 2" dataCellStyle="Normal 2">
  <autoFilter ref="BL34:BO58" xr:uid="{3FA689B2-0EC6-4087-9E58-1B28904C4C4A}"/>
  <tableColumns count="4">
    <tableColumn id="1" xr3:uid="{DAA11F94-A6B7-4A72-B507-726EB58E2527}" name="Measure Validator" dataDxfId="999" dataCellStyle="Normal 2"/>
    <tableColumn id="2" xr3:uid="{740F5034-8C12-49B0-8E11-78BBD951CD3C}" name="Measure Number" dataDxfId="998" dataCellStyle="Normal 2"/>
    <tableColumn id="3" xr3:uid="{36147038-865E-41C8-8ABC-341662C2DDA3}" name="Inc Rate Unit" dataDxfId="997" dataCellStyle="Normal 2"/>
    <tableColumn id="4" xr3:uid="{05BD81CD-B0F9-4928-A56B-1CCBD9DAC5AA}" name="End Use" dataDxfId="996" dataCellStyle="Normal 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52C0F82D-1664-4C34-AA9E-22A986685BCE}" name="INEXTLED" displayName="INEXTLED" ref="BT22:BT26" totalsRowShown="0" headerRowCellStyle="Normal 2" dataCellStyle="Normal 2">
  <autoFilter ref="BT22:BT26" xr:uid="{E873F886-771A-452B-832A-A312A4A80D7A}"/>
  <tableColumns count="1">
    <tableColumn id="1" xr3:uid="{52D5AFA2-A661-4622-8481-647B8A5EBF90}" name="Exterior Incand" dataCellStyle="Normal 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4000000}" name="CMLIGHTEFF" displayName="CMLIGHTEFF" ref="N1:Z44" totalsRowShown="0" headerRowDxfId="995" dataDxfId="994" headerRowCellStyle="Normal 2">
  <autoFilter ref="N1:Z44" xr:uid="{00000000-0009-0000-0100-000002000000}"/>
  <tableColumns count="13">
    <tableColumn id="10" xr3:uid="{00000000-0010-0000-1400-00000A000000}" name="Measure Number" dataDxfId="993"/>
    <tableColumn id="1" xr3:uid="{00000000-0010-0000-1400-000001000000}" name="Eff Desc 1" dataDxfId="992"/>
    <tableColumn id="2" xr3:uid="{00000000-0010-0000-1400-000002000000}" name="Eff Desc 2" dataDxfId="991"/>
    <tableColumn id="3" xr3:uid="{00000000-0010-0000-1400-000003000000}" name="Eff Watt 1" dataDxfId="990"/>
    <tableColumn id="4" xr3:uid="{00000000-0010-0000-1400-000004000000}" name="Eff Watt 2" dataDxfId="989"/>
    <tableColumn id="5" xr3:uid="{00000000-0010-0000-1400-000005000000}" name="Measure Group" dataDxfId="988"/>
    <tableColumn id="6" xr3:uid="{00000000-0010-0000-1400-000006000000}" name="Measure Subgroup 1" dataDxfId="987"/>
    <tableColumn id="7" xr3:uid="{00000000-0010-0000-1400-000007000000}" name="Measure Subgroup 2" dataDxfId="986"/>
    <tableColumn id="8" xr3:uid="{00000000-0010-0000-1400-000008000000}" name="Unit" dataDxfId="985"/>
    <tableColumn id="9" xr3:uid="{00000000-0010-0000-1400-000009000000}" name="Order" dataDxfId="984"/>
    <tableColumn id="11" xr3:uid="{00000000-0010-0000-1400-00000B000000}" name="Source (Standard Wattage Table)" dataDxfId="983"/>
    <tableColumn id="12" xr3:uid="{00000000-0010-0000-1400-00000C000000}" name="Inc Rate" dataDxfId="982"/>
    <tableColumn id="13" xr3:uid="{00000000-0010-0000-1400-00000D000000}" name="Inc Rate Exterior" dataDxfId="981"/>
  </tableColumns>
  <tableStyleInfo name="TableStyleMedium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PROGRAMTYPE" displayName="PROGRAMTYPE" ref="AB1:AB3" totalsRowShown="0" headerRowDxfId="980" dataDxfId="979" headerRowCellStyle="Normal 2">
  <autoFilter ref="AB1:AB3" xr:uid="{00000000-0009-0000-0100-000003000000}"/>
  <sortState xmlns:xlrd2="http://schemas.microsoft.com/office/spreadsheetml/2017/richdata2" ref="AG2:AG5">
    <sortCondition ref="AG1:AG5"/>
  </sortState>
  <tableColumns count="1">
    <tableColumn id="1" xr3:uid="{00000000-0010-0000-1600-000001000000}" name="Program" dataDxfId="978"/>
  </tableColumns>
  <tableStyleInfo name="TableStyleMedium4"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CMEHVAC" displayName="CMEHVAC" ref="AD1:AR41" totalsRowShown="0" headerRowDxfId="977" dataDxfId="976">
  <autoFilter ref="AD1:AR41" xr:uid="{00000000-0009-0000-0100-000020000000}"/>
  <sortState xmlns:xlrd2="http://schemas.microsoft.com/office/spreadsheetml/2017/richdata2" ref="AD2:AR33">
    <sortCondition ref="AN1:AN33"/>
  </sortState>
  <tableColumns count="15">
    <tableColumn id="1" xr3:uid="{00000000-0010-0000-1900-000001000000}" name="Measure Number" dataDxfId="975"/>
    <tableColumn id="14" xr3:uid="{00000000-0010-0000-1900-00000E000000}" name="Project Category" dataDxfId="974"/>
    <tableColumn id="2" xr3:uid="{00000000-0010-0000-1900-000002000000}" name="Proj Desc 1" dataDxfId="973"/>
    <tableColumn id="3" xr3:uid="{00000000-0010-0000-1900-000003000000}" name="Proj Desc 2" dataDxfId="972"/>
    <tableColumn id="4" xr3:uid="{00000000-0010-0000-1900-000004000000}" name="Inc Rate" dataDxfId="971"/>
    <tableColumn id="5" xr3:uid="{00000000-0010-0000-1900-000005000000}" name="EUL" dataDxfId="970"/>
    <tableColumn id="6" xr3:uid="{00000000-0010-0000-1900-000006000000}" name="Measure Group" dataDxfId="969"/>
    <tableColumn id="7" xr3:uid="{00000000-0010-0000-1900-000007000000}" name="Measure Subgroup 1" dataDxfId="968"/>
    <tableColumn id="8" xr3:uid="{00000000-0010-0000-1900-000008000000}" name="Measure Subgroup 2" dataDxfId="967"/>
    <tableColumn id="9" xr3:uid="{00000000-0010-0000-1900-000009000000}" name="Units" dataDxfId="966"/>
    <tableColumn id="10" xr3:uid="{00000000-0010-0000-1900-00000A000000}" name="Order" dataDxfId="965"/>
    <tableColumn id="11" xr3:uid="{00000000-0010-0000-1900-00000B000000}" name="End Use Category" dataDxfId="964"/>
    <tableColumn id="12" xr3:uid="{00000000-0010-0000-1900-00000C000000}" name="Factor" dataDxfId="963"/>
    <tableColumn id="15" xr3:uid="{00000000-0010-0000-1900-00000F000000}" name="Cost Basis" dataDxfId="962"/>
    <tableColumn id="13" xr3:uid="{00000000-0010-0000-1900-00000D000000}" name="Application Tab" dataDxfId="961"/>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CMELIGHT" displayName="CMELIGHT" ref="AD43:AR45" totalsRowShown="0" headerRowDxfId="960" dataDxfId="959">
  <autoFilter ref="AD43:AR45" xr:uid="{00000000-0009-0000-0100-000021000000}"/>
  <sortState xmlns:xlrd2="http://schemas.microsoft.com/office/spreadsheetml/2017/richdata2" ref="AD36:AR40">
    <sortCondition ref="AN35:AN40"/>
  </sortState>
  <tableColumns count="15">
    <tableColumn id="1" xr3:uid="{00000000-0010-0000-1A00-000001000000}" name="Measure Number" dataDxfId="958"/>
    <tableColumn id="14" xr3:uid="{00000000-0010-0000-1A00-00000E000000}" name="Project Category" dataDxfId="957"/>
    <tableColumn id="2" xr3:uid="{00000000-0010-0000-1A00-000002000000}" name="Proj Desc 1" dataDxfId="956"/>
    <tableColumn id="3" xr3:uid="{00000000-0010-0000-1A00-000003000000}" name="Proj Desc 2" dataDxfId="955"/>
    <tableColumn id="4" xr3:uid="{00000000-0010-0000-1A00-000004000000}" name="Inc Rate" dataDxfId="954"/>
    <tableColumn id="5" xr3:uid="{00000000-0010-0000-1A00-000005000000}" name="EUL" dataDxfId="953"/>
    <tableColumn id="6" xr3:uid="{00000000-0010-0000-1A00-000006000000}" name="Measure Group" dataDxfId="952"/>
    <tableColumn id="7" xr3:uid="{00000000-0010-0000-1A00-000007000000}" name="Measure Subgroup 1" dataDxfId="951"/>
    <tableColumn id="8" xr3:uid="{00000000-0010-0000-1A00-000008000000}" name="Measure Subgroup 2" dataDxfId="950"/>
    <tableColumn id="9" xr3:uid="{00000000-0010-0000-1A00-000009000000}" name="Units" dataDxfId="949"/>
    <tableColumn id="10" xr3:uid="{00000000-0010-0000-1A00-00000A000000}" name="Order" dataDxfId="948"/>
    <tableColumn id="11" xr3:uid="{00000000-0010-0000-1A00-00000B000000}" name="End Use Category" dataDxfId="947"/>
    <tableColumn id="12" xr3:uid="{00000000-0010-0000-1A00-00000C000000}" name="Factor" dataDxfId="946"/>
    <tableColumn id="15" xr3:uid="{00000000-0010-0000-1A00-00000F000000}" name="Cost Basis" dataDxfId="945"/>
    <tableColumn id="13" xr3:uid="{00000000-0010-0000-1A00-00000D000000}" name="Application Tab" dataDxfId="944"/>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CMELIGHTCON" displayName="CMELIGHTCON" ref="AD50:AR60" totalsRowShown="0" headerRowDxfId="943" dataDxfId="942">
  <autoFilter ref="AD50:AR60" xr:uid="{00000000-0009-0000-0100-000022000000}"/>
  <sortState xmlns:xlrd2="http://schemas.microsoft.com/office/spreadsheetml/2017/richdata2" ref="AD43:AR52">
    <sortCondition ref="AN42:AN52"/>
  </sortState>
  <tableColumns count="15">
    <tableColumn id="1" xr3:uid="{00000000-0010-0000-1B00-000001000000}" name="Measure Number" dataDxfId="941"/>
    <tableColumn id="14" xr3:uid="{00000000-0010-0000-1B00-00000E000000}" name="Project Category" dataDxfId="940"/>
    <tableColumn id="2" xr3:uid="{00000000-0010-0000-1B00-000002000000}" name="Proj Desc 1" dataDxfId="939"/>
    <tableColumn id="3" xr3:uid="{00000000-0010-0000-1B00-000003000000}" name="Proj Desc 2" dataDxfId="938"/>
    <tableColumn id="4" xr3:uid="{00000000-0010-0000-1B00-000004000000}" name="Inc Rate" dataDxfId="937"/>
    <tableColumn id="5" xr3:uid="{00000000-0010-0000-1B00-000005000000}" name="EUL" dataDxfId="936"/>
    <tableColumn id="6" xr3:uid="{00000000-0010-0000-1B00-000006000000}" name="Measure Group" dataDxfId="935"/>
    <tableColumn id="7" xr3:uid="{00000000-0010-0000-1B00-000007000000}" name="Measure Subgroup 1" dataDxfId="934"/>
    <tableColumn id="8" xr3:uid="{00000000-0010-0000-1B00-000008000000}" name="Measure Subgroup 2" dataDxfId="933"/>
    <tableColumn id="9" xr3:uid="{00000000-0010-0000-1B00-000009000000}" name="Units" dataDxfId="932"/>
    <tableColumn id="10" xr3:uid="{00000000-0010-0000-1B00-00000A000000}" name="Order" dataDxfId="931"/>
    <tableColumn id="11" xr3:uid="{00000000-0010-0000-1B00-00000B000000}" name="End Use Category" dataDxfId="930"/>
    <tableColumn id="12" xr3:uid="{00000000-0010-0000-1B00-00000C000000}" name="Factor" dataDxfId="929"/>
    <tableColumn id="15" xr3:uid="{00000000-0010-0000-1B00-00000F000000}" name="Cost Basis" dataDxfId="928"/>
    <tableColumn id="13" xr3:uid="{00000000-0010-0000-1B00-00000D000000}" name="Application Tab" dataDxfId="92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MEKITCHEN" displayName="PMEKITCHEN" ref="A44:AJ50" totalsRowShown="0" headerRowDxfId="1212" dataDxfId="1211" headerRowCellStyle="Normal 2" dataCellStyle="Normal 2">
  <autoFilter ref="A44:AJ50" xr:uid="{00000000-0009-0000-0100-00000B000000}"/>
  <tableColumns count="36">
    <tableColumn id="1" xr3:uid="{00000000-0010-0000-0400-000001000000}" name="Measure #" dataDxfId="1210" dataCellStyle="Normal 2"/>
    <tableColumn id="2" xr3:uid="{00000000-0010-0000-0400-000002000000}" name="Measure Name" dataDxfId="1209" dataCellStyle="Normal 2"/>
    <tableColumn id="3" xr3:uid="{00000000-0010-0000-0400-000003000000}" name="Equipment Description" dataDxfId="1208" dataCellStyle="Normal 2"/>
    <tableColumn id="4" xr3:uid="{00000000-0010-0000-0400-000004000000}" name="Eff Category" dataDxfId="1207" dataCellStyle="Normal 2"/>
    <tableColumn id="5" xr3:uid="{00000000-0010-0000-0400-000005000000}" name="Eff Measure Group" dataDxfId="1206" dataCellStyle="Normal 2"/>
    <tableColumn id="6" xr3:uid="{00000000-0010-0000-0400-000006000000}" name="Eff Equip Descr" dataDxfId="1205" dataCellStyle="Normal 2"/>
    <tableColumn id="7" xr3:uid="{00000000-0010-0000-0400-000007000000}" name="Base Category" dataDxfId="1204" dataCellStyle="Normal 2"/>
    <tableColumn id="8" xr3:uid="{00000000-0010-0000-0400-000008000000}" name="Base Measure Group" dataDxfId="1203" dataCellStyle="Normal 2"/>
    <tableColumn id="9" xr3:uid="{00000000-0010-0000-0400-000009000000}" name="Base Equip Descr" dataDxfId="1202" dataCellStyle="Normal 2"/>
    <tableColumn id="10" xr3:uid="{00000000-0010-0000-0400-00000A000000}" name="TRM Description" dataDxfId="1201" dataCellStyle="Normal 2"/>
    <tableColumn id="11" xr3:uid="{00000000-0010-0000-0400-00000B000000}" name="TRM Reference No." dataDxfId="1200" dataCellStyle="Normal 2"/>
    <tableColumn id="12" xr3:uid="{00000000-0010-0000-0400-00000C000000}" name="Measure Life" dataDxfId="1199" dataCellStyle="Normal 2"/>
    <tableColumn id="13" xr3:uid="{00000000-0010-0000-0400-00000D000000}" name="Created On" dataDxfId="1198" dataCellStyle="Normal 2"/>
    <tableColumn id="14" xr3:uid="{00000000-0010-0000-0400-00000E000000}" name="Source" dataDxfId="1197" dataCellStyle="Normal 2"/>
    <tableColumn id="15" xr3:uid="{00000000-0010-0000-0400-00000F000000}" name="End Use Category" dataDxfId="1196" dataCellStyle="Normal 2"/>
    <tableColumn id="16" xr3:uid="{00000000-0010-0000-0400-000010000000}" name="Inc Rate Unit" dataDxfId="1195" dataCellStyle="Normal 2"/>
    <tableColumn id="17" xr3:uid="{00000000-0010-0000-0400-000011000000}" name="Savings per Unit kWh" dataDxfId="1194" dataCellStyle="Normal 2"/>
    <tableColumn id="18" xr3:uid="{00000000-0010-0000-0400-000012000000}" name="Savings per Unit kW" dataDxfId="1193" dataCellStyle="Normal 2"/>
    <tableColumn id="19" xr3:uid="{00000000-0010-0000-0400-000013000000}" name="Inc Rate kWh" dataDxfId="1192" dataCellStyle="Normal 2"/>
    <tableColumn id="20" xr3:uid="{00000000-0010-0000-0400-000014000000}" name="Inc Rate kW" dataDxfId="1191" dataCellStyle="Normal 2"/>
    <tableColumn id="21" xr3:uid="{00000000-0010-0000-0400-000015000000}" name="Energy Type" dataDxfId="1190" dataCellStyle="Normal 2"/>
    <tableColumn id="34" xr3:uid="{00000000-0010-0000-0400-000022000000}" name="Program" dataDxfId="1189" dataCellStyle="Normal 2"/>
    <tableColumn id="33" xr3:uid="{00000000-0010-0000-0400-000021000000}" name="Lighting vs Non Lighting" dataDxfId="1188" dataCellStyle="Normal 2"/>
    <tableColumn id="32" xr3:uid="{00000000-0010-0000-0400-000020000000}" name="Status" dataDxfId="1187" dataCellStyle="Normal 2"/>
    <tableColumn id="35" xr3:uid="{00000000-0010-0000-0400-000023000000}" name="SUTO" dataDxfId="1186" dataCellStyle="Normal 2"/>
    <tableColumn id="36" xr3:uid="{00000000-0010-0000-0400-000024000000}" name="Cost Basis" dataDxfId="1185" dataCellStyle="Normal 2"/>
    <tableColumn id="31" xr3:uid="{00000000-0010-0000-0400-00001F000000}" name="Typical Unit Size" dataDxfId="1184" dataCellStyle="Normal 2"/>
    <tableColumn id="30" xr3:uid="{00000000-0010-0000-0400-00001E000000}" name="Unit of Measure" dataDxfId="1183" dataCellStyle="Normal 2"/>
    <tableColumn id="22" xr3:uid="{00000000-0010-0000-0400-000016000000}" name="Base Desc 1" dataDxfId="1182" dataCellStyle="Normal 2"/>
    <tableColumn id="23" xr3:uid="{00000000-0010-0000-0400-000017000000}" name="Base Desc 2" dataDxfId="1181" dataCellStyle="Normal 2"/>
    <tableColumn id="24" xr3:uid="{00000000-0010-0000-0400-000018000000}" name="Base Watt" dataDxfId="1180" dataCellStyle="Normal 2"/>
    <tableColumn id="28" xr3:uid="{00000000-0010-0000-0400-00001C000000}" name="Base Watt 2" dataDxfId="1179" dataCellStyle="Normal 2"/>
    <tableColumn id="25" xr3:uid="{00000000-0010-0000-0400-000019000000}" name="Eff Desc 1" dataDxfId="1178" dataCellStyle="Normal 2"/>
    <tableColumn id="26" xr3:uid="{00000000-0010-0000-0400-00001A000000}" name="Eff Desc 2" dataDxfId="1177" dataCellStyle="Normal 2"/>
    <tableColumn id="27" xr3:uid="{00000000-0010-0000-0400-00001B000000}" name="Eff Watt" dataDxfId="1176" dataCellStyle="Normal 2"/>
    <tableColumn id="29" xr3:uid="{00000000-0010-0000-0400-00001D000000}" name="Eff Watt 22" dataDxfId="1175" dataCellStyle="Normal 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CMECOOK" displayName="CMECOOK" ref="AD62:AR78" totalsRowShown="0" headerRowDxfId="926" dataDxfId="925">
  <autoFilter ref="AD62:AR78" xr:uid="{00000000-0009-0000-0100-000023000000}"/>
  <sortState xmlns:xlrd2="http://schemas.microsoft.com/office/spreadsheetml/2017/richdata2" ref="AD55:AR70">
    <sortCondition ref="AN54:AN70"/>
  </sortState>
  <tableColumns count="15">
    <tableColumn id="1" xr3:uid="{00000000-0010-0000-1C00-000001000000}" name="Measure Number" dataDxfId="924"/>
    <tableColumn id="14" xr3:uid="{00000000-0010-0000-1C00-00000E000000}" name="Project Category" dataDxfId="923"/>
    <tableColumn id="2" xr3:uid="{00000000-0010-0000-1C00-000002000000}" name="Proj Desc 1" dataDxfId="922"/>
    <tableColumn id="3" xr3:uid="{00000000-0010-0000-1C00-000003000000}" name="Proj Desc 2" dataDxfId="921"/>
    <tableColumn id="4" xr3:uid="{00000000-0010-0000-1C00-000004000000}" name="Inc Rate" dataDxfId="920"/>
    <tableColumn id="5" xr3:uid="{00000000-0010-0000-1C00-000005000000}" name="EUL" dataDxfId="919"/>
    <tableColumn id="6" xr3:uid="{00000000-0010-0000-1C00-000006000000}" name="Measure Group" dataDxfId="918"/>
    <tableColumn id="7" xr3:uid="{00000000-0010-0000-1C00-000007000000}" name="Measure Subgroup 1" dataDxfId="917"/>
    <tableColumn id="8" xr3:uid="{00000000-0010-0000-1C00-000008000000}" name="Measure Subgroup 2" dataDxfId="916"/>
    <tableColumn id="9" xr3:uid="{00000000-0010-0000-1C00-000009000000}" name="Units" dataDxfId="915"/>
    <tableColumn id="10" xr3:uid="{00000000-0010-0000-1C00-00000A000000}" name="Order" dataDxfId="914"/>
    <tableColumn id="11" xr3:uid="{00000000-0010-0000-1C00-00000B000000}" name="End Use Category" dataDxfId="913"/>
    <tableColumn id="12" xr3:uid="{00000000-0010-0000-1C00-00000C000000}" name="Factor" dataDxfId="912"/>
    <tableColumn id="15" xr3:uid="{00000000-0010-0000-1C00-00000F000000}" name="Cost Basis" dataDxfId="911"/>
    <tableColumn id="13" xr3:uid="{00000000-0010-0000-1C00-00000D000000}" name="Application Tab" dataDxfId="910"/>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CMECOMPAIR" displayName="CMECOMPAIR" ref="AD80:AR96" totalsRowShown="0" headerRowDxfId="909" dataDxfId="908">
  <autoFilter ref="AD80:AR96" xr:uid="{00000000-0009-0000-0100-000024000000}"/>
  <sortState xmlns:xlrd2="http://schemas.microsoft.com/office/spreadsheetml/2017/richdata2" ref="AD73:AR88">
    <sortCondition ref="AN72:AN88"/>
  </sortState>
  <tableColumns count="15">
    <tableColumn id="1" xr3:uid="{00000000-0010-0000-1D00-000001000000}" name="Measure Number" dataDxfId="907"/>
    <tableColumn id="14" xr3:uid="{00000000-0010-0000-1D00-00000E000000}" name="Project Category" dataDxfId="906"/>
    <tableColumn id="2" xr3:uid="{00000000-0010-0000-1D00-000002000000}" name="Proj Desc 1" dataDxfId="905"/>
    <tableColumn id="3" xr3:uid="{00000000-0010-0000-1D00-000003000000}" name="Proj Desc 2" dataDxfId="904"/>
    <tableColumn id="4" xr3:uid="{00000000-0010-0000-1D00-000004000000}" name="Inc Rate" dataDxfId="903"/>
    <tableColumn id="5" xr3:uid="{00000000-0010-0000-1D00-000005000000}" name="EUL" dataDxfId="902"/>
    <tableColumn id="6" xr3:uid="{00000000-0010-0000-1D00-000006000000}" name="Measure Group" dataDxfId="901"/>
    <tableColumn id="7" xr3:uid="{00000000-0010-0000-1D00-000007000000}" name="Measure Subgroup 1" dataDxfId="900"/>
    <tableColumn id="8" xr3:uid="{00000000-0010-0000-1D00-000008000000}" name="Measure Subgroup 2" dataDxfId="899"/>
    <tableColumn id="9" xr3:uid="{00000000-0010-0000-1D00-000009000000}" name="Units" dataDxfId="898"/>
    <tableColumn id="10" xr3:uid="{00000000-0010-0000-1D00-00000A000000}" name="Order" dataDxfId="897"/>
    <tableColumn id="11" xr3:uid="{00000000-0010-0000-1D00-00000B000000}" name="End Use Category" dataDxfId="896"/>
    <tableColumn id="12" xr3:uid="{00000000-0010-0000-1D00-00000C000000}" name="Factor" dataDxfId="895"/>
    <tableColumn id="15" xr3:uid="{00000000-0010-0000-1D00-00000F000000}" name="Cost Basis" dataDxfId="894"/>
    <tableColumn id="13" xr3:uid="{00000000-0010-0000-1D00-00000D000000}" name="Application Tab" dataDxfId="893"/>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CMEMOTOR" displayName="CMEMOTOR" ref="AD98:AR118" totalsRowShown="0" headerRowDxfId="892" dataDxfId="891">
  <autoFilter ref="AD98:AR118" xr:uid="{00000000-0009-0000-0100-000025000000}"/>
  <sortState xmlns:xlrd2="http://schemas.microsoft.com/office/spreadsheetml/2017/richdata2" ref="AD91:AR108">
    <sortCondition ref="AN90:AN108"/>
  </sortState>
  <tableColumns count="15">
    <tableColumn id="1" xr3:uid="{00000000-0010-0000-1E00-000001000000}" name="Measure Number" dataDxfId="890"/>
    <tableColumn id="14" xr3:uid="{00000000-0010-0000-1E00-00000E000000}" name="Project Category" dataDxfId="889"/>
    <tableColumn id="2" xr3:uid="{00000000-0010-0000-1E00-000002000000}" name="Proj Desc 1" dataDxfId="888"/>
    <tableColumn id="3" xr3:uid="{00000000-0010-0000-1E00-000003000000}" name="Proj Desc 2" dataDxfId="887"/>
    <tableColumn id="4" xr3:uid="{00000000-0010-0000-1E00-000004000000}" name="Inc Rate" dataDxfId="886"/>
    <tableColumn id="5" xr3:uid="{00000000-0010-0000-1E00-000005000000}" name="EUL" dataDxfId="885"/>
    <tableColumn id="6" xr3:uid="{00000000-0010-0000-1E00-000006000000}" name="Measure Group" dataDxfId="884"/>
    <tableColumn id="7" xr3:uid="{00000000-0010-0000-1E00-000007000000}" name="Measure Subgroup 1" dataDxfId="883"/>
    <tableColumn id="8" xr3:uid="{00000000-0010-0000-1E00-000008000000}" name="Measure Subgroup 2" dataDxfId="882"/>
    <tableColumn id="9" xr3:uid="{00000000-0010-0000-1E00-000009000000}" name="Units" dataDxfId="881"/>
    <tableColumn id="10" xr3:uid="{00000000-0010-0000-1E00-00000A000000}" name="Order" dataDxfId="880"/>
    <tableColumn id="11" xr3:uid="{00000000-0010-0000-1E00-00000B000000}" name="End Use Category" dataDxfId="879"/>
    <tableColumn id="12" xr3:uid="{00000000-0010-0000-1E00-00000C000000}" name="Factor" dataDxfId="878"/>
    <tableColumn id="15" xr3:uid="{00000000-0010-0000-1E00-00000F000000}" name="Cost Basis" dataDxfId="877"/>
    <tableColumn id="13" xr3:uid="{00000000-0010-0000-1E00-00000D000000}" name="Application Tab" dataDxfId="876"/>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CMEREFRI" displayName="CMEREFRI" ref="AD120:AR134" totalsRowShown="0" headerRowDxfId="875" dataDxfId="874">
  <autoFilter ref="AD120:AR134" xr:uid="{00000000-0009-0000-0100-000026000000}"/>
  <sortState xmlns:xlrd2="http://schemas.microsoft.com/office/spreadsheetml/2017/richdata2" ref="AD111:AR124">
    <sortCondition ref="AN110:AN124"/>
  </sortState>
  <tableColumns count="15">
    <tableColumn id="1" xr3:uid="{00000000-0010-0000-1F00-000001000000}" name="Measure Number" dataDxfId="873"/>
    <tableColumn id="14" xr3:uid="{00000000-0010-0000-1F00-00000E000000}" name="Project Category" dataDxfId="872"/>
    <tableColumn id="2" xr3:uid="{00000000-0010-0000-1F00-000002000000}" name="Proj Desc 1" dataDxfId="871"/>
    <tableColumn id="3" xr3:uid="{00000000-0010-0000-1F00-000003000000}" name="Proj Desc 2" dataDxfId="870"/>
    <tableColumn id="4" xr3:uid="{00000000-0010-0000-1F00-000004000000}" name="Inc Rate" dataDxfId="869"/>
    <tableColumn id="5" xr3:uid="{00000000-0010-0000-1F00-000005000000}" name="EUL" dataDxfId="868"/>
    <tableColumn id="6" xr3:uid="{00000000-0010-0000-1F00-000006000000}" name="Measure Group" dataDxfId="867"/>
    <tableColumn id="7" xr3:uid="{00000000-0010-0000-1F00-000007000000}" name="Measure Subgroup 1" dataDxfId="866"/>
    <tableColumn id="8" xr3:uid="{00000000-0010-0000-1F00-000008000000}" name="Measure Subgroup 2" dataDxfId="865"/>
    <tableColumn id="9" xr3:uid="{00000000-0010-0000-1F00-000009000000}" name="Units" dataDxfId="864"/>
    <tableColumn id="10" xr3:uid="{00000000-0010-0000-1F00-00000A000000}" name="Order" dataDxfId="863"/>
    <tableColumn id="11" xr3:uid="{00000000-0010-0000-1F00-00000B000000}" name="End Use Category" dataDxfId="862"/>
    <tableColumn id="12" xr3:uid="{00000000-0010-0000-1F00-00000C000000}" name="Factor" dataDxfId="861"/>
    <tableColumn id="15" xr3:uid="{00000000-0010-0000-1F00-00000F000000}" name="Cost Basis" dataDxfId="860"/>
    <tableColumn id="13" xr3:uid="{00000000-0010-0000-1F00-00000D000000}" name="Application Tab" dataDxfId="859"/>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0000000}" name="CMEMISC" displayName="CMEMISC" ref="AD136:AR144" totalsRowShown="0" headerRowDxfId="858" dataDxfId="857">
  <autoFilter ref="AD136:AR144" xr:uid="{00000000-0009-0000-0100-000027000000}"/>
  <sortState xmlns:xlrd2="http://schemas.microsoft.com/office/spreadsheetml/2017/richdata2" ref="AD125:AR132">
    <sortCondition ref="AN124:AN132"/>
  </sortState>
  <tableColumns count="15">
    <tableColumn id="1" xr3:uid="{00000000-0010-0000-2000-000001000000}" name="Measure Number" dataDxfId="856"/>
    <tableColumn id="14" xr3:uid="{00000000-0010-0000-2000-00000E000000}" name="Project Category" dataDxfId="855"/>
    <tableColumn id="2" xr3:uid="{00000000-0010-0000-2000-000002000000}" name="Proj Desc 1" dataDxfId="854"/>
    <tableColumn id="3" xr3:uid="{00000000-0010-0000-2000-000003000000}" name="Proj Desc 2" dataDxfId="853"/>
    <tableColumn id="4" xr3:uid="{00000000-0010-0000-2000-000004000000}" name="Inc Rate" dataDxfId="852"/>
    <tableColumn id="5" xr3:uid="{00000000-0010-0000-2000-000005000000}" name="EUL" dataDxfId="851"/>
    <tableColumn id="6" xr3:uid="{00000000-0010-0000-2000-000006000000}" name="Measure Group" dataDxfId="850"/>
    <tableColumn id="7" xr3:uid="{00000000-0010-0000-2000-000007000000}" name="Measure Subgroup 1" dataDxfId="849"/>
    <tableColumn id="8" xr3:uid="{00000000-0010-0000-2000-000008000000}" name="Measure Subgroup 2" dataDxfId="848"/>
    <tableColumn id="9" xr3:uid="{00000000-0010-0000-2000-000009000000}" name="Units" dataDxfId="847"/>
    <tableColumn id="10" xr3:uid="{00000000-0010-0000-2000-00000A000000}" name="Order" dataDxfId="846"/>
    <tableColumn id="11" xr3:uid="{00000000-0010-0000-2000-00000B000000}" name="End Use Category" dataDxfId="845"/>
    <tableColumn id="12" xr3:uid="{00000000-0010-0000-2000-00000C000000}" name="Factor" dataDxfId="844"/>
    <tableColumn id="15" xr3:uid="{00000000-0010-0000-2000-00000F000000}" name="Cost Basis" dataDxfId="843"/>
    <tableColumn id="13" xr3:uid="{00000000-0010-0000-2000-00000D000000}" name="Application Tab" dataDxfId="842"/>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1000000}" name="CMLIGHTBASE" displayName="CMLIGHTBASE" ref="A1:L134" totalsRowShown="0" headerRowDxfId="841" dataDxfId="840" headerRowCellStyle="Normal 2">
  <autoFilter ref="A1:L134" xr:uid="{00000000-0009-0000-0100-000001000000}"/>
  <tableColumns count="12">
    <tableColumn id="5" xr3:uid="{00000000-0010-0000-2100-000005000000}" name="Measure Number" dataDxfId="839"/>
    <tableColumn id="1" xr3:uid="{00000000-0010-0000-2100-000001000000}" name="Base Desc 1" dataDxfId="838"/>
    <tableColumn id="2" xr3:uid="{00000000-0010-0000-2100-000002000000}" name="Base Desc 2" dataDxfId="837"/>
    <tableColumn id="3" xr3:uid="{00000000-0010-0000-2100-000003000000}" name="Base Watt 1" dataDxfId="836"/>
    <tableColumn id="4" xr3:uid="{00000000-0010-0000-2100-000004000000}" name="Base Watt 2" dataDxfId="835"/>
    <tableColumn id="7" xr3:uid="{00000000-0010-0000-2100-000007000000}" name="Measure Group" dataDxfId="834"/>
    <tableColumn id="8" xr3:uid="{00000000-0010-0000-2100-000008000000}" name="Measure Subgroup 1" dataDxfId="833"/>
    <tableColumn id="6" xr3:uid="{00000000-0010-0000-2100-000006000000}" name="Measure Subgroup 2" dataDxfId="832"/>
    <tableColumn id="9" xr3:uid="{00000000-0010-0000-2100-000009000000}" name="Unit" dataDxfId="831"/>
    <tableColumn id="10" xr3:uid="{00000000-0010-0000-2100-00000A000000}" name="Order" dataDxfId="830"/>
    <tableColumn id="11" xr3:uid="{00000000-0010-0000-2100-00000B000000}" name="Source (Standard Wattage Table)" dataDxfId="829"/>
    <tableColumn id="12" xr3:uid="{00000000-0010-0000-2100-00000C000000}" name="Inc Rate" dataDxfId="828"/>
  </tableColumns>
  <tableStyleInfo name="TableStyleMedium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99B1D65-CAFB-4E06-B176-F56008976CB7}" name="CFLEFF" displayName="CFLEFF" ref="N47:Z49" totalsRowShown="0" headerRowDxfId="827" dataDxfId="826">
  <autoFilter ref="N47:Z49" xr:uid="{CD9AED8E-D2B9-4333-8F96-27651CA9AF98}"/>
  <tableColumns count="13">
    <tableColumn id="1" xr3:uid="{D3E44635-2E9E-40AD-B7B7-BAA4796A458E}" name="Measure Number" dataDxfId="825"/>
    <tableColumn id="2" xr3:uid="{5A6B0494-B6B2-45F9-9A5E-D36C1D2C4688}" name="Eff Desc 1" dataDxfId="824"/>
    <tableColumn id="3" xr3:uid="{4C455985-39A7-418D-A056-1B0FCDD16471}" name="Eff Desc 2" dataDxfId="823"/>
    <tableColumn id="4" xr3:uid="{3E1101E0-6A00-4844-AADF-39E7F5695E43}" name="Eff Watt 1" dataDxfId="822"/>
    <tableColumn id="5" xr3:uid="{89EC779A-973A-4890-B756-377B51FA214D}" name="Eff Watt 2" dataDxfId="821"/>
    <tableColumn id="6" xr3:uid="{B0DABF70-8EC8-417F-937B-4412A91D1DA8}" name="Measure Group" dataDxfId="820"/>
    <tableColumn id="7" xr3:uid="{6611CB21-09F7-4ED9-AE09-C10238DC7A0C}" name="Measure Subgroup 1" dataDxfId="819"/>
    <tableColumn id="8" xr3:uid="{F35226DB-A619-4EE7-A789-57DDFF08EF40}" name="Measure Subgroup 2" dataDxfId="818"/>
    <tableColumn id="9" xr3:uid="{26FA471C-EDE4-416E-853F-1CD079B83B48}" name="Unit" dataDxfId="817"/>
    <tableColumn id="10" xr3:uid="{D66781A1-9D30-4B68-B16F-436D664B6855}" name="Order" dataDxfId="816"/>
    <tableColumn id="11" xr3:uid="{80D3F852-13A1-42A0-86DE-34E319B2D9F1}" name="Source (Standard Wattage Table)" dataDxfId="815"/>
    <tableColumn id="12" xr3:uid="{73F95163-06C4-4909-843F-B407E58F913F}" name="Inc Rate" dataDxfId="814"/>
    <tableColumn id="13" xr3:uid="{D65D6D91-3D91-48B4-BF98-C547DC1E7697}" name="Inc Rate Exterior" dataDxfId="813"/>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2000000}" name="ELECCB" displayName="ELECCB" ref="A11:K38" totalsRowShown="0" headerRowDxfId="812">
  <autoFilter ref="A11:K38" xr:uid="{00000000-0009-0000-0100-000011000000}"/>
  <tableColumns count="11">
    <tableColumn id="1" xr3:uid="{00000000-0010-0000-2200-000001000000}" name="Year"/>
    <tableColumn id="2" xr3:uid="{00000000-0010-0000-2200-000002000000}" name="Year Number"/>
    <tableColumn id="11" xr3:uid="{00000000-0010-0000-2200-00000B000000}" name="Capacity Reserve Margin" dataDxfId="811" dataCellStyle="Percent"/>
    <tableColumn id="3" xr3:uid="{00000000-0010-0000-2200-000003000000}" name="Elec. AEC Factor" dataDxfId="810"/>
    <tableColumn id="4" xr3:uid="{00000000-0010-0000-2200-000004000000}" name="Avoid Energy Cost $/MWh" dataDxfId="809"/>
    <tableColumn id="5" xr3:uid="{00000000-0010-0000-2200-000005000000}" name="Elec. ACC Factor" dataDxfId="808"/>
    <tableColumn id="6" xr3:uid="{00000000-0010-0000-2200-000006000000}" name="Avoided Capacity Cost $/kW" dataDxfId="807"/>
    <tableColumn id="7" xr3:uid="{00000000-0010-0000-2200-000007000000}" name="AT&amp;D Factor" dataDxfId="806"/>
    <tableColumn id="8" xr3:uid="{00000000-0010-0000-2200-000008000000}" name="Avoided T&amp;D $/kW" dataDxfId="805"/>
    <tableColumn id="9" xr3:uid="{00000000-0010-0000-2200-000009000000}" name="NPV AEC $/kWh" dataDxfId="804">
      <calculatedColumnFormula>NPV($B$7,$E12:$E$13)/1000+$J$12</calculatedColumnFormula>
    </tableColumn>
    <tableColumn id="10" xr3:uid="{00000000-0010-0000-2200-00000A000000}" name="NPV ACC+T&amp;D $/kW" dataDxfId="803">
      <calculatedColumnFormula>$G$12+$I$12</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4000000}" name="BUILDINGTYPE" displayName="BUILDINGTYPE" ref="A4:B20" totalsRowShown="0">
  <autoFilter ref="A4:B20" xr:uid="{00000000-0009-0000-0100-000016000000}"/>
  <tableColumns count="2">
    <tableColumn id="1" xr3:uid="{00000000-0010-0000-2400-000001000000}" name="Building Type"/>
    <tableColumn id="2" xr3:uid="{00000000-0010-0000-2400-000002000000}" name="HIF"/>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5000000}" name="STATES" displayName="STATES" ref="E4:F68" totalsRowShown="0">
  <autoFilter ref="E4:F68" xr:uid="{00000000-0009-0000-0100-000018000000}"/>
  <tableColumns count="2">
    <tableColumn id="1" xr3:uid="{00000000-0010-0000-2500-000001000000}" name="States"/>
    <tableColumn id="2" xr3:uid="{00000000-0010-0000-2500-000002000000}" name="Abbre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A000000}" name="PMELIGHTLIN" displayName="PMELIGHTLIN" ref="AL1:AW35" totalsRowShown="0" headerRowDxfId="1174" dataDxfId="1172" headerRowBorderDxfId="1173" tableBorderDxfId="1171" totalsRowBorderDxfId="1170" headerRowCellStyle="Normal 2" dataCellStyle="Normal 2">
  <autoFilter ref="AL1:AW35" xr:uid="{00000000-0009-0000-0100-00002D000000}"/>
  <sortState xmlns:xlrd2="http://schemas.microsoft.com/office/spreadsheetml/2017/richdata2" ref="AM2:AV9">
    <sortCondition ref="AV1:AV9"/>
  </sortState>
  <tableColumns count="12">
    <tableColumn id="12" xr3:uid="{00000000-0010-0000-0A00-00000C000000}" name="Measure Category" dataDxfId="1169" dataCellStyle="Normal 2"/>
    <tableColumn id="1" xr3:uid="{00000000-0010-0000-0A00-000001000000}" name="Measure Validator" dataDxfId="1168" dataCellStyle="Normal 2"/>
    <tableColumn id="3" xr3:uid="{00000000-0010-0000-0A00-000003000000}" name="Measure #" dataDxfId="1167"/>
    <tableColumn id="2" xr3:uid="{00000000-0010-0000-0A00-000002000000}" name="Inc Rate Unit PA" dataDxfId="1166" dataCellStyle="Normal 2"/>
    <tableColumn id="4" xr3:uid="{00000000-0010-0000-0A00-000004000000}" name="Inc Rate Unit FT" dataDxfId="1165" dataCellStyle="Normal 2"/>
    <tableColumn id="9" xr3:uid="{00000000-0010-0000-0A00-000009000000}" name="Base Watt 1" dataDxfId="1164" dataCellStyle="Normal 2"/>
    <tableColumn id="5" xr3:uid="{00000000-0010-0000-0A00-000005000000}" name="Base Watt 2" dataDxfId="1163" dataCellStyle="Normal 2"/>
    <tableColumn id="11" xr3:uid="{00000000-0010-0000-0A00-00000B000000}" name="Eff Watt 1" dataDxfId="1162" dataCellStyle="Normal 2"/>
    <tableColumn id="6" xr3:uid="{00000000-0010-0000-0A00-000006000000}" name="Eff Watt 2" dataDxfId="1161" dataCellStyle="Normal 2"/>
    <tableColumn id="7" xr3:uid="{00000000-0010-0000-0A00-000007000000}" name="Op Hr 1" dataDxfId="1160" dataCellStyle="Normal 2"/>
    <tableColumn id="8" xr3:uid="{00000000-0010-0000-0A00-000008000000}" name="Op Hr 2" dataDxfId="1159" dataCellStyle="Normal 2"/>
    <tableColumn id="10" xr3:uid="{811FCBD4-C544-40CA-A625-FBCE1525EB26}" name="End Use Category" dataDxfId="1158" dataCellStyle="Normal 2"/>
  </tableColumns>
  <tableStyleInfo name="TableStyleMedium5"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6000000}" name="SPACEHEAT" displayName="SPACEHEAT" ref="J4:K10" totalsRowShown="0">
  <autoFilter ref="J4:K10" xr:uid="{00000000-0009-0000-0100-000019000000}"/>
  <tableColumns count="2">
    <tableColumn id="1" xr3:uid="{00000000-0010-0000-2600-000001000000}" name="Space Conditioning"/>
    <tableColumn id="2" xr3:uid="{00000000-0010-0000-2600-000002000000}" name="HIF"/>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7000000}" name="WATERHEAT" displayName="WATERHEAT" ref="A23:A30" totalsRowShown="0">
  <autoFilter ref="A23:A30" xr:uid="{00000000-0009-0000-0100-00001A000000}"/>
  <tableColumns count="1">
    <tableColumn id="1" xr3:uid="{00000000-0010-0000-2700-000001000000}" name="Water Heating"/>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PROGRAMS" displayName="PROGRAMS" ref="A32:A35" totalsRowShown="0">
  <autoFilter ref="A32:A35" xr:uid="{00000000-0009-0000-0100-00001B000000}"/>
  <tableColumns count="1">
    <tableColumn id="1" xr3:uid="{00000000-0010-0000-2800-000001000000}" name="Program"/>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9000000}" name="INSTALLER" displayName="INSTALLER" ref="A38:A40" totalsRowShown="0">
  <autoFilter ref="A38:A40" xr:uid="{00000000-0009-0000-0100-00001C000000}"/>
  <tableColumns count="1">
    <tableColumn id="1" xr3:uid="{00000000-0010-0000-2900-000001000000}" name="Installer"/>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A000000}" name="PAYMENT" displayName="PAYMENT" ref="O4:Z9" totalsRowShown="0">
  <autoFilter ref="O4:Z9" xr:uid="{00000000-0009-0000-0100-00001D000000}"/>
  <sortState xmlns:xlrd2="http://schemas.microsoft.com/office/spreadsheetml/2017/richdata2" ref="O5:Z9">
    <sortCondition ref="O4:O9"/>
  </sortState>
  <tableColumns count="12">
    <tableColumn id="1" xr3:uid="{00000000-0010-0000-2A00-000001000000}" name="Payment to"/>
    <tableColumn id="2" xr3:uid="{00000000-0010-0000-2A00-000002000000}" name="Company"/>
    <tableColumn id="3" xr3:uid="{00000000-0010-0000-2A00-000003000000}" name="First"/>
    <tableColumn id="4" xr3:uid="{00000000-0010-0000-2A00-000004000000}" name="Last"/>
    <tableColumn id="5" xr3:uid="{00000000-0010-0000-2A00-000005000000}" name="Phone"/>
    <tableColumn id="6" xr3:uid="{00000000-0010-0000-2A00-000006000000}" name="Email"/>
    <tableColumn id="7" xr3:uid="{00000000-0010-0000-2A00-000007000000}" name="Address"/>
    <tableColumn id="8" xr3:uid="{00000000-0010-0000-2A00-000008000000}" name="City"/>
    <tableColumn id="9" xr3:uid="{00000000-0010-0000-2A00-000009000000}" name="State"/>
    <tableColumn id="10" xr3:uid="{00000000-0010-0000-2A00-00000A000000}" name="Zip"/>
    <tableColumn id="11" xr3:uid="{00000000-0010-0000-2A00-00000B000000}" name="Terms"/>
    <tableColumn id="12" xr3:uid="{00000000-0010-0000-2A00-00000C000000}" name="Payment Preference"/>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B000000}" name="TAXENTITY" displayName="TAXENTITY" ref="J47:K52" totalsRowShown="0">
  <autoFilter ref="J47:K52" xr:uid="{00000000-0009-0000-0100-00001E000000}"/>
  <tableColumns count="2">
    <tableColumn id="1" xr3:uid="{00000000-0010-0000-2B00-000001000000}" name="Tax Entity"/>
    <tableColumn id="2" xr3:uid="{00000000-0010-0000-2B00-000002000000}" name="System Text"/>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C000000}" name="ENDUSEALL" displayName="ENDUSEALL" ref="J12:M26" totalsRowShown="0">
  <autoFilter ref="J12:M26" xr:uid="{00000000-0009-0000-0100-000017000000}"/>
  <sortState xmlns:xlrd2="http://schemas.microsoft.com/office/spreadsheetml/2017/richdata2" ref="J13:M25">
    <sortCondition descending="1" ref="M12:M25"/>
  </sortState>
  <tableColumns count="4">
    <tableColumn id="1" xr3:uid="{00000000-0010-0000-2C00-000001000000}" name="End Use to Coincident Peak Demand Factors"/>
    <tableColumn id="2" xr3:uid="{00000000-0010-0000-2C00-000002000000}" name="Factor" dataDxfId="802"/>
    <tableColumn id="3" xr3:uid="{00000000-0010-0000-2C00-000003000000}" name="Extended Factors"/>
    <tableColumn id="4" xr3:uid="{00000000-0010-0000-2C00-000004000000}" name="Inc Rate"/>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D000000}" name="DIVERSITYTYPE" displayName="DIVERSITYTYPE" ref="A54:A61" totalsRowShown="0" headerRowDxfId="801">
  <autoFilter ref="A54:A61" xr:uid="{00000000-0009-0000-0100-00001F000000}"/>
  <tableColumns count="1">
    <tableColumn id="1" xr3:uid="{00000000-0010-0000-2D00-000001000000}" name="Diversity Business Type"/>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E000000}" name="DIVERSITYISSUED" displayName="DIVERSITYISSUED" ref="A65:A69" totalsRowShown="0">
  <autoFilter ref="A65:A69" xr:uid="{00000000-0009-0000-0100-000028000000}"/>
  <tableColumns count="1">
    <tableColumn id="1" xr3:uid="{00000000-0010-0000-2E00-000001000000}" name="Diversity Issued Org"/>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F000000}" name="PROJSTAT" displayName="PROJSTAT" ref="A72:A83" totalsRowShown="0">
  <autoFilter ref="A72:A83" xr:uid="{00000000-0009-0000-0100-000029000000}"/>
  <tableColumns count="1">
    <tableColumn id="1" xr3:uid="{00000000-0010-0000-2F00-000001000000}" name="Project Statu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B000000}" name="PMELIGHTHID" displayName="PMELIGHTHID" ref="AY1:BH14" totalsRowShown="0" headerRowDxfId="1157" dataDxfId="1156" headerRowCellStyle="Normal 2" dataCellStyle="Normal 2">
  <autoFilter ref="AY1:BH14" xr:uid="{00000000-0009-0000-0100-000036000000}"/>
  <tableColumns count="10">
    <tableColumn id="1" xr3:uid="{00000000-0010-0000-0B00-000001000000}" name="Measure Category" dataDxfId="1155" dataCellStyle="Normal 2"/>
    <tableColumn id="2" xr3:uid="{00000000-0010-0000-0B00-000002000000}" name="Measure Validator" dataDxfId="1154" dataCellStyle="Normal 2"/>
    <tableColumn id="3" xr3:uid="{00000000-0010-0000-0B00-000003000000}" name="Measure #" dataDxfId="1153" dataCellStyle="Normal 2"/>
    <tableColumn id="4" xr3:uid="{00000000-0010-0000-0B00-000004000000}" name="Inc Rate Unit" dataDxfId="1152" dataCellStyle="Normal 2"/>
    <tableColumn id="5" xr3:uid="{00000000-0010-0000-0B00-000005000000}" name="Base Watt 1" dataDxfId="1151" dataCellStyle="Normal 2"/>
    <tableColumn id="6" xr3:uid="{00000000-0010-0000-0B00-000006000000}" name="Base Watt 2" dataDxfId="1150" dataCellStyle="Normal 2"/>
    <tableColumn id="8" xr3:uid="{00000000-0010-0000-0B00-000008000000}" name="Eff Watt 1" dataDxfId="1149" dataCellStyle="Normal 2"/>
    <tableColumn id="9" xr3:uid="{00000000-0010-0000-0B00-000009000000}" name="Op Hr 1" dataDxfId="1148" dataCellStyle="Normal 2"/>
    <tableColumn id="10" xr3:uid="{00000000-0010-0000-0B00-00000A000000}" name="Op Hr 2" dataDxfId="1147" dataCellStyle="Normal 2"/>
    <tableColumn id="11" xr3:uid="{00000000-0010-0000-0B00-00000B000000}" name="End Use Category" dataDxfId="1146" dataCellStyle="Normal 2"/>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0000000}" name="SPILLOVER" displayName="SPILLOVER" ref="J28:K37" totalsRowShown="0">
  <autoFilter ref="J28:K37" xr:uid="{00000000-0009-0000-0100-00002A000000}"/>
  <tableColumns count="2">
    <tableColumn id="1" xr3:uid="{00000000-0010-0000-3000-000001000000}" name="Spillover Text"/>
    <tableColumn id="2" xr3:uid="{00000000-0010-0000-3000-000002000000}" name="Spillover Reaso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1000000}" name="RATECLASS" displayName="RATECLASS" ref="J39:K45" totalsRowShown="0">
  <autoFilter ref="J39:K45" xr:uid="{00000000-0009-0000-0100-00002B000000}"/>
  <tableColumns count="2">
    <tableColumn id="1" xr3:uid="{00000000-0010-0000-3100-000001000000}" name="Rate Schedules"/>
    <tableColumn id="2" xr3:uid="{00000000-0010-0000-3100-000002000000}" name="Rate"/>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2000000}" name="IMPLSPEC" displayName="IMPLSPEC" ref="A43:A48" totalsRowShown="0">
  <autoFilter ref="A43:A48" xr:uid="{00000000-0009-0000-0100-00002C000000}"/>
  <tableColumns count="1">
    <tableColumn id="1" xr3:uid="{00000000-0010-0000-3200-000001000000}" name="Impl. Specialist"/>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BUSDEVEL" displayName="BUSDEVEL" ref="A85:C91" totalsRowShown="0">
  <autoFilter ref="A85:C91" xr:uid="{00000000-0009-0000-0100-00002E000000}"/>
  <tableColumns count="3">
    <tableColumn id="1" xr3:uid="{00000000-0010-0000-3300-000001000000}" name="Business Development Lead"/>
    <tableColumn id="2" xr3:uid="{00000000-0010-0000-3300-000002000000}" name="Phone"/>
    <tableColumn id="3" xr3:uid="{00000000-0010-0000-3300-000003000000}" name="Email"/>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4000000}" name="ENGNRS" displayName="ENGNRS" ref="A94:A105" totalsRowShown="0">
  <autoFilter ref="A94:A105" xr:uid="{00000000-0009-0000-0100-00002F000000}"/>
  <tableColumns count="1">
    <tableColumn id="1" xr3:uid="{00000000-0010-0000-3400-000001000000}" name="Engineers"/>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LGHTSCHED" displayName="LGHTSCHED" ref="A113:A116" totalsRowShown="0">
  <autoFilter ref="A113:A116" xr:uid="{00000000-0009-0000-0100-000031000000}"/>
  <tableColumns count="1">
    <tableColumn id="1" xr3:uid="{00000000-0010-0000-3500-000001000000}" name="Lighting Schedul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6000000}" name="HVACUSES" displayName="HVACUSES" ref="J55:J59" totalsRowShown="0">
  <autoFilter ref="J55:J59" xr:uid="{00000000-0009-0000-0100-000030000000}"/>
  <tableColumns count="1">
    <tableColumn id="1" xr3:uid="{00000000-0010-0000-3600-000001000000}" name="HVAC Uses"/>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7000000}" name="LINEARUPG" displayName="LINEARUPG" ref="E70:F72" totalsRowShown="0">
  <autoFilter ref="E70:F72" xr:uid="{00000000-0009-0000-0100-000032000000}"/>
  <tableColumns count="2">
    <tableColumn id="1" xr3:uid="{00000000-0010-0000-3700-000001000000}" name="Upgrade Only"/>
    <tableColumn id="2" xr3:uid="{00000000-0010-0000-3700-000002000000}" name="Fixture Delamp"/>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8000000}" name="PMELINUPG" displayName="PMELINUPG" ref="E75:F81" totalsRowShown="0" headerRowDxfId="800" dataDxfId="799">
  <autoFilter ref="E75:F81" xr:uid="{00000000-0009-0000-0100-000033000000}"/>
  <tableColumns count="2">
    <tableColumn id="1" xr3:uid="{00000000-0010-0000-3800-000001000000}" name="Replace Lamps" dataDxfId="798"/>
    <tableColumn id="2" xr3:uid="{00000000-0010-0000-3800-000002000000}" name="Replace Fixture" dataDxfId="797"/>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496AE4A-25F1-4417-9B58-5EF549A8BFD1}" name="TAPAY" displayName="TAPAY" ref="O12:Q16" totalsRowShown="0">
  <autoFilter ref="O12:Q16" xr:uid="{77E62497-A44D-415B-8295-98A99C2CB3C9}"/>
  <tableColumns count="3">
    <tableColumn id="1" xr3:uid="{D8CEA847-BE42-49C8-A7E2-0D630DB6FD83}" name="Yes - Approved Trade Ally"/>
    <tableColumn id="2" xr3:uid="{8F49A71C-3BF9-4E74-9DCE-759738B1946C}" name="Yes - Independent Vendor"/>
    <tableColumn id="3" xr3:uid="{2A6629A6-5DD7-4BC0-8027-348EB649D674}" name="No"/>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C000000}" name="BASEHID" displayName="BASEHID" ref="AY16:BB26" totalsRowShown="0" headerRowDxfId="1145" dataDxfId="1144" headerRowCellStyle="Normal 2" dataCellStyle="Normal 2">
  <autoFilter ref="AY16:BB26" xr:uid="{00000000-0009-0000-0100-000038000000}"/>
  <tableColumns count="4">
    <tableColumn id="1" xr3:uid="{00000000-0010-0000-0C00-000001000000}" name="Metal Halide" dataDxfId="1143" dataCellStyle="Normal 2"/>
    <tableColumn id="4" xr3:uid="{00000000-0010-0000-0C00-000004000000}" name="Pulse Start Metal Halide" dataDxfId="1142" dataCellStyle="Normal 2"/>
    <tableColumn id="2" xr3:uid="{00000000-0010-0000-0C00-000002000000}" name="Mercury Vapor" dataDxfId="1141" dataCellStyle="Normal 2"/>
    <tableColumn id="3" xr3:uid="{00000000-0010-0000-0C00-000003000000}" name="High Pressure Sodium" dataDxfId="1140" dataCellStyle="Normal 2"/>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67C3438-44A5-4BEA-A5FC-5C99BFCDC316}" name="MARKETING" displayName="MARKETING" ref="E83:E98" totalsRowShown="0">
  <autoFilter ref="E83:E98" xr:uid="{89CF02D2-CA53-4A60-ADA8-A7FBE592E07E}"/>
  <tableColumns count="1">
    <tableColumn id="1" xr3:uid="{417F06C3-D238-420E-957B-CF2A0A225928}" name="Marketing"/>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94E08839-E307-408B-B36C-A2909262CE4C}" name="NCLPD" displayName="NCLPD" ref="O31:AB64" totalsRowShown="0">
  <autoFilter ref="O31:AB64" xr:uid="{94E08839-E307-408B-B36C-A2909262CE4C}"/>
  <tableColumns count="14">
    <tableColumn id="1" xr3:uid="{8597B6FE-8619-408C-9F81-CD4518E41501}" name="Building Area Type"/>
    <tableColumn id="14" xr3:uid="{2D620FAF-AECC-4DFE-8C23-6356131A01FC}" name="IECC 2021"/>
    <tableColumn id="12" xr3:uid="{CAD8DCAB-7D94-4534-9B77-D51F1509593B}" name="IECC 2018"/>
    <tableColumn id="10" xr3:uid="{D542F140-26D3-4F77-A58B-C0818870E1F3}" name="ASHRAE 90.1 2016"/>
    <tableColumn id="11" xr3:uid="{029664BA-208A-4205-A0D3-AEE14B8151B4}" name="IECC 2015"/>
    <tableColumn id="2" xr3:uid="{C6DDD52C-B302-42E0-8B56-579A67AD49DE}" name="ASHRAE 90.1 2013" dataDxfId="796"/>
    <tableColumn id="6" xr3:uid="{1812F8A3-A03E-40D8-A052-6CD6810F4089}" name="IECC 2012" dataDxfId="795"/>
    <tableColumn id="3" xr3:uid="{7E02D24F-D5EC-43A6-9C82-254BFE070E7E}" name="ASHRAE 90.1 2010"/>
    <tableColumn id="5" xr3:uid="{7AF20A45-E956-42EE-8DFB-7FCC298B17B5}" name="IECC 2009"/>
    <tableColumn id="4" xr3:uid="{C0033CCF-3AA3-4E22-AEC0-8DB91AB79E39}" name="ASHRAE 90.1 2007"/>
    <tableColumn id="7" xr3:uid="{7E913AC8-62BC-4CC4-89EA-27177D53C3BB}" name="Completed Design"/>
    <tableColumn id="8" xr3:uid="{9BF645CE-87C2-4CBA-AD9D-5941A7840345}" name="Local Energy/Building Code"/>
    <tableColumn id="9" xr3:uid="{AA12C41C-3F64-4B11-A106-F815DFEBF9FA}" name="Legal/Contractual Requirement"/>
    <tableColumn id="13" xr3:uid="{A873E321-DE53-4F2C-AE17-57504D7B4DF9}" name="Provisional Efficiency"/>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9B0402A-BDAD-452E-AA52-9B5A76EDD4E5}" name="PRELIM" displayName="PRELIM" ref="O67:V83" totalsRowShown="0">
  <autoFilter ref="O67:V83" xr:uid="{C9B0402A-BDAD-452E-AA52-9B5A76EDD4E5}"/>
  <tableColumns count="8">
    <tableColumn id="1" xr3:uid="{30FD9546-0F93-4627-9BD4-6298B90F88AA}" name="Building Type"/>
    <tableColumn id="8" xr3:uid="{633871EC-06EE-4E2F-8391-8103E45A5E15}" name="IECC 2021"/>
    <tableColumn id="2" xr3:uid="{5C03B0BD-BAEF-465F-AF0D-A6720A21A7D9}" name="IECC 2018" dataDxfId="794"/>
    <tableColumn id="3" xr3:uid="{D48AAE25-CEB0-4607-919B-4CCCD27D621C}" name="ASHRAE 90.1 2016" dataDxfId="793"/>
    <tableColumn id="4" xr3:uid="{BFC7F084-1C35-4DE4-BBD7-999951ABFB06}" name="IECC 2015" dataDxfId="792"/>
    <tableColumn id="5" xr3:uid="{7BCC0AAB-719C-4A39-88D1-B746CD2B8A5D}" name="ASHRAE 90.1 2013" dataDxfId="791"/>
    <tableColumn id="6" xr3:uid="{6C581127-E9E2-4134-9CD1-A1ABCCFC3A5B}" name="IECC 2012" dataDxfId="790"/>
    <tableColumn id="7" xr3:uid="{927519DF-0E9F-41E2-B7D0-F1E6BB81627A}" name="Provisional Efficiency" dataDxfId="789"/>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D000000}" name="BASEHIDBALLAST" displayName="BASEHIDBALLAST" ref="AY29:BJ43" totalsRowShown="0" headerRowCellStyle="Normal 2" dataCellStyle="Normal 2">
  <autoFilter ref="AY29:BJ43" xr:uid="{00000000-0009-0000-0100-00003E000000}"/>
  <tableColumns count="12">
    <tableColumn id="1" xr3:uid="{00000000-0010-0000-0D00-000001000000}" name="Metal Halide Nominal" dataCellStyle="Normal 2"/>
    <tableColumn id="2" xr3:uid="{00000000-0010-0000-0D00-000002000000}" name="Metal Halide Ballast" dataCellStyle="Normal 2"/>
    <tableColumn id="9" xr3:uid="{00000000-0010-0000-0D00-000009000000}" name="MH Source" dataCellStyle="Normal 2"/>
    <tableColumn id="3" xr3:uid="{00000000-0010-0000-0D00-000003000000}" name="Pulse Start Metal Halide Nominal" dataCellStyle="Normal 2"/>
    <tableColumn id="4" xr3:uid="{00000000-0010-0000-0D00-000004000000}" name="Pulse Start Metal Halide Ballast" dataCellStyle="Normal 2"/>
    <tableColumn id="10" xr3:uid="{00000000-0010-0000-0D00-00000A000000}" name="PS MH Source" dataCellStyle="Normal 2"/>
    <tableColumn id="5" xr3:uid="{00000000-0010-0000-0D00-000005000000}" name="Mercury Vapor Nominal" dataCellStyle="Normal 2"/>
    <tableColumn id="6" xr3:uid="{00000000-0010-0000-0D00-000006000000}" name="Mercury Vapor Ballast" dataCellStyle="Normal 2"/>
    <tableColumn id="11" xr3:uid="{00000000-0010-0000-0D00-00000B000000}" name="MV Source" dataCellStyle="Normal 2"/>
    <tableColumn id="7" xr3:uid="{00000000-0010-0000-0D00-000007000000}" name="High Pressure Sodium Nominal" dataCellStyle="Normal 2"/>
    <tableColumn id="8" xr3:uid="{00000000-0010-0000-0D00-000008000000}" name="High Pressure Sodium Ballast" dataCellStyle="Normal 2"/>
    <tableColumn id="12" xr3:uid="{00000000-0010-0000-0D00-00000C000000}" name="HPS Source"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E000000}" name="PMELIGHTINCAN" displayName="PMELIGHTINCAN" ref="BL1:BV15" totalsRowShown="0" headerRowDxfId="1139" dataDxfId="1138" headerRowCellStyle="Normal 2" dataCellStyle="Normal 2">
  <autoFilter ref="BL1:BV15" xr:uid="{00000000-0009-0000-0100-000034000000}"/>
  <tableColumns count="11">
    <tableColumn id="1" xr3:uid="{00000000-0010-0000-0E00-000001000000}" name="Measure Category" dataDxfId="1137" dataCellStyle="Normal 2"/>
    <tableColumn id="2" xr3:uid="{00000000-0010-0000-0E00-000002000000}" name="Measure Validator" dataDxfId="1136" dataCellStyle="Normal 2"/>
    <tableColumn id="3" xr3:uid="{00000000-0010-0000-0E00-000003000000}" name="Measure #" dataDxfId="1135" dataCellStyle="Normal 2"/>
    <tableColumn id="4" xr3:uid="{00000000-0010-0000-0E00-000004000000}" name="Inc Rate Unit" dataDxfId="1134" dataCellStyle="Normal 2"/>
    <tableColumn id="5" xr3:uid="{00000000-0010-0000-0E00-000005000000}" name="Base Watt 1" dataDxfId="1133" dataCellStyle="Normal 2"/>
    <tableColumn id="6" xr3:uid="{00000000-0010-0000-0E00-000006000000}" name="Base Watt 2" dataDxfId="1132" dataCellStyle="Normal 2"/>
    <tableColumn id="7" xr3:uid="{00000000-0010-0000-0E00-000007000000}" name="Ballast Factor" dataDxfId="1131" dataCellStyle="Normal 2"/>
    <tableColumn id="8" xr3:uid="{00000000-0010-0000-0E00-000008000000}" name="Eff Watt 1" dataDxfId="1130" dataCellStyle="Normal 2"/>
    <tableColumn id="9" xr3:uid="{00000000-0010-0000-0E00-000009000000}" name="Op Hr 1" dataDxfId="1129" dataCellStyle="Normal 2"/>
    <tableColumn id="10" xr3:uid="{00000000-0010-0000-0E00-00000A000000}" name="Op Hr 2" dataDxfId="1128" dataCellStyle="Normal 2"/>
    <tableColumn id="11" xr3:uid="{00000000-0010-0000-0E00-00000B000000}" name="End Use Category" dataDxfId="1127"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F000000}" name="BASEINCAND" displayName="BASEINCAND" ref="BN22:BN24" totalsRowShown="0" headerRowCellStyle="Normal 2" dataCellStyle="Normal 2">
  <autoFilter ref="BN22:BN24" xr:uid="{00000000-0009-0000-0100-000035000000}"/>
  <tableColumns count="1">
    <tableColumn id="3" xr3:uid="{00000000-0010-0000-0F00-000003000000}" name="Exit Sign"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 Id="rId5" Type="http://schemas.openxmlformats.org/officeDocument/2006/relationships/ctrlProp" Target="../ctrlProps/ctrlProp1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vmlDrawing" Target="../drawings/vmlDrawing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8" Type="http://schemas.openxmlformats.org/officeDocument/2006/relationships/table" Target="../tables/table31.xml"/><Relationship Id="rId13" Type="http://schemas.openxmlformats.org/officeDocument/2006/relationships/table" Target="../tables/table36.xml"/><Relationship Id="rId3" Type="http://schemas.openxmlformats.org/officeDocument/2006/relationships/table" Target="../tables/table26.xml"/><Relationship Id="rId7" Type="http://schemas.openxmlformats.org/officeDocument/2006/relationships/table" Target="../tables/table30.xml"/><Relationship Id="rId12" Type="http://schemas.openxmlformats.org/officeDocument/2006/relationships/table" Target="../tables/table35.xml"/><Relationship Id="rId2" Type="http://schemas.openxmlformats.org/officeDocument/2006/relationships/table" Target="../tables/table25.xml"/><Relationship Id="rId1" Type="http://schemas.openxmlformats.org/officeDocument/2006/relationships/printerSettings" Target="../printerSettings/printerSettings3.bin"/><Relationship Id="rId6" Type="http://schemas.openxmlformats.org/officeDocument/2006/relationships/table" Target="../tables/table29.xml"/><Relationship Id="rId11" Type="http://schemas.openxmlformats.org/officeDocument/2006/relationships/table" Target="../tables/table34.xml"/><Relationship Id="rId5" Type="http://schemas.openxmlformats.org/officeDocument/2006/relationships/table" Target="../tables/table28.xml"/><Relationship Id="rId10" Type="http://schemas.openxmlformats.org/officeDocument/2006/relationships/table" Target="../tables/table33.xml"/><Relationship Id="rId4" Type="http://schemas.openxmlformats.org/officeDocument/2006/relationships/table" Target="../tables/table27.xml"/><Relationship Id="rId9" Type="http://schemas.openxmlformats.org/officeDocument/2006/relationships/table" Target="../tables/table3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eia.gov/tools/faqs/faq.php?id=74&amp;t=11" TargetMode="External"/><Relationship Id="rId1" Type="http://schemas.openxmlformats.org/officeDocument/2006/relationships/hyperlink" Target="mailto:NIPSCO.Savings@LMCO.com" TargetMode="External"/><Relationship Id="rId4"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0.bin"/><Relationship Id="rId1" Type="http://schemas.openxmlformats.org/officeDocument/2006/relationships/hyperlink" Target="mailto:NIPSCO.Savings@LMCO.com"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BizSavers@ameren.com" TargetMode="External"/><Relationship Id="rId1" Type="http://schemas.openxmlformats.org/officeDocument/2006/relationships/hyperlink" Target="mailto:NIPSCO.Savings@LMCO.com" TargetMode="External"/><Relationship Id="rId4"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mailto:NIPSCO.Savings@LMCO.com" TargetMode="Externa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drawing" Target="../drawings/drawing38.xml"/><Relationship Id="rId7" Type="http://schemas.openxmlformats.org/officeDocument/2006/relationships/ctrlProp" Target="../ctrlProps/ctrlProp20.xml"/><Relationship Id="rId2" Type="http://schemas.openxmlformats.org/officeDocument/2006/relationships/printerSettings" Target="../printerSettings/printerSettings43.bin"/><Relationship Id="rId1" Type="http://schemas.openxmlformats.org/officeDocument/2006/relationships/hyperlink" Target="mailto:NIPSCO.Savings@LMCO.com" TargetMode="Externa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vmlDrawing" Target="../drawings/vmlDrawing6.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4.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26" Type="http://schemas.openxmlformats.org/officeDocument/2006/relationships/table" Target="../tables/table62.xml"/><Relationship Id="rId3" Type="http://schemas.openxmlformats.org/officeDocument/2006/relationships/table" Target="../tables/table39.xml"/><Relationship Id="rId21" Type="http://schemas.openxmlformats.org/officeDocument/2006/relationships/table" Target="../tables/table57.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5" Type="http://schemas.openxmlformats.org/officeDocument/2006/relationships/table" Target="../tables/table61.xml"/><Relationship Id="rId2" Type="http://schemas.openxmlformats.org/officeDocument/2006/relationships/table" Target="../tables/table38.xml"/><Relationship Id="rId16" Type="http://schemas.openxmlformats.org/officeDocument/2006/relationships/table" Target="../tables/table52.xml"/><Relationship Id="rId20" Type="http://schemas.openxmlformats.org/officeDocument/2006/relationships/table" Target="../tables/table56.xml"/><Relationship Id="rId1" Type="http://schemas.openxmlformats.org/officeDocument/2006/relationships/printerSettings" Target="../printerSettings/printerSettings5.bin"/><Relationship Id="rId6" Type="http://schemas.openxmlformats.org/officeDocument/2006/relationships/table" Target="../tables/table42.xml"/><Relationship Id="rId11" Type="http://schemas.openxmlformats.org/officeDocument/2006/relationships/table" Target="../tables/table47.xml"/><Relationship Id="rId24" Type="http://schemas.openxmlformats.org/officeDocument/2006/relationships/table" Target="../tables/table60.xml"/><Relationship Id="rId5" Type="http://schemas.openxmlformats.org/officeDocument/2006/relationships/table" Target="../tables/table41.xml"/><Relationship Id="rId15" Type="http://schemas.openxmlformats.org/officeDocument/2006/relationships/table" Target="../tables/table51.xml"/><Relationship Id="rId23" Type="http://schemas.openxmlformats.org/officeDocument/2006/relationships/table" Target="../tables/table59.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 Id="rId22" Type="http://schemas.openxmlformats.org/officeDocument/2006/relationships/table" Target="../tables/table5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mailto:BizSavers@ameren.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NIPSCO.Savings@LMC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D219"/>
  <sheetViews>
    <sheetView topLeftCell="A3" zoomScaleNormal="100" workbookViewId="0">
      <pane xSplit="2" topLeftCell="C1" activePane="topRight" state="frozen"/>
      <selection pane="topRight" activeCell="C73" sqref="C73"/>
    </sheetView>
  </sheetViews>
  <sheetFormatPr defaultColWidth="0" defaultRowHeight="15" x14ac:dyDescent="0.25"/>
  <cols>
    <col min="1" max="1" width="24.140625" customWidth="1"/>
    <col min="2" max="2" width="29.85546875" customWidth="1"/>
    <col min="3" max="4" width="9.140625" customWidth="1"/>
    <col min="5" max="5" width="40.7109375" customWidth="1"/>
    <col min="6" max="6" width="19" customWidth="1"/>
    <col min="7" max="8" width="15.7109375" customWidth="1"/>
    <col min="9" max="9" width="33.7109375" bestFit="1" customWidth="1"/>
    <col min="10" max="10" width="17.85546875" bestFit="1" customWidth="1"/>
    <col min="11" max="11" width="17" bestFit="1" customWidth="1"/>
    <col min="12" max="12" width="15.7109375" customWidth="1"/>
    <col min="13" max="13" width="16.7109375" bestFit="1" customWidth="1"/>
    <col min="14" max="14" width="19.140625" bestFit="1" customWidth="1"/>
    <col min="15" max="17" width="16.7109375" customWidth="1"/>
    <col min="18" max="18" width="11.28515625" bestFit="1" customWidth="1"/>
    <col min="19" max="20" width="9.140625" customWidth="1"/>
    <col min="21" max="29" width="9.140625" hidden="1" customWidth="1"/>
    <col min="30" max="30" width="0" hidden="1" customWidth="1"/>
    <col min="31" max="16384" width="9.140625" hidden="1"/>
  </cols>
  <sheetData>
    <row r="1" spans="1:6" x14ac:dyDescent="0.25">
      <c r="A1" s="10" t="s">
        <v>67</v>
      </c>
      <c r="B1" s="1" t="str">
        <f>VERSION</f>
        <v>Custom and Standard v8.1.0</v>
      </c>
      <c r="E1" s="43" t="s">
        <v>224</v>
      </c>
      <c r="F1" s="38">
        <f>IF(G56=0,0,G56)</f>
        <v>0</v>
      </c>
    </row>
    <row r="2" spans="1:6" ht="15" customHeight="1" x14ac:dyDescent="0.25">
      <c r="A2" s="10" t="s">
        <v>0</v>
      </c>
      <c r="B2" s="1" t="s">
        <v>550</v>
      </c>
      <c r="E2" s="43" t="s">
        <v>450</v>
      </c>
      <c r="F2" s="38"/>
    </row>
    <row r="3" spans="1:6" ht="15" customHeight="1" x14ac:dyDescent="0.25">
      <c r="A3" s="10" t="s">
        <v>1</v>
      </c>
      <c r="B3" s="1" t="s">
        <v>1175</v>
      </c>
      <c r="E3" s="43" t="s">
        <v>225</v>
      </c>
      <c r="F3" s="38" t="str">
        <f>IF(INCENTOTAL=0,"---",IF(AND(INCENTOTAL&gt;0,INCENTOTAL&lt;150),"---",IF(AND(M02S02F44="Yes",J55&gt;15000),15000,INCENTOTAL)))</f>
        <v>---</v>
      </c>
    </row>
    <row r="4" spans="1:6" ht="15" customHeight="1" x14ac:dyDescent="0.25">
      <c r="E4" s="43" t="s">
        <v>449</v>
      </c>
      <c r="F4" s="38" t="str">
        <f ca="1">IF(AND(EXPIRATION&lt;&gt;"",NOT(ISNUMBER(SEARCH("DAYS",EXPIRATION)))),PROJSTATEXP,IF(AND(OR(A72&lt;D72,A83&lt;D83,A140&lt;D140,A182&lt;D182),M02S02F49="Yes",PROJID=""),PROJSTATNCINIT,IF(AND(A72&gt;=D72,A83&gt;=D83,A140&gt;=D140,A182&gt;=D182,M02S02F49="Yes",PROJID=""),PROSTATNCSUBMIT,IF(PROJID&lt;&gt;"",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
IF(INCENTOTAL=0,PROJSTATMEASURE,IF(AND(INCENTOTAL&gt;0,INCENTOTAL&lt;150),PROJSTATUNDER,IF(ENGSIGNDATE&lt;&gt;"",PROJSTATREVIEW,IF(AND(SUM(J55)&gt;0,SUM(J55)&lt;15000,SUM(INCENTOTALPA)=0,M02S02F44="Yes"),PROJSTATSTANDARD,IF(AND(SUM(J55)&gt;15000,M02S02F44="No"),PROJSTATPREAPPROVE,IF(AND(SUM(J55)&gt;15000,M02S02F44="Yes"),PROJSTATBOUGHT,PROJSTATPREAPPROVE))))))))))</f>
        <v>Enter Measures</v>
      </c>
    </row>
    <row r="5" spans="1:6" x14ac:dyDescent="0.25">
      <c r="E5" s="43" t="s">
        <v>463</v>
      </c>
      <c r="F5" s="42">
        <f ca="1">SUM(A72,A83,A140,A182,A208,A216)/SUM(D72,D83,D140,D182,D208,D216)</f>
        <v>0</v>
      </c>
    </row>
    <row r="6" spans="1:6" x14ac:dyDescent="0.25">
      <c r="A6" s="2" t="s">
        <v>2</v>
      </c>
      <c r="B6" s="3" t="s">
        <v>3</v>
      </c>
      <c r="E6" s="43" t="s">
        <v>1841</v>
      </c>
      <c r="F6" s="42">
        <f>IF(AND(M02S02F44="Yes",INCENTOTAL&gt;15000),((15000/INCENTOTAL)), 1)</f>
        <v>1</v>
      </c>
    </row>
    <row r="7" spans="1:6" x14ac:dyDescent="0.25">
      <c r="A7" s="4" t="s">
        <v>36</v>
      </c>
      <c r="B7" s="5" t="s">
        <v>71</v>
      </c>
      <c r="E7" s="513" t="s">
        <v>2114</v>
      </c>
      <c r="F7" s="33">
        <v>1</v>
      </c>
    </row>
    <row r="8" spans="1:6" x14ac:dyDescent="0.25">
      <c r="A8" s="6" t="s">
        <v>4</v>
      </c>
      <c r="B8" s="7" t="s">
        <v>569</v>
      </c>
      <c r="E8" s="513"/>
    </row>
    <row r="9" spans="1:6" x14ac:dyDescent="0.25">
      <c r="A9" s="6" t="s">
        <v>5</v>
      </c>
      <c r="B9" s="7" t="s">
        <v>867</v>
      </c>
    </row>
    <row r="10" spans="1:6" x14ac:dyDescent="0.25">
      <c r="A10" s="6" t="s">
        <v>6</v>
      </c>
      <c r="B10" s="7" t="s">
        <v>938</v>
      </c>
    </row>
    <row r="11" spans="1:6" x14ac:dyDescent="0.25">
      <c r="A11" s="6" t="s">
        <v>7</v>
      </c>
      <c r="B11" s="7" t="s">
        <v>1896</v>
      </c>
    </row>
    <row r="12" spans="1:6" x14ac:dyDescent="0.25">
      <c r="A12" s="6" t="s">
        <v>8</v>
      </c>
      <c r="B12" s="7" t="s">
        <v>868</v>
      </c>
    </row>
    <row r="13" spans="1:6" x14ac:dyDescent="0.25">
      <c r="A13" s="6" t="s">
        <v>9</v>
      </c>
      <c r="B13" s="7" t="s">
        <v>9</v>
      </c>
    </row>
    <row r="14" spans="1:6" x14ac:dyDescent="0.25">
      <c r="A14" s="6" t="s">
        <v>10</v>
      </c>
      <c r="B14" s="7" t="s">
        <v>10</v>
      </c>
      <c r="E14" t="s">
        <v>1555</v>
      </c>
    </row>
    <row r="15" spans="1:6" x14ac:dyDescent="0.25">
      <c r="A15" s="8" t="s">
        <v>11</v>
      </c>
      <c r="B15" s="9" t="s">
        <v>11</v>
      </c>
    </row>
    <row r="16" spans="1:6" x14ac:dyDescent="0.25">
      <c r="A16" s="4" t="s">
        <v>37</v>
      </c>
      <c r="B16" s="5" t="s">
        <v>72</v>
      </c>
    </row>
    <row r="17" spans="1:17" x14ac:dyDescent="0.25">
      <c r="A17" s="6" t="s">
        <v>12</v>
      </c>
      <c r="B17" s="7" t="s">
        <v>1942</v>
      </c>
    </row>
    <row r="18" spans="1:17" x14ac:dyDescent="0.25">
      <c r="A18" s="6" t="s">
        <v>13</v>
      </c>
      <c r="B18" s="7" t="s">
        <v>115</v>
      </c>
    </row>
    <row r="19" spans="1:17" x14ac:dyDescent="0.25">
      <c r="A19" s="6" t="s">
        <v>14</v>
      </c>
      <c r="B19" s="7" t="s">
        <v>1077</v>
      </c>
    </row>
    <row r="20" spans="1:17" x14ac:dyDescent="0.25">
      <c r="A20" s="6" t="s">
        <v>15</v>
      </c>
      <c r="B20" s="7" t="s">
        <v>2245</v>
      </c>
    </row>
    <row r="21" spans="1:17" x14ac:dyDescent="0.25">
      <c r="A21" s="6" t="s">
        <v>16</v>
      </c>
      <c r="B21" s="29" t="s">
        <v>1944</v>
      </c>
    </row>
    <row r="22" spans="1:17" x14ac:dyDescent="0.25">
      <c r="A22" s="6" t="s">
        <v>17</v>
      </c>
      <c r="B22" s="7" t="s">
        <v>17</v>
      </c>
    </row>
    <row r="23" spans="1:17" x14ac:dyDescent="0.25">
      <c r="A23" s="6" t="s">
        <v>18</v>
      </c>
      <c r="B23" s="7" t="s">
        <v>18</v>
      </c>
    </row>
    <row r="24" spans="1:17" x14ac:dyDescent="0.25">
      <c r="A24" s="8" t="s">
        <v>19</v>
      </c>
      <c r="B24" s="9" t="s">
        <v>19</v>
      </c>
      <c r="J24" s="288"/>
      <c r="K24" s="288"/>
      <c r="L24" s="288"/>
      <c r="M24" s="288"/>
      <c r="N24" s="288"/>
      <c r="O24" s="288"/>
      <c r="P24" s="288"/>
      <c r="Q24" s="288"/>
    </row>
    <row r="25" spans="1:17" x14ac:dyDescent="0.25">
      <c r="A25" s="4" t="s">
        <v>62</v>
      </c>
      <c r="B25" s="5" t="s">
        <v>1698</v>
      </c>
      <c r="E25" s="40" t="str">
        <f>MAIN3</f>
        <v>LIGHTING MEASURES</v>
      </c>
      <c r="F25" s="40" t="s">
        <v>1419</v>
      </c>
      <c r="G25" s="40" t="s">
        <v>1556</v>
      </c>
      <c r="H25" s="40" t="s">
        <v>1557</v>
      </c>
      <c r="I25" s="40" t="s">
        <v>1278</v>
      </c>
      <c r="J25" s="503" t="s">
        <v>2008</v>
      </c>
      <c r="K25" s="503" t="s">
        <v>1275</v>
      </c>
      <c r="L25" s="503" t="s">
        <v>1276</v>
      </c>
      <c r="M25" s="503" t="s">
        <v>1277</v>
      </c>
      <c r="N25" s="503" t="s">
        <v>2040</v>
      </c>
      <c r="O25" s="503" t="s">
        <v>2038</v>
      </c>
      <c r="P25" s="503" t="s">
        <v>2039</v>
      </c>
      <c r="Q25" s="503" t="s">
        <v>2009</v>
      </c>
    </row>
    <row r="26" spans="1:17" x14ac:dyDescent="0.25">
      <c r="A26" s="6" t="s">
        <v>20</v>
      </c>
      <c r="B26" s="7" t="s">
        <v>2373</v>
      </c>
      <c r="E26" s="55" t="str">
        <f>M3S1</f>
        <v>Interior Linear-LED or Redesign</v>
      </c>
      <c r="F26" s="500">
        <f>SUM('M03-S01'!AW22:AW199)</f>
        <v>0</v>
      </c>
      <c r="G26" s="500">
        <f>'M03-S01'!Z12</f>
        <v>0</v>
      </c>
      <c r="H26" s="501">
        <f>'M03-S01'!AV200</f>
        <v>0</v>
      </c>
      <c r="I26" s="502">
        <f>'M03-S01'!V12</f>
        <v>0</v>
      </c>
      <c r="J26" s="502">
        <f>SUM('M03-S01'!BK200:BK201)</f>
        <v>0</v>
      </c>
      <c r="K26" s="500">
        <f>SUMIF('M03-S01'!AO22:AQ199,"&gt;0",'M03-S01'!AL22:AN199)</f>
        <v>0</v>
      </c>
      <c r="L26" s="501">
        <f ca="1">SUMIF('M03-S01'!AO22:AQ199,"&gt;0",'M03-S01'!AV22:AV199)</f>
        <v>0</v>
      </c>
      <c r="M26" s="502">
        <f ca="1">SUMIF('M03-S01'!AO22:AQ199,"&gt;0",'M03-S01'!AU22:AU199)</f>
        <v>0</v>
      </c>
      <c r="N26" s="502">
        <f>SUM('M03-S01'!BI200:BI201)</f>
        <v>0</v>
      </c>
      <c r="O26" s="502">
        <f>SUM('M03-S01'!BJ200:BJ201)</f>
        <v>0</v>
      </c>
      <c r="P26" s="502">
        <f>SUM('M03-S01'!BJ200:BJ201)</f>
        <v>0</v>
      </c>
      <c r="Q26" s="502">
        <f ca="1">SUMIF('M03-S01'!AO22:AQ199,"&gt;0",'M03-S01'!AU22:AU199)</f>
        <v>0</v>
      </c>
    </row>
    <row r="27" spans="1:17" x14ac:dyDescent="0.25">
      <c r="A27" s="6" t="s">
        <v>21</v>
      </c>
      <c r="B27" s="7" t="s">
        <v>1700</v>
      </c>
      <c r="E27" s="55" t="str">
        <f>M3S2</f>
        <v>Interior Fast Track Linear-LED</v>
      </c>
      <c r="F27" s="500">
        <f>SUM('M03-S02'!AW18:AW199)</f>
        <v>0</v>
      </c>
      <c r="G27" s="500">
        <f>'M03-S02'!Z12</f>
        <v>0</v>
      </c>
      <c r="H27" s="501">
        <f>'M03-S02'!AV200</f>
        <v>0</v>
      </c>
      <c r="I27" s="502">
        <f>'M03-S02'!V12</f>
        <v>0</v>
      </c>
      <c r="J27" s="502">
        <f>SUM('M03-S02'!BL200:BL201)</f>
        <v>0</v>
      </c>
      <c r="K27" s="500">
        <f>SUMIF('M03-S02'!AO18:AQ199,"&gt;0",'M03-S02'!AL18:AN199)</f>
        <v>0</v>
      </c>
      <c r="L27" s="501">
        <f ca="1">SUMIF('M03-S02'!AO18:AQ199,"&gt;0",'M03-S02'!AV18:AV199)</f>
        <v>0</v>
      </c>
      <c r="M27" s="502">
        <f ca="1">SUMIF('M03-S02'!AO18:AQ199,"&gt;0",'M03-S02'!AU18:AU199)</f>
        <v>0</v>
      </c>
      <c r="N27" s="502">
        <f>SUM('M03-S02'!BJ200:BJ201)</f>
        <v>0</v>
      </c>
      <c r="O27" s="502">
        <f>SUM('M03-S02'!BK200:BK201)</f>
        <v>0</v>
      </c>
      <c r="P27" s="502">
        <f>SUM('M03-S02'!BK200:BK201)</f>
        <v>0</v>
      </c>
      <c r="Q27" s="502">
        <f ca="1">SUMIF('M03-S02'!AO18:AQ199,"&gt;0",'M03-S02'!AU18:AU199)</f>
        <v>0</v>
      </c>
    </row>
    <row r="28" spans="1:17" x14ac:dyDescent="0.25">
      <c r="A28" s="6" t="s">
        <v>22</v>
      </c>
      <c r="B28" s="7" t="s">
        <v>1699</v>
      </c>
      <c r="E28" s="55" t="str">
        <f>M3S3</f>
        <v>Interior HID to LED</v>
      </c>
      <c r="F28" s="500">
        <f>SUM('M03-S03'!AW18:AW199)</f>
        <v>0</v>
      </c>
      <c r="G28" s="500">
        <f>'M03-S03'!Z12</f>
        <v>0</v>
      </c>
      <c r="H28" s="501">
        <f>'M03-S03'!AV200</f>
        <v>0</v>
      </c>
      <c r="I28" s="502">
        <f>'M03-S03'!V12</f>
        <v>0</v>
      </c>
      <c r="J28" s="502">
        <f>SUM('M03-S03'!BJ200:BJ201)</f>
        <v>0</v>
      </c>
      <c r="K28" s="500">
        <f>SUMIF('M03-S03'!AN18:AQ199,"&gt;0",'M03-S03'!AJ18:AM199)</f>
        <v>0</v>
      </c>
      <c r="L28" s="501">
        <f ca="1">SUMIF('M03-S03'!AN18:AQ199,"&gt;0",'M03-S03'!AV18:AV199)</f>
        <v>0</v>
      </c>
      <c r="M28" s="502">
        <f ca="1">SUMIF('M03-S03'!AN18:AQ199,"&gt;0",'M03-S03'!AU18:AU199)</f>
        <v>0</v>
      </c>
      <c r="N28" s="502">
        <f>SUM('M03-S03'!BH200:BH201)</f>
        <v>0</v>
      </c>
      <c r="O28" s="502">
        <f>SUM('M03-S03'!BI200:BI201)</f>
        <v>0</v>
      </c>
      <c r="P28" s="502">
        <f>SUM('M03-S03'!BI200:BI201)</f>
        <v>0</v>
      </c>
      <c r="Q28" s="502">
        <f ca="1">SUMIF('M03-S03'!AN18:AQ199,"&gt;0",'M03-S03'!AU18:AU199)</f>
        <v>0</v>
      </c>
    </row>
    <row r="29" spans="1:17" x14ac:dyDescent="0.25">
      <c r="A29" s="6" t="s">
        <v>23</v>
      </c>
      <c r="B29" s="7" t="s">
        <v>2406</v>
      </c>
      <c r="E29" s="55" t="str">
        <f>M3S4</f>
        <v>Exit Signs</v>
      </c>
      <c r="F29" s="500">
        <f>SUM('M03-S04'!AW18:AW199)</f>
        <v>0</v>
      </c>
      <c r="G29" s="500">
        <f>'M03-S04'!Z12</f>
        <v>0</v>
      </c>
      <c r="H29" s="501">
        <f>'M03-S04'!AV200</f>
        <v>0</v>
      </c>
      <c r="I29" s="502">
        <f>'M03-S04'!V12</f>
        <v>0</v>
      </c>
      <c r="J29" s="502">
        <f>SUM('M03-S04'!BJ200:BJ201)</f>
        <v>0</v>
      </c>
      <c r="K29" s="500">
        <f>SUMIF('M03-S04'!AN18:AQ199,"&gt;0",'M03-S04'!AJ18:AM199)</f>
        <v>0</v>
      </c>
      <c r="L29" s="501">
        <f ca="1">SUMIF('M03-S04'!AN18:AQ199,"&gt;0",'M03-S04'!AV18:AV199)</f>
        <v>0</v>
      </c>
      <c r="M29" s="502">
        <f ca="1">SUMIF('M03-S04'!AN18:AQ199,"&gt;0",'M03-S04'!AU18:AU199)</f>
        <v>0</v>
      </c>
      <c r="N29" s="502">
        <f>SUM('M03-S04'!BH200:BH201)</f>
        <v>0</v>
      </c>
      <c r="O29" s="502">
        <f>SUM('M03-S04'!BI200:BI201)</f>
        <v>0</v>
      </c>
      <c r="P29" s="502">
        <f>SUM('M03-S04'!BI200:BI201)</f>
        <v>0</v>
      </c>
      <c r="Q29" s="502">
        <f ca="1">SUMIF('M03-S04'!AN18:AQ199,"&gt;0",'M03-S04'!AU18:AU199)</f>
        <v>0</v>
      </c>
    </row>
    <row r="30" spans="1:17" x14ac:dyDescent="0.25">
      <c r="A30" s="6" t="s">
        <v>24</v>
      </c>
      <c r="B30" s="7" t="s">
        <v>1573</v>
      </c>
      <c r="E30" s="298" t="str">
        <f>M3S5</f>
        <v>Custom Lighting</v>
      </c>
      <c r="F30" s="500">
        <f>SUM('M03-S05'!AW16:AW199)</f>
        <v>0</v>
      </c>
      <c r="G30" s="500">
        <f>'M03-S05'!Z12</f>
        <v>0</v>
      </c>
      <c r="H30" s="501">
        <f>'M03-S05'!AV200</f>
        <v>0</v>
      </c>
      <c r="I30" s="502">
        <f>'M03-S05'!V12</f>
        <v>0</v>
      </c>
      <c r="J30" s="502">
        <f>SUM('M03-S05'!BJ200:BJ201)</f>
        <v>0</v>
      </c>
      <c r="K30" s="500">
        <f ca="1">SUMIF('M03-S05'!AN16:AQ199,"&gt;0",'M03-S05'!AZ16:AZ199)</f>
        <v>0</v>
      </c>
      <c r="L30" s="501">
        <f ca="1">SUMIF('M03-S05'!AN16:AQ199,"&gt;0",'M03-S05'!AV16:AV199)</f>
        <v>0</v>
      </c>
      <c r="M30" s="502">
        <f ca="1">SUMIF('M03-S05'!AN16:AQ199,"&gt;0",'M03-S05'!AK16:AK199)</f>
        <v>0</v>
      </c>
      <c r="N30" s="502">
        <f>SUM('M03-S05'!BH200:BH201)</f>
        <v>0</v>
      </c>
      <c r="O30" s="502">
        <f>SUM('M03-S05'!BI200:BI201)</f>
        <v>0</v>
      </c>
      <c r="P30" s="502">
        <f>SUM('M03-S05'!BI200:BI201)</f>
        <v>0</v>
      </c>
      <c r="Q30" s="502">
        <f ca="1">SUMIF('M03-S05'!AN16:AQ199,"&gt;0",'M03-S05'!AK16:AM199)</f>
        <v>0</v>
      </c>
    </row>
    <row r="31" spans="1:17" x14ac:dyDescent="0.25">
      <c r="A31" s="6" t="s">
        <v>25</v>
      </c>
      <c r="B31" s="7" t="s">
        <v>2043</v>
      </c>
      <c r="E31" s="55" t="str">
        <f>M3S6</f>
        <v>Occupancy Sensors</v>
      </c>
      <c r="F31" s="500">
        <f>SUM('M03-S06'!AW16:AW199)</f>
        <v>0</v>
      </c>
      <c r="G31" s="500">
        <f>'M03-S06'!Z12</f>
        <v>0</v>
      </c>
      <c r="H31" s="501">
        <f>'M03-S06'!AV200</f>
        <v>0</v>
      </c>
      <c r="I31" s="502">
        <f>'M03-S06'!V12</f>
        <v>0</v>
      </c>
      <c r="J31" s="502">
        <f>SUM('M03-S06'!BC200:BC201)</f>
        <v>0</v>
      </c>
      <c r="K31" s="500">
        <f>SUMIF('M03-S06'!AO16:AQ199,"&gt;0",'M03-S06'!AK16:AN199)</f>
        <v>0</v>
      </c>
      <c r="L31" s="501">
        <f ca="1">SUMIF('M03-S06'!AO16:AQ199,"&gt;0",'M03-S06'!AV16:AV199)</f>
        <v>0</v>
      </c>
      <c r="M31" s="502">
        <f ca="1">SUMIF('M03-S06'!AO16:AQ199,"&gt;0",'M03-S06'!AU16:AU199)</f>
        <v>0</v>
      </c>
      <c r="N31" s="502">
        <f>SUM('M03-S06'!BA200:BA201)</f>
        <v>0</v>
      </c>
      <c r="O31" s="502">
        <f>SUM('M03-S06'!BB200:BB201)</f>
        <v>0</v>
      </c>
      <c r="P31" s="502">
        <f>SUM('M03-S06'!BB200:BB201)</f>
        <v>0</v>
      </c>
      <c r="Q31" s="502">
        <f ca="1">SUMIF('M03-S06'!AO16:AQ199,"&gt;0",'M03-S06'!AU16:AU199)</f>
        <v>0</v>
      </c>
    </row>
    <row r="32" spans="1:17" x14ac:dyDescent="0.25">
      <c r="A32" s="6" t="s">
        <v>26</v>
      </c>
      <c r="B32" s="7" t="s">
        <v>2330</v>
      </c>
      <c r="E32" s="481" t="str">
        <f>M3S7</f>
        <v>New Load - Lighting Power Density Baseline</v>
      </c>
      <c r="F32" s="500">
        <f>SUM('M03-S07'!AY20)</f>
        <v>0</v>
      </c>
      <c r="G32" s="500">
        <f>SUM('M03-S07'!Z12)</f>
        <v>0</v>
      </c>
      <c r="H32" s="501">
        <f>SUM('M03-S07'!AX20)</f>
        <v>0</v>
      </c>
      <c r="I32" s="502">
        <f>'M03-S07'!V12</f>
        <v>0</v>
      </c>
      <c r="J32" s="476">
        <f>IF(ISNUMBER('M03-S07'!R12),'M03-S07'!R12,0)</f>
        <v>0</v>
      </c>
      <c r="K32" s="482">
        <f>SUMIF('M03-S07'!R12,"&gt;0",'M03-S07'!Z12)</f>
        <v>0</v>
      </c>
      <c r="L32" s="483">
        <f>IF('M03-S07'!BD22&lt;&gt;"",0,SUM('M03-S07'!AX22))</f>
        <v>0</v>
      </c>
      <c r="M32" s="476">
        <f>SUMIF('M03-S07'!R12,"&gt;0",'M03-S07'!V12)</f>
        <v>0</v>
      </c>
      <c r="N32" s="476"/>
      <c r="O32" s="476"/>
      <c r="P32" s="476">
        <f>IF(ISNUMBER('M03-S07'!R12),'M03-S07'!R12,0)</f>
        <v>0</v>
      </c>
      <c r="Q32" s="476"/>
    </row>
    <row r="33" spans="1:17" x14ac:dyDescent="0.25">
      <c r="A33" s="8" t="s">
        <v>27</v>
      </c>
      <c r="B33" s="9" t="s">
        <v>2349</v>
      </c>
      <c r="E33" s="481" t="str">
        <f>M3S8</f>
        <v>New Load - LPD-Exempt Baseline</v>
      </c>
      <c r="F33" s="500">
        <f>SUM('M03-S08'!AW200)</f>
        <v>0</v>
      </c>
      <c r="G33" s="500">
        <f>SUM('M03-S08'!Z12)</f>
        <v>0</v>
      </c>
      <c r="H33" s="501">
        <f>SUM('M03-S08'!AV200)</f>
        <v>0</v>
      </c>
      <c r="I33" s="502">
        <f>'M03-S08'!V12</f>
        <v>0</v>
      </c>
      <c r="J33" s="476">
        <f>IF(ISNUMBER('M03-S08'!R12),'M03-S08'!R12,0)</f>
        <v>0</v>
      </c>
      <c r="K33" s="482">
        <f>SUMIF('M03-S08'!R12,"&gt;0",'M03-S08'!Z12)</f>
        <v>0</v>
      </c>
      <c r="L33" s="483">
        <f>IF('M03-S08'!BE200&lt;&gt;"",0,SUM('M03-S08'!AV200))</f>
        <v>0</v>
      </c>
      <c r="M33" s="476">
        <f>SUMIF('M03-S08'!R12,"&gt;0",'M03-S08'!V12)</f>
        <v>0</v>
      </c>
      <c r="N33" s="476"/>
      <c r="O33" s="476"/>
      <c r="P33" s="476">
        <f>IF(ISNUMBER('M03-S08'!R12),'M03-S08'!R12,0)</f>
        <v>0</v>
      </c>
      <c r="Q33" s="476"/>
    </row>
    <row r="34" spans="1:17" x14ac:dyDescent="0.25">
      <c r="A34" s="4" t="s">
        <v>63</v>
      </c>
      <c r="B34" s="5" t="s">
        <v>1571</v>
      </c>
      <c r="E34" s="40" t="str">
        <f>MAIN4</f>
        <v>STANDARD MEASURES</v>
      </c>
      <c r="F34" s="472"/>
      <c r="G34" s="472"/>
      <c r="H34" s="470"/>
      <c r="I34" s="474"/>
      <c r="J34" s="474"/>
      <c r="K34" s="472"/>
      <c r="L34" s="470"/>
      <c r="M34" s="474"/>
      <c r="N34" s="477"/>
      <c r="O34" s="477"/>
      <c r="P34" s="477"/>
      <c r="Q34" s="477"/>
    </row>
    <row r="35" spans="1:17" ht="30" x14ac:dyDescent="0.25">
      <c r="A35" s="6" t="s">
        <v>28</v>
      </c>
      <c r="B35" s="29" t="s">
        <v>1648</v>
      </c>
      <c r="E35" s="55" t="str">
        <f>M4S1</f>
        <v>HVAC Equipment and Thermostats</v>
      </c>
      <c r="F35" s="500"/>
      <c r="G35" s="500">
        <f>'M04-S01'!Z12</f>
        <v>0</v>
      </c>
      <c r="H35" s="501">
        <f>'M04-S01'!AV202</f>
        <v>0</v>
      </c>
      <c r="I35" s="502">
        <f>'M04-S01'!V12</f>
        <v>0</v>
      </c>
      <c r="J35" s="502">
        <f>SUM('M04-S01'!AZ202:AZ203)</f>
        <v>0</v>
      </c>
      <c r="K35" s="500">
        <f>SUMIF('M04-S01'!AO18:AQ199,"&gt;0",'M04-S01'!AL18:AN199)</f>
        <v>0</v>
      </c>
      <c r="L35" s="501">
        <f ca="1">SUMIF('M04-S01'!AO18:AQ201,"&gt;0",'M04-S01'!AV18:AV201)</f>
        <v>0</v>
      </c>
      <c r="M35" s="502">
        <f ca="1">SUMIF('M04-S01'!AO18:AQ201,"&gt;0",'M04-S01'!AU18:AU201)</f>
        <v>0</v>
      </c>
      <c r="N35" s="502">
        <f>SUM('M04-S01'!AX202:AX203)</f>
        <v>0</v>
      </c>
      <c r="O35" s="502">
        <f>SUM('M04-S01'!AY202:AY203)</f>
        <v>0</v>
      </c>
      <c r="P35" s="502">
        <f>SUM('M04-S01'!AY202:AY203)</f>
        <v>0</v>
      </c>
      <c r="Q35" s="502">
        <f ca="1">SUMIF('M04-S01'!AO18:AQ201,"&gt;0",'M04-S01'!AU18:AU201)</f>
        <v>0</v>
      </c>
    </row>
    <row r="36" spans="1:17" x14ac:dyDescent="0.25">
      <c r="A36" s="6" t="s">
        <v>29</v>
      </c>
      <c r="B36" s="29" t="s">
        <v>146</v>
      </c>
      <c r="E36" s="55" t="str">
        <f>M4S2</f>
        <v>Refrigeration</v>
      </c>
      <c r="F36" s="500"/>
      <c r="G36" s="500">
        <f>'M04-S02'!Z12</f>
        <v>0</v>
      </c>
      <c r="H36" s="501">
        <f>'M04-S02'!AV200</f>
        <v>0</v>
      </c>
      <c r="I36" s="502">
        <f>'M04-S02'!V12</f>
        <v>0</v>
      </c>
      <c r="J36" s="502">
        <f>'M04-S02'!R12</f>
        <v>0</v>
      </c>
      <c r="K36" s="500">
        <f>SUMIF('M04-S02'!AO16:AQ199,"&gt;0",'M04-S02'!AK16:AN199)</f>
        <v>0</v>
      </c>
      <c r="L36" s="501">
        <f ca="1">SUMIF('M04-S02'!AO16:AQ199,"&gt;0",'M04-S02'!AV16:AV199)</f>
        <v>0</v>
      </c>
      <c r="M36" s="502">
        <f ca="1">SUMIF('M04-S02'!AO16:AQ199,"&gt;0",'M04-S02'!AU16:AU199)</f>
        <v>0</v>
      </c>
      <c r="N36" s="502"/>
      <c r="O36" s="502"/>
      <c r="P36" s="502">
        <f>'M04-S02'!R12</f>
        <v>0</v>
      </c>
      <c r="Q36" s="502"/>
    </row>
    <row r="37" spans="1:17" x14ac:dyDescent="0.25">
      <c r="A37" s="6" t="s">
        <v>30</v>
      </c>
      <c r="B37" s="29" t="s">
        <v>1128</v>
      </c>
      <c r="E37" s="55" t="str">
        <f>M4S3</f>
        <v>Commercial Cooking</v>
      </c>
      <c r="F37" s="500"/>
      <c r="G37" s="500">
        <f>'M04-S03'!Z12</f>
        <v>0</v>
      </c>
      <c r="H37" s="501">
        <f>'M04-S03'!AV200</f>
        <v>0</v>
      </c>
      <c r="I37" s="502">
        <f>'M04-S03'!V12</f>
        <v>0</v>
      </c>
      <c r="J37" s="502">
        <f>'M04-S03'!R12</f>
        <v>0</v>
      </c>
      <c r="K37" s="500">
        <f>SUMIF('M04-S03'!AO16:AQ199,"&gt;0",'M04-S03'!AK16:AN199)</f>
        <v>0</v>
      </c>
      <c r="L37" s="501">
        <f ca="1">SUMIF('M04-S03'!AO16:AQ199,"&gt;0",'M04-S03'!AV16:AV199)</f>
        <v>0</v>
      </c>
      <c r="M37" s="502">
        <f ca="1">SUMIF('M04-S03'!AO16:AQ199,"&gt;0",'M04-S03'!AU16:AU199)</f>
        <v>0</v>
      </c>
      <c r="N37" s="502"/>
      <c r="O37" s="502"/>
      <c r="P37" s="502">
        <f>'M04-S03'!R12</f>
        <v>0</v>
      </c>
      <c r="Q37" s="502"/>
    </row>
    <row r="38" spans="1:17" x14ac:dyDescent="0.25">
      <c r="A38" s="6" t="s">
        <v>31</v>
      </c>
      <c r="B38" s="29" t="s">
        <v>213</v>
      </c>
      <c r="E38" s="55" t="str">
        <f>M4S4</f>
        <v>Water Heating</v>
      </c>
      <c r="F38" s="500"/>
      <c r="G38" s="500">
        <f>'M04-S04'!Z12</f>
        <v>0</v>
      </c>
      <c r="H38" s="501">
        <f>'M04-S04'!AV200</f>
        <v>0</v>
      </c>
      <c r="I38" s="502">
        <f>'M04-S04'!V12</f>
        <v>0</v>
      </c>
      <c r="J38" s="502">
        <f>'M04-S04'!R12</f>
        <v>0</v>
      </c>
      <c r="K38" s="500">
        <f>SUMIF('M04-S04'!AO16:AQ199,"&gt;0",'M04-S04'!AK16:AN199)</f>
        <v>0</v>
      </c>
      <c r="L38" s="501">
        <f ca="1">SUMIF('M04-S04'!AO16:AQ199,"&gt;0",'M04-S04'!AV16:AV199)</f>
        <v>0</v>
      </c>
      <c r="M38" s="502">
        <f ca="1">SUMIF('M04-S04'!AO16:AQ199,"&gt;0",'M04-S04'!AU16:AU199)</f>
        <v>0</v>
      </c>
      <c r="N38" s="502"/>
      <c r="O38" s="502"/>
      <c r="P38" s="502">
        <f>'M04-S04'!R12</f>
        <v>0</v>
      </c>
      <c r="Q38" s="502"/>
    </row>
    <row r="39" spans="1:17" x14ac:dyDescent="0.25">
      <c r="A39" s="6" t="s">
        <v>32</v>
      </c>
      <c r="B39" s="29" t="s">
        <v>1642</v>
      </c>
      <c r="E39" s="55" t="str">
        <f>M4S5</f>
        <v>VFDs</v>
      </c>
      <c r="F39" s="500"/>
      <c r="G39" s="500">
        <f>'M04-S05'!Z12</f>
        <v>0</v>
      </c>
      <c r="H39" s="501">
        <f>'M04-S05'!AV200</f>
        <v>0</v>
      </c>
      <c r="I39" s="502">
        <f>'M04-S05'!V12</f>
        <v>0</v>
      </c>
      <c r="J39" s="502">
        <f>SUM('M04-S05'!AZ200:AZ201)</f>
        <v>0</v>
      </c>
      <c r="K39" s="500">
        <f>SUMIF('M04-S05'!AO16:AQ199,"&gt;0",'M04-S05'!AK16:AN199)</f>
        <v>0</v>
      </c>
      <c r="L39" s="501">
        <f ca="1">SUMIF('M04-S05'!AO16:AQ199,"&gt;0",'M04-S05'!AV16:AV199)</f>
        <v>0</v>
      </c>
      <c r="M39" s="502">
        <f ca="1">SUMIF('M04-S05'!AO16:AQ199,"&gt;0",'M04-S05'!AU16:AU199)</f>
        <v>0</v>
      </c>
      <c r="N39" s="502">
        <f>SUM('M04-S05'!AX200:AX201)</f>
        <v>0</v>
      </c>
      <c r="O39" s="502">
        <f>SUM('M04-S05'!AY200:AY201)</f>
        <v>0</v>
      </c>
      <c r="P39" s="502">
        <f>SUM('M04-S05'!AY200:AY201)</f>
        <v>0</v>
      </c>
      <c r="Q39" s="502">
        <f>SUMIF('M04-S05'!AX16:AX199,"&gt;0",'M04-S05'!AU16:AU199)</f>
        <v>0</v>
      </c>
    </row>
    <row r="40" spans="1:17" x14ac:dyDescent="0.25">
      <c r="A40" s="6" t="s">
        <v>33</v>
      </c>
      <c r="B40" s="29" t="s">
        <v>148</v>
      </c>
      <c r="E40" s="55" t="str">
        <f>M4S6</f>
        <v>Compressed Air</v>
      </c>
      <c r="F40" s="500"/>
      <c r="G40" s="500">
        <f>'M04-S06'!Z12</f>
        <v>0</v>
      </c>
      <c r="H40" s="501">
        <f>'M04-S06'!AV200</f>
        <v>0</v>
      </c>
      <c r="I40" s="502">
        <f>'M04-S06'!V12</f>
        <v>0</v>
      </c>
      <c r="J40" s="502">
        <f>'M04-S06'!R12</f>
        <v>0</v>
      </c>
      <c r="K40" s="500">
        <f>SUMIF('M04-S06'!AO16:AQ199,"&gt;0",'M04-S06'!AK16:AN199)</f>
        <v>0</v>
      </c>
      <c r="L40" s="501">
        <f ca="1">SUMIF('M04-S06'!AO16:AQ199,"&gt;0",'M04-S06'!AV16:AV199)</f>
        <v>0</v>
      </c>
      <c r="M40" s="502">
        <f ca="1">SUMIF('M04-S06'!AO16:AQ199,"&gt;0",'M04-S06'!AU16:AU199)</f>
        <v>0</v>
      </c>
      <c r="N40" s="502"/>
      <c r="O40" s="502"/>
      <c r="P40" s="502">
        <f>'M04-S06'!R12</f>
        <v>0</v>
      </c>
      <c r="Q40" s="502"/>
    </row>
    <row r="41" spans="1:17" x14ac:dyDescent="0.25">
      <c r="A41" s="6" t="s">
        <v>34</v>
      </c>
      <c r="B41" s="29" t="s">
        <v>2066</v>
      </c>
      <c r="E41" s="55" t="str">
        <f>M4S7</f>
        <v>High Volume, Low Speed Fans</v>
      </c>
      <c r="F41" s="500"/>
      <c r="G41" s="500">
        <f>'M04-S07'!Z12</f>
        <v>0</v>
      </c>
      <c r="H41" s="501">
        <f>'M04-S07'!AV200</f>
        <v>0</v>
      </c>
      <c r="I41" s="502">
        <f>'M04-S07'!V12</f>
        <v>0</v>
      </c>
      <c r="J41" s="502">
        <f>SUM('M04-S07'!AZ200:AZ201)</f>
        <v>0</v>
      </c>
      <c r="K41" s="500">
        <f>SUMIF('M04-S07'!AO16:AQ199,"&gt;0",'M04-S07'!AK16:AN199)</f>
        <v>0</v>
      </c>
      <c r="L41" s="501">
        <f ca="1">SUMIF('M04-S07'!AO16:AQ199,"&gt;0",'M04-S07'!AV16:AV199)</f>
        <v>0</v>
      </c>
      <c r="M41" s="502">
        <f ca="1">SUMIF('M04-S07'!AO16:AQ199,"&gt;0",'M04-S07'!AU16:AU199)</f>
        <v>0</v>
      </c>
      <c r="N41" s="502">
        <f>SUM('M04-S07'!AX200:AX201)</f>
        <v>0</v>
      </c>
      <c r="O41" s="502">
        <f>SUM('M04-S07'!AY200:AY201)</f>
        <v>0</v>
      </c>
      <c r="P41" s="502">
        <f>SUM('M04-S07'!AY200:AY201)</f>
        <v>0</v>
      </c>
      <c r="Q41" s="502">
        <f ca="1">SUMIF('M04-S07'!AO16:AQ199,"&gt;0",'M04-S07'!AU16:AU199)</f>
        <v>0</v>
      </c>
    </row>
    <row r="42" spans="1:17" x14ac:dyDescent="0.25">
      <c r="A42" s="8" t="s">
        <v>35</v>
      </c>
      <c r="B42" s="9" t="s">
        <v>35</v>
      </c>
      <c r="E42" s="43" t="str">
        <f>MAIN5</f>
        <v>CUSTOM MEASURES</v>
      </c>
      <c r="F42" s="473"/>
      <c r="G42" s="473"/>
      <c r="H42" s="471"/>
      <c r="I42" s="475"/>
      <c r="J42" s="475"/>
      <c r="K42" s="473"/>
      <c r="L42" s="471"/>
      <c r="M42" s="475"/>
      <c r="N42" s="478"/>
      <c r="O42" s="478"/>
      <c r="P42" s="478"/>
      <c r="Q42" s="478"/>
    </row>
    <row r="43" spans="1:17" x14ac:dyDescent="0.25">
      <c r="A43" s="4" t="s">
        <v>64</v>
      </c>
      <c r="B43" s="5" t="s">
        <v>1572</v>
      </c>
      <c r="E43" s="298" t="str">
        <f>M5S1</f>
        <v>HVAC</v>
      </c>
      <c r="F43" s="500">
        <f>SUMPRODUCT('M05-S01'!S16:T199,'M05-S01'!Q16:R199)</f>
        <v>0</v>
      </c>
      <c r="G43" s="500">
        <f>'M05-S01'!Z12</f>
        <v>0</v>
      </c>
      <c r="H43" s="501">
        <f>SUM('M05-S01'!AV16:AV199)</f>
        <v>0</v>
      </c>
      <c r="I43" s="502">
        <f>'M05-S01'!V12</f>
        <v>0</v>
      </c>
      <c r="J43" s="502">
        <f>SUM('M05-S01'!BG200:BG201)</f>
        <v>0</v>
      </c>
      <c r="K43" s="500">
        <f ca="1">SUMIF('M05-S01'!AK16:AN199,"&gt;0",'M05-S01'!AO16:AQ199)</f>
        <v>0</v>
      </c>
      <c r="L43" s="501">
        <f ca="1">SUMIF('M05-S01'!AK16:AN199,"&gt;0",'M05-S01'!AV16:AV199)</f>
        <v>0</v>
      </c>
      <c r="M43" s="502">
        <f ca="1">SUMIF('M05-S01'!AK16:AN199,"&gt;0",'M05-S01'!AH16:AJ199)</f>
        <v>0</v>
      </c>
      <c r="N43" s="502">
        <f>SUM('M05-S01'!BE200:BE201)</f>
        <v>0</v>
      </c>
      <c r="O43" s="502">
        <f>SUM('M05-S01'!BF200:BF201)</f>
        <v>0</v>
      </c>
      <c r="P43" s="502">
        <f>SUM('M05-S01'!BF200:BF201)</f>
        <v>0</v>
      </c>
      <c r="Q43" s="502">
        <f ca="1">SUMIF('M05-S01'!AK16:AN199,"&gt;0",'M05-S01'!AH16:AJ199)</f>
        <v>0</v>
      </c>
    </row>
    <row r="44" spans="1:17" x14ac:dyDescent="0.25">
      <c r="A44" s="6" t="s">
        <v>38</v>
      </c>
      <c r="B44" s="7" t="s">
        <v>144</v>
      </c>
      <c r="E44" s="298" t="str">
        <f>M5S2</f>
        <v>Dimming / Daylighting Controls</v>
      </c>
      <c r="F44" s="500">
        <f>SUMPRODUCT('M05-S02'!S16:T199,'M05-S02'!Q16:R199)</f>
        <v>0</v>
      </c>
      <c r="G44" s="500">
        <f>'M05-S02'!Z12</f>
        <v>0</v>
      </c>
      <c r="H44" s="501">
        <f>SUM('M05-S02'!AV16:AV199)</f>
        <v>0</v>
      </c>
      <c r="I44" s="502">
        <f>'M05-S02'!V12</f>
        <v>0</v>
      </c>
      <c r="J44" s="502">
        <f>SUM('M05-S02'!BG200:BG201)</f>
        <v>0</v>
      </c>
      <c r="K44" s="500">
        <f ca="1">SUMIF('M05-S02'!AK16:AN199,"&gt;0",'M05-S02'!AO16:AQ199)</f>
        <v>0</v>
      </c>
      <c r="L44" s="501">
        <f ca="1">SUMIF('M05-S02'!AK16:AN199,"&gt;0",'M05-S02'!AV16:AV199)</f>
        <v>0</v>
      </c>
      <c r="M44" s="502">
        <f ca="1">SUMIF('M05-S02'!AK16:AN199,"&gt;0",'M05-S02'!AH16:AJ199)</f>
        <v>0</v>
      </c>
      <c r="N44" s="502">
        <f>SUM('M05-S02'!BE200:BE201)</f>
        <v>0</v>
      </c>
      <c r="O44" s="502">
        <f>SUM('M05-S02'!BF200:BF201)</f>
        <v>0</v>
      </c>
      <c r="P44" s="502">
        <f>'M05-S02'!R12</f>
        <v>0</v>
      </c>
      <c r="Q44" s="502">
        <f ca="1">SUMIF('M05-S02'!AK16:AN199,"&gt;0",'M05-S02'!AH16:AJ199)</f>
        <v>0</v>
      </c>
    </row>
    <row r="45" spans="1:17" x14ac:dyDescent="0.25">
      <c r="A45" s="6" t="s">
        <v>39</v>
      </c>
      <c r="B45" s="7" t="s">
        <v>1130</v>
      </c>
      <c r="E45" s="298" t="str">
        <f>M5S3</f>
        <v>Commercial Cooking / Water Heating</v>
      </c>
      <c r="F45" s="500">
        <f>SUMPRODUCT('M05-S03'!S16:T199,'M05-S03'!Q16:R199)</f>
        <v>0</v>
      </c>
      <c r="G45" s="500">
        <f>'M05-S03'!Z12</f>
        <v>0</v>
      </c>
      <c r="H45" s="501">
        <f>SUM('M05-S03'!AV16:AV199)</f>
        <v>0</v>
      </c>
      <c r="I45" s="502">
        <f>'M05-S03'!V12</f>
        <v>0</v>
      </c>
      <c r="J45" s="502">
        <f>'M05-S03'!R12</f>
        <v>0</v>
      </c>
      <c r="K45" s="500">
        <f ca="1">SUMIF('M05-S03'!AK16:AN199,"&gt;0",'M05-S03'!AO16:AQ199)</f>
        <v>0</v>
      </c>
      <c r="L45" s="501">
        <f ca="1">SUMIF('M05-S03'!AK16:AN199,"&gt;0",'M05-S03'!AV16:AV199)</f>
        <v>0</v>
      </c>
      <c r="M45" s="502">
        <f ca="1">SUMIF('M05-S03'!AK16:AN199,"&gt;0",'M05-S03'!AH16:AJ199)</f>
        <v>0</v>
      </c>
      <c r="N45" s="502"/>
      <c r="O45" s="502"/>
      <c r="P45" s="502">
        <f>'M05-S03'!R12</f>
        <v>0</v>
      </c>
      <c r="Q45" s="502"/>
    </row>
    <row r="46" spans="1:17" x14ac:dyDescent="0.25">
      <c r="A46" s="6" t="s">
        <v>40</v>
      </c>
      <c r="B46" s="7" t="s">
        <v>1127</v>
      </c>
      <c r="E46" s="298" t="str">
        <f>M5S4</f>
        <v>Motor / VFD / Pump</v>
      </c>
      <c r="F46" s="500">
        <f>SUMPRODUCT('M05-S04'!S16:T199,'M05-S04'!Q16:R199)</f>
        <v>0</v>
      </c>
      <c r="G46" s="500">
        <f>'M05-S04'!Z12</f>
        <v>0</v>
      </c>
      <c r="H46" s="501">
        <f>SUM('M05-S04'!AV16:AV199)</f>
        <v>0</v>
      </c>
      <c r="I46" s="502">
        <f>'M05-S04'!V12</f>
        <v>0</v>
      </c>
      <c r="J46" s="502">
        <f>SUM('M05-S04'!BG200:BG201)</f>
        <v>0</v>
      </c>
      <c r="K46" s="500">
        <f ca="1">SUMIF('M05-S04'!AK16:AN199,"&gt;0",'M05-S04'!AO16:AQ199)</f>
        <v>0</v>
      </c>
      <c r="L46" s="501">
        <f ca="1">SUMIF('M05-S04'!AK16:AN199,"&gt;0",'M05-S04'!AO16:AQ199)</f>
        <v>0</v>
      </c>
      <c r="M46" s="502">
        <f ca="1">SUMIF('M05-S04'!AK16:AN199,"&gt;0",'M05-S04'!AH16:AJ199)</f>
        <v>0</v>
      </c>
      <c r="N46" s="502">
        <f>SUM('M05-S04'!BE200:BE201)</f>
        <v>0</v>
      </c>
      <c r="O46" s="502">
        <f>SUM('M05-S04'!BF200:BF201)</f>
        <v>0</v>
      </c>
      <c r="P46" s="502">
        <f>SUM('M05-S04'!BF200:BF201)</f>
        <v>0</v>
      </c>
      <c r="Q46" s="502">
        <f>SUMIF('M05-S04'!BE16:BE199,"&gt;0",'M05-S04'!AH16:AJ199)</f>
        <v>0</v>
      </c>
    </row>
    <row r="47" spans="1:17" x14ac:dyDescent="0.25">
      <c r="A47" s="6" t="s">
        <v>41</v>
      </c>
      <c r="B47" s="7" t="s">
        <v>570</v>
      </c>
      <c r="E47" s="298" t="str">
        <f>M5S5</f>
        <v>Compressed Air</v>
      </c>
      <c r="F47" s="500">
        <f>SUMPRODUCT('M05-S05'!S16:T199,'M05-S05'!Q16:R199)</f>
        <v>0</v>
      </c>
      <c r="G47" s="500">
        <f>'M05-S05'!Z12</f>
        <v>0</v>
      </c>
      <c r="H47" s="501">
        <f>SUM('M05-S05'!AV16:AV199)</f>
        <v>0</v>
      </c>
      <c r="I47" s="502">
        <f>'M05-S05'!V12</f>
        <v>0</v>
      </c>
      <c r="J47" s="502">
        <f>'M05-S05'!R12</f>
        <v>0</v>
      </c>
      <c r="K47" s="500">
        <f ca="1">SUMIF('M05-S05'!AK16:AN199,"&gt;0",'M05-S05'!AO16:AQ199)</f>
        <v>0</v>
      </c>
      <c r="L47" s="501">
        <f ca="1">SUMIF('M05-S05'!AK16:AN199,"&gt;0",'M05-S05'!AO16:AQ199)</f>
        <v>0</v>
      </c>
      <c r="M47" s="502">
        <f ca="1">SUMIF('M05-S05'!AK16:AN199,"&gt;0",'M05-S05'!AH16:AJ199)</f>
        <v>0</v>
      </c>
      <c r="N47" s="502"/>
      <c r="O47" s="502"/>
      <c r="P47" s="502">
        <f>'M05-S05'!R12</f>
        <v>0</v>
      </c>
      <c r="Q47" s="502"/>
    </row>
    <row r="48" spans="1:17" x14ac:dyDescent="0.25">
      <c r="A48" s="6" t="s">
        <v>42</v>
      </c>
      <c r="B48" s="7" t="s">
        <v>148</v>
      </c>
      <c r="E48" s="298" t="str">
        <f>M5S6</f>
        <v>Refrigeration</v>
      </c>
      <c r="F48" s="500">
        <f>SUMPRODUCT('M05-S06'!S16:T199,'M05-S06'!Q16:R199)</f>
        <v>0</v>
      </c>
      <c r="G48" s="500">
        <f>'M05-S06'!Z12</f>
        <v>0</v>
      </c>
      <c r="H48" s="501">
        <f>SUM('M05-S06'!AV16:AV199)</f>
        <v>0</v>
      </c>
      <c r="I48" s="502">
        <f>'M05-S06'!V12</f>
        <v>0</v>
      </c>
      <c r="J48" s="502">
        <f>'M05-S06'!R12</f>
        <v>0</v>
      </c>
      <c r="K48" s="500">
        <f ca="1">SUMIF('M05-S06'!AK16:AN199,"&gt;0",'M05-S06'!AO16:AQ199)</f>
        <v>0</v>
      </c>
      <c r="L48" s="501">
        <f ca="1">SUMIF('M05-S06'!AK16:AN199,"&gt;0",'M05-S06'!AO16:AQ199)</f>
        <v>0</v>
      </c>
      <c r="M48" s="502">
        <f ca="1">SUMIF('M05-S06'!AK16:AN199,"&gt;0",'M05-S06'!AH16:AJ199)</f>
        <v>0</v>
      </c>
      <c r="N48" s="502"/>
      <c r="O48" s="502"/>
      <c r="P48" s="502">
        <f>'M05-S06'!R12</f>
        <v>0</v>
      </c>
      <c r="Q48" s="502"/>
    </row>
    <row r="49" spans="1:19" x14ac:dyDescent="0.25">
      <c r="A49" s="6" t="s">
        <v>43</v>
      </c>
      <c r="B49" s="7" t="s">
        <v>146</v>
      </c>
      <c r="E49" s="298" t="str">
        <f>M5S7</f>
        <v>Miscellaneous</v>
      </c>
      <c r="F49" s="500">
        <f>SUMPRODUCT('M05-S07'!S16:T199,'M05-S07'!Q16:R199)</f>
        <v>0</v>
      </c>
      <c r="G49" s="500">
        <f>'M05-S07'!Z12</f>
        <v>0</v>
      </c>
      <c r="H49" s="501">
        <f>SUM('M05-S07'!AV16:AV199)</f>
        <v>0</v>
      </c>
      <c r="I49" s="502">
        <f>'M05-S07'!V12</f>
        <v>0</v>
      </c>
      <c r="J49" s="502">
        <f>'M05-S07'!R12</f>
        <v>0</v>
      </c>
      <c r="K49" s="500">
        <f ca="1">SUMIF('M05-S07'!AK16:AN199,"&gt;0",'M05-S07'!AO16:AQ199)</f>
        <v>0</v>
      </c>
      <c r="L49" s="501">
        <f ca="1">SUMIF('M05-S07'!AK16:AN199,"&gt;0",'M05-S07'!AO16:AQ199)</f>
        <v>0</v>
      </c>
      <c r="M49" s="502">
        <f ca="1">SUMIF('M05-S07'!AK16:AN199,"&gt;0",'M05-S07'!AH16:AJ199)</f>
        <v>0</v>
      </c>
      <c r="N49" s="502"/>
      <c r="O49" s="502"/>
      <c r="P49" s="502">
        <f>'M05-S07'!R12</f>
        <v>0</v>
      </c>
      <c r="Q49" s="502"/>
    </row>
    <row r="50" spans="1:19" x14ac:dyDescent="0.25">
      <c r="A50" s="6" t="s">
        <v>44</v>
      </c>
      <c r="B50" s="7" t="s">
        <v>518</v>
      </c>
      <c r="E50" s="298" t="str">
        <f>M5S8</f>
        <v>M5S8</v>
      </c>
      <c r="F50" s="500"/>
      <c r="G50" s="500"/>
      <c r="H50" s="501"/>
      <c r="I50" s="502"/>
      <c r="J50" s="502"/>
      <c r="K50" s="500"/>
      <c r="L50" s="501"/>
      <c r="M50" s="502"/>
      <c r="N50" s="502"/>
      <c r="O50" s="502"/>
      <c r="P50" s="502"/>
      <c r="Q50" s="502"/>
    </row>
    <row r="51" spans="1:19" x14ac:dyDescent="0.25">
      <c r="A51" s="8" t="s">
        <v>45</v>
      </c>
      <c r="B51" s="295" t="s">
        <v>45</v>
      </c>
      <c r="E51" s="41" t="s">
        <v>2112</v>
      </c>
      <c r="F51" s="504">
        <f ca="1">SUM(F26:F29,F31,F33)+SUMIF('M03-S05'!$F$16:$G$75,"=Interior",'M03-S05'!AW16:AW75)+F32</f>
        <v>0</v>
      </c>
      <c r="G51" s="504">
        <f ca="1">SUM(G26:G29,G31,G33)+SUMIF('M03-S05'!$F$16:$G$75,"=Interior",'M03-S05'!AX16:AX75)+G32</f>
        <v>0</v>
      </c>
      <c r="H51" s="539">
        <f ca="1">SUM(H26:H29,H31,H33)+SUMIF('M03-S05'!$F$16:$G$75,"=Interior",'M03-S05'!AY16:AY75)+H32</f>
        <v>0</v>
      </c>
      <c r="I51" s="540">
        <f ca="1">SUM(I26:I29,I31,I33)+SUMIF('M03-S05'!$F$16:$G$75,"=Interior",'M03-S05'!AZ16:AZ75)+I32</f>
        <v>0</v>
      </c>
      <c r="J51" s="540">
        <f ca="1">SUM(J26:J29,J31,J33)+SUMIF('M03-S05'!$F$16:$G$75,"=Interior",'M03-S05'!BA16:BA75)+J32</f>
        <v>0</v>
      </c>
      <c r="K51" s="504">
        <f ca="1">SUM(K26:K29,K31,K33)+SUMIF('M03-S05'!$F$16:$G$75,"=Interior",'M03-S05'!BB16:BB75)+K32</f>
        <v>0</v>
      </c>
      <c r="L51" s="539">
        <f ca="1">SUM(L26:L29,L31,L33)+SUMIF('M03-S05'!$F$16:$G$75,"=Interior",'M03-S05'!BC16:BC75)+L32</f>
        <v>0</v>
      </c>
      <c r="M51" s="540">
        <f ca="1">SUM(M26:M29,M31,M33)+SUMIF('M03-S05'!$F$16:$G$75,"=Interior",'M03-S05'!BD16:BD75)+M32</f>
        <v>0</v>
      </c>
      <c r="N51" s="504"/>
      <c r="O51" s="504"/>
      <c r="P51" s="540">
        <f ca="1">SUM(P26:P29,P31,P33)+SUMIF('M03-S05'!$F$16:$G$75,"=Interior",'M03-S05'!BG16:BG75)+P32</f>
        <v>30</v>
      </c>
      <c r="Q51" s="540">
        <f ca="1">SUM(Q26:Q29,Q31,Q33)+SUMIF('M03-S05'!$F$16:$G$75,"=Interior",'M03-S05'!BH16:BH75)+Q32</f>
        <v>0</v>
      </c>
      <c r="R51" s="41" t="s">
        <v>208</v>
      </c>
      <c r="S51" s="41" t="s">
        <v>561</v>
      </c>
    </row>
    <row r="52" spans="1:19" x14ac:dyDescent="0.25">
      <c r="A52" s="4" t="s">
        <v>65</v>
      </c>
      <c r="B52" s="5" t="s">
        <v>909</v>
      </c>
      <c r="E52" s="41" t="s">
        <v>1697</v>
      </c>
      <c r="F52" s="505">
        <f>SUM(F26:F29)+SUM(F35:F41)+F31</f>
        <v>0</v>
      </c>
      <c r="G52" s="505">
        <f t="shared" ref="G52:M52" si="0">SUM(G26:G29)+SUM(G35:G41)+G31</f>
        <v>0</v>
      </c>
      <c r="H52" s="507">
        <f t="shared" si="0"/>
        <v>0</v>
      </c>
      <c r="I52" s="506">
        <f t="shared" si="0"/>
        <v>0</v>
      </c>
      <c r="J52" s="506">
        <f t="shared" si="0"/>
        <v>0</v>
      </c>
      <c r="K52" s="505">
        <f t="shared" si="0"/>
        <v>0</v>
      </c>
      <c r="L52" s="507">
        <f t="shared" ca="1" si="0"/>
        <v>0</v>
      </c>
      <c r="M52" s="506">
        <f t="shared" ca="1" si="0"/>
        <v>0</v>
      </c>
      <c r="N52" s="506"/>
      <c r="O52" s="506"/>
      <c r="P52" s="506">
        <f t="shared" ref="P52:Q52" si="1">SUM(P26:P29)+SUM(P35:P41)+P31</f>
        <v>0</v>
      </c>
      <c r="Q52" s="506">
        <f t="shared" ca="1" si="1"/>
        <v>0</v>
      </c>
      <c r="R52" s="39" t="str">
        <f ca="1">IFERROR(ROUND(((1+ELOSS)*((KWHTOTALPRESE*INDEX(ELECCB[NPV AEC $/kWh],MATCH(12,ELECCB[Year Number],0)))+(KWTOTALPRESE*INDEX(ELECCB[NPV ACC+T&amp;D $/kW],MATCH(12,ELECCB[Year Number],0))))/COSTTOTALALLPRESE),2),"NA")</f>
        <v>NA</v>
      </c>
      <c r="S52" s="39" t="str">
        <f>IFERROR(ROUND(COSTTOTALALLPRESE/M02S02F35/KWHTOTALPRESE,2),"NA")</f>
        <v>NA</v>
      </c>
    </row>
    <row r="53" spans="1:19" x14ac:dyDescent="0.25">
      <c r="A53" s="6" t="s">
        <v>46</v>
      </c>
      <c r="B53" s="7" t="s">
        <v>74</v>
      </c>
      <c r="E53" s="41" t="s">
        <v>221</v>
      </c>
      <c r="F53" s="505">
        <f>SUM(F43:F50)+F30+F32+F33</f>
        <v>0</v>
      </c>
      <c r="G53" s="505">
        <f t="shared" ref="G53:M53" si="2">SUM(G43:G50)+G30+G32+G33</f>
        <v>0</v>
      </c>
      <c r="H53" s="507">
        <f t="shared" si="2"/>
        <v>0</v>
      </c>
      <c r="I53" s="506">
        <f t="shared" si="2"/>
        <v>0</v>
      </c>
      <c r="J53" s="506">
        <f t="shared" si="2"/>
        <v>0</v>
      </c>
      <c r="K53" s="505">
        <f t="shared" ca="1" si="2"/>
        <v>0</v>
      </c>
      <c r="L53" s="507">
        <f t="shared" ca="1" si="2"/>
        <v>0</v>
      </c>
      <c r="M53" s="506">
        <f t="shared" ca="1" si="2"/>
        <v>0</v>
      </c>
      <c r="N53" s="505"/>
      <c r="O53" s="505"/>
      <c r="P53" s="506">
        <f t="shared" ref="P53:Q53" si="3">SUM(P43:P50)+P30+P32+P33</f>
        <v>0</v>
      </c>
      <c r="Q53" s="506">
        <f t="shared" ca="1" si="3"/>
        <v>0</v>
      </c>
      <c r="R53" s="39" t="str">
        <f ca="1">IFERROR(ROUND(((1+ELOSS)*((KWHTOTALCUSE*INDEX(ELECCB[NPV AEC $/kWh],MATCH(12,ELECCB[Year Number],0)))+(KWTOTALCUSE*INDEX(ELECCB[NPV ACC+T&amp;D $/kW],MATCH(15,ELECCB[Year Number],0))))/COSTTOTALALLCUSE),2),"NA")</f>
        <v>NA</v>
      </c>
      <c r="S53" s="39" t="str">
        <f ca="1">IFERROR(ROUND(COSTTOTALALLCUSE/M02S02F35/KWHTOTALCUSE,2),"NA")</f>
        <v>NA</v>
      </c>
    </row>
    <row r="54" spans="1:19" x14ac:dyDescent="0.25">
      <c r="A54" s="6" t="s">
        <v>47</v>
      </c>
      <c r="B54" s="7" t="s">
        <v>110</v>
      </c>
      <c r="E54" s="41" t="s">
        <v>1672</v>
      </c>
      <c r="F54" s="505">
        <f>SUM(F26,F30,F43:F50,F32,F33)</f>
        <v>0</v>
      </c>
      <c r="G54" s="505">
        <f t="shared" ref="G54:M54" si="4">SUM(G26,G30,G43:G50,G32,G33)</f>
        <v>0</v>
      </c>
      <c r="H54" s="507">
        <f t="shared" si="4"/>
        <v>0</v>
      </c>
      <c r="I54" s="506">
        <f t="shared" si="4"/>
        <v>0</v>
      </c>
      <c r="J54" s="506">
        <f t="shared" si="4"/>
        <v>0</v>
      </c>
      <c r="K54" s="505">
        <f t="shared" ca="1" si="4"/>
        <v>0</v>
      </c>
      <c r="L54" s="507">
        <f t="shared" ca="1" si="4"/>
        <v>0</v>
      </c>
      <c r="M54" s="506">
        <f t="shared" ca="1" si="4"/>
        <v>0</v>
      </c>
      <c r="N54" s="506"/>
      <c r="O54" s="506"/>
      <c r="P54" s="506">
        <f t="shared" ref="P54:Q54" si="5">SUM(P26,P30,P43:P50,P32,P33)</f>
        <v>0</v>
      </c>
      <c r="Q54" s="506">
        <f t="shared" ca="1" si="5"/>
        <v>0</v>
      </c>
    </row>
    <row r="55" spans="1:19" x14ac:dyDescent="0.25">
      <c r="A55" s="6" t="s">
        <v>48</v>
      </c>
      <c r="B55" s="7" t="s">
        <v>40</v>
      </c>
      <c r="E55" s="41" t="s">
        <v>1673</v>
      </c>
      <c r="F55" s="505">
        <f>SUM(F27:F29,F35:F41)+F31</f>
        <v>0</v>
      </c>
      <c r="G55" s="505">
        <f t="shared" ref="G55:M55" si="6">SUM(G27:G29,G35:G41)+G31</f>
        <v>0</v>
      </c>
      <c r="H55" s="507">
        <f t="shared" si="6"/>
        <v>0</v>
      </c>
      <c r="I55" s="506">
        <f t="shared" si="6"/>
        <v>0</v>
      </c>
      <c r="J55" s="506">
        <f t="shared" si="6"/>
        <v>0</v>
      </c>
      <c r="K55" s="505">
        <f t="shared" si="6"/>
        <v>0</v>
      </c>
      <c r="L55" s="507">
        <f t="shared" ca="1" si="6"/>
        <v>0</v>
      </c>
      <c r="M55" s="506">
        <f t="shared" ca="1" si="6"/>
        <v>0</v>
      </c>
      <c r="N55" s="505"/>
      <c r="O55" s="505"/>
      <c r="P55" s="506">
        <f t="shared" ref="P55:Q55" si="7">SUM(P27:P29,P35:P41)+P31</f>
        <v>0</v>
      </c>
      <c r="Q55" s="506">
        <f t="shared" ca="1" si="7"/>
        <v>0</v>
      </c>
    </row>
    <row r="56" spans="1:19" x14ac:dyDescent="0.25">
      <c r="A56" s="6" t="s">
        <v>49</v>
      </c>
      <c r="B56" s="7" t="s">
        <v>107</v>
      </c>
      <c r="E56" s="41" t="s">
        <v>223</v>
      </c>
      <c r="F56" s="505">
        <f>SUM(F26:F50)</f>
        <v>0</v>
      </c>
      <c r="G56" s="505">
        <f t="shared" ref="G56:M56" si="8">SUM(G26:G50)</f>
        <v>0</v>
      </c>
      <c r="H56" s="507">
        <f t="shared" si="8"/>
        <v>0</v>
      </c>
      <c r="I56" s="506">
        <f>SUM(I26:I50)</f>
        <v>0</v>
      </c>
      <c r="J56" s="506">
        <f t="shared" si="8"/>
        <v>0</v>
      </c>
      <c r="K56" s="505">
        <f t="shared" ca="1" si="8"/>
        <v>0</v>
      </c>
      <c r="L56" s="507">
        <f t="shared" ca="1" si="8"/>
        <v>0</v>
      </c>
      <c r="M56" s="506">
        <f t="shared" ca="1" si="8"/>
        <v>0</v>
      </c>
      <c r="N56" s="506">
        <f>SUM(N26:N50)</f>
        <v>0</v>
      </c>
      <c r="O56" s="506">
        <f ca="1">MIN(ELIBONUS,BONUSCOST)</f>
        <v>0</v>
      </c>
      <c r="P56" s="506">
        <f t="shared" ref="P56:Q56" si="9">SUM(P26:P50)</f>
        <v>0</v>
      </c>
      <c r="Q56" s="506">
        <f t="shared" ca="1" si="9"/>
        <v>0</v>
      </c>
      <c r="R56" s="39" t="str">
        <f ca="1">IFERROR(ROUND(((1+ELOSS)*((KWHTOTAL*INDEX(ELECCB[NPV AEC $/kWh],MATCH(12,ELECCB[Year Number],0)))+(KWTOTAL*INDEX(ELECCB[NPV ACC+T&amp;D $/kW],MATCH(12,ELECCB[Year Number],0))))/COSTTOTALALL),2),"NA")</f>
        <v>NA</v>
      </c>
      <c r="S56" s="39" t="str">
        <f ca="1">IFERROR(ROUND(COSTTOTALALL/M02S02F35/KWHTOTAL,2),"NA")</f>
        <v>NA</v>
      </c>
    </row>
    <row r="57" spans="1:19" x14ac:dyDescent="0.25">
      <c r="A57" s="6" t="s">
        <v>50</v>
      </c>
      <c r="B57" s="7" t="s">
        <v>108</v>
      </c>
      <c r="M57" s="453"/>
      <c r="N57" s="479" t="s">
        <v>2011</v>
      </c>
      <c r="O57" s="480">
        <f>SUM(O26:O50)</f>
        <v>0</v>
      </c>
      <c r="P57" s="480"/>
      <c r="Q57" s="479"/>
    </row>
    <row r="58" spans="1:19" x14ac:dyDescent="0.25">
      <c r="A58" s="6" t="s">
        <v>51</v>
      </c>
      <c r="B58" s="7" t="s">
        <v>216</v>
      </c>
      <c r="N58" s="479" t="s">
        <v>2010</v>
      </c>
      <c r="O58" s="479" t="e">
        <f ca="1">ACTBONUS/ELIBONUS</f>
        <v>#DIV/0!</v>
      </c>
      <c r="P58" s="479"/>
      <c r="Q58" s="479"/>
    </row>
    <row r="59" spans="1:19" x14ac:dyDescent="0.25">
      <c r="A59" s="6" t="s">
        <v>52</v>
      </c>
      <c r="B59" s="7" t="s">
        <v>1131</v>
      </c>
    </row>
    <row r="60" spans="1:19" x14ac:dyDescent="0.25">
      <c r="A60" s="8" t="s">
        <v>53</v>
      </c>
      <c r="B60" s="9" t="s">
        <v>53</v>
      </c>
    </row>
    <row r="61" spans="1:19" x14ac:dyDescent="0.25">
      <c r="A61" s="4" t="s">
        <v>66</v>
      </c>
      <c r="B61" s="5" t="s">
        <v>1574</v>
      </c>
    </row>
    <row r="62" spans="1:19" x14ac:dyDescent="0.25">
      <c r="A62" s="6" t="s">
        <v>54</v>
      </c>
      <c r="B62" s="7" t="s">
        <v>54</v>
      </c>
    </row>
    <row r="63" spans="1:19" x14ac:dyDescent="0.25">
      <c r="A63" s="6" t="s">
        <v>55</v>
      </c>
      <c r="B63" s="7" t="s">
        <v>55</v>
      </c>
    </row>
    <row r="64" spans="1:19"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x14ac:dyDescent="0.25">
      <c r="C71" t="s">
        <v>119</v>
      </c>
      <c r="D71" t="s">
        <v>457</v>
      </c>
    </row>
    <row r="72" spans="1:5" x14ac:dyDescent="0.25">
      <c r="A72">
        <f ca="1">SUM(D73:D80)</f>
        <v>0</v>
      </c>
      <c r="B72" t="str">
        <f>M2S1</f>
        <v>Terms &amp; Conditions and Eligibility</v>
      </c>
      <c r="C72">
        <f ca="1">COUNT(C73:C80)</f>
        <v>7</v>
      </c>
      <c r="D72">
        <f ca="1">COUNT(D73:D80)</f>
        <v>6</v>
      </c>
    </row>
    <row r="73" spans="1:5" x14ac:dyDescent="0.25">
      <c r="A73" t="s">
        <v>468</v>
      </c>
      <c r="B73" t="s">
        <v>987</v>
      </c>
      <c r="C73" s="37"/>
    </row>
    <row r="74" spans="1:5" x14ac:dyDescent="0.25">
      <c r="A74" t="s">
        <v>988</v>
      </c>
      <c r="B74" t="str">
        <f ca="1">OFFSET(INDIRECT(A74),-1,0)</f>
        <v>Electronic Signature (Account Owner or Authorized Representative)*</v>
      </c>
      <c r="C74">
        <f t="shared" ref="C74:D80" ca="1" si="10">IF(INDIRECT($A74)="",0,1)</f>
        <v>0</v>
      </c>
      <c r="D74">
        <f t="shared" ca="1" si="10"/>
        <v>0</v>
      </c>
      <c r="E74">
        <f ca="1">INDIRECT(A74)</f>
        <v>0</v>
      </c>
    </row>
    <row r="75" spans="1:5" x14ac:dyDescent="0.25">
      <c r="A75" t="s">
        <v>989</v>
      </c>
      <c r="B75" t="str">
        <f ca="1">OFFSET(INDIRECT(A75),-1,0)</f>
        <v>Signatory Title*</v>
      </c>
      <c r="C75">
        <f t="shared" ca="1" si="10"/>
        <v>0</v>
      </c>
      <c r="D75">
        <f t="shared" ca="1" si="10"/>
        <v>0</v>
      </c>
      <c r="E75">
        <f t="shared" ref="E75:E80" ca="1" si="11">INDIRECT(A75)</f>
        <v>0</v>
      </c>
    </row>
    <row r="76" spans="1:5" x14ac:dyDescent="0.25">
      <c r="A76" t="s">
        <v>990</v>
      </c>
      <c r="B76" t="str">
        <f ca="1">OFFSET(INDIRECT(A76),-1,0)</f>
        <v>Date Signed*</v>
      </c>
      <c r="C76">
        <f t="shared" ca="1" si="10"/>
        <v>0</v>
      </c>
      <c r="D76">
        <f t="shared" ca="1" si="10"/>
        <v>0</v>
      </c>
      <c r="E76">
        <f t="shared" ca="1" si="11"/>
        <v>0</v>
      </c>
    </row>
    <row r="77" spans="1:5" x14ac:dyDescent="0.25">
      <c r="A77" t="s">
        <v>269</v>
      </c>
      <c r="B77" t="str">
        <f ca="1">OFFSET(INDIRECT(A77),-1,0)</f>
        <v>Estimated Date of Completion*</v>
      </c>
      <c r="C77">
        <f t="shared" ca="1" si="10"/>
        <v>0</v>
      </c>
      <c r="D77">
        <f ca="1">IF(M02S02F44="Yes",1,IF(INDIRECT($A77)="",0,1))</f>
        <v>0</v>
      </c>
      <c r="E77">
        <f t="shared" ca="1" si="11"/>
        <v>0</v>
      </c>
    </row>
    <row r="78" spans="1:5" x14ac:dyDescent="0.25">
      <c r="A78" t="s">
        <v>270</v>
      </c>
      <c r="B78" t="str">
        <f ca="1">OFFSET(INDIRECT(A78),-1,0)</f>
        <v>Have you Installed or Purchased Equipment?*</v>
      </c>
      <c r="C78">
        <f t="shared" ca="1" si="10"/>
        <v>0</v>
      </c>
      <c r="D78">
        <f t="shared" ca="1" si="10"/>
        <v>0</v>
      </c>
      <c r="E78">
        <f t="shared" ca="1" si="11"/>
        <v>0</v>
      </c>
    </row>
    <row r="79" spans="1:5" x14ac:dyDescent="0.25">
      <c r="A79" t="s">
        <v>2182</v>
      </c>
      <c r="B79" t="str">
        <f ca="1">OFFSET(INDIRECT(A79),-2,0)</f>
        <v>How Did You Hear About the Program?*</v>
      </c>
      <c r="C79">
        <f ca="1">IF(INDIRECT($A79)="",0,1)</f>
        <v>0</v>
      </c>
      <c r="D79">
        <f t="shared" ca="1" si="10"/>
        <v>0</v>
      </c>
      <c r="E79">
        <f t="shared" ca="1" si="11"/>
        <v>0</v>
      </c>
    </row>
    <row r="80" spans="1:5" x14ac:dyDescent="0.25">
      <c r="A80" t="s">
        <v>2183</v>
      </c>
      <c r="B80" t="s">
        <v>2184</v>
      </c>
      <c r="C80">
        <f t="shared" ca="1" si="10"/>
        <v>0</v>
      </c>
      <c r="E80" t="str">
        <f t="shared" ca="1" si="11"/>
        <v/>
      </c>
    </row>
    <row r="81" spans="1:5" x14ac:dyDescent="0.25">
      <c r="E81" s="59"/>
    </row>
    <row r="82" spans="1:5" x14ac:dyDescent="0.25">
      <c r="C82" t="s">
        <v>119</v>
      </c>
      <c r="D82" t="s">
        <v>457</v>
      </c>
    </row>
    <row r="83" spans="1:5" x14ac:dyDescent="0.25">
      <c r="A83">
        <f ca="1">SUM(D84:D137)</f>
        <v>0</v>
      </c>
      <c r="B83" t="str">
        <f>M2S2</f>
        <v>Site Information</v>
      </c>
      <c r="C83">
        <f ca="1">COUNT(C84:C137)</f>
        <v>50</v>
      </c>
      <c r="D83">
        <f ca="1">COUNT(D84:D137)</f>
        <v>39</v>
      </c>
    </row>
    <row r="84" spans="1:5" x14ac:dyDescent="0.25">
      <c r="A84" t="s">
        <v>219</v>
      </c>
      <c r="B84" t="str">
        <f ca="1">OFFSET(INDIRECT(A84),-1,0)</f>
        <v>Company Name*</v>
      </c>
      <c r="C84">
        <f ca="1">IF(INDIRECT($A84)="",0,1)</f>
        <v>0</v>
      </c>
      <c r="D84">
        <f ca="1">IF(INDIRECT($A84)="",0,1)</f>
        <v>0</v>
      </c>
      <c r="E84" t="str">
        <f ca="1">INDIRECT(A84)</f>
        <v/>
      </c>
    </row>
    <row r="85" spans="1:5" x14ac:dyDescent="0.25">
      <c r="A85" t="s">
        <v>228</v>
      </c>
      <c r="B85" t="str">
        <f t="shared" ref="B85:B186" ca="1" si="12">OFFSET(INDIRECT(A85),-1,0)</f>
        <v>First Name*</v>
      </c>
      <c r="C85">
        <f t="shared" ref="C85:D133" ca="1" si="13">IF(INDIRECT($A85)="",0,1)</f>
        <v>0</v>
      </c>
      <c r="D85">
        <f t="shared" ca="1" si="13"/>
        <v>0</v>
      </c>
      <c r="E85" t="str">
        <f t="shared" ref="E85:E151" ca="1" si="14">INDIRECT(A85)</f>
        <v/>
      </c>
    </row>
    <row r="86" spans="1:5" x14ac:dyDescent="0.25">
      <c r="A86" t="s">
        <v>229</v>
      </c>
      <c r="B86" t="str">
        <f t="shared" ca="1" si="12"/>
        <v>Last Name*</v>
      </c>
      <c r="C86">
        <f t="shared" ca="1" si="13"/>
        <v>0</v>
      </c>
      <c r="D86">
        <f t="shared" ca="1" si="13"/>
        <v>0</v>
      </c>
      <c r="E86" t="str">
        <f t="shared" ca="1" si="14"/>
        <v/>
      </c>
    </row>
    <row r="87" spans="1:5" x14ac:dyDescent="0.25">
      <c r="A87" t="s">
        <v>230</v>
      </c>
      <c r="B87" t="str">
        <f t="shared" ca="1" si="12"/>
        <v>Title*</v>
      </c>
      <c r="C87">
        <f t="shared" ca="1" si="13"/>
        <v>0</v>
      </c>
      <c r="D87">
        <f t="shared" ca="1" si="13"/>
        <v>0</v>
      </c>
      <c r="E87" t="str">
        <f t="shared" ca="1" si="14"/>
        <v/>
      </c>
    </row>
    <row r="88" spans="1:5" x14ac:dyDescent="0.25">
      <c r="A88" t="s">
        <v>231</v>
      </c>
      <c r="B88" t="str">
        <f t="shared" ca="1" si="12"/>
        <v>Phone*</v>
      </c>
      <c r="C88">
        <f t="shared" ca="1" si="13"/>
        <v>0</v>
      </c>
      <c r="D88">
        <f t="shared" ca="1" si="13"/>
        <v>0</v>
      </c>
      <c r="E88" t="str">
        <f t="shared" ca="1" si="14"/>
        <v/>
      </c>
    </row>
    <row r="89" spans="1:5" x14ac:dyDescent="0.25">
      <c r="A89" t="s">
        <v>232</v>
      </c>
    </row>
    <row r="90" spans="1:5" x14ac:dyDescent="0.25">
      <c r="A90" t="s">
        <v>233</v>
      </c>
      <c r="B90" t="str">
        <f t="shared" ca="1" si="12"/>
        <v>Email*</v>
      </c>
      <c r="C90">
        <f t="shared" ca="1" si="13"/>
        <v>0</v>
      </c>
      <c r="D90">
        <f t="shared" ca="1" si="13"/>
        <v>0</v>
      </c>
      <c r="E90" t="str">
        <f t="shared" ca="1" si="14"/>
        <v/>
      </c>
    </row>
    <row r="91" spans="1:5" x14ac:dyDescent="0.25">
      <c r="A91" t="s">
        <v>234</v>
      </c>
      <c r="B91" t="str">
        <f t="shared" ca="1" si="12"/>
        <v>Company Address*</v>
      </c>
      <c r="C91">
        <f t="shared" ca="1" si="13"/>
        <v>0</v>
      </c>
      <c r="D91">
        <f t="shared" ca="1" si="13"/>
        <v>0</v>
      </c>
      <c r="E91">
        <f t="shared" ca="1" si="14"/>
        <v>0</v>
      </c>
    </row>
    <row r="92" spans="1:5" x14ac:dyDescent="0.25">
      <c r="A92" t="s">
        <v>235</v>
      </c>
      <c r="B92" t="str">
        <f t="shared" ca="1" si="12"/>
        <v>City*</v>
      </c>
      <c r="C92">
        <f t="shared" ca="1" si="13"/>
        <v>0</v>
      </c>
      <c r="D92">
        <f t="shared" ca="1" si="13"/>
        <v>0</v>
      </c>
      <c r="E92">
        <f t="shared" ca="1" si="14"/>
        <v>0</v>
      </c>
    </row>
    <row r="93" spans="1:5" x14ac:dyDescent="0.25">
      <c r="A93" t="s">
        <v>236</v>
      </c>
      <c r="B93" t="str">
        <f t="shared" ca="1" si="12"/>
        <v>State/ Province*</v>
      </c>
      <c r="C93">
        <f t="shared" ca="1" si="13"/>
        <v>0</v>
      </c>
      <c r="D93">
        <f t="shared" ca="1" si="13"/>
        <v>0</v>
      </c>
      <c r="E93">
        <f t="shared" ca="1" si="14"/>
        <v>0</v>
      </c>
    </row>
    <row r="94" spans="1:5" x14ac:dyDescent="0.25">
      <c r="A94" t="s">
        <v>237</v>
      </c>
      <c r="B94" t="str">
        <f t="shared" ca="1" si="12"/>
        <v>Zip/ Postal Code*</v>
      </c>
      <c r="C94">
        <f t="shared" ca="1" si="13"/>
        <v>0</v>
      </c>
      <c r="D94">
        <f t="shared" ca="1" si="13"/>
        <v>0</v>
      </c>
      <c r="E94">
        <f t="shared" ca="1" si="14"/>
        <v>0</v>
      </c>
    </row>
    <row r="95" spans="1:5" x14ac:dyDescent="0.25">
      <c r="A95" t="s">
        <v>971</v>
      </c>
      <c r="B95" t="str">
        <f t="shared" ca="1" si="12"/>
        <v>Diverse Business Type*</v>
      </c>
      <c r="C95">
        <f t="shared" ca="1" si="13"/>
        <v>0</v>
      </c>
      <c r="D95">
        <f t="shared" ca="1" si="13"/>
        <v>0</v>
      </c>
      <c r="E95">
        <f t="shared" ca="1" si="14"/>
        <v>0</v>
      </c>
    </row>
    <row r="96" spans="1:5" x14ac:dyDescent="0.25">
      <c r="A96" t="s">
        <v>972</v>
      </c>
      <c r="B96" t="str">
        <f t="shared" ca="1" si="12"/>
        <v>Issued Organization Type*</v>
      </c>
      <c r="C96">
        <f t="shared" ca="1" si="13"/>
        <v>0</v>
      </c>
      <c r="D96">
        <f ca="1">IF(M02S02F11.1="Not Applicable",1,IF(INDIRECT($A96)="",0,1))</f>
        <v>0</v>
      </c>
      <c r="E96">
        <f t="shared" ca="1" si="14"/>
        <v>0</v>
      </c>
    </row>
    <row r="97" spans="1:5" x14ac:dyDescent="0.25">
      <c r="A97" t="s">
        <v>973</v>
      </c>
      <c r="B97" t="str">
        <f t="shared" ca="1" si="12"/>
        <v>Certificate Number*</v>
      </c>
      <c r="C97">
        <f t="shared" ca="1" si="13"/>
        <v>0</v>
      </c>
      <c r="D97">
        <f ca="1">IF(M02S02F11.1="Not Applicable",1,IF(INDIRECT($A97)="",0,1))</f>
        <v>0</v>
      </c>
      <c r="E97">
        <f t="shared" ca="1" si="14"/>
        <v>0</v>
      </c>
    </row>
    <row r="98" spans="1:5" x14ac:dyDescent="0.25">
      <c r="A98" t="s">
        <v>974</v>
      </c>
      <c r="B98" t="str">
        <f t="shared" ca="1" si="12"/>
        <v>Certificate Issued Date*</v>
      </c>
      <c r="C98">
        <f t="shared" ca="1" si="13"/>
        <v>0</v>
      </c>
      <c r="D98">
        <f ca="1">IF(M02S02F11.1="Not Applicable",1,IF(INDIRECT($A98)="",0,1))</f>
        <v>0</v>
      </c>
      <c r="E98">
        <f t="shared" ca="1" si="14"/>
        <v>0</v>
      </c>
    </row>
    <row r="99" spans="1:5" x14ac:dyDescent="0.25">
      <c r="A99" t="s">
        <v>975</v>
      </c>
      <c r="B99" t="str">
        <f t="shared" ca="1" si="12"/>
        <v>Certificate Expiration Date*</v>
      </c>
      <c r="C99">
        <f t="shared" ca="1" si="13"/>
        <v>0</v>
      </c>
      <c r="D99">
        <f ca="1">IF(M02S02F11.1="Not Applicable",1,IF(INDIRECT($A99)="",0,1))</f>
        <v>0</v>
      </c>
      <c r="E99">
        <f t="shared" ca="1" si="14"/>
        <v>0</v>
      </c>
    </row>
    <row r="100" spans="1:5" x14ac:dyDescent="0.25">
      <c r="A100" t="s">
        <v>238</v>
      </c>
      <c r="B100" t="str">
        <f t="shared" ca="1" si="12"/>
        <v>Project Type*</v>
      </c>
      <c r="C100">
        <f t="shared" ca="1" si="13"/>
        <v>1</v>
      </c>
      <c r="E100" t="str">
        <f t="shared" ca="1" si="14"/>
        <v>Custom/Standard</v>
      </c>
    </row>
    <row r="101" spans="1:5" x14ac:dyDescent="0.25">
      <c r="A101" t="s">
        <v>239</v>
      </c>
      <c r="B101" t="str">
        <f t="shared" ca="1" si="12"/>
        <v>Project ID*</v>
      </c>
      <c r="C101">
        <f t="shared" ca="1" si="13"/>
        <v>0</v>
      </c>
      <c r="D101">
        <f t="shared" ca="1" si="13"/>
        <v>0</v>
      </c>
      <c r="E101">
        <f t="shared" ca="1" si="14"/>
        <v>0</v>
      </c>
    </row>
    <row r="102" spans="1:5" x14ac:dyDescent="0.25">
      <c r="A102" t="s">
        <v>240</v>
      </c>
    </row>
    <row r="103" spans="1:5" x14ac:dyDescent="0.25">
      <c r="A103" t="s">
        <v>241</v>
      </c>
      <c r="B103" t="str">
        <f ca="1">OFFSET(INDIRECT(A103),0,-10)</f>
        <v>Is Site Location same as Company Location?*</v>
      </c>
      <c r="C103">
        <f t="shared" ca="1" si="13"/>
        <v>0</v>
      </c>
      <c r="D103">
        <f t="shared" ca="1" si="13"/>
        <v>0</v>
      </c>
      <c r="E103">
        <f t="shared" ca="1" si="14"/>
        <v>0</v>
      </c>
    </row>
    <row r="104" spans="1:5" x14ac:dyDescent="0.25">
      <c r="A104" t="s">
        <v>242</v>
      </c>
      <c r="B104" t="str">
        <f t="shared" ca="1" si="12"/>
        <v>First Name*</v>
      </c>
      <c r="C104">
        <f t="shared" ca="1" si="13"/>
        <v>0</v>
      </c>
      <c r="D104">
        <f t="shared" ca="1" si="13"/>
        <v>0</v>
      </c>
      <c r="E104">
        <f t="shared" ca="1" si="14"/>
        <v>0</v>
      </c>
    </row>
    <row r="105" spans="1:5" x14ac:dyDescent="0.25">
      <c r="A105" t="s">
        <v>243</v>
      </c>
      <c r="B105" t="str">
        <f t="shared" ca="1" si="12"/>
        <v>Last Name*</v>
      </c>
      <c r="C105">
        <f t="shared" ca="1" si="13"/>
        <v>0</v>
      </c>
      <c r="D105">
        <f t="shared" ca="1" si="13"/>
        <v>0</v>
      </c>
      <c r="E105">
        <f t="shared" ca="1" si="14"/>
        <v>0</v>
      </c>
    </row>
    <row r="106" spans="1:5" x14ac:dyDescent="0.25">
      <c r="A106" t="s">
        <v>244</v>
      </c>
      <c r="B106" t="str">
        <f t="shared" ca="1" si="12"/>
        <v>Title*</v>
      </c>
      <c r="C106">
        <f t="shared" ca="1" si="13"/>
        <v>0</v>
      </c>
      <c r="D106">
        <f t="shared" ca="1" si="13"/>
        <v>0</v>
      </c>
      <c r="E106">
        <f t="shared" ca="1" si="14"/>
        <v>0</v>
      </c>
    </row>
    <row r="107" spans="1:5" x14ac:dyDescent="0.25">
      <c r="A107" t="s">
        <v>245</v>
      </c>
      <c r="B107" t="str">
        <f t="shared" ca="1" si="12"/>
        <v>Phone*</v>
      </c>
      <c r="C107">
        <f t="shared" ca="1" si="13"/>
        <v>0</v>
      </c>
      <c r="D107">
        <f t="shared" ca="1" si="13"/>
        <v>0</v>
      </c>
      <c r="E107">
        <f t="shared" ca="1" si="14"/>
        <v>0</v>
      </c>
    </row>
    <row r="108" spans="1:5" x14ac:dyDescent="0.25">
      <c r="A108" t="s">
        <v>246</v>
      </c>
    </row>
    <row r="109" spans="1:5" x14ac:dyDescent="0.25">
      <c r="A109" t="s">
        <v>247</v>
      </c>
      <c r="B109" t="str">
        <f t="shared" ca="1" si="12"/>
        <v>Email*</v>
      </c>
      <c r="C109">
        <f t="shared" ca="1" si="13"/>
        <v>0</v>
      </c>
      <c r="D109">
        <f t="shared" ca="1" si="13"/>
        <v>0</v>
      </c>
      <c r="E109">
        <f t="shared" ca="1" si="14"/>
        <v>0</v>
      </c>
    </row>
    <row r="110" spans="1:5" x14ac:dyDescent="0.25">
      <c r="A110" t="s">
        <v>248</v>
      </c>
      <c r="B110" t="str">
        <f t="shared" ca="1" si="12"/>
        <v>Site Address*</v>
      </c>
      <c r="C110">
        <f t="shared" ca="1" si="13"/>
        <v>0</v>
      </c>
      <c r="D110">
        <f t="shared" ca="1" si="13"/>
        <v>0</v>
      </c>
      <c r="E110" t="str">
        <f t="shared" ca="1" si="14"/>
        <v/>
      </c>
    </row>
    <row r="111" spans="1:5" x14ac:dyDescent="0.25">
      <c r="A111" t="s">
        <v>249</v>
      </c>
      <c r="B111" t="str">
        <f t="shared" ca="1" si="12"/>
        <v>City*</v>
      </c>
      <c r="C111">
        <f t="shared" ca="1" si="13"/>
        <v>0</v>
      </c>
      <c r="D111">
        <f t="shared" ca="1" si="13"/>
        <v>0</v>
      </c>
      <c r="E111" t="str">
        <f t="shared" ca="1" si="14"/>
        <v/>
      </c>
    </row>
    <row r="112" spans="1:5" x14ac:dyDescent="0.25">
      <c r="A112" t="s">
        <v>250</v>
      </c>
      <c r="B112" t="str">
        <f t="shared" ca="1" si="12"/>
        <v>State*</v>
      </c>
      <c r="C112">
        <f t="shared" ca="1" si="13"/>
        <v>1</v>
      </c>
      <c r="E112" t="str">
        <f t="shared" ca="1" si="14"/>
        <v>MO</v>
      </c>
    </row>
    <row r="113" spans="1:5" x14ac:dyDescent="0.25">
      <c r="A113" t="s">
        <v>251</v>
      </c>
      <c r="B113" t="str">
        <f t="shared" ca="1" si="12"/>
        <v>Zip Code*</v>
      </c>
      <c r="C113">
        <f t="shared" ca="1" si="13"/>
        <v>0</v>
      </c>
      <c r="D113">
        <f t="shared" ca="1" si="13"/>
        <v>0</v>
      </c>
      <c r="E113" t="str">
        <f t="shared" ca="1" si="14"/>
        <v/>
      </c>
    </row>
    <row r="114" spans="1:5" x14ac:dyDescent="0.25">
      <c r="A114" t="s">
        <v>252</v>
      </c>
      <c r="B114" t="str">
        <f t="shared" ca="1" si="12"/>
        <v>Building Type*</v>
      </c>
      <c r="C114">
        <f t="shared" ca="1" si="13"/>
        <v>0</v>
      </c>
      <c r="D114">
        <f t="shared" ca="1" si="13"/>
        <v>0</v>
      </c>
      <c r="E114">
        <f t="shared" ca="1" si="14"/>
        <v>0</v>
      </c>
    </row>
    <row r="115" spans="1:5" x14ac:dyDescent="0.25">
      <c r="A115" t="s">
        <v>253</v>
      </c>
      <c r="B115" t="str">
        <f t="shared" ca="1" si="12"/>
        <v>Building Ownership*</v>
      </c>
      <c r="C115">
        <f t="shared" ca="1" si="13"/>
        <v>0</v>
      </c>
      <c r="D115">
        <f t="shared" ca="1" si="13"/>
        <v>0</v>
      </c>
      <c r="E115">
        <f t="shared" ca="1" si="14"/>
        <v>0</v>
      </c>
    </row>
    <row r="116" spans="1:5" x14ac:dyDescent="0.25">
      <c r="A116" t="s">
        <v>254</v>
      </c>
      <c r="B116" t="str">
        <f t="shared" ca="1" si="12"/>
        <v>Annual Operating Hours*</v>
      </c>
      <c r="C116">
        <f t="shared" ca="1" si="13"/>
        <v>0</v>
      </c>
      <c r="D116">
        <f t="shared" ca="1" si="13"/>
        <v>0</v>
      </c>
      <c r="E116">
        <f t="shared" ca="1" si="14"/>
        <v>0</v>
      </c>
    </row>
    <row r="117" spans="1:5" x14ac:dyDescent="0.25">
      <c r="A117" t="s">
        <v>255</v>
      </c>
      <c r="B117" t="str">
        <f t="shared" ca="1" si="12"/>
        <v>Year Built</v>
      </c>
      <c r="C117">
        <f t="shared" ca="1" si="13"/>
        <v>0</v>
      </c>
      <c r="E117">
        <f t="shared" ca="1" si="14"/>
        <v>0</v>
      </c>
    </row>
    <row r="118" spans="1:5" x14ac:dyDescent="0.25">
      <c r="A118" t="s">
        <v>256</v>
      </c>
      <c r="B118" t="str">
        <f t="shared" ca="1" si="12"/>
        <v>Square Footage*</v>
      </c>
      <c r="C118">
        <f t="shared" ca="1" si="13"/>
        <v>0</v>
      </c>
      <c r="E118">
        <f t="shared" ca="1" si="14"/>
        <v>0</v>
      </c>
    </row>
    <row r="119" spans="1:5" x14ac:dyDescent="0.25">
      <c r="A119" t="s">
        <v>257</v>
      </c>
      <c r="B119" t="str">
        <f t="shared" ca="1" si="12"/>
        <v># of Floors</v>
      </c>
      <c r="C119">
        <f t="shared" ca="1" si="13"/>
        <v>0</v>
      </c>
      <c r="E119">
        <f t="shared" ca="1" si="14"/>
        <v>0</v>
      </c>
    </row>
    <row r="120" spans="1:5" x14ac:dyDescent="0.25">
      <c r="A120" t="s">
        <v>258</v>
      </c>
      <c r="B120" t="str">
        <f t="shared" ca="1" si="12"/>
        <v>Space Conditioning Type*</v>
      </c>
      <c r="C120">
        <f t="shared" ca="1" si="13"/>
        <v>0</v>
      </c>
      <c r="D120">
        <f t="shared" ca="1" si="13"/>
        <v>0</v>
      </c>
      <c r="E120">
        <f t="shared" ca="1" si="14"/>
        <v>0</v>
      </c>
    </row>
    <row r="121" spans="1:5" x14ac:dyDescent="0.25">
      <c r="A121" t="s">
        <v>259</v>
      </c>
      <c r="B121" t="str">
        <f t="shared" ca="1" si="12"/>
        <v>Water Heating Type*</v>
      </c>
      <c r="C121">
        <f t="shared" ca="1" si="13"/>
        <v>0</v>
      </c>
      <c r="D121">
        <f t="shared" ca="1" si="13"/>
        <v>0</v>
      </c>
      <c r="E121">
        <f t="shared" ca="1" si="14"/>
        <v>0</v>
      </c>
    </row>
    <row r="122" spans="1:5" x14ac:dyDescent="0.25">
      <c r="A122" t="s">
        <v>260</v>
      </c>
      <c r="B122" t="str">
        <f t="shared" ca="1" si="12"/>
        <v>Company Name*</v>
      </c>
      <c r="C122">
        <f t="shared" ca="1" si="13"/>
        <v>0</v>
      </c>
      <c r="D122">
        <f t="shared" ca="1" si="13"/>
        <v>0</v>
      </c>
      <c r="E122">
        <f t="shared" ca="1" si="14"/>
        <v>0</v>
      </c>
    </row>
    <row r="123" spans="1:5" x14ac:dyDescent="0.25">
      <c r="A123" t="s">
        <v>261</v>
      </c>
      <c r="B123" t="str">
        <f t="shared" ca="1" si="12"/>
        <v>Electric Utility Rate* ($/kWh)</v>
      </c>
      <c r="C123">
        <f t="shared" ca="1" si="13"/>
        <v>0</v>
      </c>
      <c r="D123">
        <f t="shared" ca="1" si="13"/>
        <v>0</v>
      </c>
      <c r="E123" t="str">
        <f t="shared" ca="1" si="14"/>
        <v/>
      </c>
    </row>
    <row r="124" spans="1:5" x14ac:dyDescent="0.25">
      <c r="A124" t="s">
        <v>262</v>
      </c>
      <c r="B124" t="str">
        <f t="shared" ca="1" si="12"/>
        <v>Rate Class*</v>
      </c>
      <c r="C124">
        <f t="shared" ca="1" si="13"/>
        <v>0</v>
      </c>
      <c r="D124">
        <f t="shared" ca="1" si="13"/>
        <v>0</v>
      </c>
      <c r="E124">
        <f t="shared" ca="1" si="14"/>
        <v>0</v>
      </c>
    </row>
    <row r="125" spans="1:5" x14ac:dyDescent="0.25">
      <c r="A125" t="s">
        <v>263</v>
      </c>
      <c r="B125" t="str">
        <f t="shared" ca="1" si="12"/>
        <v>Account Number 1*</v>
      </c>
      <c r="C125">
        <f t="shared" ca="1" si="13"/>
        <v>0</v>
      </c>
      <c r="D125">
        <f ca="1">IF(OR(INDIRECT($A125)&lt;&gt;"",INDIRECT($A126)&lt;&gt;"",INDIRECT($A127)&lt;&gt;"",INDIRECT($A128)&lt;&gt;""),1,0)</f>
        <v>0</v>
      </c>
      <c r="E125">
        <f t="shared" ca="1" si="14"/>
        <v>0</v>
      </c>
    </row>
    <row r="126" spans="1:5" x14ac:dyDescent="0.25">
      <c r="A126" t="s">
        <v>264</v>
      </c>
      <c r="B126" t="str">
        <f t="shared" ca="1" si="12"/>
        <v>Account Number 2</v>
      </c>
      <c r="C126">
        <f t="shared" ca="1" si="13"/>
        <v>0</v>
      </c>
      <c r="E126">
        <f t="shared" ca="1" si="14"/>
        <v>0</v>
      </c>
    </row>
    <row r="127" spans="1:5" x14ac:dyDescent="0.25">
      <c r="A127" t="s">
        <v>265</v>
      </c>
      <c r="B127" t="str">
        <f t="shared" ca="1" si="12"/>
        <v>Account Number 3</v>
      </c>
      <c r="C127">
        <f t="shared" ca="1" si="13"/>
        <v>0</v>
      </c>
      <c r="E127">
        <f t="shared" ca="1" si="14"/>
        <v>0</v>
      </c>
    </row>
    <row r="128" spans="1:5" x14ac:dyDescent="0.25">
      <c r="A128" t="s">
        <v>266</v>
      </c>
      <c r="B128" t="str">
        <f t="shared" ca="1" si="12"/>
        <v>Account Number 4</v>
      </c>
      <c r="C128">
        <f t="shared" ca="1" si="13"/>
        <v>0</v>
      </c>
      <c r="E128">
        <f t="shared" ca="1" si="14"/>
        <v>0</v>
      </c>
    </row>
    <row r="129" spans="1:8" x14ac:dyDescent="0.25">
      <c r="A129" t="s">
        <v>267</v>
      </c>
    </row>
    <row r="130" spans="1:8" x14ac:dyDescent="0.25">
      <c r="A130" t="s">
        <v>268</v>
      </c>
      <c r="B130" t="str">
        <f t="shared" ca="1" si="12"/>
        <v>BizSavers Representative assisting with application completion</v>
      </c>
      <c r="C130">
        <f t="shared" ca="1" si="13"/>
        <v>0</v>
      </c>
      <c r="E130">
        <f t="shared" ca="1" si="14"/>
        <v>0</v>
      </c>
    </row>
    <row r="131" spans="1:8" x14ac:dyDescent="0.25">
      <c r="A131" t="s">
        <v>271</v>
      </c>
      <c r="B131" t="str">
        <f t="shared" ca="1" si="12"/>
        <v>Project Description*</v>
      </c>
      <c r="C131">
        <f t="shared" ca="1" si="13"/>
        <v>0</v>
      </c>
      <c r="D131">
        <f t="shared" ca="1" si="13"/>
        <v>0</v>
      </c>
      <c r="E131">
        <f t="shared" ca="1" si="14"/>
        <v>0</v>
      </c>
    </row>
    <row r="132" spans="1:8" x14ac:dyDescent="0.25">
      <c r="A132" t="s">
        <v>1918</v>
      </c>
      <c r="B132" t="str">
        <f t="shared" ca="1" si="12"/>
        <v>Legal Company Name*</v>
      </c>
      <c r="C132">
        <f t="shared" ca="1" si="13"/>
        <v>0</v>
      </c>
      <c r="D132">
        <f t="shared" ca="1" si="13"/>
        <v>0</v>
      </c>
      <c r="E132">
        <f t="shared" ca="1" si="14"/>
        <v>0</v>
      </c>
    </row>
    <row r="133" spans="1:8" x14ac:dyDescent="0.25">
      <c r="A133" t="s">
        <v>1919</v>
      </c>
      <c r="B133" t="str">
        <f t="shared" ca="1" si="12"/>
        <v>Site Name*</v>
      </c>
      <c r="C133">
        <f ca="1">IF(INDIRECT($A133)="",0,1)</f>
        <v>0</v>
      </c>
      <c r="D133">
        <f t="shared" ca="1" si="13"/>
        <v>0</v>
      </c>
      <c r="E133" t="str">
        <f t="shared" ca="1" si="14"/>
        <v/>
      </c>
    </row>
    <row r="134" spans="1:8" x14ac:dyDescent="0.25">
      <c r="A134" t="s">
        <v>1952</v>
      </c>
      <c r="B134" t="str">
        <f ca="1">OFFSET(INDIRECT(A134),-1,0)</f>
        <v>Phone</v>
      </c>
      <c r="C134">
        <f t="shared" ref="C134:C136" ca="1" si="15">IF(INDIRECT($A134)="",0,1)</f>
        <v>0</v>
      </c>
      <c r="E134">
        <f t="shared" ca="1" si="14"/>
        <v>0</v>
      </c>
    </row>
    <row r="135" spans="1:8" x14ac:dyDescent="0.25">
      <c r="A135" t="s">
        <v>2305</v>
      </c>
      <c r="B135">
        <f ca="1">OFFSET(INDIRECT(A135),0,-18)</f>
        <v>0</v>
      </c>
      <c r="C135">
        <f t="shared" ca="1" si="15"/>
        <v>0</v>
      </c>
      <c r="D135">
        <f ca="1">IF(M02S02F44="Yes",1,IF(INDIRECT($A135)="",0,1))</f>
        <v>0</v>
      </c>
      <c r="E135">
        <f t="shared" ca="1" si="14"/>
        <v>0</v>
      </c>
    </row>
    <row r="136" spans="1:8" x14ac:dyDescent="0.25">
      <c r="A136" t="s">
        <v>2306</v>
      </c>
      <c r="B136" t="str">
        <f ca="1">OFFSET(INDIRECT(A136),0,-6)</f>
        <v>Energy Code Baseline*</v>
      </c>
      <c r="C136">
        <f t="shared" ca="1" si="15"/>
        <v>0</v>
      </c>
      <c r="D136">
        <f ca="1">IF(OR(M02S02F44="Yes",M02S02F49="No"),1,IF(INDIRECT($A136)="",0,1))</f>
        <v>0</v>
      </c>
      <c r="E136">
        <f ca="1">INDIRECT(A136)</f>
        <v>0</v>
      </c>
    </row>
    <row r="137" spans="1:8" x14ac:dyDescent="0.25">
      <c r="A137" t="s">
        <v>2376</v>
      </c>
      <c r="B137" t="str">
        <f ca="1">OFFSET(INDIRECT(A137),0,-12)</f>
        <v>Is the Survey Contact the same as the Technical Contact?</v>
      </c>
      <c r="C137">
        <f ca="1">IF(INDIRECT($A137)="",0,1)</f>
        <v>0</v>
      </c>
      <c r="E137">
        <f ca="1">INDIRECT(A137)</f>
        <v>0</v>
      </c>
      <c r="H137" s="247"/>
    </row>
    <row r="138" spans="1:8" x14ac:dyDescent="0.25">
      <c r="H138" s="247"/>
    </row>
    <row r="139" spans="1:8" x14ac:dyDescent="0.25">
      <c r="C139" t="s">
        <v>119</v>
      </c>
      <c r="D139" t="s">
        <v>457</v>
      </c>
    </row>
    <row r="140" spans="1:8" x14ac:dyDescent="0.25">
      <c r="A140">
        <f ca="1">SUM(D141:D157)</f>
        <v>0</v>
      </c>
      <c r="B140" t="str">
        <f>M2S3</f>
        <v>Trade Ally / Vendor Information</v>
      </c>
      <c r="C140">
        <f ca="1">COUNT(C141:C157)</f>
        <v>17</v>
      </c>
      <c r="D140">
        <f ca="1">COUNT(D141:D157)</f>
        <v>16</v>
      </c>
    </row>
    <row r="141" spans="1:8" x14ac:dyDescent="0.25">
      <c r="A141" t="s">
        <v>227</v>
      </c>
      <c r="B141" t="str">
        <f t="shared" ca="1" si="12"/>
        <v>Is there a Trade Ally or vendor for this project?</v>
      </c>
      <c r="C141">
        <f t="shared" ref="C141:D158" ca="1" si="16">IF(INDIRECT($A141)="",0,1)</f>
        <v>0</v>
      </c>
      <c r="D141">
        <f t="shared" ca="1" si="16"/>
        <v>0</v>
      </c>
      <c r="E141">
        <f ca="1">INDIRECT(A141)</f>
        <v>0</v>
      </c>
    </row>
    <row r="142" spans="1:8" x14ac:dyDescent="0.25">
      <c r="A142" t="s">
        <v>272</v>
      </c>
      <c r="B142" t="str">
        <f t="shared" ca="1" si="12"/>
        <v>Trade Ally / Vendor Company*</v>
      </c>
      <c r="C142">
        <f t="shared" ca="1" si="16"/>
        <v>0</v>
      </c>
      <c r="D142">
        <f ca="1">IF(M02S03F01="No",1,IF(INDIRECT($A142)="",0,1))</f>
        <v>0</v>
      </c>
      <c r="E142">
        <f t="shared" ca="1" si="14"/>
        <v>0</v>
      </c>
    </row>
    <row r="143" spans="1:8" x14ac:dyDescent="0.25">
      <c r="A143" t="s">
        <v>273</v>
      </c>
      <c r="B143" t="str">
        <f t="shared" ca="1" si="12"/>
        <v>First Name*</v>
      </c>
      <c r="C143">
        <f t="shared" ca="1" si="16"/>
        <v>0</v>
      </c>
      <c r="D143">
        <f ca="1">IF(M02S03F01="No",1,IF(INDIRECT($A143)="",0,1))</f>
        <v>0</v>
      </c>
      <c r="E143">
        <f t="shared" ca="1" si="14"/>
        <v>0</v>
      </c>
    </row>
    <row r="144" spans="1:8" x14ac:dyDescent="0.25">
      <c r="A144" t="s">
        <v>274</v>
      </c>
      <c r="B144" t="str">
        <f t="shared" ca="1" si="12"/>
        <v>Last Name*</v>
      </c>
      <c r="C144">
        <f t="shared" ca="1" si="16"/>
        <v>0</v>
      </c>
      <c r="D144">
        <f ca="1">IF(M02S03F01="No",1,IF(INDIRECT($A144)="",0,1))</f>
        <v>0</v>
      </c>
      <c r="E144">
        <f t="shared" ca="1" si="14"/>
        <v>0</v>
      </c>
    </row>
    <row r="145" spans="1:5" x14ac:dyDescent="0.25">
      <c r="A145" t="s">
        <v>275</v>
      </c>
      <c r="B145" t="str">
        <f t="shared" ca="1" si="12"/>
        <v>Title*</v>
      </c>
      <c r="C145">
        <f t="shared" ca="1" si="16"/>
        <v>0</v>
      </c>
      <c r="D145">
        <f ca="1">IF(M02S03F01="No",1,IF(INDIRECT($A145)="",0,1))</f>
        <v>0</v>
      </c>
      <c r="E145">
        <f t="shared" ca="1" si="14"/>
        <v>0</v>
      </c>
    </row>
    <row r="146" spans="1:5" x14ac:dyDescent="0.25">
      <c r="A146" t="s">
        <v>276</v>
      </c>
      <c r="B146" t="str">
        <f t="shared" ca="1" si="12"/>
        <v>Primary Phone*</v>
      </c>
      <c r="C146">
        <f t="shared" ca="1" si="16"/>
        <v>0</v>
      </c>
      <c r="D146">
        <f ca="1">IF(M02S03F01="No",1,IF(INDIRECT($A146)="",0,1))</f>
        <v>0</v>
      </c>
      <c r="E146">
        <f t="shared" ca="1" si="14"/>
        <v>0</v>
      </c>
    </row>
    <row r="147" spans="1:5" x14ac:dyDescent="0.25">
      <c r="A147" t="s">
        <v>277</v>
      </c>
      <c r="B147" t="str">
        <f t="shared" ca="1" si="12"/>
        <v>Secondary Phone</v>
      </c>
      <c r="C147">
        <f t="shared" ca="1" si="16"/>
        <v>0</v>
      </c>
      <c r="E147">
        <f t="shared" ca="1" si="14"/>
        <v>0</v>
      </c>
    </row>
    <row r="148" spans="1:5" x14ac:dyDescent="0.25">
      <c r="A148" t="s">
        <v>278</v>
      </c>
      <c r="B148" t="str">
        <f t="shared" ca="1" si="12"/>
        <v>Email*</v>
      </c>
      <c r="C148">
        <f t="shared" ca="1" si="16"/>
        <v>0</v>
      </c>
      <c r="D148">
        <f t="shared" ref="D148:D153" ca="1" si="17">IF(M02S03F01="No",1,IF(INDIRECT($A148)="",0,1))</f>
        <v>0</v>
      </c>
      <c r="E148">
        <f t="shared" ca="1" si="14"/>
        <v>0</v>
      </c>
    </row>
    <row r="149" spans="1:5" x14ac:dyDescent="0.25">
      <c r="A149" t="s">
        <v>279</v>
      </c>
      <c r="B149" t="str">
        <f t="shared" ca="1" si="12"/>
        <v>Mailing Address*</v>
      </c>
      <c r="C149">
        <f t="shared" ca="1" si="16"/>
        <v>0</v>
      </c>
      <c r="D149">
        <f t="shared" ca="1" si="17"/>
        <v>0</v>
      </c>
      <c r="E149">
        <f t="shared" ca="1" si="14"/>
        <v>0</v>
      </c>
    </row>
    <row r="150" spans="1:5" x14ac:dyDescent="0.25">
      <c r="A150" t="s">
        <v>280</v>
      </c>
      <c r="B150" t="str">
        <f t="shared" ca="1" si="12"/>
        <v>City*</v>
      </c>
      <c r="C150">
        <f t="shared" ca="1" si="16"/>
        <v>0</v>
      </c>
      <c r="D150">
        <f t="shared" ca="1" si="17"/>
        <v>0</v>
      </c>
      <c r="E150">
        <f t="shared" ca="1" si="14"/>
        <v>0</v>
      </c>
    </row>
    <row r="151" spans="1:5" x14ac:dyDescent="0.25">
      <c r="A151" t="s">
        <v>281</v>
      </c>
      <c r="B151" t="str">
        <f t="shared" ca="1" si="12"/>
        <v>State/ Province*</v>
      </c>
      <c r="C151">
        <f t="shared" ca="1" si="16"/>
        <v>0</v>
      </c>
      <c r="D151">
        <f t="shared" ca="1" si="17"/>
        <v>0</v>
      </c>
      <c r="E151">
        <f t="shared" ca="1" si="14"/>
        <v>0</v>
      </c>
    </row>
    <row r="152" spans="1:5" x14ac:dyDescent="0.25">
      <c r="A152" t="s">
        <v>282</v>
      </c>
      <c r="B152" t="str">
        <f t="shared" ca="1" si="12"/>
        <v>Zip/ Postal Code*</v>
      </c>
      <c r="C152">
        <f t="shared" ca="1" si="16"/>
        <v>0</v>
      </c>
      <c r="D152">
        <f t="shared" ca="1" si="17"/>
        <v>0</v>
      </c>
      <c r="E152">
        <f t="shared" ref="E152:E178" ca="1" si="18">INDIRECT(A152)</f>
        <v>0</v>
      </c>
    </row>
    <row r="153" spans="1:5" x14ac:dyDescent="0.25">
      <c r="A153" t="s">
        <v>452</v>
      </c>
      <c r="B153" t="str">
        <f t="shared" ca="1" si="12"/>
        <v>Diverse Business Type*</v>
      </c>
      <c r="C153">
        <f t="shared" ca="1" si="16"/>
        <v>0</v>
      </c>
      <c r="D153">
        <f t="shared" ca="1" si="17"/>
        <v>0</v>
      </c>
      <c r="E153">
        <f t="shared" ca="1" si="18"/>
        <v>0</v>
      </c>
    </row>
    <row r="154" spans="1:5" x14ac:dyDescent="0.25">
      <c r="A154" t="s">
        <v>453</v>
      </c>
      <c r="B154" t="str">
        <f t="shared" ca="1" si="12"/>
        <v>Issued Organization Type*</v>
      </c>
      <c r="C154">
        <f t="shared" ca="1" si="16"/>
        <v>0</v>
      </c>
      <c r="D154">
        <f ca="1">IF(M02S03F01="No",1,IF(M02S03F13="Not Applicable",1,IF(INDIRECT($A154)="",0,1)))</f>
        <v>0</v>
      </c>
      <c r="E154">
        <f t="shared" ca="1" si="18"/>
        <v>0</v>
      </c>
    </row>
    <row r="155" spans="1:5" x14ac:dyDescent="0.25">
      <c r="A155" t="s">
        <v>454</v>
      </c>
      <c r="B155" t="str">
        <f t="shared" ca="1" si="12"/>
        <v>Certificate Number*</v>
      </c>
      <c r="C155">
        <f t="shared" ca="1" si="16"/>
        <v>0</v>
      </c>
      <c r="D155">
        <f ca="1">IF(M02S03F01="No",1,IF(M02S03F13="Not Applicable",1,IF(INDIRECT($A155)="",0,1)))</f>
        <v>0</v>
      </c>
      <c r="E155">
        <f t="shared" ca="1" si="18"/>
        <v>0</v>
      </c>
    </row>
    <row r="156" spans="1:5" x14ac:dyDescent="0.25">
      <c r="A156" t="s">
        <v>455</v>
      </c>
      <c r="B156" t="str">
        <f t="shared" ca="1" si="12"/>
        <v>Certificate Issued Date*</v>
      </c>
      <c r="C156">
        <f t="shared" ca="1" si="16"/>
        <v>0</v>
      </c>
      <c r="D156">
        <f ca="1">IF(M02S03F01="No",1,IF(M02S03F13="Not Applicable",1,IF(INDIRECT($A156)="",0,1)))</f>
        <v>0</v>
      </c>
      <c r="E156">
        <f t="shared" ca="1" si="18"/>
        <v>0</v>
      </c>
    </row>
    <row r="157" spans="1:5" x14ac:dyDescent="0.25">
      <c r="A157" t="s">
        <v>456</v>
      </c>
      <c r="B157" t="str">
        <f t="shared" ca="1" si="12"/>
        <v>Certificate Expiration Date*</v>
      </c>
      <c r="C157">
        <f t="shared" ca="1" si="16"/>
        <v>0</v>
      </c>
      <c r="D157">
        <f ca="1">IF(M02S03F01="No",1,IF(M02S03F13="Not Applicable",1,IF(INDIRECT($A157)="",0,1)))</f>
        <v>0</v>
      </c>
      <c r="E157">
        <f t="shared" ca="1" si="18"/>
        <v>0</v>
      </c>
    </row>
    <row r="158" spans="1:5" x14ac:dyDescent="0.25">
      <c r="A158" t="s">
        <v>1869</v>
      </c>
      <c r="B158" t="str">
        <f t="shared" ca="1" si="12"/>
        <v>Contributor Organization</v>
      </c>
      <c r="C158">
        <f t="shared" ca="1" si="16"/>
        <v>0</v>
      </c>
      <c r="E158">
        <f ca="1">INDIRECT(A158)</f>
        <v>0</v>
      </c>
    </row>
    <row r="159" spans="1:5" x14ac:dyDescent="0.25">
      <c r="A159" t="s">
        <v>1870</v>
      </c>
      <c r="B159" t="str">
        <f t="shared" ca="1" si="12"/>
        <v>First Name</v>
      </c>
      <c r="C159">
        <f t="shared" ref="C159:C179" ca="1" si="19">IF(INDIRECT($A159)="",0,1)</f>
        <v>0</v>
      </c>
      <c r="E159">
        <f t="shared" ca="1" si="18"/>
        <v>0</v>
      </c>
    </row>
    <row r="160" spans="1:5" x14ac:dyDescent="0.25">
      <c r="A160" t="s">
        <v>1871</v>
      </c>
      <c r="B160" t="str">
        <f t="shared" ca="1" si="12"/>
        <v>Last Name</v>
      </c>
      <c r="C160">
        <f t="shared" ca="1" si="19"/>
        <v>0</v>
      </c>
      <c r="E160">
        <f t="shared" ca="1" si="18"/>
        <v>0</v>
      </c>
    </row>
    <row r="161" spans="1:5" x14ac:dyDescent="0.25">
      <c r="A161" t="s">
        <v>1872</v>
      </c>
      <c r="B161" t="str">
        <f t="shared" ca="1" si="12"/>
        <v>Title</v>
      </c>
      <c r="C161">
        <f t="shared" ca="1" si="19"/>
        <v>0</v>
      </c>
      <c r="E161">
        <f t="shared" ca="1" si="18"/>
        <v>0</v>
      </c>
    </row>
    <row r="162" spans="1:5" x14ac:dyDescent="0.25">
      <c r="A162" t="s">
        <v>1873</v>
      </c>
      <c r="B162" t="str">
        <f t="shared" ca="1" si="12"/>
        <v>Primary Phone</v>
      </c>
      <c r="C162">
        <f t="shared" ca="1" si="19"/>
        <v>0</v>
      </c>
      <c r="E162">
        <f t="shared" ca="1" si="18"/>
        <v>0</v>
      </c>
    </row>
    <row r="163" spans="1:5" x14ac:dyDescent="0.25">
      <c r="A163" t="s">
        <v>1874</v>
      </c>
      <c r="B163" t="str">
        <f t="shared" ca="1" si="12"/>
        <v>Secondary Phone</v>
      </c>
      <c r="C163">
        <f t="shared" ca="1" si="19"/>
        <v>0</v>
      </c>
      <c r="E163">
        <f t="shared" ca="1" si="18"/>
        <v>0</v>
      </c>
    </row>
    <row r="164" spans="1:5" x14ac:dyDescent="0.25">
      <c r="A164" t="s">
        <v>1875</v>
      </c>
      <c r="B164" t="str">
        <f t="shared" ca="1" si="12"/>
        <v>Email</v>
      </c>
      <c r="C164">
        <f t="shared" ca="1" si="19"/>
        <v>0</v>
      </c>
      <c r="E164">
        <f t="shared" ca="1" si="18"/>
        <v>0</v>
      </c>
    </row>
    <row r="165" spans="1:5" x14ac:dyDescent="0.25">
      <c r="A165" t="s">
        <v>1876</v>
      </c>
      <c r="B165" t="str">
        <f t="shared" ca="1" si="12"/>
        <v>Mailing Address</v>
      </c>
      <c r="C165">
        <f t="shared" ca="1" si="19"/>
        <v>0</v>
      </c>
      <c r="E165">
        <f t="shared" ca="1" si="18"/>
        <v>0</v>
      </c>
    </row>
    <row r="166" spans="1:5" x14ac:dyDescent="0.25">
      <c r="A166" t="s">
        <v>1877</v>
      </c>
      <c r="B166" t="str">
        <f t="shared" ca="1" si="12"/>
        <v>City</v>
      </c>
      <c r="C166">
        <f t="shared" ca="1" si="19"/>
        <v>0</v>
      </c>
      <c r="E166">
        <f t="shared" ca="1" si="18"/>
        <v>0</v>
      </c>
    </row>
    <row r="167" spans="1:5" x14ac:dyDescent="0.25">
      <c r="A167" t="s">
        <v>1878</v>
      </c>
      <c r="B167" t="str">
        <f t="shared" ca="1" si="12"/>
        <v>State/ Province</v>
      </c>
      <c r="C167">
        <f t="shared" ca="1" si="19"/>
        <v>0</v>
      </c>
      <c r="E167">
        <f t="shared" ca="1" si="18"/>
        <v>0</v>
      </c>
    </row>
    <row r="168" spans="1:5" x14ac:dyDescent="0.25">
      <c r="A168" t="s">
        <v>1879</v>
      </c>
      <c r="B168" t="str">
        <f t="shared" ca="1" si="12"/>
        <v>Zip/ Postal Code</v>
      </c>
      <c r="C168">
        <f t="shared" ca="1" si="19"/>
        <v>0</v>
      </c>
      <c r="E168">
        <f t="shared" ca="1" si="18"/>
        <v>0</v>
      </c>
    </row>
    <row r="169" spans="1:5" x14ac:dyDescent="0.25">
      <c r="A169" t="s">
        <v>1880</v>
      </c>
      <c r="B169" t="str">
        <f t="shared" ca="1" si="12"/>
        <v>Contributor Organization</v>
      </c>
      <c r="C169">
        <f t="shared" ca="1" si="19"/>
        <v>0</v>
      </c>
      <c r="E169">
        <f t="shared" ca="1" si="18"/>
        <v>0</v>
      </c>
    </row>
    <row r="170" spans="1:5" x14ac:dyDescent="0.25">
      <c r="A170" t="s">
        <v>1881</v>
      </c>
      <c r="B170" t="str">
        <f t="shared" ca="1" si="12"/>
        <v>First Name</v>
      </c>
      <c r="C170">
        <f t="shared" ca="1" si="19"/>
        <v>0</v>
      </c>
      <c r="E170">
        <f t="shared" ca="1" si="18"/>
        <v>0</v>
      </c>
    </row>
    <row r="171" spans="1:5" x14ac:dyDescent="0.25">
      <c r="A171" t="s">
        <v>1882</v>
      </c>
      <c r="B171" t="str">
        <f t="shared" ca="1" si="12"/>
        <v>Last Name</v>
      </c>
      <c r="C171">
        <f t="shared" ca="1" si="19"/>
        <v>0</v>
      </c>
      <c r="E171">
        <f t="shared" ca="1" si="18"/>
        <v>0</v>
      </c>
    </row>
    <row r="172" spans="1:5" x14ac:dyDescent="0.25">
      <c r="A172" t="s">
        <v>1883</v>
      </c>
      <c r="B172" t="str">
        <f t="shared" ca="1" si="12"/>
        <v>Title</v>
      </c>
      <c r="C172">
        <f t="shared" ca="1" si="19"/>
        <v>0</v>
      </c>
      <c r="E172">
        <f t="shared" ca="1" si="18"/>
        <v>0</v>
      </c>
    </row>
    <row r="173" spans="1:5" x14ac:dyDescent="0.25">
      <c r="A173" t="s">
        <v>1884</v>
      </c>
      <c r="B173" t="str">
        <f t="shared" ca="1" si="12"/>
        <v>Primary Phone</v>
      </c>
      <c r="C173">
        <f t="shared" ca="1" si="19"/>
        <v>0</v>
      </c>
      <c r="E173">
        <f t="shared" ca="1" si="18"/>
        <v>0</v>
      </c>
    </row>
    <row r="174" spans="1:5" x14ac:dyDescent="0.25">
      <c r="A174" t="s">
        <v>1885</v>
      </c>
      <c r="B174" t="str">
        <f t="shared" ca="1" si="12"/>
        <v>Secondary Phone</v>
      </c>
      <c r="C174">
        <f t="shared" ca="1" si="19"/>
        <v>0</v>
      </c>
      <c r="E174">
        <f t="shared" ca="1" si="18"/>
        <v>0</v>
      </c>
    </row>
    <row r="175" spans="1:5" x14ac:dyDescent="0.25">
      <c r="A175" t="s">
        <v>1886</v>
      </c>
      <c r="B175" t="str">
        <f t="shared" ca="1" si="12"/>
        <v>Email</v>
      </c>
      <c r="C175">
        <f t="shared" ca="1" si="19"/>
        <v>0</v>
      </c>
      <c r="E175">
        <f t="shared" ca="1" si="18"/>
        <v>0</v>
      </c>
    </row>
    <row r="176" spans="1:5" x14ac:dyDescent="0.25">
      <c r="A176" t="s">
        <v>1887</v>
      </c>
      <c r="B176" t="str">
        <f t="shared" ca="1" si="12"/>
        <v>Mailing Address</v>
      </c>
      <c r="C176">
        <f t="shared" ca="1" si="19"/>
        <v>0</v>
      </c>
      <c r="E176">
        <f t="shared" ca="1" si="18"/>
        <v>0</v>
      </c>
    </row>
    <row r="177" spans="1:5" x14ac:dyDescent="0.25">
      <c r="A177" t="s">
        <v>1888</v>
      </c>
      <c r="B177" t="str">
        <f t="shared" ca="1" si="12"/>
        <v>City</v>
      </c>
      <c r="C177">
        <f t="shared" ca="1" si="19"/>
        <v>0</v>
      </c>
      <c r="E177">
        <f t="shared" ca="1" si="18"/>
        <v>0</v>
      </c>
    </row>
    <row r="178" spans="1:5" x14ac:dyDescent="0.25">
      <c r="A178" t="s">
        <v>1889</v>
      </c>
      <c r="B178" t="str">
        <f t="shared" ca="1" si="12"/>
        <v>State/ Province</v>
      </c>
      <c r="C178">
        <f t="shared" ca="1" si="19"/>
        <v>0</v>
      </c>
      <c r="E178">
        <f t="shared" ca="1" si="18"/>
        <v>0</v>
      </c>
    </row>
    <row r="179" spans="1:5" x14ac:dyDescent="0.25">
      <c r="A179" t="s">
        <v>1890</v>
      </c>
      <c r="B179" t="str">
        <f t="shared" ca="1" si="12"/>
        <v>Zip/ Postal Code</v>
      </c>
      <c r="C179">
        <f t="shared" ca="1" si="19"/>
        <v>0</v>
      </c>
      <c r="E179">
        <f ca="1">INDIRECT(A179)</f>
        <v>0</v>
      </c>
    </row>
    <row r="181" spans="1:5" x14ac:dyDescent="0.25">
      <c r="C181" t="s">
        <v>119</v>
      </c>
      <c r="D181" t="s">
        <v>457</v>
      </c>
    </row>
    <row r="182" spans="1:5" x14ac:dyDescent="0.25">
      <c r="A182">
        <f ca="1">SUM(D183:D205)</f>
        <v>0</v>
      </c>
      <c r="B182" t="str">
        <f>M2S4</f>
        <v>Payment and Tax Information</v>
      </c>
      <c r="C182">
        <f ca="1">COUNT(C183:C205)</f>
        <v>20</v>
      </c>
      <c r="D182">
        <f ca="1">COUNT(D183:D205)</f>
        <v>21</v>
      </c>
    </row>
    <row r="183" spans="1:5" x14ac:dyDescent="0.25">
      <c r="A183" t="s">
        <v>283</v>
      </c>
      <c r="B183" t="str">
        <f ca="1">OFFSET(INDIRECT(A183),0,-7)</f>
        <v>Payment Type*</v>
      </c>
      <c r="C183">
        <f t="shared" ref="C183:D196" ca="1" si="20">IF(INDIRECT($A183)="",0,1)</f>
        <v>0</v>
      </c>
      <c r="D183">
        <f t="shared" ca="1" si="20"/>
        <v>0</v>
      </c>
      <c r="E183">
        <f t="shared" ref="E183:E196" ca="1" si="21">INDIRECT(A183)</f>
        <v>0</v>
      </c>
    </row>
    <row r="184" spans="1:5" x14ac:dyDescent="0.25">
      <c r="A184" t="s">
        <v>284</v>
      </c>
      <c r="B184" t="str">
        <f t="shared" ca="1" si="12"/>
        <v>Payee Company Name*</v>
      </c>
      <c r="C184">
        <f t="shared" ca="1" si="20"/>
        <v>0</v>
      </c>
      <c r="D184">
        <f t="shared" ca="1" si="20"/>
        <v>0</v>
      </c>
      <c r="E184" t="str">
        <f t="shared" ca="1" si="21"/>
        <v/>
      </c>
    </row>
    <row r="185" spans="1:5" x14ac:dyDescent="0.25">
      <c r="A185" t="s">
        <v>285</v>
      </c>
      <c r="B185" t="str">
        <f t="shared" ca="1" si="12"/>
        <v>Payee First Name*</v>
      </c>
      <c r="C185">
        <f t="shared" ca="1" si="20"/>
        <v>0</v>
      </c>
      <c r="D185">
        <f t="shared" ca="1" si="20"/>
        <v>0</v>
      </c>
      <c r="E185">
        <f t="shared" ca="1" si="21"/>
        <v>0</v>
      </c>
    </row>
    <row r="186" spans="1:5" x14ac:dyDescent="0.25">
      <c r="A186" t="s">
        <v>286</v>
      </c>
      <c r="B186" t="str">
        <f t="shared" ca="1" si="12"/>
        <v>Payee Last Name*</v>
      </c>
      <c r="C186">
        <f t="shared" ca="1" si="20"/>
        <v>0</v>
      </c>
      <c r="D186">
        <f t="shared" ca="1" si="20"/>
        <v>0</v>
      </c>
      <c r="E186">
        <f t="shared" ca="1" si="21"/>
        <v>0</v>
      </c>
    </row>
    <row r="187" spans="1:5" x14ac:dyDescent="0.25">
      <c r="A187" t="s">
        <v>287</v>
      </c>
      <c r="B187" t="str">
        <f t="shared" ref="B187:B195" ca="1" si="22">OFFSET(INDIRECT(A187),-1,0)</f>
        <v>Phone Number*</v>
      </c>
      <c r="C187">
        <f t="shared" ca="1" si="20"/>
        <v>0</v>
      </c>
      <c r="D187">
        <f t="shared" ca="1" si="20"/>
        <v>0</v>
      </c>
      <c r="E187">
        <f t="shared" ca="1" si="21"/>
        <v>0</v>
      </c>
    </row>
    <row r="188" spans="1:5" x14ac:dyDescent="0.25">
      <c r="A188" t="s">
        <v>288</v>
      </c>
      <c r="B188" t="str">
        <f t="shared" ca="1" si="22"/>
        <v>Email*</v>
      </c>
      <c r="C188">
        <f t="shared" ca="1" si="20"/>
        <v>0</v>
      </c>
      <c r="D188">
        <f t="shared" ca="1" si="20"/>
        <v>0</v>
      </c>
      <c r="E188">
        <f t="shared" ca="1" si="21"/>
        <v>0</v>
      </c>
    </row>
    <row r="189" spans="1:5" x14ac:dyDescent="0.25">
      <c r="A189" t="s">
        <v>1167</v>
      </c>
      <c r="B189" t="str">
        <f t="shared" ca="1" si="22"/>
        <v>Bill Credit Account*</v>
      </c>
      <c r="C189">
        <f t="shared" ca="1" si="20"/>
        <v>0</v>
      </c>
      <c r="D189">
        <f ca="1">IF(M02S04F01="",0,IF(M02S04F01&lt;&gt;"Site (Bill Credit)",1,IF(INDIRECT($A189)="",0,1)))</f>
        <v>0</v>
      </c>
      <c r="E189" t="str">
        <f t="shared" ca="1" si="21"/>
        <v/>
      </c>
    </row>
    <row r="190" spans="1:5" x14ac:dyDescent="0.25">
      <c r="A190" t="s">
        <v>289</v>
      </c>
      <c r="B190" t="str">
        <f t="shared" ca="1" si="22"/>
        <v>Mailing Address*</v>
      </c>
      <c r="C190">
        <f t="shared" ca="1" si="20"/>
        <v>0</v>
      </c>
      <c r="D190">
        <f t="shared" ca="1" si="20"/>
        <v>0</v>
      </c>
      <c r="E190" t="str">
        <f t="shared" ca="1" si="21"/>
        <v/>
      </c>
    </row>
    <row r="191" spans="1:5" x14ac:dyDescent="0.25">
      <c r="A191" t="s">
        <v>290</v>
      </c>
      <c r="B191" t="str">
        <f t="shared" ca="1" si="22"/>
        <v>City*</v>
      </c>
      <c r="C191">
        <f t="shared" ca="1" si="20"/>
        <v>0</v>
      </c>
      <c r="D191">
        <f t="shared" ca="1" si="20"/>
        <v>0</v>
      </c>
      <c r="E191" t="str">
        <f t="shared" ca="1" si="21"/>
        <v/>
      </c>
    </row>
    <row r="192" spans="1:5" x14ac:dyDescent="0.25">
      <c r="A192" t="s">
        <v>291</v>
      </c>
      <c r="B192" t="str">
        <f t="shared" ca="1" si="22"/>
        <v>State/ Province*</v>
      </c>
      <c r="C192">
        <f t="shared" ca="1" si="20"/>
        <v>0</v>
      </c>
      <c r="D192">
        <f t="shared" ca="1" si="20"/>
        <v>0</v>
      </c>
      <c r="E192" t="str">
        <f t="shared" ca="1" si="21"/>
        <v/>
      </c>
    </row>
    <row r="193" spans="1:5" x14ac:dyDescent="0.25">
      <c r="A193" t="s">
        <v>292</v>
      </c>
      <c r="B193" t="str">
        <f t="shared" ca="1" si="22"/>
        <v>Zip/ Postal Code*</v>
      </c>
      <c r="C193">
        <f t="shared" ca="1" si="20"/>
        <v>0</v>
      </c>
      <c r="D193">
        <f t="shared" ca="1" si="20"/>
        <v>0</v>
      </c>
      <c r="E193" t="str">
        <f t="shared" ca="1" si="21"/>
        <v/>
      </c>
    </row>
    <row r="194" spans="1:5" x14ac:dyDescent="0.25">
      <c r="A194" t="s">
        <v>293</v>
      </c>
      <c r="B194" t="str">
        <f t="shared" ca="1" si="22"/>
        <v>Tax Entity*</v>
      </c>
      <c r="C194">
        <f t="shared" ca="1" si="20"/>
        <v>0</v>
      </c>
      <c r="D194">
        <f t="shared" ca="1" si="20"/>
        <v>0</v>
      </c>
      <c r="E194">
        <f t="shared" ca="1" si="21"/>
        <v>0</v>
      </c>
    </row>
    <row r="195" spans="1:5" x14ac:dyDescent="0.25">
      <c r="A195" t="s">
        <v>294</v>
      </c>
      <c r="B195" t="str">
        <f t="shared" ca="1" si="22"/>
        <v>Federal Tax ID Number*</v>
      </c>
      <c r="C195">
        <f t="shared" ca="1" si="20"/>
        <v>0</v>
      </c>
      <c r="D195">
        <f t="shared" ca="1" si="20"/>
        <v>0</v>
      </c>
      <c r="E195">
        <f t="shared" ca="1" si="21"/>
        <v>0</v>
      </c>
    </row>
    <row r="196" spans="1:5" x14ac:dyDescent="0.25">
      <c r="A196" t="s">
        <v>431</v>
      </c>
      <c r="B196" t="str">
        <f ca="1">OFFSET(INDIRECT(A195),-1,0)</f>
        <v>Federal Tax ID Number*</v>
      </c>
      <c r="C196">
        <f t="shared" ca="1" si="20"/>
        <v>0</v>
      </c>
      <c r="D196">
        <f t="shared" ca="1" si="20"/>
        <v>0</v>
      </c>
      <c r="E196">
        <f t="shared" ca="1" si="21"/>
        <v>0</v>
      </c>
    </row>
    <row r="197" spans="1:5" x14ac:dyDescent="0.25">
      <c r="A197" t="s">
        <v>1930</v>
      </c>
      <c r="B197" t="s">
        <v>1932</v>
      </c>
      <c r="C197" s="37" t="b">
        <v>0</v>
      </c>
    </row>
    <row r="198" spans="1:5" x14ac:dyDescent="0.25">
      <c r="A198" t="s">
        <v>1931</v>
      </c>
      <c r="B198" t="s">
        <v>1933</v>
      </c>
      <c r="C198" s="37" t="b">
        <v>0</v>
      </c>
    </row>
    <row r="199" spans="1:5" x14ac:dyDescent="0.25">
      <c r="A199" t="s">
        <v>467</v>
      </c>
      <c r="B199" t="s">
        <v>469</v>
      </c>
      <c r="C199" s="37" t="b">
        <v>0</v>
      </c>
      <c r="D199">
        <f>IF(C199=FALSE,0,1)</f>
        <v>0</v>
      </c>
    </row>
    <row r="200" spans="1:5" x14ac:dyDescent="0.25">
      <c r="A200" t="s">
        <v>2246</v>
      </c>
      <c r="B200" t="str">
        <f t="shared" ref="B200:B204" ca="1" si="23">OFFSET(INDIRECT(A200),-1,0)</f>
        <v>Legal Company Name*</v>
      </c>
      <c r="C200">
        <f t="shared" ref="C200:D204" ca="1" si="24">IF(INDIRECT($A200)="",0,1)</f>
        <v>0</v>
      </c>
      <c r="D200">
        <f t="shared" ca="1" si="24"/>
        <v>0</v>
      </c>
    </row>
    <row r="201" spans="1:5" x14ac:dyDescent="0.25">
      <c r="A201" t="s">
        <v>2247</v>
      </c>
      <c r="B201" t="str">
        <f t="shared" ca="1" si="23"/>
        <v>Mailing Address*</v>
      </c>
      <c r="C201">
        <f t="shared" ca="1" si="24"/>
        <v>0</v>
      </c>
      <c r="D201">
        <f t="shared" ca="1" si="24"/>
        <v>0</v>
      </c>
    </row>
    <row r="202" spans="1:5" x14ac:dyDescent="0.25">
      <c r="A202" t="s">
        <v>2248</v>
      </c>
      <c r="B202" t="str">
        <f t="shared" ca="1" si="23"/>
        <v>City*</v>
      </c>
      <c r="C202">
        <f t="shared" ca="1" si="24"/>
        <v>0</v>
      </c>
      <c r="D202">
        <f t="shared" ca="1" si="24"/>
        <v>0</v>
      </c>
    </row>
    <row r="203" spans="1:5" x14ac:dyDescent="0.25">
      <c r="A203" t="s">
        <v>2249</v>
      </c>
      <c r="B203" t="str">
        <f t="shared" ca="1" si="23"/>
        <v>State/ Province*</v>
      </c>
      <c r="C203">
        <f t="shared" ca="1" si="24"/>
        <v>0</v>
      </c>
      <c r="D203">
        <f t="shared" ca="1" si="24"/>
        <v>0</v>
      </c>
    </row>
    <row r="204" spans="1:5" x14ac:dyDescent="0.25">
      <c r="A204" t="s">
        <v>2250</v>
      </c>
      <c r="B204" t="str">
        <f t="shared" ca="1" si="23"/>
        <v>Zip/ Postal Code*</v>
      </c>
      <c r="C204">
        <f t="shared" ca="1" si="24"/>
        <v>0</v>
      </c>
      <c r="D204">
        <f t="shared" ca="1" si="24"/>
        <v>0</v>
      </c>
    </row>
    <row r="205" spans="1:5" x14ac:dyDescent="0.25">
      <c r="A205" t="s">
        <v>2371</v>
      </c>
      <c r="B205" t="s">
        <v>2372</v>
      </c>
      <c r="C205">
        <f ca="1">IF(C190=0,0,IF(AND(INCENSTATUS&gt;=50000,OR(ISNUMBER(SEARCH("PO Box",M02S04F07)),ISNUMBER(SEARCH("P.O. Box",M02S04F07)),ISNUMBER(SEARCH("P.O Box",M02S04F07)))),0,1))</f>
        <v>0</v>
      </c>
      <c r="D205">
        <f ca="1">IF(D190=0,0,IF(AND(INCENSTATUS&gt;=50000,OR(ISNUMBER(SEARCH("PO Box",M02S04F07)),ISNUMBER(SEARCH("P.O. Box",M02S04F07)),ISNUMBER(SEARCH("P.O Box",M02S04F07)))),0,1))</f>
        <v>0</v>
      </c>
    </row>
    <row r="207" spans="1:5" x14ac:dyDescent="0.25">
      <c r="C207" t="s">
        <v>119</v>
      </c>
      <c r="D207" t="s">
        <v>457</v>
      </c>
    </row>
    <row r="208" spans="1:5" x14ac:dyDescent="0.25">
      <c r="A208">
        <f>IF(MSL20259="Retro-Commissioning",COUNT(D209:D212),SUM(D209:D212))</f>
        <v>0</v>
      </c>
      <c r="B208" t="s">
        <v>458</v>
      </c>
      <c r="C208">
        <f>COUNT(C209:C212)</f>
        <v>2</v>
      </c>
      <c r="D208">
        <f>COUNT(D209:D212)</f>
        <v>2</v>
      </c>
    </row>
    <row r="209" spans="1:5" x14ac:dyDescent="0.25">
      <c r="A209" t="s">
        <v>459</v>
      </c>
      <c r="B209" t="s">
        <v>1815</v>
      </c>
      <c r="C209">
        <f>IF(J27+J28+J29+J35+J36+J37+J38+J39&gt;0,1,0)</f>
        <v>0</v>
      </c>
      <c r="D209">
        <f>IF(INCENTOTAL&gt;0,1,0)</f>
        <v>0</v>
      </c>
    </row>
    <row r="210" spans="1:5" x14ac:dyDescent="0.25">
      <c r="A210" t="s">
        <v>460</v>
      </c>
      <c r="B210" t="s">
        <v>220</v>
      </c>
    </row>
    <row r="211" spans="1:5" x14ac:dyDescent="0.25">
      <c r="A211" t="s">
        <v>461</v>
      </c>
      <c r="B211" t="s">
        <v>1816</v>
      </c>
      <c r="C211">
        <f>IF(J30+J44+J43+J45+J46+J47+J48+J49&gt;0,1,0)</f>
        <v>0</v>
      </c>
      <c r="D211">
        <f>IF(INCENTOTAL&gt;0,1,0)</f>
        <v>0</v>
      </c>
    </row>
    <row r="212" spans="1:5" x14ac:dyDescent="0.25">
      <c r="A212" t="s">
        <v>462</v>
      </c>
      <c r="B212" t="s">
        <v>222</v>
      </c>
    </row>
    <row r="215" spans="1:5" x14ac:dyDescent="0.25">
      <c r="C215" t="s">
        <v>119</v>
      </c>
      <c r="D215" t="s">
        <v>457</v>
      </c>
    </row>
    <row r="216" spans="1:5" x14ac:dyDescent="0.25">
      <c r="A216">
        <v>0</v>
      </c>
      <c r="B216" t="str">
        <f>M6S2</f>
        <v>Submit Application</v>
      </c>
      <c r="C216">
        <f ca="1">COUNT(C217:C219)</f>
        <v>3</v>
      </c>
      <c r="D216">
        <v>0</v>
      </c>
    </row>
    <row r="217" spans="1:5" x14ac:dyDescent="0.25">
      <c r="A217" t="s">
        <v>464</v>
      </c>
      <c r="B217">
        <f ca="1">OFFSET(INDIRECT(A217),-1,0)</f>
        <v>0</v>
      </c>
      <c r="C217">
        <f t="shared" ref="C217:D219" ca="1" si="25">IF(INDIRECT($A217)="",0,1)</f>
        <v>0</v>
      </c>
      <c r="D217">
        <f t="shared" ca="1" si="25"/>
        <v>0</v>
      </c>
      <c r="E217">
        <f ca="1">INDIRECT(A217)</f>
        <v>0</v>
      </c>
    </row>
    <row r="218" spans="1:5" x14ac:dyDescent="0.25">
      <c r="A218" t="s">
        <v>465</v>
      </c>
      <c r="B218">
        <f ca="1">OFFSET(INDIRECT(A218),-1,0)</f>
        <v>0</v>
      </c>
      <c r="C218">
        <f t="shared" ca="1" si="25"/>
        <v>0</v>
      </c>
      <c r="D218">
        <f t="shared" ca="1" si="25"/>
        <v>0</v>
      </c>
      <c r="E218">
        <f t="shared" ref="E218:E219" ca="1" si="26">INDIRECT(A218)</f>
        <v>0</v>
      </c>
    </row>
    <row r="219" spans="1:5" x14ac:dyDescent="0.25">
      <c r="A219" t="s">
        <v>466</v>
      </c>
      <c r="B219">
        <f ca="1">OFFSET(INDIRECT(A219),-1,0)</f>
        <v>0</v>
      </c>
      <c r="C219">
        <f t="shared" ca="1" si="25"/>
        <v>0</v>
      </c>
      <c r="D219">
        <f t="shared" ca="1" si="25"/>
        <v>0</v>
      </c>
      <c r="E219">
        <f t="shared" ca="1" si="26"/>
        <v>0</v>
      </c>
    </row>
  </sheetData>
  <sheetProtection algorithmName="SHA-512" hashValue="IA+66ZefTE+Gjpz21WYeuMUnUssgtCodNr95VsNFun/QJwUH22CW/tcE+/3VIqepwCqJTsAio/4J00neCnnoPw==" saltValue="eYlK5UUXul4vHwKM3Gr8iw==" spinCount="100000" sheet="1" objects="1" scenarios="1" selectLockedCells="1"/>
  <phoneticPr fontId="163" type="noConversion"/>
  <hyperlinks>
    <hyperlink ref="E26" location="'M03-S01'!A1" display="'M03-S01'!A1" xr:uid="{86805DC7-F3B0-4139-810E-11D239029C79}"/>
    <hyperlink ref="E27" location="'M03-S02'!A1" display="'M03-S02'!A1" xr:uid="{1BA87B41-4CF5-468F-9631-97AFBA245322}"/>
    <hyperlink ref="E28" location="'M03-S03'!A1" display="'M03-S03'!A1" xr:uid="{EE484E7D-0EEA-4376-B1C5-4C9A81465439}"/>
    <hyperlink ref="E29" location="'M03-S04'!A1" display="'M03-S04'!A1" xr:uid="{BFDCC244-719F-4412-ABB0-4F2848DD4632}"/>
    <hyperlink ref="E30" location="'M03-S05'!A1" display="'M03-S05'!A1" xr:uid="{CD453714-5F60-47E6-99F7-A766EEF762B9}"/>
    <hyperlink ref="E35" location="'M04-S01'!A1" display="'M04-S01'!A1" xr:uid="{E81F91AC-3516-405C-8AC0-9B9C1679D7BB}"/>
    <hyperlink ref="E36" location="'M04-S02'!A1" display="'M04-S02'!A1" xr:uid="{A9AF93BA-5DD7-4A71-A355-B23AC4FD0967}"/>
    <hyperlink ref="E37" location="'M04-S03'!A1" display="'M04-S03'!A1" xr:uid="{5CD7712C-48CA-447F-8284-5E965FE9A019}"/>
    <hyperlink ref="E38" location="'M04-S04'!A1" display="'M04-S04'!A1" xr:uid="{E9AC9FCC-5056-4062-999A-3A73D7376700}"/>
    <hyperlink ref="E43" location="'M05-S01'!A1" display="'M05-S01'!A1" xr:uid="{ADF7EB19-29A1-4F97-BD3B-247968D37B7F}"/>
    <hyperlink ref="E44" location="'M05-S02'!A1" display="'M05-S02'!A1" xr:uid="{9E61620C-97C0-4288-851E-66FD8A9C9E34}"/>
    <hyperlink ref="E45" location="'M05-S03'!A1" display="'M05-S03'!A1" xr:uid="{4DD83602-C9D8-4F20-8FF9-75D368E1CA9D}"/>
    <hyperlink ref="E46" location="'M05-S04'!A1" display="'M05-S04'!A1" xr:uid="{1B5E0667-C8B0-47E6-A958-6E5EC162DD7F}"/>
    <hyperlink ref="E47" location="'M05-S05'!A1" display="'M05-S05'!A1" xr:uid="{30DEC06F-E453-4AEA-B150-EB19AE56371C}"/>
    <hyperlink ref="E48" location="'M05-S06'!A1" display="'M05-S06'!A1" xr:uid="{4E3FEE09-4F57-4A91-A998-48F2157B3214}"/>
    <hyperlink ref="E49" location="'M05-S07'!A1" display="'M05-S07'!A1" xr:uid="{630509BD-D5F6-4A70-A606-D8E4C871B4A9}"/>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938</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18"/>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row>
    <row r="12" spans="3:44" ht="15.95" customHeight="1" x14ac:dyDescent="0.25"/>
    <row r="13" spans="3:44" ht="15.95" customHeight="1" x14ac:dyDescent="0.25">
      <c r="C13" s="620"/>
      <c r="D13" s="620"/>
      <c r="E13" s="620"/>
      <c r="F13" s="620"/>
      <c r="G13" s="620"/>
      <c r="H13" s="620"/>
      <c r="J13" s="619"/>
      <c r="K13" s="619"/>
      <c r="L13" s="619"/>
      <c r="M13" s="619"/>
      <c r="N13" s="619"/>
      <c r="O13" s="619"/>
      <c r="Q13" s="619"/>
      <c r="R13" s="619"/>
      <c r="S13" s="619"/>
      <c r="T13" s="619"/>
      <c r="U13" s="619"/>
      <c r="V13" s="619"/>
      <c r="X13" s="619"/>
      <c r="Y13" s="619"/>
      <c r="Z13" s="619"/>
      <c r="AA13" s="619"/>
      <c r="AB13" s="619"/>
      <c r="AC13" s="619"/>
      <c r="AE13" s="619"/>
      <c r="AF13" s="619"/>
      <c r="AG13" s="619"/>
      <c r="AH13" s="619"/>
      <c r="AI13" s="619"/>
      <c r="AJ13" s="619"/>
      <c r="AL13" s="619"/>
      <c r="AM13" s="619"/>
      <c r="AN13" s="619"/>
      <c r="AO13" s="619"/>
      <c r="AP13" s="619"/>
      <c r="AQ13" s="619"/>
    </row>
    <row r="14" spans="3:44" ht="15.95" customHeight="1" x14ac:dyDescent="0.25">
      <c r="C14" s="620"/>
      <c r="D14" s="620"/>
      <c r="E14" s="620"/>
      <c r="F14" s="620"/>
      <c r="G14" s="620"/>
      <c r="H14" s="620"/>
      <c r="J14" s="619"/>
      <c r="K14" s="619"/>
      <c r="L14" s="619"/>
      <c r="M14" s="619"/>
      <c r="N14" s="619"/>
      <c r="O14" s="619"/>
      <c r="Q14" s="619"/>
      <c r="R14" s="619"/>
      <c r="S14" s="619"/>
      <c r="T14" s="619"/>
      <c r="U14" s="619"/>
      <c r="V14" s="619"/>
      <c r="X14" s="619"/>
      <c r="Y14" s="619"/>
      <c r="Z14" s="619"/>
      <c r="AA14" s="619"/>
      <c r="AB14" s="619"/>
      <c r="AC14" s="619"/>
      <c r="AE14" s="619"/>
      <c r="AF14" s="619"/>
      <c r="AG14" s="619"/>
      <c r="AH14" s="619"/>
      <c r="AI14" s="619"/>
      <c r="AJ14" s="619"/>
      <c r="AL14" s="619"/>
      <c r="AM14" s="619"/>
      <c r="AN14" s="619"/>
      <c r="AO14" s="619"/>
      <c r="AP14" s="619"/>
      <c r="AQ14" s="619"/>
    </row>
    <row r="15" spans="3:44" ht="15.95" customHeight="1" x14ac:dyDescent="0.25">
      <c r="C15" s="620"/>
      <c r="D15" s="620"/>
      <c r="E15" s="620"/>
      <c r="F15" s="620"/>
      <c r="G15" s="620"/>
      <c r="H15" s="620"/>
      <c r="J15" s="619"/>
      <c r="K15" s="619"/>
      <c r="L15" s="619"/>
      <c r="M15" s="619"/>
      <c r="N15" s="619"/>
      <c r="O15" s="619"/>
      <c r="Q15" s="619"/>
      <c r="R15" s="619"/>
      <c r="S15" s="619"/>
      <c r="T15" s="619"/>
      <c r="U15" s="619"/>
      <c r="V15" s="619"/>
      <c r="X15" s="619"/>
      <c r="Y15" s="619"/>
      <c r="Z15" s="619"/>
      <c r="AA15" s="619"/>
      <c r="AB15" s="619"/>
      <c r="AC15" s="619"/>
      <c r="AE15" s="619"/>
      <c r="AF15" s="619"/>
      <c r="AG15" s="619"/>
      <c r="AH15" s="619"/>
      <c r="AI15" s="619"/>
      <c r="AJ15" s="619"/>
      <c r="AL15" s="619"/>
      <c r="AM15" s="619"/>
      <c r="AN15" s="619"/>
      <c r="AO15" s="619"/>
      <c r="AP15" s="619"/>
      <c r="AQ15" s="619"/>
    </row>
    <row r="16" spans="3:44" ht="15.95" customHeight="1" x14ac:dyDescent="0.25">
      <c r="C16" s="620"/>
      <c r="D16" s="620"/>
      <c r="E16" s="620"/>
      <c r="F16" s="620"/>
      <c r="G16" s="620"/>
      <c r="H16" s="620"/>
      <c r="J16" s="619"/>
      <c r="K16" s="619"/>
      <c r="L16" s="619"/>
      <c r="M16" s="619"/>
      <c r="N16" s="619"/>
      <c r="O16" s="619"/>
      <c r="Q16" s="619"/>
      <c r="R16" s="619"/>
      <c r="S16" s="619"/>
      <c r="T16" s="619"/>
      <c r="U16" s="619"/>
      <c r="V16" s="619"/>
      <c r="X16" s="619"/>
      <c r="Y16" s="619"/>
      <c r="Z16" s="619"/>
      <c r="AA16" s="619"/>
      <c r="AB16" s="619"/>
      <c r="AC16" s="619"/>
      <c r="AE16" s="619"/>
      <c r="AF16" s="619"/>
      <c r="AG16" s="619"/>
      <c r="AH16" s="619"/>
      <c r="AI16" s="619"/>
      <c r="AJ16" s="619"/>
      <c r="AL16" s="619"/>
      <c r="AM16" s="619"/>
      <c r="AN16" s="619"/>
      <c r="AO16" s="619"/>
      <c r="AP16" s="619"/>
      <c r="AQ16" s="619"/>
    </row>
    <row r="17" spans="3:43" ht="15.95" customHeight="1" x14ac:dyDescent="0.25">
      <c r="C17" s="620"/>
      <c r="D17" s="620"/>
      <c r="E17" s="620"/>
      <c r="F17" s="620"/>
      <c r="G17" s="620"/>
      <c r="H17" s="620"/>
      <c r="J17" s="619"/>
      <c r="K17" s="619"/>
      <c r="L17" s="619"/>
      <c r="M17" s="619"/>
      <c r="N17" s="619"/>
      <c r="O17" s="619"/>
      <c r="Q17" s="619"/>
      <c r="R17" s="619"/>
      <c r="S17" s="619"/>
      <c r="T17" s="619"/>
      <c r="U17" s="619"/>
      <c r="V17" s="619"/>
      <c r="X17" s="619"/>
      <c r="Y17" s="619"/>
      <c r="Z17" s="619"/>
      <c r="AA17" s="619"/>
      <c r="AB17" s="619"/>
      <c r="AC17" s="619"/>
      <c r="AE17" s="619"/>
      <c r="AF17" s="619"/>
      <c r="AG17" s="619"/>
      <c r="AH17" s="619"/>
      <c r="AI17" s="619"/>
      <c r="AJ17" s="619"/>
      <c r="AL17" s="619"/>
      <c r="AM17" s="619"/>
      <c r="AN17" s="619"/>
      <c r="AO17" s="619"/>
      <c r="AP17" s="619"/>
      <c r="AQ17" s="619"/>
    </row>
    <row r="18" spans="3:43" ht="15.95" customHeight="1" x14ac:dyDescent="0.25">
      <c r="C18" s="620"/>
      <c r="D18" s="620"/>
      <c r="E18" s="620"/>
      <c r="F18" s="620"/>
      <c r="G18" s="620"/>
      <c r="H18" s="620"/>
      <c r="J18" s="619"/>
      <c r="K18" s="619"/>
      <c r="L18" s="619"/>
      <c r="M18" s="619"/>
      <c r="N18" s="619"/>
      <c r="O18" s="619"/>
      <c r="Q18" s="619"/>
      <c r="R18" s="619"/>
      <c r="S18" s="619"/>
      <c r="T18" s="619"/>
      <c r="U18" s="619"/>
      <c r="V18" s="619"/>
      <c r="X18" s="619"/>
      <c r="Y18" s="619"/>
      <c r="Z18" s="619"/>
      <c r="AA18" s="619"/>
      <c r="AB18" s="619"/>
      <c r="AC18" s="619"/>
      <c r="AE18" s="619"/>
      <c r="AF18" s="619"/>
      <c r="AG18" s="619"/>
      <c r="AH18" s="619"/>
      <c r="AI18" s="619"/>
      <c r="AJ18" s="619"/>
      <c r="AL18" s="619"/>
      <c r="AM18" s="619"/>
      <c r="AN18" s="619"/>
      <c r="AO18" s="619"/>
      <c r="AP18" s="619"/>
      <c r="AQ18" s="619"/>
    </row>
    <row r="19" spans="3:43" ht="15.95" customHeight="1" x14ac:dyDescent="0.25">
      <c r="C19" s="620"/>
      <c r="D19" s="620"/>
      <c r="E19" s="620"/>
      <c r="F19" s="620"/>
      <c r="G19" s="620"/>
      <c r="H19" s="620"/>
      <c r="J19" s="619"/>
      <c r="K19" s="619"/>
      <c r="L19" s="619"/>
      <c r="M19" s="619"/>
      <c r="N19" s="619"/>
      <c r="O19" s="619"/>
      <c r="Q19" s="619"/>
      <c r="R19" s="619"/>
      <c r="S19" s="619"/>
      <c r="T19" s="619"/>
      <c r="U19" s="619"/>
      <c r="V19" s="619"/>
      <c r="X19" s="619"/>
      <c r="Y19" s="619"/>
      <c r="Z19" s="619"/>
      <c r="AA19" s="619"/>
      <c r="AB19" s="619"/>
      <c r="AC19" s="619"/>
      <c r="AE19" s="619"/>
      <c r="AF19" s="619"/>
      <c r="AG19" s="619"/>
      <c r="AH19" s="619"/>
      <c r="AI19" s="619"/>
      <c r="AJ19" s="619"/>
      <c r="AL19" s="619"/>
      <c r="AM19" s="619"/>
      <c r="AN19" s="619"/>
      <c r="AO19" s="619"/>
      <c r="AP19" s="619"/>
      <c r="AQ19" s="619"/>
    </row>
    <row r="20" spans="3:43" ht="15.95" customHeight="1" x14ac:dyDescent="0.25">
      <c r="C20" s="620"/>
      <c r="D20" s="620"/>
      <c r="E20" s="620"/>
      <c r="F20" s="620"/>
      <c r="G20" s="620"/>
      <c r="H20" s="620"/>
      <c r="J20" s="619"/>
      <c r="K20" s="619"/>
      <c r="L20" s="619"/>
      <c r="M20" s="619"/>
      <c r="N20" s="619"/>
      <c r="O20" s="619"/>
      <c r="Q20" s="619"/>
      <c r="R20" s="619"/>
      <c r="S20" s="619"/>
      <c r="T20" s="619"/>
      <c r="U20" s="619"/>
      <c r="V20" s="619"/>
      <c r="X20" s="619"/>
      <c r="Y20" s="619"/>
      <c r="Z20" s="619"/>
      <c r="AA20" s="619"/>
      <c r="AB20" s="619"/>
      <c r="AC20" s="619"/>
      <c r="AE20" s="619"/>
      <c r="AF20" s="619"/>
      <c r="AG20" s="619"/>
      <c r="AH20" s="619"/>
      <c r="AI20" s="619"/>
      <c r="AJ20" s="619"/>
      <c r="AL20" s="619"/>
      <c r="AM20" s="619"/>
      <c r="AN20" s="619"/>
      <c r="AO20" s="619"/>
      <c r="AP20" s="619"/>
      <c r="AQ20" s="619"/>
    </row>
    <row r="21" spans="3:43" ht="15.95" customHeight="1" x14ac:dyDescent="0.25"/>
    <row r="22" spans="3:43" ht="15.95" customHeight="1" x14ac:dyDescent="0.25">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row>
    <row r="23" spans="3:43" ht="15.95" customHeight="1" x14ac:dyDescent="0.3">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21"/>
    </row>
    <row r="24" spans="3:43" ht="15.95" customHeight="1" x14ac:dyDescent="0.25"/>
    <row r="25" spans="3:43" ht="15.95" customHeight="1" x14ac:dyDescent="0.25">
      <c r="C25" s="619"/>
      <c r="D25" s="619"/>
      <c r="E25" s="619"/>
      <c r="F25" s="619"/>
      <c r="G25" s="619"/>
      <c r="H25" s="619"/>
      <c r="J25" s="619"/>
      <c r="K25" s="619"/>
      <c r="L25" s="619"/>
      <c r="M25" s="619"/>
      <c r="N25" s="619"/>
      <c r="O25" s="619"/>
      <c r="Q25" s="619"/>
      <c r="R25" s="619"/>
      <c r="S25" s="619"/>
      <c r="T25" s="619"/>
      <c r="U25" s="619"/>
      <c r="V25" s="619"/>
      <c r="X25" s="619"/>
      <c r="Y25" s="619"/>
      <c r="Z25" s="619"/>
      <c r="AA25" s="619"/>
      <c r="AB25" s="619"/>
      <c r="AC25" s="619"/>
      <c r="AE25" s="619"/>
      <c r="AF25" s="619"/>
      <c r="AG25" s="619"/>
      <c r="AH25" s="619"/>
      <c r="AI25" s="619"/>
      <c r="AJ25" s="619"/>
      <c r="AL25" s="619"/>
      <c r="AM25" s="619"/>
      <c r="AN25" s="619"/>
      <c r="AO25" s="619"/>
      <c r="AP25" s="619"/>
      <c r="AQ25" s="619"/>
    </row>
    <row r="26" spans="3:43" ht="15.95" customHeight="1" x14ac:dyDescent="0.25">
      <c r="C26" s="619"/>
      <c r="D26" s="619"/>
      <c r="E26" s="619"/>
      <c r="F26" s="619"/>
      <c r="G26" s="619"/>
      <c r="H26" s="619"/>
      <c r="J26" s="619"/>
      <c r="K26" s="619"/>
      <c r="L26" s="619"/>
      <c r="M26" s="619"/>
      <c r="N26" s="619"/>
      <c r="O26" s="619"/>
      <c r="Q26" s="619"/>
      <c r="R26" s="619"/>
      <c r="S26" s="619"/>
      <c r="T26" s="619"/>
      <c r="U26" s="619"/>
      <c r="V26" s="619"/>
      <c r="X26" s="619"/>
      <c r="Y26" s="619"/>
      <c r="Z26" s="619"/>
      <c r="AA26" s="619"/>
      <c r="AB26" s="619"/>
      <c r="AC26" s="619"/>
      <c r="AE26" s="619"/>
      <c r="AF26" s="619"/>
      <c r="AG26" s="619"/>
      <c r="AH26" s="619"/>
      <c r="AI26" s="619"/>
      <c r="AJ26" s="619"/>
      <c r="AL26" s="619"/>
      <c r="AM26" s="619"/>
      <c r="AN26" s="619"/>
      <c r="AO26" s="619"/>
      <c r="AP26" s="619"/>
      <c r="AQ26" s="619"/>
    </row>
    <row r="27" spans="3:43" ht="15.95" customHeight="1" x14ac:dyDescent="0.25">
      <c r="C27" s="619"/>
      <c r="D27" s="619"/>
      <c r="E27" s="619"/>
      <c r="F27" s="619"/>
      <c r="G27" s="619"/>
      <c r="H27" s="619"/>
      <c r="J27" s="619"/>
      <c r="K27" s="619"/>
      <c r="L27" s="619"/>
      <c r="M27" s="619"/>
      <c r="N27" s="619"/>
      <c r="O27" s="619"/>
      <c r="Q27" s="619"/>
      <c r="R27" s="619"/>
      <c r="S27" s="619"/>
      <c r="T27" s="619"/>
      <c r="U27" s="619"/>
      <c r="V27" s="619"/>
      <c r="X27" s="619"/>
      <c r="Y27" s="619"/>
      <c r="Z27" s="619"/>
      <c r="AA27" s="619"/>
      <c r="AB27" s="619"/>
      <c r="AC27" s="619"/>
      <c r="AE27" s="619"/>
      <c r="AF27" s="619"/>
      <c r="AG27" s="619"/>
      <c r="AH27" s="619"/>
      <c r="AI27" s="619"/>
      <c r="AJ27" s="619"/>
      <c r="AL27" s="619"/>
      <c r="AM27" s="619"/>
      <c r="AN27" s="619"/>
      <c r="AO27" s="619"/>
      <c r="AP27" s="619"/>
      <c r="AQ27" s="619"/>
    </row>
    <row r="28" spans="3:43" ht="15.95" customHeight="1" x14ac:dyDescent="0.25">
      <c r="C28" s="619"/>
      <c r="D28" s="619"/>
      <c r="E28" s="619"/>
      <c r="F28" s="619"/>
      <c r="G28" s="619"/>
      <c r="H28" s="619"/>
      <c r="J28" s="619"/>
      <c r="K28" s="619"/>
      <c r="L28" s="619"/>
      <c r="M28" s="619"/>
      <c r="N28" s="619"/>
      <c r="O28" s="619"/>
      <c r="Q28" s="619"/>
      <c r="R28" s="619"/>
      <c r="S28" s="619"/>
      <c r="T28" s="619"/>
      <c r="U28" s="619"/>
      <c r="V28" s="619"/>
      <c r="X28" s="619"/>
      <c r="Y28" s="619"/>
      <c r="Z28" s="619"/>
      <c r="AA28" s="619"/>
      <c r="AB28" s="619"/>
      <c r="AC28" s="619"/>
      <c r="AE28" s="619"/>
      <c r="AF28" s="619"/>
      <c r="AG28" s="619"/>
      <c r="AH28" s="619"/>
      <c r="AI28" s="619"/>
      <c r="AJ28" s="619"/>
      <c r="AL28" s="619"/>
      <c r="AM28" s="619"/>
      <c r="AN28" s="619"/>
      <c r="AO28" s="619"/>
      <c r="AP28" s="619"/>
      <c r="AQ28" s="619"/>
    </row>
    <row r="29" spans="3:43" ht="15.95" customHeight="1" x14ac:dyDescent="0.25">
      <c r="C29" s="619"/>
      <c r="D29" s="619"/>
      <c r="E29" s="619"/>
      <c r="F29" s="619"/>
      <c r="G29" s="619"/>
      <c r="H29" s="619"/>
      <c r="J29" s="619"/>
      <c r="K29" s="619"/>
      <c r="L29" s="619"/>
      <c r="M29" s="619"/>
      <c r="N29" s="619"/>
      <c r="O29" s="619"/>
      <c r="Q29" s="619"/>
      <c r="R29" s="619"/>
      <c r="S29" s="619"/>
      <c r="T29" s="619"/>
      <c r="U29" s="619"/>
      <c r="V29" s="619"/>
      <c r="X29" s="619"/>
      <c r="Y29" s="619"/>
      <c r="Z29" s="619"/>
      <c r="AA29" s="619"/>
      <c r="AB29" s="619"/>
      <c r="AC29" s="619"/>
      <c r="AE29" s="619"/>
      <c r="AF29" s="619"/>
      <c r="AG29" s="619"/>
      <c r="AH29" s="619"/>
      <c r="AI29" s="619"/>
      <c r="AJ29" s="619"/>
      <c r="AL29" s="619"/>
      <c r="AM29" s="619"/>
      <c r="AN29" s="619"/>
      <c r="AO29" s="619"/>
      <c r="AP29" s="619"/>
      <c r="AQ29" s="619"/>
    </row>
    <row r="30" spans="3:43" ht="15.95" customHeight="1" x14ac:dyDescent="0.25">
      <c r="C30" s="619"/>
      <c r="D30" s="619"/>
      <c r="E30" s="619"/>
      <c r="F30" s="619"/>
      <c r="G30" s="619"/>
      <c r="H30" s="619"/>
      <c r="J30" s="619"/>
      <c r="K30" s="619"/>
      <c r="L30" s="619"/>
      <c r="M30" s="619"/>
      <c r="N30" s="619"/>
      <c r="O30" s="619"/>
      <c r="Q30" s="619"/>
      <c r="R30" s="619"/>
      <c r="S30" s="619"/>
      <c r="T30" s="619"/>
      <c r="U30" s="619"/>
      <c r="V30" s="619"/>
      <c r="X30" s="619"/>
      <c r="Y30" s="619"/>
      <c r="Z30" s="619"/>
      <c r="AA30" s="619"/>
      <c r="AB30" s="619"/>
      <c r="AC30" s="619"/>
      <c r="AE30" s="619"/>
      <c r="AF30" s="619"/>
      <c r="AG30" s="619"/>
      <c r="AH30" s="619"/>
      <c r="AI30" s="619"/>
      <c r="AJ30" s="619"/>
      <c r="AL30" s="619"/>
      <c r="AM30" s="619"/>
      <c r="AN30" s="619"/>
      <c r="AO30" s="619"/>
      <c r="AP30" s="619"/>
      <c r="AQ30" s="619"/>
    </row>
    <row r="31" spans="3:43" ht="15.95" customHeight="1" x14ac:dyDescent="0.25">
      <c r="C31" s="619"/>
      <c r="D31" s="619"/>
      <c r="E31" s="619"/>
      <c r="F31" s="619"/>
      <c r="G31" s="619"/>
      <c r="H31" s="619"/>
      <c r="J31" s="619"/>
      <c r="K31" s="619"/>
      <c r="L31" s="619"/>
      <c r="M31" s="619"/>
      <c r="N31" s="619"/>
      <c r="O31" s="619"/>
      <c r="Q31" s="619"/>
      <c r="R31" s="619"/>
      <c r="S31" s="619"/>
      <c r="T31" s="619"/>
      <c r="U31" s="619"/>
      <c r="V31" s="619"/>
      <c r="X31" s="619"/>
      <c r="Y31" s="619"/>
      <c r="Z31" s="619"/>
      <c r="AA31" s="619"/>
      <c r="AB31" s="619"/>
      <c r="AC31" s="619"/>
      <c r="AE31" s="619"/>
      <c r="AF31" s="619"/>
      <c r="AG31" s="619"/>
      <c r="AH31" s="619"/>
      <c r="AI31" s="619"/>
      <c r="AJ31" s="619"/>
      <c r="AL31" s="619"/>
      <c r="AM31" s="619"/>
      <c r="AN31" s="619"/>
      <c r="AO31" s="619"/>
      <c r="AP31" s="619"/>
      <c r="AQ31" s="619"/>
    </row>
    <row r="32" spans="3:43" ht="15.95" customHeight="1" x14ac:dyDescent="0.25">
      <c r="C32" s="619"/>
      <c r="D32" s="619"/>
      <c r="E32" s="619"/>
      <c r="F32" s="619"/>
      <c r="G32" s="619"/>
      <c r="H32" s="619"/>
      <c r="J32" s="619"/>
      <c r="K32" s="619"/>
      <c r="L32" s="619"/>
      <c r="M32" s="619"/>
      <c r="N32" s="619"/>
      <c r="O32" s="619"/>
      <c r="Q32" s="619"/>
      <c r="R32" s="619"/>
      <c r="S32" s="619"/>
      <c r="T32" s="619"/>
      <c r="U32" s="619"/>
      <c r="V32" s="619"/>
      <c r="X32" s="619"/>
      <c r="Y32" s="619"/>
      <c r="Z32" s="619"/>
      <c r="AA32" s="619"/>
      <c r="AB32" s="619"/>
      <c r="AC32" s="619"/>
      <c r="AE32" s="619"/>
      <c r="AF32" s="619"/>
      <c r="AG32" s="619"/>
      <c r="AH32" s="619"/>
      <c r="AI32" s="619"/>
      <c r="AJ32" s="619"/>
      <c r="AL32" s="619"/>
      <c r="AM32" s="619"/>
      <c r="AN32" s="619"/>
      <c r="AO32" s="619"/>
      <c r="AP32" s="619"/>
      <c r="AQ32" s="619"/>
    </row>
    <row r="33" spans="3:43" ht="15.95" customHeight="1" x14ac:dyDescent="0.25"/>
    <row r="34" spans="3:43" ht="15.95" customHeight="1" x14ac:dyDescent="0.25">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row>
    <row r="35" spans="3:43" ht="15.95" customHeight="1" x14ac:dyDescent="0.3">
      <c r="F35" s="621"/>
      <c r="G35" s="621"/>
      <c r="H35" s="621"/>
      <c r="I35" s="621"/>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621"/>
      <c r="AL35" s="621"/>
      <c r="AM35" s="621"/>
      <c r="AN35" s="621"/>
    </row>
    <row r="36" spans="3:43" ht="15.95" hidden="1" customHeight="1" x14ac:dyDescent="0.25"/>
    <row r="37" spans="3:43" ht="15.95" hidden="1" customHeight="1" x14ac:dyDescent="0.25">
      <c r="C37" s="619"/>
      <c r="D37" s="619"/>
      <c r="E37" s="619"/>
      <c r="F37" s="619"/>
      <c r="G37" s="619"/>
      <c r="H37" s="619"/>
      <c r="J37" s="619"/>
      <c r="K37" s="619"/>
      <c r="L37" s="619"/>
      <c r="M37" s="619"/>
      <c r="N37" s="619"/>
      <c r="O37" s="619"/>
      <c r="Q37" s="619"/>
      <c r="R37" s="619"/>
      <c r="S37" s="619"/>
      <c r="T37" s="619"/>
      <c r="U37" s="619"/>
      <c r="V37" s="619"/>
      <c r="X37" s="619"/>
      <c r="Y37" s="619"/>
      <c r="Z37" s="619"/>
      <c r="AA37" s="619"/>
      <c r="AB37" s="619"/>
      <c r="AC37" s="619"/>
      <c r="AE37" s="619"/>
      <c r="AF37" s="619"/>
      <c r="AG37" s="619"/>
      <c r="AH37" s="619"/>
      <c r="AI37" s="619"/>
      <c r="AJ37" s="619"/>
      <c r="AL37" s="619"/>
      <c r="AM37" s="619"/>
      <c r="AN37" s="619"/>
      <c r="AO37" s="619"/>
      <c r="AP37" s="619"/>
      <c r="AQ37" s="619"/>
    </row>
    <row r="38" spans="3:43" ht="15.95" hidden="1" customHeight="1" x14ac:dyDescent="0.25">
      <c r="C38" s="619"/>
      <c r="D38" s="619"/>
      <c r="E38" s="619"/>
      <c r="F38" s="619"/>
      <c r="G38" s="619"/>
      <c r="H38" s="619"/>
      <c r="J38" s="619"/>
      <c r="K38" s="619"/>
      <c r="L38" s="619"/>
      <c r="M38" s="619"/>
      <c r="N38" s="619"/>
      <c r="O38" s="619"/>
      <c r="Q38" s="619"/>
      <c r="R38" s="619"/>
      <c r="S38" s="619"/>
      <c r="T38" s="619"/>
      <c r="U38" s="619"/>
      <c r="V38" s="619"/>
      <c r="X38" s="619"/>
      <c r="Y38" s="619"/>
      <c r="Z38" s="619"/>
      <c r="AA38" s="619"/>
      <c r="AB38" s="619"/>
      <c r="AC38" s="619"/>
      <c r="AE38" s="619"/>
      <c r="AF38" s="619"/>
      <c r="AG38" s="619"/>
      <c r="AH38" s="619"/>
      <c r="AI38" s="619"/>
      <c r="AJ38" s="619"/>
      <c r="AL38" s="619"/>
      <c r="AM38" s="619"/>
      <c r="AN38" s="619"/>
      <c r="AO38" s="619"/>
      <c r="AP38" s="619"/>
      <c r="AQ38" s="619"/>
    </row>
    <row r="39" spans="3:43" ht="15.95" hidden="1" customHeight="1" x14ac:dyDescent="0.25">
      <c r="C39" s="619"/>
      <c r="D39" s="619"/>
      <c r="E39" s="619"/>
      <c r="F39" s="619"/>
      <c r="G39" s="619"/>
      <c r="H39" s="619"/>
      <c r="J39" s="619"/>
      <c r="K39" s="619"/>
      <c r="L39" s="619"/>
      <c r="M39" s="619"/>
      <c r="N39" s="619"/>
      <c r="O39" s="619"/>
      <c r="Q39" s="619"/>
      <c r="R39" s="619"/>
      <c r="S39" s="619"/>
      <c r="T39" s="619"/>
      <c r="U39" s="619"/>
      <c r="V39" s="619"/>
      <c r="X39" s="619"/>
      <c r="Y39" s="619"/>
      <c r="Z39" s="619"/>
      <c r="AA39" s="619"/>
      <c r="AB39" s="619"/>
      <c r="AC39" s="619"/>
      <c r="AE39" s="619"/>
      <c r="AF39" s="619"/>
      <c r="AG39" s="619"/>
      <c r="AH39" s="619"/>
      <c r="AI39" s="619"/>
      <c r="AJ39" s="619"/>
      <c r="AL39" s="619"/>
      <c r="AM39" s="619"/>
      <c r="AN39" s="619"/>
      <c r="AO39" s="619"/>
      <c r="AP39" s="619"/>
      <c r="AQ39" s="619"/>
    </row>
    <row r="40" spans="3:43" ht="15.95" hidden="1" customHeight="1" x14ac:dyDescent="0.25">
      <c r="C40" s="619"/>
      <c r="D40" s="619"/>
      <c r="E40" s="619"/>
      <c r="F40" s="619"/>
      <c r="G40" s="619"/>
      <c r="H40" s="619"/>
      <c r="J40" s="619"/>
      <c r="K40" s="619"/>
      <c r="L40" s="619"/>
      <c r="M40" s="619"/>
      <c r="N40" s="619"/>
      <c r="O40" s="619"/>
      <c r="Q40" s="619"/>
      <c r="R40" s="619"/>
      <c r="S40" s="619"/>
      <c r="T40" s="619"/>
      <c r="U40" s="619"/>
      <c r="V40" s="619"/>
      <c r="X40" s="619"/>
      <c r="Y40" s="619"/>
      <c r="Z40" s="619"/>
      <c r="AA40" s="619"/>
      <c r="AB40" s="619"/>
      <c r="AC40" s="619"/>
      <c r="AE40" s="619"/>
      <c r="AF40" s="619"/>
      <c r="AG40" s="619"/>
      <c r="AH40" s="619"/>
      <c r="AI40" s="619"/>
      <c r="AJ40" s="619"/>
      <c r="AL40" s="619"/>
      <c r="AM40" s="619"/>
      <c r="AN40" s="619"/>
      <c r="AO40" s="619"/>
      <c r="AP40" s="619"/>
      <c r="AQ40" s="619"/>
    </row>
    <row r="41" spans="3:43" ht="15.95" hidden="1" customHeight="1" x14ac:dyDescent="0.25">
      <c r="C41" s="619"/>
      <c r="D41" s="619"/>
      <c r="E41" s="619"/>
      <c r="F41" s="619"/>
      <c r="G41" s="619"/>
      <c r="H41" s="619"/>
      <c r="J41" s="619"/>
      <c r="K41" s="619"/>
      <c r="L41" s="619"/>
      <c r="M41" s="619"/>
      <c r="N41" s="619"/>
      <c r="O41" s="619"/>
      <c r="Q41" s="619"/>
      <c r="R41" s="619"/>
      <c r="S41" s="619"/>
      <c r="T41" s="619"/>
      <c r="U41" s="619"/>
      <c r="V41" s="619"/>
      <c r="X41" s="619"/>
      <c r="Y41" s="619"/>
      <c r="Z41" s="619"/>
      <c r="AA41" s="619"/>
      <c r="AB41" s="619"/>
      <c r="AC41" s="619"/>
      <c r="AE41" s="619"/>
      <c r="AF41" s="619"/>
      <c r="AG41" s="619"/>
      <c r="AH41" s="619"/>
      <c r="AI41" s="619"/>
      <c r="AJ41" s="619"/>
      <c r="AL41" s="619"/>
      <c r="AM41" s="619"/>
      <c r="AN41" s="619"/>
      <c r="AO41" s="619"/>
      <c r="AP41" s="619"/>
      <c r="AQ41" s="619"/>
    </row>
    <row r="42" spans="3:43" ht="15.95" hidden="1" customHeight="1" x14ac:dyDescent="0.25">
      <c r="C42" s="619"/>
      <c r="D42" s="619"/>
      <c r="E42" s="619"/>
      <c r="F42" s="619"/>
      <c r="G42" s="619"/>
      <c r="H42" s="619"/>
      <c r="J42" s="619"/>
      <c r="K42" s="619"/>
      <c r="L42" s="619"/>
      <c r="M42" s="619"/>
      <c r="N42" s="619"/>
      <c r="O42" s="619"/>
      <c r="Q42" s="619"/>
      <c r="R42" s="619"/>
      <c r="S42" s="619"/>
      <c r="T42" s="619"/>
      <c r="U42" s="619"/>
      <c r="V42" s="619"/>
      <c r="X42" s="619"/>
      <c r="Y42" s="619"/>
      <c r="Z42" s="619"/>
      <c r="AA42" s="619"/>
      <c r="AB42" s="619"/>
      <c r="AC42" s="619"/>
      <c r="AE42" s="619"/>
      <c r="AF42" s="619"/>
      <c r="AG42" s="619"/>
      <c r="AH42" s="619"/>
      <c r="AI42" s="619"/>
      <c r="AJ42" s="619"/>
      <c r="AL42" s="619"/>
      <c r="AM42" s="619"/>
      <c r="AN42" s="619"/>
      <c r="AO42" s="619"/>
      <c r="AP42" s="619"/>
      <c r="AQ42" s="619"/>
    </row>
    <row r="43" spans="3:43" ht="15.95" hidden="1" customHeight="1" x14ac:dyDescent="0.25">
      <c r="C43" s="619"/>
      <c r="D43" s="619"/>
      <c r="E43" s="619"/>
      <c r="F43" s="619"/>
      <c r="G43" s="619"/>
      <c r="H43" s="619"/>
      <c r="J43" s="619"/>
      <c r="K43" s="619"/>
      <c r="L43" s="619"/>
      <c r="M43" s="619"/>
      <c r="N43" s="619"/>
      <c r="O43" s="619"/>
      <c r="Q43" s="619"/>
      <c r="R43" s="619"/>
      <c r="S43" s="619"/>
      <c r="T43" s="619"/>
      <c r="U43" s="619"/>
      <c r="V43" s="619"/>
      <c r="X43" s="619"/>
      <c r="Y43" s="619"/>
      <c r="Z43" s="619"/>
      <c r="AA43" s="619"/>
      <c r="AB43" s="619"/>
      <c r="AC43" s="619"/>
      <c r="AE43" s="619"/>
      <c r="AF43" s="619"/>
      <c r="AG43" s="619"/>
      <c r="AH43" s="619"/>
      <c r="AI43" s="619"/>
      <c r="AJ43" s="619"/>
      <c r="AL43" s="619"/>
      <c r="AM43" s="619"/>
      <c r="AN43" s="619"/>
      <c r="AO43" s="619"/>
      <c r="AP43" s="619"/>
      <c r="AQ43" s="619"/>
    </row>
    <row r="44" spans="3:43" ht="15.95" hidden="1" customHeight="1" x14ac:dyDescent="0.25">
      <c r="C44" s="619"/>
      <c r="D44" s="619"/>
      <c r="E44" s="619"/>
      <c r="F44" s="619"/>
      <c r="G44" s="619"/>
      <c r="H44" s="619"/>
      <c r="J44" s="619"/>
      <c r="K44" s="619"/>
      <c r="L44" s="619"/>
      <c r="M44" s="619"/>
      <c r="N44" s="619"/>
      <c r="O44" s="619"/>
      <c r="Q44" s="619"/>
      <c r="R44" s="619"/>
      <c r="S44" s="619"/>
      <c r="T44" s="619"/>
      <c r="U44" s="619"/>
      <c r="V44" s="619"/>
      <c r="X44" s="619"/>
      <c r="Y44" s="619"/>
      <c r="Z44" s="619"/>
      <c r="AA44" s="619"/>
      <c r="AB44" s="619"/>
      <c r="AC44" s="619"/>
      <c r="AE44" s="619"/>
      <c r="AF44" s="619"/>
      <c r="AG44" s="619"/>
      <c r="AH44" s="619"/>
      <c r="AI44" s="619"/>
      <c r="AJ44" s="619"/>
      <c r="AL44" s="619"/>
      <c r="AM44" s="619"/>
      <c r="AN44" s="619"/>
      <c r="AO44" s="619"/>
      <c r="AP44" s="619"/>
      <c r="AQ44" s="619"/>
    </row>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IQ0YBpc2MN3RQm8dI5AUuKmD/VpWfRpJAtGa+c+n5HPhxZO2haO7DyxC0Op4mXjCoH9wQJk9zTQGWQ3npGAcvA==" saltValue="LhH3a7b/XJB61AFx4z7zDw==" spinCount="100000" sheet="1" objects="1" scenarios="1" selectLockedCells="1"/>
  <mergeCells count="34">
    <mergeCell ref="Q1:R1"/>
    <mergeCell ref="U1:V1"/>
    <mergeCell ref="Y1:Z1"/>
    <mergeCell ref="F34:AN34"/>
    <mergeCell ref="F35:AN35"/>
    <mergeCell ref="X25:AC32"/>
    <mergeCell ref="AE25:AJ32"/>
    <mergeCell ref="C37:H44"/>
    <mergeCell ref="J37:O44"/>
    <mergeCell ref="Q37:V44"/>
    <mergeCell ref="X37:AC44"/>
    <mergeCell ref="AE37:AJ44"/>
    <mergeCell ref="AL37:AQ44"/>
    <mergeCell ref="M200:AG201"/>
    <mergeCell ref="F10:AN10"/>
    <mergeCell ref="F11:AN11"/>
    <mergeCell ref="AL25:AQ32"/>
    <mergeCell ref="F22:AN22"/>
    <mergeCell ref="F23:AN23"/>
    <mergeCell ref="C13:H20"/>
    <mergeCell ref="J13:O20"/>
    <mergeCell ref="Q13:V20"/>
    <mergeCell ref="X13:AC20"/>
    <mergeCell ref="AE13:AJ20"/>
    <mergeCell ref="AL13:AQ20"/>
    <mergeCell ref="C25:H32"/>
    <mergeCell ref="J25:O32"/>
    <mergeCell ref="Q25:V32"/>
    <mergeCell ref="AQ1:AR1"/>
    <mergeCell ref="AQ2:AR3"/>
    <mergeCell ref="AH1:AK1"/>
    <mergeCell ref="AL1:AP1"/>
    <mergeCell ref="AH2:AK3"/>
    <mergeCell ref="AL2:AP3"/>
  </mergeCells>
  <conditionalFormatting sqref="AH2 AL2">
    <cfRule type="expression" dxfId="518" priority="1">
      <formula>PROJSTATUS=PROJSTATELI</formula>
    </cfRule>
    <cfRule type="expression" dxfId="517" priority="2">
      <formula>PROJSTATUS=PROJSTATREVIEW</formula>
    </cfRule>
    <cfRule type="expression" dxfId="516" priority="3">
      <formula>PROJSTATUS=PROJSTATPREAPPROVE</formula>
    </cfRule>
    <cfRule type="expression" dxfId="515" priority="4">
      <formula>PROJSTATUS=PROJSTATSTANDARD</formula>
    </cfRule>
    <cfRule type="expression" dxfId="514" priority="5">
      <formula>PROJSTATUS=PROJSTATEXP</formula>
    </cfRule>
  </conditionalFormatting>
  <conditionalFormatting sqref="AQ2:AR3">
    <cfRule type="cellIs" dxfId="513" priority="8" operator="equal">
      <formula>1</formula>
    </cfRule>
    <cfRule type="cellIs" dxfId="512" priority="9" operator="between">
      <formula>0.51</formula>
      <formula>0.99</formula>
    </cfRule>
    <cfRule type="cellIs" dxfId="511" priority="10" operator="lessThanOrEqual">
      <formula>0.5</formula>
    </cfRule>
  </conditionalFormatting>
  <hyperlinks>
    <hyperlink ref="B202" r:id="rId1" display="NIPSCO.Savings@LMCO.com" xr:uid="{00000000-0004-0000-0A00-000000000000}"/>
  </hyperlinks>
  <pageMargins left="0.25" right="0.25" top="0.25" bottom="0.25" header="0.25" footer="0.25"/>
  <pageSetup scale="62"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3F621-0544-4714-B957-6B47099BB0CA}">
  <sheetPr codeName="Sheet1"/>
  <dimension ref="A1:AS214"/>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16384" width="9.140625" hidden="1"/>
  </cols>
  <sheetData>
    <row r="1" spans="2: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4" ht="15.95" customHeight="1" x14ac:dyDescent="0.25">
      <c r="AH2" s="602" t="str">
        <f>INCENSTATUS</f>
        <v>---</v>
      </c>
      <c r="AI2" s="603"/>
      <c r="AJ2" s="603"/>
      <c r="AK2" s="603"/>
      <c r="AL2" s="613" t="str">
        <f ca="1">PROJSTATUS</f>
        <v>Enter Measures</v>
      </c>
      <c r="AM2" s="613"/>
      <c r="AN2" s="613"/>
      <c r="AO2" s="613"/>
      <c r="AP2" s="613"/>
      <c r="AQ2" s="622">
        <f ca="1">PROGRESSSTATUS</f>
        <v>0</v>
      </c>
      <c r="AR2" s="623"/>
    </row>
    <row r="3" spans="2:44" ht="15.95" customHeight="1" x14ac:dyDescent="0.25">
      <c r="AH3" s="604"/>
      <c r="AI3" s="605"/>
      <c r="AJ3" s="605"/>
      <c r="AK3" s="605"/>
      <c r="AL3" s="614"/>
      <c r="AM3" s="614"/>
      <c r="AN3" s="614"/>
      <c r="AO3" s="614"/>
      <c r="AP3" s="614"/>
      <c r="AQ3" s="624"/>
      <c r="AR3" s="625"/>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1979</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row r="14" spans="2:44" ht="15.95" customHeight="1" x14ac:dyDescent="0.25"/>
    <row r="15" spans="2:44" ht="15.95" customHeight="1" x14ac:dyDescent="0.25"/>
    <row r="16" spans="2:44" ht="15.95" customHeight="1" x14ac:dyDescent="0.25"/>
    <row r="17" customFormat="1" ht="15.95" customHeight="1" x14ac:dyDescent="0.25"/>
    <row r="18" customFormat="1" ht="15.95" customHeight="1" x14ac:dyDescent="0.25"/>
    <row r="19" customFormat="1" ht="15.95" customHeight="1" x14ac:dyDescent="0.25"/>
    <row r="20" customFormat="1" ht="15.95" customHeight="1" x14ac:dyDescent="0.25"/>
    <row r="21" customFormat="1" ht="15.95" customHeight="1" x14ac:dyDescent="0.25"/>
    <row r="22" customFormat="1" ht="15.95" customHeight="1" x14ac:dyDescent="0.25"/>
    <row r="23" customFormat="1" ht="15.95" customHeight="1" x14ac:dyDescent="0.25"/>
    <row r="24" customFormat="1" ht="15.95" customHeight="1" x14ac:dyDescent="0.25"/>
    <row r="25" customFormat="1" ht="15.95" customHeight="1" x14ac:dyDescent="0.25"/>
    <row r="26" customFormat="1" ht="15.95" customHeight="1" x14ac:dyDescent="0.25"/>
    <row r="27" customFormat="1" ht="15.95" customHeight="1" x14ac:dyDescent="0.25"/>
    <row r="28" customFormat="1" ht="15.95" customHeight="1" x14ac:dyDescent="0.25"/>
    <row r="29" customFormat="1" ht="15.95" customHeight="1" x14ac:dyDescent="0.25"/>
    <row r="30" customFormat="1" ht="15.95" customHeight="1" x14ac:dyDescent="0.25"/>
    <row r="31" customFormat="1" ht="15.95" customHeight="1" x14ac:dyDescent="0.25"/>
    <row r="32" customFormat="1"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hidden="1" customHeight="1" x14ac:dyDescent="0.25"/>
    <row r="47" customFormat="1" ht="15.95" hidden="1" customHeight="1" x14ac:dyDescent="0.25"/>
    <row r="48" customFormat="1"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spans="2:44" ht="15.95" hidden="1" customHeight="1" x14ac:dyDescent="0.25"/>
    <row r="162" spans="2:44" ht="15.95" hidden="1" customHeight="1" x14ac:dyDescent="0.25"/>
    <row r="163" spans="2:44" ht="15.95" hidden="1" customHeight="1" x14ac:dyDescent="0.25"/>
    <row r="164" spans="2:44" ht="15.95" hidden="1" customHeight="1" x14ac:dyDescent="0.25"/>
    <row r="165" spans="2:44" ht="15.95" hidden="1" customHeight="1" x14ac:dyDescent="0.25">
      <c r="B165" s="69"/>
      <c r="AR165" s="69"/>
    </row>
    <row r="166" spans="2:44" ht="15.95" hidden="1" customHeight="1" x14ac:dyDescent="0.25">
      <c r="B166" s="69"/>
      <c r="AR166" s="69"/>
    </row>
    <row r="167" spans="2:44" ht="15.95" hidden="1" customHeight="1" x14ac:dyDescent="0.25"/>
    <row r="168" spans="2:44" ht="15.95" hidden="1" customHeight="1" x14ac:dyDescent="0.25"/>
    <row r="169" spans="2:44" ht="15.95" hidden="1" customHeight="1" x14ac:dyDescent="0.25"/>
    <row r="170" spans="2:44" ht="15.95" hidden="1" customHeight="1" x14ac:dyDescent="0.25"/>
    <row r="171" spans="2:44" ht="15.95" hidden="1" customHeight="1" x14ac:dyDescent="0.25"/>
    <row r="172" spans="2:44" ht="15.95" hidden="1" customHeight="1" x14ac:dyDescent="0.25"/>
    <row r="173" spans="2:44" ht="15.95" hidden="1" customHeight="1" x14ac:dyDescent="0.25"/>
    <row r="174" spans="2:44" ht="15.95" hidden="1" customHeight="1" x14ac:dyDescent="0.25"/>
    <row r="175" spans="2:44" ht="15.95" hidden="1" customHeight="1" x14ac:dyDescent="0.25"/>
    <row r="176" spans="2:44"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sheetData>
  <sheetProtection algorithmName="SHA-512" hashValue="2rQi0GjAnnVxtul5HGlwkKnToPOuyjXaWEMBrs7HobtvvV+IimcG0VTYAVht2VGnT1edgwZP/P3zwz9wqZjePw==" saltValue="eejr1fSQ3OOxQDjpgJ6ivw==" spinCount="100000" sheet="1" objects="1" scenarios="1" selectLockedCells="1"/>
  <mergeCells count="12">
    <mergeCell ref="AQ1:AR1"/>
    <mergeCell ref="Q1:R1"/>
    <mergeCell ref="U1:V1"/>
    <mergeCell ref="Y1:Z1"/>
    <mergeCell ref="AH1:AK1"/>
    <mergeCell ref="AL1:AP1"/>
    <mergeCell ref="M200:AG201"/>
    <mergeCell ref="AH2:AK3"/>
    <mergeCell ref="AL2:AP3"/>
    <mergeCell ref="AQ2:AR3"/>
    <mergeCell ref="F10:AN10"/>
    <mergeCell ref="F11:AN11"/>
  </mergeCells>
  <conditionalFormatting sqref="AH2 AL2">
    <cfRule type="expression" dxfId="510" priority="1">
      <formula>PROJSTATUS=PROJSTATELI</formula>
    </cfRule>
    <cfRule type="expression" dxfId="509" priority="2">
      <formula>PROJSTATUS=PROJSTATREVIEW</formula>
    </cfRule>
    <cfRule type="expression" dxfId="508" priority="3">
      <formula>PROJSTATUS=PROJSTATPREAPPROVE</formula>
    </cfRule>
    <cfRule type="expression" dxfId="507" priority="4">
      <formula>PROJSTATUS=PROJSTATSTANDARD</formula>
    </cfRule>
    <cfRule type="expression" dxfId="506" priority="5">
      <formula>PROJSTATUS=PROJSTATEXP</formula>
    </cfRule>
  </conditionalFormatting>
  <conditionalFormatting sqref="AQ2:AR3">
    <cfRule type="cellIs" dxfId="505" priority="6" operator="equal">
      <formula>1</formula>
    </cfRule>
    <cfRule type="cellIs" dxfId="504" priority="7" operator="between">
      <formula>0.51</formula>
      <formula>0.99</formula>
    </cfRule>
    <cfRule type="cellIs" dxfId="503" priority="8" operator="lessThanOrEqual">
      <formula>0.5</formula>
    </cfRule>
  </conditionalFormatting>
  <hyperlinks>
    <hyperlink ref="B202" r:id="rId1" display="NIPSCO.Savings@LMCO.com" xr:uid="{130E1E89-3F41-44BB-AC7A-91439D1560E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x14ac:dyDescent="0.25"/>
  <cols>
    <col min="1" max="45" width="4.7109375" customWidth="1"/>
    <col min="46" max="46" width="9.140625" hidden="1"/>
    <col min="47" max="67" width="9.140625" hidden="1" customWidth="1"/>
    <col min="68" max="16384" width="9.140625" hidden="1"/>
  </cols>
  <sheetData>
    <row r="1" spans="2: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4" ht="15.95" customHeight="1" x14ac:dyDescent="0.25">
      <c r="AH3" s="604"/>
      <c r="AI3" s="605"/>
      <c r="AJ3" s="605"/>
      <c r="AK3" s="605"/>
      <c r="AL3" s="614"/>
      <c r="AM3" s="614"/>
      <c r="AN3" s="614"/>
      <c r="AO3" s="614"/>
      <c r="AP3" s="614"/>
      <c r="AQ3" s="610"/>
      <c r="AR3" s="611"/>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1150</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6"/>
      <c r="AN11" s="626"/>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82" t="s">
        <v>869</v>
      </c>
      <c r="D13" s="83"/>
      <c r="E13" s="83"/>
      <c r="F13" s="83"/>
      <c r="G13" s="83"/>
      <c r="H13" s="83"/>
      <c r="I13" s="83"/>
      <c r="J13" s="83"/>
      <c r="K13" s="83"/>
      <c r="L13" s="83"/>
      <c r="M13" s="83"/>
      <c r="N13" s="83"/>
      <c r="O13" s="83"/>
      <c r="P13" s="83"/>
      <c r="Q13" s="83"/>
      <c r="R13" s="69"/>
      <c r="S13" s="69"/>
      <c r="T13" s="69"/>
      <c r="U13" s="84"/>
      <c r="V13" s="84"/>
      <c r="W13" s="69"/>
      <c r="X13" s="69"/>
      <c r="Y13" s="69"/>
      <c r="Z13" s="69"/>
      <c r="AA13" s="69"/>
      <c r="AB13" s="69"/>
      <c r="AC13" s="69"/>
      <c r="AD13" s="69"/>
      <c r="AE13" s="69"/>
      <c r="AF13" s="69"/>
      <c r="AG13" s="69"/>
      <c r="AH13" s="69"/>
      <c r="AI13" s="69"/>
      <c r="AJ13" s="69"/>
      <c r="AK13" s="69"/>
      <c r="AL13" s="69"/>
      <c r="AM13" s="69"/>
      <c r="AN13" s="69"/>
      <c r="AO13" s="69"/>
      <c r="AP13" s="69"/>
      <c r="AQ13" s="69"/>
      <c r="AR13" s="69"/>
    </row>
    <row r="14" spans="2:44" ht="15.95" customHeight="1" x14ac:dyDescent="0.25">
      <c r="B14" s="69"/>
      <c r="C14" s="632" t="s">
        <v>1146</v>
      </c>
      <c r="D14" s="632"/>
      <c r="E14" s="632"/>
      <c r="F14" s="632"/>
      <c r="G14" s="632"/>
      <c r="H14" s="85"/>
      <c r="I14" s="85"/>
      <c r="J14" s="632" t="s">
        <v>2460</v>
      </c>
      <c r="K14" s="632"/>
      <c r="L14" s="632"/>
      <c r="M14" s="632"/>
      <c r="N14" s="632"/>
      <c r="O14" s="632"/>
      <c r="P14" s="632"/>
      <c r="Q14" s="632"/>
      <c r="R14" s="632"/>
      <c r="S14" s="632"/>
      <c r="T14" s="632"/>
      <c r="U14" s="632"/>
      <c r="V14" s="632"/>
      <c r="W14" s="632"/>
      <c r="X14" s="632"/>
      <c r="Y14" s="86"/>
      <c r="AA14" s="632" t="s">
        <v>1164</v>
      </c>
      <c r="AB14" s="632"/>
      <c r="AC14" s="632"/>
      <c r="AD14" s="632"/>
      <c r="AE14" s="632"/>
      <c r="AF14" s="86"/>
      <c r="AG14" s="86"/>
      <c r="AH14" s="86"/>
      <c r="AI14" s="86"/>
      <c r="AJ14" s="86"/>
      <c r="AK14" s="86"/>
      <c r="AL14" s="86"/>
      <c r="AM14" s="86"/>
      <c r="AN14" s="86"/>
      <c r="AO14" s="69"/>
      <c r="AP14" s="69"/>
      <c r="AQ14" s="69"/>
      <c r="AR14" s="69"/>
    </row>
    <row r="15" spans="2:44" ht="15.95" customHeight="1" x14ac:dyDescent="0.25">
      <c r="B15" s="69"/>
      <c r="C15" s="632"/>
      <c r="D15" s="632"/>
      <c r="E15" s="632"/>
      <c r="F15" s="632"/>
      <c r="G15" s="632"/>
      <c r="H15" s="87"/>
      <c r="I15" s="87"/>
      <c r="J15" s="632"/>
      <c r="K15" s="632"/>
      <c r="L15" s="632"/>
      <c r="M15" s="632"/>
      <c r="N15" s="632"/>
      <c r="O15" s="632"/>
      <c r="P15" s="632"/>
      <c r="Q15" s="632"/>
      <c r="R15" s="632"/>
      <c r="S15" s="632"/>
      <c r="T15" s="632"/>
      <c r="U15" s="632"/>
      <c r="V15" s="632"/>
      <c r="W15" s="632"/>
      <c r="X15" s="632"/>
      <c r="Y15" s="86"/>
      <c r="AA15" s="632"/>
      <c r="AB15" s="632"/>
      <c r="AC15" s="632"/>
      <c r="AD15" s="632"/>
      <c r="AE15" s="632"/>
      <c r="AF15" s="86"/>
      <c r="AG15" s="86"/>
      <c r="AH15" s="634" t="s">
        <v>870</v>
      </c>
      <c r="AI15" s="634"/>
      <c r="AJ15" s="634"/>
      <c r="AK15" s="634"/>
      <c r="AL15" s="634"/>
      <c r="AM15" s="634"/>
      <c r="AN15" s="634"/>
      <c r="AO15" s="634"/>
      <c r="AP15" s="634"/>
      <c r="AQ15" s="69"/>
      <c r="AR15" s="69"/>
    </row>
    <row r="16" spans="2:44" ht="15.95" customHeight="1" x14ac:dyDescent="0.25">
      <c r="B16" s="69"/>
      <c r="C16" s="632"/>
      <c r="D16" s="632"/>
      <c r="E16" s="632"/>
      <c r="F16" s="632"/>
      <c r="G16" s="632"/>
      <c r="H16" s="87"/>
      <c r="I16" s="87"/>
      <c r="J16" s="632"/>
      <c r="K16" s="632"/>
      <c r="L16" s="632"/>
      <c r="M16" s="632"/>
      <c r="N16" s="632"/>
      <c r="O16" s="632"/>
      <c r="P16" s="632"/>
      <c r="Q16" s="632"/>
      <c r="R16" s="632"/>
      <c r="S16" s="632"/>
      <c r="T16" s="632"/>
      <c r="U16" s="632"/>
      <c r="V16" s="632"/>
      <c r="W16" s="632"/>
      <c r="X16" s="632"/>
      <c r="Y16" s="88"/>
      <c r="AA16" s="632"/>
      <c r="AB16" s="632"/>
      <c r="AC16" s="632"/>
      <c r="AD16" s="632"/>
      <c r="AE16" s="632"/>
      <c r="AF16" s="88"/>
      <c r="AG16" s="88"/>
      <c r="AH16" s="635">
        <f>(F26*AD19)-X30</f>
        <v>0</v>
      </c>
      <c r="AI16" s="635"/>
      <c r="AJ16" s="635"/>
      <c r="AK16" s="635"/>
      <c r="AL16" s="635"/>
      <c r="AM16" s="635"/>
      <c r="AN16" s="635"/>
      <c r="AO16" s="635"/>
      <c r="AP16" s="635"/>
      <c r="AQ16" s="69"/>
      <c r="AR16" s="69"/>
    </row>
    <row r="17" spans="2:47" ht="15.95" customHeight="1" x14ac:dyDescent="0.25">
      <c r="B17" s="69"/>
      <c r="C17" s="632"/>
      <c r="D17" s="632"/>
      <c r="E17" s="632"/>
      <c r="F17" s="632"/>
      <c r="G17" s="632"/>
      <c r="H17" s="89"/>
      <c r="I17" s="89"/>
      <c r="J17" s="636" t="s">
        <v>871</v>
      </c>
      <c r="K17" s="636"/>
      <c r="L17" s="636"/>
      <c r="M17" s="637" t="s">
        <v>120</v>
      </c>
      <c r="N17" s="637"/>
      <c r="O17" s="637"/>
      <c r="P17" s="638" t="s">
        <v>872</v>
      </c>
      <c r="Q17" s="638"/>
      <c r="R17" s="638"/>
      <c r="S17" s="638"/>
      <c r="T17" s="638"/>
      <c r="U17" s="638"/>
      <c r="V17" s="638" t="s">
        <v>873</v>
      </c>
      <c r="W17" s="638"/>
      <c r="X17" s="196" t="s">
        <v>1200</v>
      </c>
      <c r="Y17" s="69"/>
      <c r="AA17" s="632"/>
      <c r="AB17" s="632"/>
      <c r="AC17" s="632"/>
      <c r="AD17" s="632"/>
      <c r="AE17" s="632"/>
      <c r="AF17" s="88"/>
      <c r="AG17" s="88"/>
      <c r="AH17" s="88"/>
      <c r="AI17" s="88"/>
      <c r="AJ17" s="88"/>
      <c r="AK17" s="88"/>
      <c r="AL17" s="88"/>
      <c r="AM17" s="88"/>
      <c r="AN17" s="88"/>
      <c r="AO17" s="88"/>
      <c r="AP17" s="69"/>
      <c r="AQ17" s="69"/>
      <c r="AR17" s="69"/>
    </row>
    <row r="18" spans="2:47" ht="15.95" customHeight="1" x14ac:dyDescent="0.25">
      <c r="B18" s="69"/>
      <c r="C18" s="633"/>
      <c r="D18" s="633"/>
      <c r="E18" s="633"/>
      <c r="F18" s="633"/>
      <c r="G18" s="633"/>
      <c r="H18" s="89"/>
      <c r="I18" s="89"/>
      <c r="J18" s="639" t="str">
        <f>TEXT(M18,"dddd")</f>
        <v>Monday</v>
      </c>
      <c r="K18" s="639"/>
      <c r="L18" s="639"/>
      <c r="M18" s="640">
        <v>45292</v>
      </c>
      <c r="N18" s="640"/>
      <c r="O18" s="640"/>
      <c r="P18" s="629" t="s">
        <v>874</v>
      </c>
      <c r="Q18" s="629"/>
      <c r="R18" s="629"/>
      <c r="S18" s="629"/>
      <c r="T18" s="629"/>
      <c r="U18" s="629"/>
      <c r="V18" s="641"/>
      <c r="W18" s="641"/>
      <c r="X18" s="90" t="str">
        <f t="shared" ref="X18:X28" si="0">IF(AU18=TRUE,VLOOKUP(J18,$C$19:$G$25,4,FALSE),"")</f>
        <v/>
      </c>
      <c r="Y18" s="137"/>
      <c r="AA18" s="633"/>
      <c r="AB18" s="633"/>
      <c r="AC18" s="633"/>
      <c r="AD18" s="633"/>
      <c r="AE18" s="633"/>
      <c r="AF18" s="88"/>
      <c r="AG18" s="88"/>
      <c r="AH18" s="88"/>
      <c r="AI18" s="88"/>
      <c r="AJ18" s="88"/>
      <c r="AK18" s="88"/>
      <c r="AL18" s="88"/>
      <c r="AM18" s="88"/>
      <c r="AN18" s="88"/>
      <c r="AO18" s="88"/>
      <c r="AP18" s="69"/>
      <c r="AQ18" s="69"/>
      <c r="AR18" s="69"/>
      <c r="AU18" s="92" t="b">
        <v>0</v>
      </c>
    </row>
    <row r="19" spans="2:47" ht="15.95" customHeight="1" x14ac:dyDescent="0.25">
      <c r="B19" s="69"/>
      <c r="C19" s="642" t="s">
        <v>875</v>
      </c>
      <c r="D19" s="642"/>
      <c r="E19" s="642"/>
      <c r="F19" s="643"/>
      <c r="G19" s="643"/>
      <c r="H19" s="89"/>
      <c r="I19" s="89"/>
      <c r="J19" s="639" t="str">
        <f>TEXT(M19,"dddd")</f>
        <v>Monday</v>
      </c>
      <c r="K19" s="639"/>
      <c r="L19" s="639"/>
      <c r="M19" s="640">
        <v>45306</v>
      </c>
      <c r="N19" s="640"/>
      <c r="O19" s="640"/>
      <c r="P19" s="629" t="s">
        <v>876</v>
      </c>
      <c r="Q19" s="629"/>
      <c r="R19" s="629"/>
      <c r="S19" s="629"/>
      <c r="T19" s="629"/>
      <c r="U19" s="629"/>
      <c r="V19" s="641"/>
      <c r="W19" s="641"/>
      <c r="X19" s="90" t="str">
        <f t="shared" si="0"/>
        <v/>
      </c>
      <c r="Y19" s="137"/>
      <c r="AA19" s="629" t="s">
        <v>877</v>
      </c>
      <c r="AB19" s="629"/>
      <c r="AC19" s="629"/>
      <c r="AD19" s="630"/>
      <c r="AE19" s="631"/>
      <c r="AF19" s="88"/>
      <c r="AG19" s="88"/>
      <c r="AH19" s="88"/>
      <c r="AI19" s="88"/>
      <c r="AJ19" s="88"/>
      <c r="AK19" s="88"/>
      <c r="AL19" s="88"/>
      <c r="AM19" s="88"/>
      <c r="AN19" s="88"/>
      <c r="AO19" s="88"/>
      <c r="AP19" s="69"/>
      <c r="AQ19" s="69"/>
      <c r="AR19" s="69"/>
      <c r="AU19" s="92" t="b">
        <v>0</v>
      </c>
    </row>
    <row r="20" spans="2:47" ht="15.95" customHeight="1" x14ac:dyDescent="0.25">
      <c r="B20" s="69"/>
      <c r="C20" s="642" t="s">
        <v>878</v>
      </c>
      <c r="D20" s="642"/>
      <c r="E20" s="642"/>
      <c r="F20" s="643"/>
      <c r="G20" s="643"/>
      <c r="H20" s="89"/>
      <c r="I20" s="89"/>
      <c r="J20" s="639" t="str">
        <f>TEXT(M20,"dddd")</f>
        <v>Monday</v>
      </c>
      <c r="K20" s="639"/>
      <c r="L20" s="639"/>
      <c r="M20" s="640">
        <v>45341</v>
      </c>
      <c r="N20" s="640"/>
      <c r="O20" s="640"/>
      <c r="P20" s="629" t="s">
        <v>879</v>
      </c>
      <c r="Q20" s="629"/>
      <c r="R20" s="629"/>
      <c r="S20" s="629"/>
      <c r="T20" s="629"/>
      <c r="U20" s="629"/>
      <c r="V20" s="641"/>
      <c r="W20" s="641"/>
      <c r="X20" s="90" t="str">
        <f t="shared" si="0"/>
        <v/>
      </c>
      <c r="Y20" s="137"/>
      <c r="AA20" s="69"/>
      <c r="AB20" s="88"/>
      <c r="AC20" s="69"/>
      <c r="AD20" s="69"/>
      <c r="AE20" s="69"/>
      <c r="AF20" s="88"/>
      <c r="AG20" s="88"/>
      <c r="AH20" s="88"/>
      <c r="AI20" s="88"/>
      <c r="AJ20" s="88"/>
      <c r="AK20" s="88"/>
      <c r="AL20" s="88"/>
      <c r="AM20" s="88"/>
      <c r="AN20" s="88"/>
      <c r="AO20" s="88"/>
      <c r="AP20" s="69"/>
      <c r="AQ20" s="69"/>
      <c r="AR20" s="69"/>
      <c r="AU20" s="93" t="b">
        <v>0</v>
      </c>
    </row>
    <row r="21" spans="2:47" ht="15.95" customHeight="1" x14ac:dyDescent="0.25">
      <c r="B21" s="69"/>
      <c r="C21" s="642" t="s">
        <v>880</v>
      </c>
      <c r="D21" s="642"/>
      <c r="E21" s="642"/>
      <c r="F21" s="643"/>
      <c r="G21" s="643"/>
      <c r="H21" s="89"/>
      <c r="I21" s="89"/>
      <c r="J21" s="639" t="str">
        <f>TEXT(M21,"dddd")</f>
        <v>Monday</v>
      </c>
      <c r="K21" s="639"/>
      <c r="L21" s="639"/>
      <c r="M21" s="640">
        <v>45439</v>
      </c>
      <c r="N21" s="640"/>
      <c r="O21" s="640"/>
      <c r="P21" s="629" t="s">
        <v>881</v>
      </c>
      <c r="Q21" s="629"/>
      <c r="R21" s="629"/>
      <c r="S21" s="629"/>
      <c r="T21" s="629"/>
      <c r="U21" s="629"/>
      <c r="V21" s="641"/>
      <c r="W21" s="641"/>
      <c r="X21" s="90" t="str">
        <f t="shared" si="0"/>
        <v/>
      </c>
      <c r="Y21" s="137"/>
      <c r="AA21" s="69"/>
      <c r="AB21" s="88"/>
      <c r="AC21" s="88"/>
      <c r="AD21" s="88"/>
      <c r="AE21" s="88"/>
      <c r="AF21" s="88"/>
      <c r="AG21" s="88"/>
      <c r="AH21" s="88"/>
      <c r="AI21" s="88"/>
      <c r="AJ21" s="88"/>
      <c r="AK21" s="88"/>
      <c r="AL21" s="88"/>
      <c r="AM21" s="88"/>
      <c r="AN21" s="88"/>
      <c r="AO21" s="88"/>
      <c r="AP21" s="88"/>
      <c r="AQ21" s="69"/>
      <c r="AR21" s="69"/>
      <c r="AU21" s="93" t="b">
        <v>0</v>
      </c>
    </row>
    <row r="22" spans="2:47" ht="15.95" customHeight="1" x14ac:dyDescent="0.25">
      <c r="B22" s="69"/>
      <c r="C22" s="642" t="s">
        <v>882</v>
      </c>
      <c r="D22" s="642"/>
      <c r="E22" s="642"/>
      <c r="F22" s="643"/>
      <c r="G22" s="643"/>
      <c r="H22" s="89"/>
      <c r="I22" s="89"/>
      <c r="J22" s="639" t="str">
        <f t="shared" ref="J22:J28" si="1">TEXT(M22,"dddd")</f>
        <v>Thursday</v>
      </c>
      <c r="K22" s="639"/>
      <c r="L22" s="639"/>
      <c r="M22" s="640">
        <v>45477</v>
      </c>
      <c r="N22" s="640"/>
      <c r="O22" s="640"/>
      <c r="P22" s="629" t="s">
        <v>2324</v>
      </c>
      <c r="Q22" s="629"/>
      <c r="R22" s="629"/>
      <c r="S22" s="629"/>
      <c r="T22" s="629"/>
      <c r="U22" s="629"/>
      <c r="V22" s="641"/>
      <c r="W22" s="641"/>
      <c r="X22" s="90" t="str">
        <f t="shared" si="0"/>
        <v/>
      </c>
      <c r="Y22" s="137"/>
      <c r="AA22" s="627" t="s">
        <v>1165</v>
      </c>
      <c r="AB22" s="627"/>
      <c r="AC22" s="627"/>
      <c r="AD22" s="627"/>
      <c r="AE22" s="627"/>
      <c r="AF22" s="627"/>
      <c r="AG22" s="627"/>
      <c r="AH22" s="627"/>
      <c r="AI22" s="627"/>
      <c r="AJ22" s="627"/>
      <c r="AK22" s="627"/>
      <c r="AL22" s="627"/>
      <c r="AM22" s="627"/>
      <c r="AN22" s="627"/>
      <c r="AO22" s="627"/>
      <c r="AP22" s="627"/>
      <c r="AQ22" s="69"/>
      <c r="AR22" s="69"/>
      <c r="AU22" s="94" t="b">
        <v>0</v>
      </c>
    </row>
    <row r="23" spans="2:47" ht="15.95" customHeight="1" x14ac:dyDescent="0.25">
      <c r="B23" s="69"/>
      <c r="C23" s="642" t="s">
        <v>883</v>
      </c>
      <c r="D23" s="642"/>
      <c r="E23" s="642"/>
      <c r="F23" s="643"/>
      <c r="G23" s="643"/>
      <c r="H23" s="89"/>
      <c r="I23" s="89"/>
      <c r="J23" s="639" t="str">
        <f t="shared" si="1"/>
        <v>Monday</v>
      </c>
      <c r="K23" s="639"/>
      <c r="L23" s="639"/>
      <c r="M23" s="640">
        <v>45537</v>
      </c>
      <c r="N23" s="640"/>
      <c r="O23" s="640"/>
      <c r="P23" s="629" t="s">
        <v>884</v>
      </c>
      <c r="Q23" s="629"/>
      <c r="R23" s="629"/>
      <c r="S23" s="629"/>
      <c r="T23" s="629"/>
      <c r="U23" s="629"/>
      <c r="V23" s="641"/>
      <c r="W23" s="641"/>
      <c r="X23" s="90" t="str">
        <f t="shared" si="0"/>
        <v/>
      </c>
      <c r="Y23" s="137"/>
      <c r="AA23" s="185" t="s">
        <v>1133</v>
      </c>
      <c r="AB23" s="628" t="s">
        <v>1134</v>
      </c>
      <c r="AC23" s="627"/>
      <c r="AD23" s="627"/>
      <c r="AE23" s="627"/>
      <c r="AF23" s="627"/>
      <c r="AG23" s="627"/>
      <c r="AH23" s="627"/>
      <c r="AI23" s="627"/>
      <c r="AJ23" s="627"/>
      <c r="AK23" s="627"/>
      <c r="AL23" s="627"/>
      <c r="AM23" s="627"/>
      <c r="AN23" s="627"/>
      <c r="AO23" s="627"/>
      <c r="AP23" s="627"/>
      <c r="AQ23" s="69"/>
      <c r="AR23" s="69"/>
      <c r="AU23" s="94" t="b">
        <v>0</v>
      </c>
    </row>
    <row r="24" spans="2:47" ht="15.95" customHeight="1" x14ac:dyDescent="0.25">
      <c r="B24" s="69"/>
      <c r="C24" s="642" t="s">
        <v>885</v>
      </c>
      <c r="D24" s="642"/>
      <c r="E24" s="642"/>
      <c r="F24" s="643"/>
      <c r="G24" s="643"/>
      <c r="H24" s="89"/>
      <c r="I24" s="89"/>
      <c r="J24" s="639" t="str">
        <f t="shared" si="1"/>
        <v>Monday</v>
      </c>
      <c r="K24" s="639"/>
      <c r="L24" s="639"/>
      <c r="M24" s="640">
        <v>45579</v>
      </c>
      <c r="N24" s="640"/>
      <c r="O24" s="640"/>
      <c r="P24" s="629" t="s">
        <v>2454</v>
      </c>
      <c r="Q24" s="629"/>
      <c r="R24" s="629"/>
      <c r="S24" s="629"/>
      <c r="T24" s="629"/>
      <c r="U24" s="629"/>
      <c r="V24" s="641"/>
      <c r="W24" s="641"/>
      <c r="X24" s="90" t="str">
        <f t="shared" si="0"/>
        <v/>
      </c>
      <c r="Y24" s="137"/>
      <c r="AA24" s="186"/>
      <c r="AB24" s="627"/>
      <c r="AC24" s="627"/>
      <c r="AD24" s="627"/>
      <c r="AE24" s="627"/>
      <c r="AF24" s="627"/>
      <c r="AG24" s="627"/>
      <c r="AH24" s="627"/>
      <c r="AI24" s="627"/>
      <c r="AJ24" s="627"/>
      <c r="AK24" s="627"/>
      <c r="AL24" s="627"/>
      <c r="AM24" s="627"/>
      <c r="AN24" s="627"/>
      <c r="AO24" s="627"/>
      <c r="AP24" s="627"/>
      <c r="AQ24" s="69"/>
      <c r="AR24" s="69"/>
      <c r="AU24" s="94" t="b">
        <v>0</v>
      </c>
    </row>
    <row r="25" spans="2:47" ht="15.95" customHeight="1" x14ac:dyDescent="0.25">
      <c r="B25" s="69"/>
      <c r="C25" s="642" t="s">
        <v>886</v>
      </c>
      <c r="D25" s="642"/>
      <c r="E25" s="642"/>
      <c r="F25" s="643"/>
      <c r="G25" s="643"/>
      <c r="H25" s="89"/>
      <c r="I25" s="89"/>
      <c r="J25" s="639" t="str">
        <f t="shared" si="1"/>
        <v>Monday</v>
      </c>
      <c r="K25" s="639"/>
      <c r="L25" s="639"/>
      <c r="M25" s="640">
        <v>45607</v>
      </c>
      <c r="N25" s="640"/>
      <c r="O25" s="640"/>
      <c r="P25" s="629" t="s">
        <v>887</v>
      </c>
      <c r="Q25" s="629"/>
      <c r="R25" s="629"/>
      <c r="S25" s="629"/>
      <c r="T25" s="629"/>
      <c r="U25" s="629"/>
      <c r="V25" s="641"/>
      <c r="W25" s="641"/>
      <c r="X25" s="90" t="str">
        <f t="shared" si="0"/>
        <v/>
      </c>
      <c r="Y25" s="137"/>
      <c r="Z25" s="91"/>
      <c r="AA25" s="186"/>
      <c r="AB25" s="627"/>
      <c r="AC25" s="627"/>
      <c r="AD25" s="627"/>
      <c r="AE25" s="627"/>
      <c r="AF25" s="627"/>
      <c r="AG25" s="627"/>
      <c r="AH25" s="627"/>
      <c r="AI25" s="627"/>
      <c r="AJ25" s="627"/>
      <c r="AK25" s="627"/>
      <c r="AL25" s="627"/>
      <c r="AM25" s="627"/>
      <c r="AN25" s="627"/>
      <c r="AO25" s="627"/>
      <c r="AP25" s="627"/>
      <c r="AQ25" s="69"/>
      <c r="AR25" s="69"/>
      <c r="AU25" s="94" t="b">
        <v>0</v>
      </c>
    </row>
    <row r="26" spans="2:47" ht="15.95" customHeight="1" x14ac:dyDescent="0.25">
      <c r="B26" s="69"/>
      <c r="C26" s="644" t="s">
        <v>888</v>
      </c>
      <c r="D26" s="644"/>
      <c r="E26" s="644"/>
      <c r="F26" s="645">
        <f>SUM(F19:G25)</f>
        <v>0</v>
      </c>
      <c r="G26" s="645"/>
      <c r="H26" s="89"/>
      <c r="I26" s="89"/>
      <c r="J26" s="639" t="str">
        <f t="shared" si="1"/>
        <v>Thursday</v>
      </c>
      <c r="K26" s="639"/>
      <c r="L26" s="639"/>
      <c r="M26" s="640">
        <v>45624</v>
      </c>
      <c r="N26" s="640"/>
      <c r="O26" s="640"/>
      <c r="P26" s="629" t="s">
        <v>889</v>
      </c>
      <c r="Q26" s="629"/>
      <c r="R26" s="629"/>
      <c r="S26" s="629"/>
      <c r="T26" s="629"/>
      <c r="U26" s="629"/>
      <c r="V26" s="641"/>
      <c r="W26" s="641"/>
      <c r="X26" s="90" t="str">
        <f t="shared" si="0"/>
        <v/>
      </c>
      <c r="Y26" s="137"/>
      <c r="Z26" s="91"/>
      <c r="AA26" s="185" t="s">
        <v>1133</v>
      </c>
      <c r="AB26" s="627" t="s">
        <v>890</v>
      </c>
      <c r="AC26" s="627"/>
      <c r="AD26" s="627"/>
      <c r="AE26" s="627"/>
      <c r="AF26" s="627"/>
      <c r="AG26" s="627"/>
      <c r="AH26" s="627"/>
      <c r="AI26" s="627"/>
      <c r="AJ26" s="627"/>
      <c r="AK26" s="627"/>
      <c r="AL26" s="627"/>
      <c r="AM26" s="627"/>
      <c r="AN26" s="627"/>
      <c r="AO26" s="627"/>
      <c r="AP26" s="627"/>
      <c r="AQ26" s="69"/>
      <c r="AR26" s="69"/>
      <c r="AU26" s="94" t="b">
        <v>0</v>
      </c>
    </row>
    <row r="27" spans="2:47" ht="15.95" customHeight="1" x14ac:dyDescent="0.25">
      <c r="B27" s="69"/>
      <c r="C27" s="89"/>
      <c r="D27" s="89"/>
      <c r="E27" s="89"/>
      <c r="F27" s="89"/>
      <c r="G27" s="89"/>
      <c r="H27" s="89"/>
      <c r="I27" s="89"/>
      <c r="J27" s="639" t="str">
        <f t="shared" si="1"/>
        <v>Tuesday</v>
      </c>
      <c r="K27" s="639"/>
      <c r="L27" s="639"/>
      <c r="M27" s="640">
        <v>45650</v>
      </c>
      <c r="N27" s="640"/>
      <c r="O27" s="640"/>
      <c r="P27" s="629" t="s">
        <v>891</v>
      </c>
      <c r="Q27" s="629"/>
      <c r="R27" s="629"/>
      <c r="S27" s="629"/>
      <c r="T27" s="629"/>
      <c r="U27" s="629"/>
      <c r="V27" s="641"/>
      <c r="W27" s="641"/>
      <c r="X27" s="90" t="str">
        <f t="shared" si="0"/>
        <v/>
      </c>
      <c r="Y27" s="137"/>
      <c r="Z27" s="91"/>
      <c r="AA27" s="187"/>
      <c r="AB27" s="187"/>
      <c r="AC27" s="187"/>
      <c r="AD27" s="187"/>
      <c r="AE27" s="187"/>
      <c r="AF27" s="187"/>
      <c r="AG27" s="187"/>
      <c r="AH27" s="187"/>
      <c r="AI27" s="187"/>
      <c r="AJ27" s="187"/>
      <c r="AK27" s="187"/>
      <c r="AL27" s="187"/>
      <c r="AM27" s="187"/>
      <c r="AN27" s="187"/>
      <c r="AO27" s="187"/>
      <c r="AP27" s="187"/>
      <c r="AQ27" s="69"/>
      <c r="AR27" s="69"/>
      <c r="AU27" s="94" t="b">
        <v>0</v>
      </c>
    </row>
    <row r="28" spans="2:47" ht="15.95" customHeight="1" x14ac:dyDescent="0.25">
      <c r="B28" s="69"/>
      <c r="C28" s="89"/>
      <c r="D28" s="89"/>
      <c r="E28" s="89"/>
      <c r="F28" s="89"/>
      <c r="G28" s="89"/>
      <c r="H28" s="89"/>
      <c r="I28" s="89"/>
      <c r="J28" s="639" t="str">
        <f t="shared" si="1"/>
        <v>Wednesday</v>
      </c>
      <c r="K28" s="639"/>
      <c r="L28" s="639"/>
      <c r="M28" s="640">
        <v>45651</v>
      </c>
      <c r="N28" s="640"/>
      <c r="O28" s="640"/>
      <c r="P28" s="629" t="s">
        <v>892</v>
      </c>
      <c r="Q28" s="629"/>
      <c r="R28" s="629"/>
      <c r="S28" s="629"/>
      <c r="T28" s="629"/>
      <c r="U28" s="629"/>
      <c r="V28" s="641"/>
      <c r="W28" s="641"/>
      <c r="X28" s="90" t="str">
        <f t="shared" si="0"/>
        <v/>
      </c>
      <c r="Y28" s="137"/>
      <c r="Z28" s="91"/>
      <c r="AA28" s="185" t="s">
        <v>1133</v>
      </c>
      <c r="AB28" s="627" t="s">
        <v>1204</v>
      </c>
      <c r="AC28" s="627"/>
      <c r="AD28" s="627"/>
      <c r="AE28" s="627"/>
      <c r="AF28" s="627"/>
      <c r="AG28" s="627"/>
      <c r="AH28" s="627"/>
      <c r="AI28" s="627"/>
      <c r="AJ28" s="627"/>
      <c r="AK28" s="627"/>
      <c r="AL28" s="627"/>
      <c r="AM28" s="627"/>
      <c r="AN28" s="627"/>
      <c r="AO28" s="627"/>
      <c r="AP28" s="627"/>
      <c r="AQ28" s="69"/>
      <c r="AR28" s="69"/>
      <c r="AU28" s="94" t="b">
        <v>0</v>
      </c>
    </row>
    <row r="29" spans="2:47" ht="15.95" customHeight="1" x14ac:dyDescent="0.25">
      <c r="B29" s="69"/>
      <c r="C29" s="86"/>
      <c r="D29" s="86"/>
      <c r="E29" s="86"/>
      <c r="F29" s="86"/>
      <c r="G29" s="86"/>
      <c r="H29" s="86"/>
      <c r="I29" s="86"/>
      <c r="J29" s="647" t="s">
        <v>1201</v>
      </c>
      <c r="K29" s="648"/>
      <c r="L29" s="649"/>
      <c r="M29" s="650" t="s">
        <v>1202</v>
      </c>
      <c r="N29" s="650"/>
      <c r="O29" s="650"/>
      <c r="P29" s="651" t="s">
        <v>1203</v>
      </c>
      <c r="Q29" s="651"/>
      <c r="R29" s="651"/>
      <c r="S29" s="651"/>
      <c r="T29" s="651"/>
      <c r="U29" s="651"/>
      <c r="V29" s="37"/>
      <c r="W29" s="37"/>
      <c r="X29" s="197"/>
      <c r="Y29" s="138"/>
      <c r="Z29" s="86"/>
      <c r="AA29" s="86"/>
      <c r="AB29" s="627"/>
      <c r="AC29" s="627"/>
      <c r="AD29" s="627"/>
      <c r="AE29" s="627"/>
      <c r="AF29" s="627"/>
      <c r="AG29" s="627"/>
      <c r="AH29" s="627"/>
      <c r="AI29" s="627"/>
      <c r="AJ29" s="627"/>
      <c r="AK29" s="627"/>
      <c r="AL29" s="627"/>
      <c r="AM29" s="627"/>
      <c r="AN29" s="627"/>
      <c r="AO29" s="627"/>
      <c r="AP29" s="627"/>
      <c r="AQ29" s="69"/>
      <c r="AR29" s="69"/>
    </row>
    <row r="30" spans="2:47" ht="15.95" customHeight="1" x14ac:dyDescent="0.25">
      <c r="B30" s="69"/>
      <c r="C30" s="69"/>
      <c r="D30" s="69"/>
      <c r="E30" s="69"/>
      <c r="F30" s="69"/>
      <c r="G30" s="69"/>
      <c r="H30" s="69"/>
      <c r="I30" s="69"/>
      <c r="J30" s="646" t="s">
        <v>893</v>
      </c>
      <c r="K30" s="646"/>
      <c r="L30" s="646"/>
      <c r="M30" s="646"/>
      <c r="N30" s="646"/>
      <c r="O30" s="646"/>
      <c r="P30" s="646"/>
      <c r="Q30" s="646"/>
      <c r="R30" s="646"/>
      <c r="S30" s="646"/>
      <c r="T30" s="646"/>
      <c r="U30" s="646"/>
      <c r="V30" s="646"/>
      <c r="W30" s="646"/>
      <c r="X30" s="198">
        <f>SUM(X18:X29)</f>
        <v>0</v>
      </c>
      <c r="Y30" s="69"/>
      <c r="Z30" s="69"/>
      <c r="AA30" s="69"/>
      <c r="AB30" s="627"/>
      <c r="AC30" s="627"/>
      <c r="AD30" s="627"/>
      <c r="AE30" s="627"/>
      <c r="AF30" s="627"/>
      <c r="AG30" s="627"/>
      <c r="AH30" s="627"/>
      <c r="AI30" s="627"/>
      <c r="AJ30" s="627"/>
      <c r="AK30" s="627"/>
      <c r="AL30" s="627"/>
      <c r="AM30" s="627"/>
      <c r="AN30" s="627"/>
      <c r="AO30" s="627"/>
      <c r="AP30" s="627"/>
      <c r="AQ30" s="69"/>
      <c r="AR30" s="69"/>
    </row>
    <row r="31" spans="2:47" ht="15.95" customHeight="1" x14ac:dyDescent="0.25">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27"/>
      <c r="AC31" s="627"/>
      <c r="AD31" s="627"/>
      <c r="AE31" s="627"/>
      <c r="AF31" s="627"/>
      <c r="AG31" s="627"/>
      <c r="AH31" s="627"/>
      <c r="AI31" s="627"/>
      <c r="AJ31" s="627"/>
      <c r="AK31" s="627"/>
      <c r="AL31" s="627"/>
      <c r="AM31" s="627"/>
      <c r="AN31" s="627"/>
      <c r="AO31" s="627"/>
      <c r="AP31" s="627"/>
      <c r="AQ31" s="69"/>
      <c r="AR31" s="69"/>
    </row>
    <row r="32" spans="2:47" ht="15.95" customHeight="1" x14ac:dyDescent="0.25">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row>
    <row r="33" spans="2:44" ht="15.95" customHeight="1" x14ac:dyDescent="0.25">
      <c r="B33" s="69"/>
      <c r="C33" s="69"/>
      <c r="D33" s="69"/>
      <c r="AP33" s="69"/>
      <c r="AQ33" s="69"/>
      <c r="AR33" s="69"/>
    </row>
    <row r="34" spans="2:44" ht="15.95" customHeight="1" x14ac:dyDescent="0.25">
      <c r="B34" s="69"/>
      <c r="C34" s="69"/>
      <c r="D34" s="69"/>
      <c r="AP34" s="69"/>
      <c r="AQ34" s="69"/>
      <c r="AR34" s="69"/>
    </row>
    <row r="35" spans="2:44" ht="15.95" customHeight="1" x14ac:dyDescent="0.25">
      <c r="B35" s="69"/>
      <c r="AQ35" s="69"/>
      <c r="AR35" s="69"/>
    </row>
    <row r="36" spans="2:44" ht="15.95" hidden="1" customHeight="1" x14ac:dyDescent="0.25">
      <c r="B36" s="69"/>
      <c r="AQ36" s="69"/>
      <c r="AR36" s="69"/>
    </row>
    <row r="37" spans="2:44" ht="15.95" hidden="1" customHeight="1" x14ac:dyDescent="0.25">
      <c r="B37" s="69"/>
      <c r="AQ37" s="69"/>
      <c r="AR37" s="69"/>
    </row>
    <row r="38" spans="2:44" ht="15.95" hidden="1" customHeight="1" x14ac:dyDescent="0.25">
      <c r="B38" s="69"/>
      <c r="AQ38" s="69"/>
      <c r="AR38" s="69"/>
    </row>
    <row r="39" spans="2:44" ht="15.95" hidden="1" customHeight="1" x14ac:dyDescent="0.25">
      <c r="B39" s="69"/>
      <c r="AQ39" s="69"/>
      <c r="AR39" s="69"/>
    </row>
    <row r="40" spans="2:44" ht="15.95" hidden="1" customHeight="1" x14ac:dyDescent="0.25">
      <c r="B40" s="69"/>
      <c r="AQ40" s="69"/>
      <c r="AR40" s="69"/>
    </row>
    <row r="41" spans="2:44" ht="15.95" hidden="1" customHeight="1" x14ac:dyDescent="0.25">
      <c r="B41" s="69"/>
      <c r="AQ41" s="69"/>
      <c r="AR41" s="69"/>
    </row>
    <row r="42" spans="2:44" ht="15.95" hidden="1" customHeight="1" x14ac:dyDescent="0.25">
      <c r="B42" s="69"/>
      <c r="AQ42" s="69"/>
      <c r="AR42" s="69"/>
    </row>
    <row r="43" spans="2:44" ht="15.95" hidden="1" customHeight="1" x14ac:dyDescent="0.25">
      <c r="B43" s="69"/>
      <c r="AQ43" s="69"/>
      <c r="AR43" s="69"/>
    </row>
    <row r="44" spans="2:44" ht="15.95" hidden="1" customHeight="1" x14ac:dyDescent="0.25">
      <c r="B44" s="69"/>
      <c r="AQ44" s="69"/>
      <c r="AR44" s="69"/>
    </row>
    <row r="45" spans="2:44" ht="15.95" hidden="1" customHeight="1" x14ac:dyDescent="0.25">
      <c r="B45" s="69"/>
      <c r="AQ45" s="69"/>
      <c r="AR45" s="69"/>
    </row>
    <row r="46" spans="2:44" ht="15.95" hidden="1" customHeight="1" x14ac:dyDescent="0.25">
      <c r="B46" s="69"/>
      <c r="AQ46" s="69"/>
      <c r="AR46" s="69"/>
    </row>
    <row r="47" spans="2:44" ht="15.95" hidden="1" customHeight="1" x14ac:dyDescent="0.25">
      <c r="B47" s="69"/>
      <c r="AQ47" s="69"/>
      <c r="AR47" s="69"/>
    </row>
    <row r="48" spans="2:44" ht="15.95" hidden="1" customHeight="1" x14ac:dyDescent="0.25">
      <c r="B48" s="69"/>
      <c r="AQ48" s="69"/>
      <c r="AR48" s="69"/>
    </row>
    <row r="49" spans="2:44" ht="15.95" hidden="1" customHeight="1" x14ac:dyDescent="0.25">
      <c r="B49" s="69"/>
      <c r="AQ49" s="69"/>
      <c r="AR49" s="69"/>
    </row>
    <row r="50" spans="2:44" ht="15.95" hidden="1" customHeight="1" x14ac:dyDescent="0.25">
      <c r="B50" s="69"/>
      <c r="AQ50" s="69"/>
      <c r="AR50" s="69"/>
    </row>
    <row r="51" spans="2:44" ht="15.95" hidden="1" customHeight="1" x14ac:dyDescent="0.25">
      <c r="B51" s="69"/>
      <c r="AQ51" s="69"/>
      <c r="AR51" s="69"/>
    </row>
    <row r="52" spans="2:44" ht="15.95" hidden="1" customHeight="1" x14ac:dyDescent="0.25">
      <c r="B52" s="69"/>
      <c r="AQ52" s="69"/>
      <c r="AR52" s="69"/>
    </row>
    <row r="53" spans="2:44" ht="15.95" hidden="1" customHeight="1" x14ac:dyDescent="0.25">
      <c r="B53" s="69"/>
      <c r="C53" s="69"/>
      <c r="D53" s="69"/>
      <c r="AP53" s="69"/>
      <c r="AQ53" s="69"/>
      <c r="AR53" s="69"/>
    </row>
    <row r="54" spans="2:44" ht="15.95" hidden="1" customHeight="1" x14ac:dyDescent="0.25">
      <c r="B54" s="69"/>
      <c r="C54" s="69"/>
      <c r="D54" s="69"/>
      <c r="AP54" s="69"/>
      <c r="AQ54" s="69"/>
      <c r="AR54" s="69"/>
    </row>
    <row r="55" spans="2:44" ht="15.95" hidden="1" customHeight="1" x14ac:dyDescent="0.25">
      <c r="B55" s="69"/>
      <c r="C55" s="69"/>
      <c r="D55" s="69"/>
      <c r="AP55" s="69"/>
      <c r="AQ55" s="69"/>
      <c r="AR55" s="69"/>
    </row>
    <row r="56" spans="2:44" ht="15.95" hidden="1" customHeight="1" x14ac:dyDescent="0.25">
      <c r="B56" s="69"/>
      <c r="C56" s="69"/>
      <c r="D56" s="69"/>
      <c r="AP56" s="69"/>
      <c r="AQ56" s="69"/>
      <c r="AR56" s="69"/>
    </row>
    <row r="57" spans="2:44" ht="15.95" hidden="1" customHeight="1" x14ac:dyDescent="0.25">
      <c r="B57" s="69"/>
      <c r="C57" s="69"/>
      <c r="D57" s="69"/>
      <c r="AP57" s="69"/>
      <c r="AQ57" s="69"/>
      <c r="AR57" s="69"/>
    </row>
    <row r="58" spans="2:44" ht="15.95" hidden="1" customHeight="1" x14ac:dyDescent="0.25">
      <c r="B58" s="69"/>
      <c r="C58" s="69"/>
      <c r="D58" s="69"/>
      <c r="AP58" s="69"/>
      <c r="AQ58" s="69"/>
      <c r="AR58" s="69"/>
    </row>
    <row r="59" spans="2:44" ht="15.95" hidden="1" customHeight="1" x14ac:dyDescent="0.25">
      <c r="B59" s="69"/>
      <c r="C59" s="69"/>
      <c r="D59" s="69"/>
      <c r="AP59" s="69"/>
      <c r="AQ59" s="69"/>
      <c r="AR59" s="69"/>
    </row>
    <row r="60" spans="2:44" ht="15.95" hidden="1" customHeight="1" x14ac:dyDescent="0.25">
      <c r="B60" s="69"/>
      <c r="C60" s="69"/>
      <c r="D60" s="69"/>
      <c r="AP60" s="69"/>
      <c r="AQ60" s="69"/>
      <c r="AR60" s="69"/>
    </row>
    <row r="61" spans="2:44" ht="15.95" hidden="1" customHeight="1" x14ac:dyDescent="0.25">
      <c r="B61" s="69"/>
      <c r="C61" s="69"/>
      <c r="D61" s="69"/>
      <c r="AP61" s="69"/>
      <c r="AQ61" s="69"/>
      <c r="AR61" s="69"/>
    </row>
    <row r="62" spans="2:44" ht="15.95" hidden="1" customHeight="1" x14ac:dyDescent="0.25">
      <c r="B62" s="69"/>
      <c r="C62" s="69"/>
      <c r="D62" s="69"/>
      <c r="AP62" s="69"/>
      <c r="AQ62" s="69"/>
      <c r="AR62" s="69"/>
    </row>
    <row r="63" spans="2:44" ht="15.95" hidden="1" customHeight="1" x14ac:dyDescent="0.25">
      <c r="B63" s="69"/>
      <c r="C63" s="69"/>
      <c r="D63" s="69"/>
      <c r="AP63" s="69"/>
      <c r="AQ63" s="69"/>
      <c r="AR63" s="69"/>
    </row>
    <row r="64" spans="2:44" ht="15.95" hidden="1" customHeight="1" x14ac:dyDescent="0.25">
      <c r="B64" s="69"/>
      <c r="C64" s="69"/>
      <c r="D64" s="69"/>
      <c r="AP64" s="69"/>
      <c r="AQ64" s="69"/>
      <c r="AR64" s="69"/>
    </row>
    <row r="65" spans="2:44" ht="15.95" hidden="1" customHeight="1" x14ac:dyDescent="0.25">
      <c r="B65" s="69"/>
      <c r="C65" s="69"/>
      <c r="D65" s="69"/>
      <c r="AP65" s="69"/>
      <c r="AQ65" s="69"/>
      <c r="AR65" s="69"/>
    </row>
    <row r="66" spans="2:44" ht="15.95" hidden="1" customHeight="1" x14ac:dyDescent="0.25">
      <c r="B66" s="69"/>
      <c r="C66" s="69"/>
      <c r="D66" s="69"/>
      <c r="AP66" s="69"/>
      <c r="AQ66" s="69"/>
      <c r="AR66" s="69"/>
    </row>
    <row r="67" spans="2:44" ht="15.95" hidden="1" customHeight="1" x14ac:dyDescent="0.25">
      <c r="B67" s="69"/>
      <c r="C67" s="69"/>
      <c r="D67" s="69"/>
      <c r="AP67" s="69"/>
      <c r="AQ67" s="69"/>
      <c r="AR67" s="69"/>
    </row>
    <row r="68" spans="2:44" ht="15.95" hidden="1" customHeight="1" x14ac:dyDescent="0.25">
      <c r="B68" s="69"/>
      <c r="C68" s="69"/>
      <c r="D68" s="69"/>
      <c r="AP68" s="69"/>
      <c r="AQ68" s="69"/>
      <c r="AR68" s="69"/>
    </row>
    <row r="69" spans="2:44" ht="15.95" hidden="1" customHeight="1" x14ac:dyDescent="0.25">
      <c r="B69" s="69"/>
      <c r="C69" s="69"/>
      <c r="D69" s="69"/>
      <c r="AP69" s="69"/>
      <c r="AQ69" s="69"/>
      <c r="AR69" s="69"/>
    </row>
    <row r="70" spans="2:44" ht="15.95" hidden="1" customHeight="1" x14ac:dyDescent="0.25">
      <c r="B70" s="69"/>
      <c r="C70" s="69"/>
      <c r="D70" s="69"/>
      <c r="AP70" s="69"/>
      <c r="AQ70" s="69"/>
      <c r="AR70" s="69"/>
    </row>
    <row r="71" spans="2:44" ht="15.95" hidden="1" customHeight="1" x14ac:dyDescent="0.25">
      <c r="B71" s="69"/>
      <c r="C71" s="69"/>
      <c r="D71" s="69"/>
      <c r="AP71" s="69"/>
      <c r="AQ71" s="69"/>
      <c r="AR71" s="69"/>
    </row>
    <row r="72" spans="2:44" ht="15.95" hidden="1" customHeight="1" x14ac:dyDescent="0.25">
      <c r="B72" s="69"/>
      <c r="C72" s="69"/>
      <c r="D72" s="69"/>
      <c r="AP72" s="69"/>
      <c r="AQ72" s="69"/>
      <c r="AR72" s="69"/>
    </row>
    <row r="73" spans="2:44" ht="15.95" hidden="1" customHeight="1" x14ac:dyDescent="0.25">
      <c r="B73" s="69"/>
      <c r="C73" s="69"/>
      <c r="D73" s="69"/>
      <c r="AP73" s="69"/>
      <c r="AQ73" s="69"/>
      <c r="AR73" s="69"/>
    </row>
    <row r="74" spans="2:44" ht="15.95" hidden="1" customHeight="1" x14ac:dyDescent="0.25">
      <c r="B74" s="69"/>
      <c r="C74" s="69"/>
      <c r="D74" s="69"/>
      <c r="AP74" s="69"/>
      <c r="AQ74" s="69"/>
      <c r="AR74" s="69"/>
    </row>
    <row r="75" spans="2:44" ht="15.95" hidden="1" customHeight="1" x14ac:dyDescent="0.25">
      <c r="B75" s="69"/>
      <c r="C75" s="69"/>
      <c r="D75" s="69"/>
      <c r="AP75" s="69"/>
      <c r="AQ75" s="69"/>
      <c r="AR75" s="69"/>
    </row>
    <row r="76" spans="2:44" ht="15.95" hidden="1" customHeight="1" x14ac:dyDescent="0.25">
      <c r="B76" s="69"/>
      <c r="C76" s="69"/>
      <c r="D76" s="69"/>
      <c r="AP76" s="69"/>
      <c r="AQ76" s="69"/>
      <c r="AR76" s="69"/>
    </row>
    <row r="77" spans="2:44" ht="15.95" hidden="1" customHeight="1" x14ac:dyDescent="0.25">
      <c r="B77" s="69"/>
      <c r="C77" s="69"/>
      <c r="D77" s="69"/>
      <c r="AP77" s="69"/>
      <c r="AQ77" s="69"/>
      <c r="AR77" s="69"/>
    </row>
    <row r="78" spans="2:44" ht="15.95" hidden="1" customHeight="1" x14ac:dyDescent="0.25">
      <c r="B78" s="69"/>
      <c r="C78" s="69"/>
      <c r="D78" s="69"/>
      <c r="AP78" s="69"/>
      <c r="AQ78" s="69"/>
      <c r="AR78" s="69"/>
    </row>
    <row r="79" spans="2:44" ht="15.95" hidden="1" customHeight="1" x14ac:dyDescent="0.25">
      <c r="B79" s="69"/>
      <c r="C79" s="69"/>
      <c r="D79" s="69"/>
      <c r="AP79" s="69"/>
      <c r="AQ79" s="69"/>
      <c r="AR79" s="69"/>
    </row>
    <row r="80" spans="2:44" ht="15.95" hidden="1" customHeight="1" x14ac:dyDescent="0.25">
      <c r="B80" s="69"/>
      <c r="C80" s="69"/>
      <c r="D80" s="69"/>
      <c r="AP80" s="69"/>
      <c r="AQ80" s="69"/>
      <c r="AR80" s="69"/>
    </row>
    <row r="81" spans="2:44" ht="15.95" hidden="1" customHeight="1" x14ac:dyDescent="0.25">
      <c r="B81" s="69"/>
      <c r="C81" s="69"/>
      <c r="D81" s="69"/>
      <c r="AP81" s="69"/>
      <c r="AQ81" s="69"/>
      <c r="AR81" s="69"/>
    </row>
    <row r="82" spans="2:44" ht="15.95" hidden="1" customHeight="1" x14ac:dyDescent="0.25">
      <c r="B82" s="69"/>
      <c r="C82" s="69"/>
      <c r="D82" s="69"/>
      <c r="AP82" s="69"/>
      <c r="AQ82" s="69"/>
      <c r="AR82" s="69"/>
    </row>
    <row r="83" spans="2:44" ht="15.95" hidden="1" customHeight="1" x14ac:dyDescent="0.25">
      <c r="B83" s="69"/>
      <c r="C83" s="69"/>
      <c r="D83" s="69"/>
      <c r="AP83" s="69"/>
      <c r="AQ83" s="69"/>
      <c r="AR83" s="69"/>
    </row>
    <row r="84" spans="2:44" ht="15.95" hidden="1" customHeight="1" x14ac:dyDescent="0.25">
      <c r="B84" s="69"/>
      <c r="C84" s="69"/>
      <c r="D84" s="69"/>
      <c r="AP84" s="69"/>
      <c r="AQ84" s="69"/>
      <c r="AR84" s="69"/>
    </row>
    <row r="85" spans="2:44" ht="15.95" hidden="1" customHeight="1" x14ac:dyDescent="0.25">
      <c r="B85" s="69"/>
      <c r="C85" s="69"/>
      <c r="D85" s="69"/>
      <c r="AP85" s="69"/>
      <c r="AQ85" s="69"/>
      <c r="AR85" s="69"/>
    </row>
    <row r="86" spans="2:44" ht="15.95" hidden="1" customHeight="1" x14ac:dyDescent="0.25">
      <c r="B86" s="69"/>
      <c r="C86" s="69"/>
      <c r="D86" s="69"/>
      <c r="AP86" s="69"/>
      <c r="AQ86" s="69"/>
      <c r="AR86" s="69"/>
    </row>
    <row r="87" spans="2:44" ht="15.95" hidden="1" customHeight="1" x14ac:dyDescent="0.25">
      <c r="B87" s="69"/>
      <c r="C87" s="69"/>
      <c r="D87" s="69"/>
      <c r="AP87" s="69"/>
      <c r="AQ87" s="69"/>
      <c r="AR87" s="69"/>
    </row>
    <row r="88" spans="2:44" ht="15.95" hidden="1" customHeight="1" x14ac:dyDescent="0.25">
      <c r="B88" s="69"/>
      <c r="C88" s="69"/>
      <c r="D88" s="69"/>
      <c r="AP88" s="69"/>
      <c r="AQ88" s="69"/>
      <c r="AR88" s="69"/>
    </row>
    <row r="89" spans="2:44" ht="15.95" hidden="1" customHeight="1" x14ac:dyDescent="0.25">
      <c r="B89" s="69"/>
      <c r="C89" s="69"/>
      <c r="D89" s="69"/>
      <c r="AP89" s="69"/>
      <c r="AQ89" s="69"/>
      <c r="AR89" s="69"/>
    </row>
    <row r="90" spans="2:44" ht="15.95" hidden="1" customHeight="1" x14ac:dyDescent="0.25">
      <c r="B90" s="69"/>
      <c r="C90" s="69"/>
      <c r="D90" s="69"/>
      <c r="AP90" s="69"/>
      <c r="AQ90" s="69"/>
      <c r="AR90" s="69"/>
    </row>
    <row r="91" spans="2:44" ht="15.95" hidden="1" customHeight="1" x14ac:dyDescent="0.25">
      <c r="B91" s="69"/>
      <c r="C91" s="69"/>
      <c r="D91" s="69"/>
      <c r="AP91" s="69"/>
      <c r="AQ91" s="69"/>
      <c r="AR91" s="69"/>
    </row>
    <row r="92" spans="2:44" ht="15.95" hidden="1" customHeight="1" x14ac:dyDescent="0.25">
      <c r="B92" s="69"/>
      <c r="C92" s="69"/>
      <c r="D92" s="69"/>
      <c r="AP92" s="69"/>
      <c r="AQ92" s="69"/>
      <c r="AR92" s="69"/>
    </row>
    <row r="93" spans="2:44" ht="15.95" hidden="1" customHeight="1" x14ac:dyDescent="0.25">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KEwgt5s/F2AHqysfOQgaZ/9aWqvXCGPxNhmF2FKeeiyYJAloCd69g5NjVCTKotUQ6oG1HEfpAKdbX7Uyh5NBg==" saltValue="4YG3ABTtzOg6FeZSSv29Ig==" spinCount="100000" sheet="1" objects="1" scenarios="1" selectLockedCells="1"/>
  <mergeCells count="91">
    <mergeCell ref="Y1:Z1"/>
    <mergeCell ref="J28:L28"/>
    <mergeCell ref="M28:O28"/>
    <mergeCell ref="P28:U28"/>
    <mergeCell ref="V28:W28"/>
    <mergeCell ref="V24:W24"/>
    <mergeCell ref="M25:O25"/>
    <mergeCell ref="P25:U25"/>
    <mergeCell ref="V25:W25"/>
    <mergeCell ref="M24:O24"/>
    <mergeCell ref="P24:U24"/>
    <mergeCell ref="M23:O23"/>
    <mergeCell ref="P23:U23"/>
    <mergeCell ref="V21:W21"/>
    <mergeCell ref="M26:O26"/>
    <mergeCell ref="P26:U26"/>
    <mergeCell ref="Q1:R1"/>
    <mergeCell ref="U1:V1"/>
    <mergeCell ref="J27:L27"/>
    <mergeCell ref="M27:O27"/>
    <mergeCell ref="P27:U27"/>
    <mergeCell ref="V27:W27"/>
    <mergeCell ref="V22:W22"/>
    <mergeCell ref="V19:W19"/>
    <mergeCell ref="V20:W20"/>
    <mergeCell ref="J30:W30"/>
    <mergeCell ref="J29:L29"/>
    <mergeCell ref="M29:O29"/>
    <mergeCell ref="P29:U29"/>
    <mergeCell ref="F23:G23"/>
    <mergeCell ref="V23:W23"/>
    <mergeCell ref="V26:W26"/>
    <mergeCell ref="C26:E26"/>
    <mergeCell ref="F26:G26"/>
    <mergeCell ref="J26:L26"/>
    <mergeCell ref="J23:L23"/>
    <mergeCell ref="C25:E25"/>
    <mergeCell ref="F25:G25"/>
    <mergeCell ref="J25:L25"/>
    <mergeCell ref="C24:E24"/>
    <mergeCell ref="F24:G24"/>
    <mergeCell ref="J24:L24"/>
    <mergeCell ref="C23:E23"/>
    <mergeCell ref="C21:E21"/>
    <mergeCell ref="F21:G21"/>
    <mergeCell ref="J21:L21"/>
    <mergeCell ref="M21:O21"/>
    <mergeCell ref="P21:U21"/>
    <mergeCell ref="C22:E22"/>
    <mergeCell ref="F22:G22"/>
    <mergeCell ref="J22:L22"/>
    <mergeCell ref="M22:O22"/>
    <mergeCell ref="P22:U22"/>
    <mergeCell ref="C19:E19"/>
    <mergeCell ref="F19:G19"/>
    <mergeCell ref="J19:L19"/>
    <mergeCell ref="M19:O19"/>
    <mergeCell ref="P19:U19"/>
    <mergeCell ref="C20:E20"/>
    <mergeCell ref="F20:G20"/>
    <mergeCell ref="J20:L20"/>
    <mergeCell ref="M20:O20"/>
    <mergeCell ref="P20:U20"/>
    <mergeCell ref="M200:AG201"/>
    <mergeCell ref="F10:AN10"/>
    <mergeCell ref="F11:AN11"/>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Q1:AR1"/>
    <mergeCell ref="AQ2:AR3"/>
    <mergeCell ref="AH1:AK1"/>
    <mergeCell ref="AL1:AP1"/>
    <mergeCell ref="AH2:AK3"/>
    <mergeCell ref="AL2:AP3"/>
    <mergeCell ref="AA22:AP22"/>
    <mergeCell ref="AB23:AP25"/>
    <mergeCell ref="AB26:AP26"/>
    <mergeCell ref="AA19:AC19"/>
    <mergeCell ref="AD19:AE19"/>
  </mergeCells>
  <conditionalFormatting sqref="AH2 AL2">
    <cfRule type="expression" dxfId="502" priority="1">
      <formula>PROJSTATUS=PROJSTATELI</formula>
    </cfRule>
    <cfRule type="expression" dxfId="501" priority="2">
      <formula>PROJSTATUS=PROJSTATREVIEW</formula>
    </cfRule>
    <cfRule type="expression" dxfId="500" priority="3">
      <formula>PROJSTATUS=PROJSTATPREAPPROVE</formula>
    </cfRule>
    <cfRule type="expression" dxfId="499" priority="4">
      <formula>PROJSTATUS=PROJSTATSTANDARD</formula>
    </cfRule>
    <cfRule type="expression" dxfId="498" priority="5">
      <formula>PROJSTATUS=PROJSTATEXP</formula>
    </cfRule>
  </conditionalFormatting>
  <conditionalFormatting sqref="AQ2:AR3">
    <cfRule type="cellIs" dxfId="497" priority="8" operator="equal">
      <formula>1</formula>
    </cfRule>
    <cfRule type="cellIs" dxfId="496" priority="9" operator="between">
      <formula>0.51</formula>
      <formula>0.99</formula>
    </cfRule>
    <cfRule type="cellIs" dxfId="495" priority="10" operator="lessThanOrEqual">
      <formula>0.5</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C00-000000000000}">
      <formula1>0</formula1>
      <formula2>24</formula2>
    </dataValidation>
    <dataValidation type="decimal" operator="lessThan" allowBlank="1" showInputMessage="1" showErrorMessage="1" sqref="AD19:AE19" xr:uid="{00000000-0002-0000-0C00-000001000000}">
      <formula1>53</formula1>
    </dataValidation>
  </dataValidations>
  <hyperlinks>
    <hyperlink ref="B202" r:id="rId1" display="NIPSCO.Savings@LMCO.com" xr:uid="{00000000-0004-0000-0C00-000000000000}"/>
  </hyperlinks>
  <pageMargins left="0.25" right="0.25" top="0.25" bottom="0.25" header="0.25" footer="0.25"/>
  <pageSetup scale="64"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CF9B7-69BC-4FA4-9A49-7808A15C1801}">
  <sheetPr codeName="Sheet6"/>
  <dimension ref="A1:AT202"/>
  <sheetViews>
    <sheetView showGridLines="0" showRowColHeaders="0" zoomScale="85" zoomScaleNormal="85" workbookViewId="0">
      <selection activeCell="L135" sqref="L135:Q135"/>
    </sheetView>
  </sheetViews>
  <sheetFormatPr defaultColWidth="0" defaultRowHeight="15.95" customHeight="1" zeroHeight="1" x14ac:dyDescent="0.25"/>
  <cols>
    <col min="1" max="45" width="4.7109375" customWidth="1"/>
    <col min="46" max="46" width="4.7109375" hidden="1" customWidth="1"/>
    <col min="47"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22">
        <f ca="1">PROGRESSSTATUS</f>
        <v>0</v>
      </c>
      <c r="AR2" s="623"/>
    </row>
    <row r="3" spans="3:44" ht="15.95" customHeight="1" x14ac:dyDescent="0.25">
      <c r="AH3" s="604"/>
      <c r="AI3" s="605"/>
      <c r="AJ3" s="605"/>
      <c r="AK3" s="605"/>
      <c r="AL3" s="614"/>
      <c r="AM3" s="614"/>
      <c r="AN3" s="614"/>
      <c r="AO3" s="614"/>
      <c r="AP3" s="614"/>
      <c r="AQ3" s="624"/>
      <c r="AR3" s="625"/>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1076</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59" t="s">
        <v>2079</v>
      </c>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row>
    <row r="12" spans="3:44" ht="15.95" customHeight="1" x14ac:dyDescent="0.25">
      <c r="F12" s="659"/>
      <c r="G12" s="659"/>
      <c r="H12" s="659"/>
      <c r="I12" s="659"/>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c r="AK12" s="659"/>
      <c r="AL12" s="659"/>
      <c r="AM12" s="659"/>
      <c r="AN12" s="659"/>
    </row>
    <row r="13" spans="3:44" ht="15.95" customHeight="1" x14ac:dyDescent="0.25">
      <c r="F13" s="254"/>
      <c r="G13" s="254"/>
      <c r="H13" s="254"/>
      <c r="I13" s="681"/>
      <c r="J13" s="681"/>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K13" s="681"/>
      <c r="AL13" s="254"/>
      <c r="AM13" s="254"/>
      <c r="AN13" s="254"/>
    </row>
    <row r="14" spans="3:44" ht="15.95" customHeight="1" x14ac:dyDescent="0.25">
      <c r="C14" s="672" t="s">
        <v>2338</v>
      </c>
      <c r="D14" s="673"/>
      <c r="E14" s="673"/>
      <c r="F14" s="673"/>
      <c r="G14" s="673"/>
      <c r="H14" s="673"/>
      <c r="I14" s="673"/>
      <c r="J14" s="673"/>
      <c r="K14" s="673"/>
      <c r="L14" s="673"/>
      <c r="M14" s="673"/>
      <c r="N14" s="673"/>
      <c r="O14" s="673"/>
      <c r="P14" s="673"/>
      <c r="Q14" s="673"/>
      <c r="R14" s="673"/>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4"/>
    </row>
    <row r="15" spans="3:44" ht="15.95" customHeight="1" x14ac:dyDescent="0.25">
      <c r="C15" s="675"/>
      <c r="D15" s="676"/>
      <c r="E15" s="676"/>
      <c r="F15" s="676"/>
      <c r="G15" s="676"/>
      <c r="H15" s="676"/>
      <c r="I15" s="676"/>
      <c r="J15" s="676"/>
      <c r="K15" s="676"/>
      <c r="L15" s="676"/>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7"/>
    </row>
    <row r="16" spans="3:44" ht="15.95" customHeight="1" x14ac:dyDescent="0.25">
      <c r="C16" s="678"/>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80"/>
    </row>
    <row r="17" customFormat="1" ht="15.95" customHeight="1" x14ac:dyDescent="0.25"/>
    <row r="18" customFormat="1" ht="15.95" customHeight="1" x14ac:dyDescent="0.25"/>
    <row r="19" customFormat="1" ht="15.95" customHeight="1" x14ac:dyDescent="0.25"/>
    <row r="20" customFormat="1" ht="15.95" customHeight="1" x14ac:dyDescent="0.25"/>
    <row r="21" customFormat="1" ht="15.95" customHeight="1" x14ac:dyDescent="0.25"/>
    <row r="22" customFormat="1" ht="15.95" customHeight="1" x14ac:dyDescent="0.25"/>
    <row r="23" customFormat="1" ht="15.95" customHeight="1" x14ac:dyDescent="0.25"/>
    <row r="24" customFormat="1" ht="15.95" customHeight="1" x14ac:dyDescent="0.25"/>
    <row r="25" customFormat="1" ht="15.95" customHeight="1" x14ac:dyDescent="0.25"/>
    <row r="26" customFormat="1" ht="15.95" customHeight="1" x14ac:dyDescent="0.25"/>
    <row r="27" customFormat="1" ht="15.95" customHeight="1" x14ac:dyDescent="0.25"/>
    <row r="28" customFormat="1" ht="15.95" customHeight="1" x14ac:dyDescent="0.25"/>
    <row r="29" customFormat="1" ht="15.95" customHeight="1" x14ac:dyDescent="0.25"/>
    <row r="30" customFormat="1" ht="15.95" customHeight="1" x14ac:dyDescent="0.25"/>
    <row r="31" customFormat="1" ht="15.95" customHeight="1" x14ac:dyDescent="0.25"/>
    <row r="32" customFormat="1" ht="15.95" customHeight="1" x14ac:dyDescent="0.25"/>
    <row r="33" customFormat="1" ht="15.95" customHeight="1" x14ac:dyDescent="0.25"/>
    <row r="34" customFormat="1" ht="15.95" customHeight="1" x14ac:dyDescent="0.25"/>
    <row r="35" customFormat="1" ht="15.95" customHeight="1" x14ac:dyDescent="0.25"/>
    <row r="36" customFormat="1" ht="15.95" customHeight="1" x14ac:dyDescent="0.25"/>
    <row r="37" customFormat="1" ht="15.95" customHeight="1" x14ac:dyDescent="0.25"/>
    <row r="38" customFormat="1" ht="15.95" customHeight="1" x14ac:dyDescent="0.25"/>
    <row r="39" customFormat="1" ht="15.95" customHeight="1" x14ac:dyDescent="0.25"/>
    <row r="40" customFormat="1" ht="15.95" customHeight="1" x14ac:dyDescent="0.25"/>
    <row r="41" customFormat="1" ht="15.95" customHeight="1" x14ac:dyDescent="0.25"/>
    <row r="42" customFormat="1" ht="15.95" customHeight="1" x14ac:dyDescent="0.25"/>
    <row r="43" customFormat="1" ht="15.95" customHeight="1" x14ac:dyDescent="0.25"/>
    <row r="44" customFormat="1" ht="15.95" customHeight="1" x14ac:dyDescent="0.25"/>
    <row r="45" customFormat="1" ht="15.95" customHeight="1" x14ac:dyDescent="0.25"/>
    <row r="46" customFormat="1" ht="15.95" customHeight="1" x14ac:dyDescent="0.25"/>
    <row r="47" customFormat="1" ht="15.95" customHeight="1" x14ac:dyDescent="0.25"/>
    <row r="48" customFormat="1" ht="15.95" customHeight="1" x14ac:dyDescent="0.25"/>
    <row r="49" spans="3:3" ht="15.95" customHeight="1" x14ac:dyDescent="0.25"/>
    <row r="50" spans="3:3" ht="15.95" customHeight="1" x14ac:dyDescent="0.25">
      <c r="C50" s="575"/>
    </row>
    <row r="51" spans="3:3" ht="15.95" customHeight="1" x14ac:dyDescent="0.25">
      <c r="C51" s="576"/>
    </row>
    <row r="52" spans="3:3" ht="15.95" customHeight="1" x14ac:dyDescent="0.25">
      <c r="C52" s="577"/>
    </row>
    <row r="53" spans="3:3" ht="15.95" customHeight="1" x14ac:dyDescent="0.25">
      <c r="C53" s="578"/>
    </row>
    <row r="54" spans="3:3" ht="15.95" customHeight="1" x14ac:dyDescent="0.25">
      <c r="C54" s="578"/>
    </row>
    <row r="55" spans="3:3" ht="15.95" customHeight="1" x14ac:dyDescent="0.25">
      <c r="C55" s="578"/>
    </row>
    <row r="56" spans="3:3" ht="15.95" customHeight="1" x14ac:dyDescent="0.25">
      <c r="C56" s="577"/>
    </row>
    <row r="57" spans="3:3" ht="15.95" customHeight="1" x14ac:dyDescent="0.25">
      <c r="C57" s="578"/>
    </row>
    <row r="58" spans="3:3" ht="15.95" customHeight="1" x14ac:dyDescent="0.25">
      <c r="C58" s="578"/>
    </row>
    <row r="59" spans="3:3" ht="15.95" customHeight="1" x14ac:dyDescent="0.25">
      <c r="C59" s="578"/>
    </row>
    <row r="60" spans="3:3" ht="15.95" customHeight="1" x14ac:dyDescent="0.25">
      <c r="C60" s="578"/>
    </row>
    <row r="61" spans="3:3" ht="15.95" customHeight="1" x14ac:dyDescent="0.25">
      <c r="C61" s="579"/>
    </row>
    <row r="62" spans="3:3" ht="15.95" customHeight="1" x14ac:dyDescent="0.25">
      <c r="C62" s="579"/>
    </row>
    <row r="63" spans="3:3" ht="15.95" customHeight="1" x14ac:dyDescent="0.25">
      <c r="C63" s="579"/>
    </row>
    <row r="64" spans="3:3" ht="15.95" customHeight="1" x14ac:dyDescent="0.25">
      <c r="C64" s="579"/>
    </row>
    <row r="65" spans="3:3" ht="15.95" customHeight="1" x14ac:dyDescent="0.25">
      <c r="C65" s="579"/>
    </row>
    <row r="66" spans="3:3" ht="15.95" customHeight="1" x14ac:dyDescent="0.25"/>
    <row r="67" spans="3:3" ht="15.95" customHeight="1" x14ac:dyDescent="0.25">
      <c r="C67" s="580"/>
    </row>
    <row r="68" spans="3:3" ht="15.95" customHeight="1" x14ac:dyDescent="0.25">
      <c r="C68" s="579"/>
    </row>
    <row r="69" spans="3:3" ht="15.95" customHeight="1" x14ac:dyDescent="0.25">
      <c r="C69" s="579"/>
    </row>
    <row r="70" spans="3:3" ht="15.95" customHeight="1" x14ac:dyDescent="0.25">
      <c r="C70" s="579"/>
    </row>
    <row r="71" spans="3:3" ht="15.95" customHeight="1" x14ac:dyDescent="0.25">
      <c r="C71" s="579"/>
    </row>
    <row r="72" spans="3:3" ht="15.95" customHeight="1" x14ac:dyDescent="0.25">
      <c r="C72" s="579"/>
    </row>
    <row r="73" spans="3:3" ht="15.95" customHeight="1" x14ac:dyDescent="0.25">
      <c r="C73" s="579"/>
    </row>
    <row r="74" spans="3:3" ht="15.95" customHeight="1" x14ac:dyDescent="0.25">
      <c r="C74" s="579"/>
    </row>
    <row r="75" spans="3:3" ht="15.95" customHeight="1" x14ac:dyDescent="0.25">
      <c r="C75" s="579"/>
    </row>
    <row r="76" spans="3:3" ht="15.95" customHeight="1" x14ac:dyDescent="0.25">
      <c r="C76" s="579"/>
    </row>
    <row r="77" spans="3:3" ht="15.95" customHeight="1" x14ac:dyDescent="0.25"/>
    <row r="78" spans="3:3" ht="15.95" customHeight="1" x14ac:dyDescent="0.25">
      <c r="C78" s="580"/>
    </row>
    <row r="79" spans="3:3" ht="15.95" customHeight="1" x14ac:dyDescent="0.25">
      <c r="C79" s="579"/>
    </row>
    <row r="80" spans="3:3" ht="15.95" customHeight="1" x14ac:dyDescent="0.25">
      <c r="C80" s="579"/>
    </row>
    <row r="81" customFormat="1" ht="15.95" customHeight="1" x14ac:dyDescent="0.25"/>
    <row r="82" customFormat="1" ht="15.95" customHeight="1" x14ac:dyDescent="0.25"/>
    <row r="83" customFormat="1" ht="15.95" customHeight="1" x14ac:dyDescent="0.25"/>
    <row r="84" customFormat="1" ht="15.95" customHeight="1" x14ac:dyDescent="0.25"/>
    <row r="85" customFormat="1" ht="15.95" customHeight="1" x14ac:dyDescent="0.25"/>
    <row r="86" customFormat="1" ht="15.95" customHeight="1" x14ac:dyDescent="0.25"/>
    <row r="87" customFormat="1" ht="15.95" customHeight="1" x14ac:dyDescent="0.25"/>
    <row r="88" customFormat="1" ht="15.95" customHeight="1" x14ac:dyDescent="0.25"/>
    <row r="89" customFormat="1" ht="15.95" customHeight="1" x14ac:dyDescent="0.25"/>
    <row r="90" customFormat="1" ht="15.95" customHeight="1" x14ac:dyDescent="0.25"/>
    <row r="91" customFormat="1" ht="15.95" customHeight="1" x14ac:dyDescent="0.25"/>
    <row r="92" customFormat="1" ht="15.95" customHeight="1" x14ac:dyDescent="0.25"/>
    <row r="93" customFormat="1" ht="15.95" customHeight="1" x14ac:dyDescent="0.25"/>
    <row r="94" customFormat="1" ht="15.95" customHeight="1" x14ac:dyDescent="0.25"/>
    <row r="95" customFormat="1" ht="15.95" customHeight="1" x14ac:dyDescent="0.25"/>
    <row r="96" customFormat="1" ht="15.95" customHeight="1" x14ac:dyDescent="0.25"/>
    <row r="97" spans="3:43" ht="15.95" customHeight="1" x14ac:dyDescent="0.25"/>
    <row r="98" spans="3:43" ht="15.95" customHeight="1" x14ac:dyDescent="0.25">
      <c r="C98" s="17"/>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c r="AP98" s="458"/>
      <c r="AQ98" s="459"/>
    </row>
    <row r="99" spans="3:43" ht="15.95" customHeight="1" x14ac:dyDescent="0.25">
      <c r="C99" s="17"/>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c r="AP99" s="458"/>
      <c r="AQ99" s="459"/>
    </row>
    <row r="100" spans="3:43" ht="15.95" customHeight="1" x14ac:dyDescent="0.25">
      <c r="C100" s="17"/>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9"/>
    </row>
    <row r="101" spans="3:43" ht="15.95" customHeight="1" x14ac:dyDescent="0.25">
      <c r="C101" s="17"/>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c r="AP101" s="458"/>
      <c r="AQ101" s="459"/>
    </row>
    <row r="102" spans="3:43" ht="15.95" customHeight="1" x14ac:dyDescent="0.25">
      <c r="C102" s="17"/>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c r="AP102" s="458"/>
      <c r="AQ102" s="459"/>
    </row>
    <row r="103" spans="3:43" ht="15.95" customHeight="1" x14ac:dyDescent="0.25">
      <c r="C103" s="17"/>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c r="AP103" s="458"/>
      <c r="AQ103" s="459"/>
    </row>
    <row r="104" spans="3:43" ht="15.95" customHeight="1" x14ac:dyDescent="0.25">
      <c r="C104" s="17"/>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c r="AP104" s="458"/>
      <c r="AQ104" s="459"/>
    </row>
    <row r="105" spans="3:43" ht="15.95" customHeight="1" x14ac:dyDescent="0.25">
      <c r="C105" s="17"/>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c r="AP105" s="458"/>
      <c r="AQ105" s="459"/>
    </row>
    <row r="106" spans="3:43" ht="15.95" customHeight="1" x14ac:dyDescent="0.25">
      <c r="C106" s="17"/>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c r="AP106" s="458"/>
      <c r="AQ106" s="459"/>
    </row>
    <row r="107" spans="3:43" ht="15.95" customHeight="1" x14ac:dyDescent="0.25">
      <c r="C107" s="17"/>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c r="AP107" s="458"/>
      <c r="AQ107" s="459"/>
    </row>
    <row r="108" spans="3:43" ht="15.95" customHeight="1" x14ac:dyDescent="0.25">
      <c r="C108" s="17"/>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c r="AP108" s="458"/>
      <c r="AQ108" s="459"/>
    </row>
    <row r="109" spans="3:43" ht="15.95" customHeight="1" x14ac:dyDescent="0.25">
      <c r="C109" s="489"/>
      <c r="D109" s="490"/>
      <c r="E109" s="490"/>
      <c r="F109" s="490"/>
      <c r="G109" s="490"/>
      <c r="H109" s="490"/>
      <c r="I109" s="490"/>
      <c r="J109" s="490"/>
      <c r="K109" s="490"/>
      <c r="L109" s="490"/>
      <c r="M109" s="490"/>
      <c r="N109" s="490"/>
      <c r="O109" s="490"/>
      <c r="P109" s="490"/>
      <c r="Q109" s="490"/>
      <c r="R109" s="490"/>
      <c r="S109" s="490"/>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1"/>
    </row>
    <row r="110" spans="3:43" ht="15.95" customHeight="1" x14ac:dyDescent="0.25">
      <c r="C110" s="492" t="s">
        <v>2080</v>
      </c>
      <c r="D110" s="493"/>
      <c r="E110" s="493"/>
      <c r="F110" s="493"/>
      <c r="G110" s="493"/>
      <c r="H110" s="493"/>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4"/>
    </row>
    <row r="111" spans="3:43" ht="15.95" customHeight="1" x14ac:dyDescent="0.25">
      <c r="C111" s="495"/>
      <c r="D111" s="493"/>
      <c r="E111" s="493"/>
      <c r="F111" s="493"/>
      <c r="G111" s="493"/>
      <c r="H111" s="49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4"/>
    </row>
    <row r="112" spans="3:43" ht="15.95" customHeight="1" x14ac:dyDescent="0.25">
      <c r="C112" s="495" t="s">
        <v>2081</v>
      </c>
      <c r="D112" s="493" t="s">
        <v>2098</v>
      </c>
      <c r="E112" s="493"/>
      <c r="F112" s="493"/>
      <c r="G112" s="493"/>
      <c r="H112" s="49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4"/>
    </row>
    <row r="113" spans="3:43" ht="15.95" customHeight="1" x14ac:dyDescent="0.25">
      <c r="C113" s="495" t="s">
        <v>2082</v>
      </c>
      <c r="D113" s="493" t="s">
        <v>2083</v>
      </c>
      <c r="E113" s="493"/>
      <c r="F113" s="493"/>
      <c r="G113" s="493"/>
      <c r="H113" s="49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4"/>
    </row>
    <row r="114" spans="3:43" ht="15.95" customHeight="1" x14ac:dyDescent="0.25">
      <c r="C114" s="495" t="s">
        <v>2084</v>
      </c>
      <c r="D114" s="493" t="s">
        <v>2085</v>
      </c>
      <c r="E114" s="493"/>
      <c r="F114" s="493"/>
      <c r="G114" s="493"/>
      <c r="H114" s="49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4"/>
    </row>
    <row r="115" spans="3:43" ht="15.95" customHeight="1" x14ac:dyDescent="0.25">
      <c r="C115" s="495"/>
      <c r="D115" s="493" t="s">
        <v>2086</v>
      </c>
      <c r="E115" s="493"/>
      <c r="F115" s="493"/>
      <c r="G115" s="493"/>
      <c r="H115" s="49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4"/>
    </row>
    <row r="116" spans="3:43" ht="15.95" customHeight="1" x14ac:dyDescent="0.25">
      <c r="C116" s="495" t="s">
        <v>2087</v>
      </c>
      <c r="D116" s="493" t="s">
        <v>2453</v>
      </c>
      <c r="E116" s="493"/>
      <c r="F116" s="493"/>
      <c r="G116" s="493"/>
      <c r="H116" s="49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4"/>
    </row>
    <row r="117" spans="3:43" ht="15.95" customHeight="1" x14ac:dyDescent="0.25">
      <c r="C117" s="495" t="s">
        <v>2088</v>
      </c>
      <c r="D117" s="493" t="s">
        <v>2094</v>
      </c>
      <c r="E117" s="493"/>
      <c r="F117" s="493"/>
      <c r="G117" s="493"/>
      <c r="H117" s="49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4"/>
    </row>
    <row r="118" spans="3:43" ht="15.95" customHeight="1" x14ac:dyDescent="0.25">
      <c r="C118" s="495"/>
      <c r="D118" s="493" t="s">
        <v>2093</v>
      </c>
      <c r="E118" s="493"/>
      <c r="F118" s="493"/>
      <c r="G118" s="493"/>
      <c r="H118" s="49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4"/>
    </row>
    <row r="119" spans="3:43" ht="15.95" customHeight="1" x14ac:dyDescent="0.25">
      <c r="C119" s="495" t="s">
        <v>2089</v>
      </c>
      <c r="D119" s="493" t="s">
        <v>2090</v>
      </c>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4"/>
    </row>
    <row r="120" spans="3:43" ht="15.95" customHeight="1" x14ac:dyDescent="0.25">
      <c r="C120" s="495" t="s">
        <v>2091</v>
      </c>
      <c r="D120" s="493" t="s">
        <v>2092</v>
      </c>
      <c r="E120" s="493"/>
      <c r="F120" s="493"/>
      <c r="G120" s="493"/>
      <c r="H120" s="49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4"/>
    </row>
    <row r="121" spans="3:43" ht="15.95" customHeight="1" x14ac:dyDescent="0.25">
      <c r="C121" s="496"/>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8"/>
    </row>
    <row r="122" spans="3:43" ht="15.95" customHeight="1" x14ac:dyDescent="0.25"/>
    <row r="123" spans="3:43" ht="15.95" customHeight="1" x14ac:dyDescent="0.25"/>
    <row r="124" spans="3:43" ht="15.95" customHeight="1" thickBot="1" x14ac:dyDescent="0.3">
      <c r="C124" s="597" t="s">
        <v>864</v>
      </c>
      <c r="D124" s="597"/>
      <c r="E124" s="597"/>
      <c r="F124" s="597"/>
      <c r="G124" s="597"/>
      <c r="H124" s="597"/>
      <c r="I124" s="597"/>
      <c r="J124" s="597"/>
      <c r="K124" s="597"/>
      <c r="L124" s="597"/>
      <c r="M124" s="597"/>
      <c r="N124" s="597"/>
      <c r="O124" s="597"/>
      <c r="P124" s="597"/>
      <c r="Q124" s="597"/>
      <c r="R124" s="597"/>
      <c r="S124" s="597"/>
      <c r="T124" s="597"/>
      <c r="U124" s="597"/>
      <c r="V124" s="597"/>
      <c r="W124" s="76"/>
      <c r="X124" s="597" t="s">
        <v>865</v>
      </c>
      <c r="Y124" s="597"/>
      <c r="Z124" s="597"/>
      <c r="AA124" s="597"/>
      <c r="AB124" s="597"/>
      <c r="AC124" s="597"/>
      <c r="AD124" s="597"/>
      <c r="AE124" s="597"/>
      <c r="AF124" s="597"/>
      <c r="AG124" s="597"/>
      <c r="AH124" s="597"/>
      <c r="AI124" s="597"/>
      <c r="AJ124" s="597"/>
      <c r="AK124" s="76"/>
      <c r="AL124" s="597" t="s">
        <v>866</v>
      </c>
      <c r="AM124" s="597"/>
      <c r="AN124" s="597"/>
      <c r="AO124" s="597"/>
      <c r="AP124" s="597"/>
      <c r="AQ124" s="597"/>
    </row>
    <row r="125" spans="3:43" ht="15.95" customHeight="1" thickBot="1" x14ac:dyDescent="0.3">
      <c r="C125" s="660"/>
      <c r="D125" s="661"/>
      <c r="E125" s="661"/>
      <c r="F125" s="661"/>
      <c r="G125" s="661"/>
      <c r="H125" s="661"/>
      <c r="I125" s="661"/>
      <c r="J125" s="661"/>
      <c r="K125" s="661"/>
      <c r="L125" s="661"/>
      <c r="M125" s="661"/>
      <c r="N125" s="661"/>
      <c r="O125" s="661"/>
      <c r="P125" s="661"/>
      <c r="Q125" s="661"/>
      <c r="R125" s="661"/>
      <c r="S125" s="661"/>
      <c r="T125" s="661"/>
      <c r="U125" s="661"/>
      <c r="V125" s="662"/>
      <c r="W125" s="69"/>
      <c r="X125" s="660"/>
      <c r="Y125" s="661"/>
      <c r="Z125" s="661"/>
      <c r="AA125" s="661"/>
      <c r="AB125" s="661"/>
      <c r="AC125" s="661"/>
      <c r="AD125" s="661"/>
      <c r="AE125" s="661"/>
      <c r="AF125" s="661"/>
      <c r="AG125" s="661"/>
      <c r="AH125" s="661"/>
      <c r="AI125" s="661"/>
      <c r="AJ125" s="662"/>
      <c r="AK125" s="69"/>
      <c r="AL125" s="671"/>
      <c r="AM125" s="657"/>
      <c r="AN125" s="657"/>
      <c r="AO125" s="657"/>
      <c r="AP125" s="657"/>
      <c r="AQ125" s="658"/>
    </row>
    <row r="126" spans="3:43" ht="15.95" customHeight="1" x14ac:dyDescent="0.25"/>
    <row r="127" spans="3:43" ht="15.95" customHeight="1" thickBot="1" x14ac:dyDescent="0.3">
      <c r="M127" s="670" t="s">
        <v>2175</v>
      </c>
      <c r="N127" s="670"/>
      <c r="O127" s="670"/>
      <c r="P127" s="670"/>
      <c r="Q127" s="670"/>
      <c r="R127" s="670"/>
      <c r="S127" s="670"/>
      <c r="T127" s="670"/>
      <c r="U127" s="670"/>
      <c r="V127" s="670"/>
      <c r="W127" s="670"/>
      <c r="X127" s="670"/>
      <c r="Y127" s="670"/>
      <c r="Z127" s="670"/>
      <c r="AA127" s="670"/>
      <c r="AB127" s="670"/>
      <c r="AC127" s="670"/>
      <c r="AD127" s="670"/>
      <c r="AE127" s="670"/>
      <c r="AF127" s="670"/>
      <c r="AG127" s="670"/>
    </row>
    <row r="128" spans="3:43" ht="15.95" customHeight="1" thickBot="1" x14ac:dyDescent="0.3">
      <c r="X128" s="664" t="str">
        <f>IF(ISNUMBER(SEARCH("Other",M02S01F04)),"Please Describe if 'Other'","")</f>
        <v/>
      </c>
      <c r="Y128" s="665"/>
      <c r="Z128" s="665"/>
      <c r="AA128" s="665"/>
      <c r="AB128" s="665"/>
      <c r="AC128" s="665"/>
      <c r="AD128" s="665"/>
      <c r="AE128" s="665"/>
      <c r="AF128" s="665"/>
      <c r="AG128" s="666"/>
    </row>
    <row r="129" spans="3:43" ht="15.95" customHeight="1" thickBot="1" x14ac:dyDescent="0.3">
      <c r="M129" s="663"/>
      <c r="N129" s="661"/>
      <c r="O129" s="661"/>
      <c r="P129" s="661"/>
      <c r="Q129" s="661"/>
      <c r="R129" s="661"/>
      <c r="S129" s="661"/>
      <c r="T129" s="661"/>
      <c r="U129" s="661"/>
      <c r="V129" s="662"/>
      <c r="X129" s="667"/>
      <c r="Y129" s="668"/>
      <c r="Z129" s="668"/>
      <c r="AA129" s="668"/>
      <c r="AB129" s="668"/>
      <c r="AC129" s="668"/>
      <c r="AD129" s="668"/>
      <c r="AE129" s="668"/>
      <c r="AF129" s="668"/>
      <c r="AG129" s="669"/>
    </row>
    <row r="130" spans="3:43" ht="15.95" customHeight="1" x14ac:dyDescent="0.25"/>
    <row r="131" spans="3:43" ht="15.95" customHeight="1" x14ac:dyDescent="0.3">
      <c r="F131" s="617" t="s">
        <v>1344</v>
      </c>
      <c r="G131" s="617"/>
      <c r="H131" s="617"/>
      <c r="I131" s="617"/>
      <c r="J131" s="617"/>
      <c r="K131" s="617"/>
      <c r="L131" s="617"/>
      <c r="M131" s="617"/>
      <c r="N131" s="617"/>
      <c r="O131" s="617"/>
      <c r="P131" s="617"/>
      <c r="Q131" s="617"/>
      <c r="R131" s="617"/>
      <c r="S131" s="617"/>
      <c r="T131" s="617"/>
      <c r="U131" s="617"/>
      <c r="V131" s="617"/>
      <c r="W131" s="617"/>
      <c r="X131" s="617"/>
      <c r="Y131" s="617"/>
      <c r="Z131" s="617"/>
      <c r="AA131" s="617"/>
      <c r="AB131" s="617"/>
      <c r="AC131" s="617"/>
      <c r="AD131" s="617"/>
      <c r="AE131" s="617"/>
      <c r="AF131" s="617"/>
      <c r="AG131" s="617"/>
      <c r="AH131" s="617"/>
      <c r="AI131" s="617"/>
      <c r="AJ131" s="617"/>
      <c r="AK131" s="617"/>
      <c r="AL131" s="617"/>
      <c r="AM131" s="617"/>
      <c r="AN131" s="617"/>
    </row>
    <row r="132" spans="3:43" ht="15.95" customHeight="1" x14ac:dyDescent="0.25">
      <c r="G132" s="77"/>
      <c r="H132" s="77"/>
      <c r="I132" s="77"/>
      <c r="J132" s="77"/>
      <c r="K132" s="659" t="s">
        <v>1943</v>
      </c>
      <c r="L132" s="659"/>
      <c r="M132" s="659"/>
      <c r="N132" s="659"/>
      <c r="O132" s="659"/>
      <c r="P132" s="659"/>
      <c r="Q132" s="659"/>
      <c r="R132" s="659"/>
      <c r="S132" s="659"/>
      <c r="T132" s="659"/>
      <c r="U132" s="659"/>
      <c r="V132" s="659"/>
      <c r="W132" s="659"/>
      <c r="X132" s="659"/>
      <c r="Y132" s="659"/>
      <c r="Z132" s="659"/>
      <c r="AA132" s="659"/>
      <c r="AB132" s="659"/>
      <c r="AC132" s="659"/>
      <c r="AD132" s="659"/>
      <c r="AE132" s="659"/>
      <c r="AF132" s="659"/>
      <c r="AG132" s="659"/>
      <c r="AH132" s="659"/>
      <c r="AI132" s="659"/>
      <c r="AJ132" s="77"/>
      <c r="AK132" s="77"/>
      <c r="AL132" s="77"/>
      <c r="AM132" s="77"/>
      <c r="AN132" s="77"/>
    </row>
    <row r="133" spans="3:43" ht="15.95" customHeight="1" x14ac:dyDescent="0.25">
      <c r="C133" s="652" t="str">
        <f>IF(M02S02F44="Yes","Not eligible for measures requiring pre-approval.","")</f>
        <v/>
      </c>
      <c r="D133" s="652"/>
      <c r="E133" s="652"/>
      <c r="F133" s="652"/>
      <c r="G133" s="652"/>
      <c r="H133" s="652"/>
      <c r="I133" s="652"/>
      <c r="J133" s="652"/>
      <c r="K133" s="652"/>
      <c r="W133" s="78"/>
      <c r="X133" s="78"/>
      <c r="AJ133" s="652"/>
      <c r="AK133" s="652"/>
      <c r="AL133" s="652"/>
      <c r="AM133" s="652"/>
      <c r="AN133" s="652"/>
      <c r="AO133" s="652"/>
      <c r="AP133" s="652"/>
      <c r="AQ133" s="652"/>
    </row>
    <row r="134" spans="3:43" ht="15.95" customHeight="1" thickBot="1" x14ac:dyDescent="0.3">
      <c r="C134" s="652"/>
      <c r="D134" s="652"/>
      <c r="E134" s="652"/>
      <c r="F134" s="652"/>
      <c r="G134" s="652"/>
      <c r="H134" s="652"/>
      <c r="I134" s="652"/>
      <c r="J134" s="652"/>
      <c r="K134" s="652"/>
      <c r="L134" s="457" t="s">
        <v>1915</v>
      </c>
      <c r="M134" s="391"/>
      <c r="N134" s="391"/>
      <c r="O134" s="391"/>
      <c r="P134" s="391"/>
      <c r="Q134" s="391"/>
      <c r="V134" s="391"/>
      <c r="W134" s="78"/>
      <c r="X134" s="78"/>
      <c r="AC134" s="516" t="s">
        <v>2179</v>
      </c>
      <c r="AD134" s="393"/>
      <c r="AE134" s="393"/>
      <c r="AF134" s="393"/>
      <c r="AG134" s="79"/>
      <c r="AH134" s="392"/>
      <c r="AJ134" s="652"/>
      <c r="AK134" s="652"/>
      <c r="AL134" s="652"/>
      <c r="AM134" s="652"/>
      <c r="AN134" s="652"/>
      <c r="AO134" s="652"/>
      <c r="AP134" s="652"/>
      <c r="AQ134" s="652"/>
    </row>
    <row r="135" spans="3:43" ht="15.95" customHeight="1" thickBot="1" x14ac:dyDescent="0.3">
      <c r="C135" s="652"/>
      <c r="D135" s="652"/>
      <c r="E135" s="652"/>
      <c r="F135" s="652"/>
      <c r="G135" s="652"/>
      <c r="H135" s="652"/>
      <c r="I135" s="652"/>
      <c r="J135" s="652"/>
      <c r="K135" s="652"/>
      <c r="L135" s="653"/>
      <c r="M135" s="654"/>
      <c r="N135" s="654"/>
      <c r="O135" s="654"/>
      <c r="P135" s="654"/>
      <c r="Q135" s="655"/>
      <c r="R135" s="584"/>
      <c r="S135" s="584"/>
      <c r="T135" s="584"/>
      <c r="U135" s="584"/>
      <c r="V135" s="584"/>
      <c r="W135" s="584"/>
      <c r="X135" s="584"/>
      <c r="Y135" s="584"/>
      <c r="Z135" s="584"/>
      <c r="AA135" s="584"/>
      <c r="AC135" s="656"/>
      <c r="AD135" s="657"/>
      <c r="AE135" s="657"/>
      <c r="AF135" s="657"/>
      <c r="AG135" s="657"/>
      <c r="AH135" s="658"/>
      <c r="AJ135" s="652"/>
      <c r="AK135" s="652"/>
      <c r="AL135" s="652"/>
      <c r="AM135" s="652"/>
      <c r="AN135" s="652"/>
      <c r="AO135" s="652"/>
      <c r="AP135" s="652"/>
      <c r="AQ135" s="652"/>
    </row>
    <row r="136" spans="3:43" ht="15.95" customHeight="1" x14ac:dyDescent="0.25">
      <c r="C136" s="652"/>
      <c r="D136" s="652"/>
      <c r="E136" s="652"/>
      <c r="F136" s="652"/>
      <c r="G136" s="652"/>
      <c r="H136" s="652"/>
      <c r="I136" s="652"/>
      <c r="J136" s="652"/>
      <c r="K136" s="652"/>
      <c r="L136" s="584"/>
      <c r="M136" s="584"/>
      <c r="N136" s="584"/>
      <c r="O136" s="584"/>
      <c r="P136" s="584"/>
      <c r="Q136" s="584"/>
      <c r="R136" s="584"/>
      <c r="S136" s="584"/>
      <c r="T136" s="584"/>
      <c r="U136" s="584"/>
      <c r="V136" s="584"/>
      <c r="W136" s="584"/>
      <c r="X136" s="584"/>
      <c r="Y136" s="584"/>
      <c r="Z136" s="584"/>
      <c r="AA136" s="584"/>
      <c r="AJ136" s="652"/>
      <c r="AK136" s="652"/>
      <c r="AL136" s="652"/>
      <c r="AM136" s="652"/>
      <c r="AN136" s="652"/>
      <c r="AO136" s="652"/>
      <c r="AP136" s="652"/>
      <c r="AQ136" s="652"/>
    </row>
    <row r="137" spans="3:43" ht="15.95" customHeight="1" x14ac:dyDescent="0.25">
      <c r="C137" s="652"/>
      <c r="D137" s="652"/>
      <c r="E137" s="652"/>
      <c r="F137" s="652"/>
      <c r="G137" s="652"/>
      <c r="H137" s="652"/>
      <c r="I137" s="652"/>
      <c r="J137" s="652"/>
      <c r="K137" s="652"/>
      <c r="L137" s="584"/>
      <c r="M137" s="584"/>
      <c r="N137" s="584"/>
      <c r="O137" s="584"/>
      <c r="P137" s="584"/>
      <c r="Q137" s="584"/>
      <c r="R137" s="584"/>
      <c r="S137" s="584"/>
      <c r="T137" s="584"/>
      <c r="U137" s="584"/>
      <c r="V137" s="584"/>
      <c r="W137" s="584"/>
      <c r="X137" s="584"/>
      <c r="Y137" s="584"/>
      <c r="Z137" s="584"/>
      <c r="AA137" s="584"/>
      <c r="AG137" s="78"/>
      <c r="AH137" s="78"/>
      <c r="AI137" s="78"/>
      <c r="AJ137" s="652"/>
      <c r="AK137" s="652"/>
      <c r="AL137" s="652"/>
      <c r="AM137" s="652"/>
      <c r="AN137" s="652"/>
      <c r="AO137" s="652"/>
      <c r="AP137" s="652"/>
      <c r="AQ137" s="652"/>
    </row>
    <row r="138" spans="3:43" ht="15.95" customHeight="1" x14ac:dyDescent="0.25">
      <c r="C138" s="17"/>
      <c r="D138" s="458"/>
      <c r="E138" s="458"/>
      <c r="F138" s="458"/>
      <c r="G138" s="458"/>
      <c r="H138" s="458"/>
      <c r="I138" s="458"/>
      <c r="J138" s="458"/>
      <c r="K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9"/>
    </row>
    <row r="139" spans="3:43" ht="15.95" hidden="1" customHeight="1" x14ac:dyDescent="0.25">
      <c r="C139" s="17"/>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c r="AP139" s="458"/>
      <c r="AQ139" s="459"/>
    </row>
    <row r="140" spans="3:43" ht="15.95" hidden="1" customHeight="1" x14ac:dyDescent="0.25">
      <c r="C140" s="17"/>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c r="AP140" s="458"/>
      <c r="AQ140" s="459"/>
    </row>
    <row r="141" spans="3:43" ht="15.95" hidden="1" customHeight="1" x14ac:dyDescent="0.25">
      <c r="C141" s="17"/>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c r="AP141" s="458"/>
      <c r="AQ141" s="459"/>
    </row>
    <row r="142" spans="3:43" ht="15.95" hidden="1" customHeight="1" x14ac:dyDescent="0.25">
      <c r="C142" s="17"/>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c r="AP142" s="458"/>
      <c r="AQ142" s="459"/>
    </row>
    <row r="143" spans="3:43" ht="15.95" hidden="1" customHeight="1" x14ac:dyDescent="0.25">
      <c r="C143" s="17"/>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c r="AP143" s="458"/>
      <c r="AQ143" s="459"/>
    </row>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73" spans="3:43" ht="15.95" hidden="1" customHeight="1" x14ac:dyDescent="0.25">
      <c r="C173" s="17"/>
      <c r="D173" s="458"/>
      <c r="E173" s="458"/>
      <c r="F173" s="458"/>
      <c r="G173" s="458"/>
      <c r="H173" s="458"/>
      <c r="I173" s="458"/>
      <c r="J173" s="458"/>
      <c r="K173" s="458"/>
      <c r="L173" s="458"/>
      <c r="M173" s="458"/>
      <c r="N173" s="458"/>
      <c r="O173" s="458"/>
      <c r="P173" s="458"/>
      <c r="Q173" s="458"/>
      <c r="R173" s="458"/>
      <c r="S173" s="458"/>
      <c r="T173" s="458"/>
      <c r="U173" s="458"/>
      <c r="V173" s="458"/>
      <c r="W173" s="458"/>
      <c r="X173" s="458"/>
      <c r="Y173" s="458"/>
      <c r="Z173" s="458"/>
      <c r="AA173" s="458"/>
      <c r="AB173" s="458"/>
      <c r="AC173" s="458"/>
      <c r="AD173" s="458"/>
      <c r="AE173" s="458"/>
      <c r="AF173" s="458"/>
      <c r="AG173" s="458"/>
      <c r="AH173" s="458"/>
      <c r="AI173" s="458"/>
      <c r="AJ173" s="458"/>
      <c r="AK173" s="458"/>
      <c r="AL173" s="458"/>
      <c r="AM173" s="458"/>
      <c r="AN173" s="458"/>
      <c r="AO173" s="458"/>
      <c r="AP173" s="458"/>
      <c r="AQ173" s="459"/>
    </row>
    <row r="174" spans="3:43" ht="15.95" hidden="1" customHeight="1" x14ac:dyDescent="0.25">
      <c r="C174" s="17"/>
      <c r="D174" s="458"/>
      <c r="E174" s="458"/>
      <c r="F174" s="458"/>
      <c r="G174" s="458"/>
      <c r="H174" s="458"/>
      <c r="I174" s="458"/>
      <c r="J174" s="458"/>
      <c r="K174" s="458"/>
      <c r="L174" s="458"/>
      <c r="M174" s="458"/>
      <c r="N174" s="458"/>
      <c r="O174" s="458"/>
      <c r="P174" s="458"/>
      <c r="Q174" s="458"/>
      <c r="R174" s="458"/>
      <c r="S174" s="458"/>
      <c r="T174" s="458"/>
      <c r="U174" s="458"/>
      <c r="V174" s="458"/>
      <c r="W174" s="458"/>
      <c r="X174" s="458"/>
      <c r="Y174" s="458"/>
      <c r="Z174" s="458"/>
      <c r="AA174" s="458"/>
      <c r="AB174" s="458"/>
      <c r="AC174" s="458"/>
      <c r="AD174" s="458"/>
      <c r="AE174" s="458"/>
      <c r="AF174" s="458"/>
      <c r="AG174" s="458"/>
      <c r="AH174" s="458"/>
      <c r="AI174" s="458"/>
      <c r="AJ174" s="458"/>
      <c r="AK174" s="458"/>
      <c r="AL174" s="458"/>
      <c r="AM174" s="458"/>
      <c r="AN174" s="458"/>
      <c r="AO174" s="458"/>
      <c r="AP174" s="458"/>
      <c r="AQ174" s="459"/>
    </row>
    <row r="175" spans="3:43" ht="15.95" hidden="1" customHeight="1" x14ac:dyDescent="0.25">
      <c r="C175" s="17"/>
      <c r="D175" s="458"/>
      <c r="E175" s="458"/>
      <c r="F175" s="458"/>
      <c r="G175" s="458"/>
      <c r="H175" s="458"/>
      <c r="I175" s="458"/>
      <c r="J175" s="458"/>
      <c r="K175" s="458"/>
      <c r="L175" s="458"/>
      <c r="M175" s="458"/>
      <c r="N175" s="458"/>
      <c r="O175" s="458"/>
      <c r="P175" s="458"/>
      <c r="Q175" s="458"/>
      <c r="R175" s="458"/>
      <c r="S175" s="458"/>
      <c r="T175" s="458"/>
      <c r="U175" s="458"/>
      <c r="V175" s="458"/>
      <c r="W175" s="458"/>
      <c r="X175" s="458"/>
      <c r="Y175" s="458"/>
      <c r="Z175" s="458"/>
      <c r="AA175" s="458"/>
      <c r="AB175" s="458"/>
      <c r="AC175" s="458"/>
      <c r="AD175" s="458"/>
      <c r="AE175" s="458"/>
      <c r="AF175" s="458"/>
      <c r="AG175" s="458"/>
      <c r="AH175" s="458"/>
      <c r="AI175" s="458"/>
      <c r="AJ175" s="458"/>
      <c r="AK175" s="458"/>
      <c r="AL175" s="458"/>
      <c r="AM175" s="458"/>
      <c r="AN175" s="458"/>
      <c r="AO175" s="458"/>
      <c r="AP175" s="458"/>
      <c r="AQ175" s="459"/>
    </row>
    <row r="176" spans="3:43" ht="15.95" hidden="1" customHeight="1" x14ac:dyDescent="0.25">
      <c r="C176" s="17"/>
      <c r="D176" s="458"/>
      <c r="E176" s="458"/>
      <c r="F176" s="458"/>
      <c r="G176" s="458"/>
      <c r="H176" s="458"/>
      <c r="I176" s="458"/>
      <c r="J176" s="458"/>
      <c r="K176" s="458"/>
      <c r="L176" s="458"/>
      <c r="M176" s="458"/>
      <c r="N176" s="458"/>
      <c r="O176" s="458"/>
      <c r="P176" s="458"/>
      <c r="Q176" s="458"/>
      <c r="R176" s="458"/>
      <c r="S176" s="458"/>
      <c r="T176" s="458"/>
      <c r="U176" s="458"/>
      <c r="V176" s="458"/>
      <c r="W176" s="458"/>
      <c r="X176" s="458"/>
      <c r="Y176" s="458"/>
      <c r="Z176" s="458"/>
      <c r="AA176" s="458"/>
      <c r="AB176" s="458"/>
      <c r="AC176" s="458"/>
      <c r="AD176" s="458"/>
      <c r="AE176" s="458"/>
      <c r="AF176" s="458"/>
      <c r="AG176" s="458"/>
      <c r="AH176" s="458"/>
      <c r="AI176" s="458"/>
      <c r="AJ176" s="458"/>
      <c r="AK176" s="458"/>
      <c r="AL176" s="458"/>
      <c r="AM176" s="458"/>
      <c r="AN176" s="458"/>
      <c r="AO176" s="458"/>
      <c r="AP176" s="458"/>
      <c r="AQ176" s="459"/>
    </row>
    <row r="177" spans="3:43" ht="15.95" hidden="1" customHeight="1" x14ac:dyDescent="0.25">
      <c r="C177" s="17"/>
      <c r="D177" s="458"/>
      <c r="E177" s="458"/>
      <c r="F177" s="458"/>
      <c r="G177" s="458"/>
      <c r="H177" s="458"/>
      <c r="I177" s="458"/>
      <c r="J177" s="458"/>
      <c r="K177" s="458"/>
      <c r="L177" s="458"/>
      <c r="M177" s="458"/>
      <c r="N177" s="458"/>
      <c r="O177" s="458"/>
      <c r="P177" s="458"/>
      <c r="Q177" s="458"/>
      <c r="R177" s="458"/>
      <c r="S177" s="458"/>
      <c r="T177" s="458"/>
      <c r="U177" s="458"/>
      <c r="V177" s="458"/>
      <c r="W177" s="458"/>
      <c r="X177" s="458"/>
      <c r="Y177" s="458"/>
      <c r="Z177" s="458"/>
      <c r="AA177" s="458"/>
      <c r="AB177" s="458"/>
      <c r="AC177" s="458"/>
      <c r="AD177" s="458"/>
      <c r="AE177" s="458"/>
      <c r="AF177" s="458"/>
      <c r="AG177" s="458"/>
      <c r="AH177" s="458"/>
      <c r="AI177" s="458"/>
      <c r="AJ177" s="458"/>
      <c r="AK177" s="458"/>
      <c r="AL177" s="458"/>
      <c r="AM177" s="458"/>
      <c r="AN177" s="458"/>
      <c r="AO177" s="458"/>
      <c r="AP177" s="458"/>
      <c r="AQ177" s="459"/>
    </row>
    <row r="178" spans="3:43" ht="15.95" hidden="1" customHeight="1" x14ac:dyDescent="0.25">
      <c r="C178" s="17"/>
      <c r="D178" s="458"/>
      <c r="E178" s="458"/>
      <c r="F178" s="458"/>
      <c r="G178" s="458"/>
      <c r="H178" s="458"/>
      <c r="I178" s="458"/>
      <c r="J178" s="458"/>
      <c r="K178" s="458"/>
      <c r="L178" s="458"/>
      <c r="M178" s="458"/>
      <c r="N178" s="458"/>
      <c r="O178" s="458"/>
      <c r="P178" s="458"/>
      <c r="Q178" s="458"/>
      <c r="R178" s="458"/>
      <c r="S178" s="458"/>
      <c r="T178" s="458"/>
      <c r="U178" s="458"/>
      <c r="V178" s="458"/>
      <c r="W178" s="458"/>
      <c r="X178" s="458"/>
      <c r="Y178" s="458"/>
      <c r="Z178" s="458"/>
      <c r="AA178" s="458"/>
      <c r="AB178" s="458"/>
      <c r="AC178" s="458"/>
      <c r="AD178" s="458"/>
      <c r="AE178" s="458"/>
      <c r="AF178" s="458"/>
      <c r="AG178" s="458"/>
      <c r="AH178" s="458"/>
      <c r="AI178" s="458"/>
      <c r="AJ178" s="458"/>
      <c r="AK178" s="458"/>
      <c r="AL178" s="458"/>
      <c r="AM178" s="458"/>
      <c r="AN178" s="458"/>
      <c r="AO178" s="458"/>
      <c r="AP178" s="458"/>
      <c r="AQ178" s="459"/>
    </row>
    <row r="179" spans="3:43" ht="15.95" hidden="1" customHeight="1" x14ac:dyDescent="0.25">
      <c r="C179" s="17"/>
      <c r="D179" s="458"/>
      <c r="E179" s="458"/>
      <c r="F179" s="458"/>
      <c r="G179" s="458"/>
      <c r="H179" s="458"/>
      <c r="I179" s="458"/>
      <c r="J179" s="458"/>
      <c r="K179" s="458"/>
      <c r="L179" s="458"/>
      <c r="M179" s="458"/>
      <c r="N179" s="458"/>
      <c r="O179" s="458"/>
      <c r="P179" s="458"/>
      <c r="Q179" s="458"/>
      <c r="R179" s="458"/>
      <c r="S179" s="458"/>
      <c r="T179" s="458"/>
      <c r="U179" s="458"/>
      <c r="V179" s="458"/>
      <c r="W179" s="458"/>
      <c r="X179" s="458"/>
      <c r="Y179" s="458"/>
      <c r="Z179" s="458"/>
      <c r="AA179" s="458"/>
      <c r="AB179" s="458"/>
      <c r="AC179" s="458"/>
      <c r="AD179" s="458"/>
      <c r="AE179" s="458"/>
      <c r="AF179" s="458"/>
      <c r="AG179" s="458"/>
      <c r="AH179" s="458"/>
      <c r="AI179" s="458"/>
      <c r="AJ179" s="458"/>
      <c r="AK179" s="458"/>
      <c r="AL179" s="458"/>
      <c r="AM179" s="458"/>
      <c r="AN179" s="458"/>
      <c r="AO179" s="458"/>
      <c r="AP179" s="458"/>
      <c r="AQ179" s="459"/>
    </row>
    <row r="180" spans="3:43" ht="15.95" hidden="1" customHeight="1" x14ac:dyDescent="0.25">
      <c r="C180" s="17"/>
      <c r="D180" s="458"/>
      <c r="E180" s="458"/>
      <c r="F180" s="458"/>
      <c r="G180" s="458"/>
      <c r="H180" s="458"/>
      <c r="I180" s="458"/>
      <c r="J180" s="458"/>
      <c r="K180" s="458"/>
      <c r="L180" s="458"/>
      <c r="M180" s="458"/>
      <c r="N180" s="458"/>
      <c r="O180" s="458"/>
      <c r="P180" s="458"/>
      <c r="Q180" s="458"/>
      <c r="R180" s="458"/>
      <c r="S180" s="458"/>
      <c r="T180" s="458"/>
      <c r="U180" s="458"/>
      <c r="V180" s="458"/>
      <c r="W180" s="458"/>
      <c r="X180" s="458"/>
      <c r="Y180" s="458"/>
      <c r="Z180" s="458"/>
      <c r="AA180" s="458"/>
      <c r="AB180" s="458"/>
      <c r="AC180" s="458"/>
      <c r="AD180" s="458"/>
      <c r="AE180" s="458"/>
      <c r="AF180" s="458"/>
      <c r="AG180" s="458"/>
      <c r="AH180" s="458"/>
      <c r="AI180" s="458"/>
      <c r="AJ180" s="458"/>
      <c r="AK180" s="458"/>
      <c r="AL180" s="458"/>
      <c r="AM180" s="458"/>
      <c r="AN180" s="458"/>
      <c r="AO180" s="458"/>
      <c r="AP180" s="458"/>
      <c r="AQ180" s="459"/>
    </row>
    <row r="181" spans="3:43" ht="15.95" hidden="1" customHeight="1" x14ac:dyDescent="0.25">
      <c r="C181" s="17"/>
      <c r="D181" s="458"/>
      <c r="E181" s="458"/>
      <c r="F181" s="458"/>
      <c r="G181" s="458"/>
      <c r="H181" s="458"/>
      <c r="I181" s="458"/>
      <c r="J181" s="458"/>
      <c r="K181" s="458"/>
      <c r="L181" s="458"/>
      <c r="M181" s="458"/>
      <c r="N181" s="458"/>
      <c r="O181" s="458"/>
      <c r="P181" s="458"/>
      <c r="Q181" s="458"/>
      <c r="R181" s="458"/>
      <c r="S181" s="458"/>
      <c r="T181" s="458"/>
      <c r="U181" s="458"/>
      <c r="V181" s="458"/>
      <c r="W181" s="458"/>
      <c r="X181" s="458"/>
      <c r="Y181" s="458"/>
      <c r="Z181" s="458"/>
      <c r="AA181" s="458"/>
      <c r="AB181" s="458"/>
      <c r="AC181" s="458"/>
      <c r="AD181" s="458"/>
      <c r="AE181" s="458"/>
      <c r="AF181" s="458"/>
      <c r="AG181" s="458"/>
      <c r="AH181" s="458"/>
      <c r="AI181" s="458"/>
      <c r="AJ181" s="458"/>
      <c r="AK181" s="458"/>
      <c r="AL181" s="458"/>
      <c r="AM181" s="458"/>
      <c r="AN181" s="458"/>
      <c r="AO181" s="458"/>
      <c r="AP181" s="458"/>
      <c r="AQ181" s="459"/>
    </row>
    <row r="182" spans="3:43" ht="15.95" hidden="1" customHeight="1" x14ac:dyDescent="0.25">
      <c r="C182" s="17"/>
      <c r="D182" s="458"/>
      <c r="E182" s="458"/>
      <c r="F182" s="458"/>
      <c r="G182" s="458"/>
      <c r="H182" s="458"/>
      <c r="I182" s="458"/>
      <c r="J182" s="458"/>
      <c r="K182" s="458"/>
      <c r="L182" s="458"/>
      <c r="M182" s="458"/>
      <c r="N182" s="458"/>
      <c r="O182" s="458"/>
      <c r="P182" s="458"/>
      <c r="Q182" s="458"/>
      <c r="R182" s="458"/>
      <c r="S182" s="458"/>
      <c r="T182" s="458"/>
      <c r="U182" s="458"/>
      <c r="V182" s="458"/>
      <c r="W182" s="458"/>
      <c r="X182" s="458"/>
      <c r="Y182" s="458"/>
      <c r="Z182" s="458"/>
      <c r="AA182" s="458"/>
      <c r="AB182" s="458"/>
      <c r="AC182" s="458"/>
      <c r="AD182" s="458"/>
      <c r="AE182" s="458"/>
      <c r="AF182" s="458"/>
      <c r="AG182" s="458"/>
      <c r="AH182" s="458"/>
      <c r="AI182" s="458"/>
      <c r="AJ182" s="458"/>
      <c r="AK182" s="458"/>
      <c r="AL182" s="458"/>
      <c r="AM182" s="458"/>
      <c r="AN182" s="458"/>
      <c r="AO182" s="458"/>
      <c r="AP182" s="458"/>
      <c r="AQ182" s="459"/>
    </row>
    <row r="183" spans="3:43" ht="15.95" hidden="1" customHeight="1" x14ac:dyDescent="0.25">
      <c r="C183" s="17"/>
      <c r="D183" s="458"/>
      <c r="E183" s="458"/>
      <c r="F183" s="458"/>
      <c r="G183" s="458"/>
      <c r="H183" s="458"/>
      <c r="I183" s="458"/>
      <c r="J183" s="458"/>
      <c r="K183" s="458"/>
      <c r="L183" s="458"/>
      <c r="M183" s="458"/>
      <c r="N183" s="458"/>
      <c r="O183" s="458"/>
      <c r="P183" s="458"/>
      <c r="Q183" s="458"/>
      <c r="R183" s="458"/>
      <c r="S183" s="458"/>
      <c r="T183" s="458"/>
      <c r="U183" s="458"/>
      <c r="V183" s="458"/>
      <c r="W183" s="458"/>
      <c r="X183" s="458"/>
      <c r="Y183" s="458"/>
      <c r="Z183" s="458"/>
      <c r="AA183" s="458"/>
      <c r="AB183" s="458"/>
      <c r="AC183" s="458"/>
      <c r="AD183" s="458"/>
      <c r="AE183" s="458"/>
      <c r="AF183" s="458"/>
      <c r="AG183" s="458"/>
      <c r="AH183" s="458"/>
      <c r="AI183" s="458"/>
      <c r="AJ183" s="458"/>
      <c r="AK183" s="458"/>
      <c r="AL183" s="458"/>
      <c r="AM183" s="458"/>
      <c r="AN183" s="458"/>
      <c r="AO183" s="458"/>
      <c r="AP183" s="458"/>
      <c r="AQ183" s="459"/>
    </row>
    <row r="184" spans="3:43" ht="15.95" hidden="1" customHeight="1" x14ac:dyDescent="0.25">
      <c r="C184" s="17"/>
      <c r="D184" s="458"/>
      <c r="E184" s="458"/>
      <c r="F184" s="458"/>
      <c r="G184" s="458"/>
      <c r="H184" s="458"/>
      <c r="I184" s="458"/>
      <c r="J184" s="458"/>
      <c r="K184" s="458"/>
      <c r="L184" s="458"/>
      <c r="M184" s="458"/>
      <c r="N184" s="458"/>
      <c r="O184" s="458"/>
      <c r="P184" s="458"/>
      <c r="Q184" s="458"/>
      <c r="R184" s="458"/>
      <c r="S184" s="458"/>
      <c r="T184" s="458"/>
      <c r="U184" s="458"/>
      <c r="V184" s="458"/>
      <c r="W184" s="458"/>
      <c r="X184" s="458"/>
      <c r="Y184" s="458"/>
      <c r="Z184" s="458"/>
      <c r="AA184" s="458"/>
      <c r="AB184" s="458"/>
      <c r="AC184" s="458"/>
      <c r="AD184" s="458"/>
      <c r="AE184" s="458"/>
      <c r="AF184" s="458"/>
      <c r="AG184" s="458"/>
      <c r="AH184" s="458"/>
      <c r="AI184" s="458"/>
      <c r="AJ184" s="458"/>
      <c r="AK184" s="458"/>
      <c r="AL184" s="458"/>
      <c r="AM184" s="458"/>
      <c r="AN184" s="458"/>
      <c r="AO184" s="458"/>
      <c r="AP184" s="458"/>
      <c r="AQ184" s="459"/>
    </row>
    <row r="185" spans="3:43" ht="15.95" hidden="1" customHeight="1" x14ac:dyDescent="0.25">
      <c r="C185" s="17"/>
      <c r="D185" s="458"/>
      <c r="E185" s="458"/>
      <c r="F185" s="458"/>
      <c r="G185" s="458"/>
      <c r="H185" s="458"/>
      <c r="I185" s="458"/>
      <c r="J185" s="458"/>
      <c r="K185" s="458"/>
      <c r="L185" s="458"/>
      <c r="M185" s="458"/>
      <c r="N185" s="458"/>
      <c r="O185" s="458"/>
      <c r="P185" s="458"/>
      <c r="Q185" s="458"/>
      <c r="R185" s="458"/>
      <c r="S185" s="458"/>
      <c r="T185" s="458"/>
      <c r="U185" s="458"/>
      <c r="V185" s="458"/>
      <c r="W185" s="458"/>
      <c r="X185" s="458"/>
      <c r="Y185" s="458"/>
      <c r="Z185" s="458"/>
      <c r="AA185" s="458"/>
      <c r="AB185" s="458"/>
      <c r="AC185" s="458"/>
      <c r="AD185" s="458"/>
      <c r="AE185" s="458"/>
      <c r="AF185" s="458"/>
      <c r="AG185" s="458"/>
      <c r="AH185" s="458"/>
      <c r="AI185" s="458"/>
      <c r="AJ185" s="458"/>
      <c r="AK185" s="458"/>
      <c r="AL185" s="458"/>
      <c r="AM185" s="458"/>
      <c r="AN185" s="458"/>
      <c r="AO185" s="458"/>
      <c r="AP185" s="458"/>
      <c r="AQ185" s="459"/>
    </row>
    <row r="186" spans="3:43" ht="15.95" hidden="1" customHeight="1" x14ac:dyDescent="0.25">
      <c r="C186" s="17"/>
      <c r="D186" s="458"/>
      <c r="E186" s="458"/>
      <c r="F186" s="458"/>
      <c r="G186" s="458"/>
      <c r="H186" s="458"/>
      <c r="I186" s="458"/>
      <c r="J186" s="458"/>
      <c r="K186" s="458"/>
      <c r="L186" s="458"/>
      <c r="M186" s="458"/>
      <c r="N186" s="458"/>
      <c r="O186" s="458"/>
      <c r="P186" s="458"/>
      <c r="Q186" s="458"/>
      <c r="R186" s="458"/>
      <c r="S186" s="458"/>
      <c r="T186" s="458"/>
      <c r="U186" s="458"/>
      <c r="V186" s="458"/>
      <c r="W186" s="458"/>
      <c r="X186" s="458"/>
      <c r="Y186" s="458"/>
      <c r="Z186" s="458"/>
      <c r="AA186" s="458"/>
      <c r="AB186" s="458"/>
      <c r="AC186" s="458"/>
      <c r="AD186" s="458"/>
      <c r="AE186" s="458"/>
      <c r="AF186" s="458"/>
      <c r="AG186" s="458"/>
      <c r="AH186" s="458"/>
      <c r="AI186" s="458"/>
      <c r="AJ186" s="458"/>
      <c r="AK186" s="458"/>
      <c r="AL186" s="458"/>
      <c r="AM186" s="458"/>
      <c r="AN186" s="458"/>
      <c r="AO186" s="458"/>
      <c r="AP186" s="458"/>
      <c r="AQ186" s="459"/>
    </row>
    <row r="187" spans="3:43" ht="15.95" hidden="1" customHeight="1" x14ac:dyDescent="0.25">
      <c r="C187" s="17"/>
      <c r="D187" s="458"/>
      <c r="E187" s="458"/>
      <c r="F187" s="458"/>
      <c r="G187" s="458"/>
      <c r="H187" s="458"/>
      <c r="I187" s="458"/>
      <c r="J187" s="458"/>
      <c r="K187" s="458"/>
      <c r="L187" s="458"/>
      <c r="M187" s="458"/>
      <c r="N187" s="458"/>
      <c r="O187" s="458"/>
      <c r="P187" s="458"/>
      <c r="Q187" s="458"/>
      <c r="R187" s="458"/>
      <c r="S187" s="458"/>
      <c r="T187" s="458"/>
      <c r="U187" s="458"/>
      <c r="V187" s="458"/>
      <c r="W187" s="458"/>
      <c r="X187" s="458"/>
      <c r="Y187" s="458"/>
      <c r="Z187" s="458"/>
      <c r="AA187" s="458"/>
      <c r="AB187" s="458"/>
      <c r="AC187" s="458"/>
      <c r="AD187" s="458"/>
      <c r="AE187" s="458"/>
      <c r="AF187" s="458"/>
      <c r="AG187" s="458"/>
      <c r="AH187" s="458"/>
      <c r="AI187" s="458"/>
      <c r="AJ187" s="458"/>
      <c r="AK187" s="458"/>
      <c r="AL187" s="458"/>
      <c r="AM187" s="458"/>
      <c r="AN187" s="458"/>
      <c r="AO187" s="458"/>
      <c r="AP187" s="458"/>
      <c r="AQ187" s="459"/>
    </row>
    <row r="188" spans="3:43" ht="15.95" hidden="1" customHeight="1" x14ac:dyDescent="0.25">
      <c r="C188" s="17"/>
      <c r="D188" s="458"/>
      <c r="E188" s="458"/>
      <c r="F188" s="458"/>
      <c r="G188" s="458"/>
      <c r="H188" s="458"/>
      <c r="I188" s="458"/>
      <c r="J188" s="458"/>
      <c r="K188" s="458"/>
      <c r="L188" s="458"/>
      <c r="M188" s="458"/>
      <c r="N188" s="458"/>
      <c r="O188" s="458"/>
      <c r="P188" s="458"/>
      <c r="Q188" s="458"/>
      <c r="R188" s="458"/>
      <c r="S188" s="458"/>
      <c r="T188" s="458"/>
      <c r="U188" s="458"/>
      <c r="V188" s="458"/>
      <c r="W188" s="458"/>
      <c r="X188" s="458"/>
      <c r="Y188" s="458"/>
      <c r="Z188" s="458"/>
      <c r="AA188" s="458"/>
      <c r="AB188" s="458"/>
      <c r="AC188" s="458"/>
      <c r="AD188" s="458"/>
      <c r="AE188" s="458"/>
      <c r="AF188" s="458"/>
      <c r="AG188" s="458"/>
      <c r="AH188" s="458"/>
      <c r="AI188" s="458"/>
      <c r="AJ188" s="458"/>
      <c r="AK188" s="458"/>
      <c r="AL188" s="458"/>
      <c r="AM188" s="458"/>
      <c r="AN188" s="458"/>
      <c r="AO188" s="458"/>
      <c r="AP188" s="458"/>
      <c r="AQ188" s="459"/>
    </row>
    <row r="189" spans="3:43" ht="15.95" hidden="1" customHeight="1" x14ac:dyDescent="0.25">
      <c r="C189" s="17"/>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c r="AG189" s="458"/>
      <c r="AH189" s="458"/>
      <c r="AI189" s="458"/>
      <c r="AJ189" s="458"/>
      <c r="AK189" s="458"/>
      <c r="AL189" s="458"/>
      <c r="AM189" s="458"/>
      <c r="AN189" s="458"/>
      <c r="AO189" s="458"/>
      <c r="AP189" s="458"/>
      <c r="AQ189" s="459"/>
    </row>
    <row r="190" spans="3:43" ht="15.95" hidden="1" customHeight="1" x14ac:dyDescent="0.25">
      <c r="C190" s="17"/>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c r="AG190" s="458"/>
      <c r="AH190" s="458"/>
      <c r="AI190" s="458"/>
      <c r="AJ190" s="458"/>
      <c r="AK190" s="458"/>
      <c r="AL190" s="458"/>
      <c r="AM190" s="458"/>
      <c r="AN190" s="458"/>
      <c r="AO190" s="458"/>
      <c r="AP190" s="458"/>
      <c r="AQ190" s="459"/>
    </row>
    <row r="191" spans="3:43" ht="15.95" hidden="1" customHeight="1" x14ac:dyDescent="0.25">
      <c r="C191" s="17"/>
      <c r="D191" s="458"/>
      <c r="E191" s="458"/>
      <c r="F191" s="458"/>
      <c r="G191" s="458"/>
      <c r="H191" s="458"/>
      <c r="I191" s="458"/>
      <c r="J191" s="458"/>
      <c r="K191" s="458"/>
      <c r="L191" s="458"/>
      <c r="M191" s="458"/>
      <c r="N191" s="458"/>
      <c r="O191" s="458"/>
      <c r="P191" s="458"/>
      <c r="Q191" s="458"/>
      <c r="R191" s="458"/>
      <c r="S191" s="458"/>
      <c r="T191" s="458"/>
      <c r="U191" s="458"/>
      <c r="V191" s="458"/>
      <c r="W191" s="458"/>
      <c r="X191" s="458"/>
      <c r="Y191" s="458"/>
      <c r="Z191" s="458"/>
      <c r="AA191" s="458"/>
      <c r="AB191" s="458"/>
      <c r="AC191" s="458"/>
      <c r="AD191" s="458"/>
      <c r="AE191" s="458"/>
      <c r="AF191" s="458"/>
      <c r="AG191" s="458"/>
      <c r="AH191" s="458"/>
      <c r="AI191" s="458"/>
      <c r="AJ191" s="458"/>
      <c r="AK191" s="458"/>
      <c r="AL191" s="458"/>
      <c r="AM191" s="458"/>
      <c r="AN191" s="458"/>
      <c r="AO191" s="458"/>
      <c r="AP191" s="458"/>
      <c r="AQ191" s="459"/>
    </row>
    <row r="192" spans="3:43" ht="15.95" hidden="1" customHeight="1" x14ac:dyDescent="0.25">
      <c r="C192" s="17"/>
      <c r="D192" s="458"/>
      <c r="E192" s="458"/>
      <c r="F192" s="458"/>
      <c r="G192" s="458"/>
      <c r="H192" s="458"/>
      <c r="I192" s="458"/>
      <c r="J192" s="458"/>
      <c r="K192" s="458"/>
      <c r="L192" s="458"/>
      <c r="M192" s="458"/>
      <c r="N192" s="458"/>
      <c r="O192" s="458"/>
      <c r="P192" s="458"/>
      <c r="Q192" s="458"/>
      <c r="R192" s="458"/>
      <c r="S192" s="458"/>
      <c r="T192" s="458"/>
      <c r="U192" s="458"/>
      <c r="V192" s="458"/>
      <c r="W192" s="458"/>
      <c r="X192" s="458"/>
      <c r="Y192" s="458"/>
      <c r="Z192" s="458"/>
      <c r="AA192" s="458"/>
      <c r="AB192" s="458"/>
      <c r="AC192" s="458"/>
      <c r="AD192" s="458"/>
      <c r="AE192" s="458"/>
      <c r="AF192" s="458"/>
      <c r="AG192" s="458"/>
      <c r="AH192" s="458"/>
      <c r="AI192" s="458"/>
      <c r="AJ192" s="458"/>
      <c r="AK192" s="458"/>
      <c r="AL192" s="458"/>
      <c r="AM192" s="458"/>
      <c r="AN192" s="458"/>
      <c r="AO192" s="458"/>
      <c r="AP192" s="458"/>
      <c r="AQ192" s="459"/>
    </row>
    <row r="193" spans="2:44" ht="15.95" hidden="1" customHeight="1" x14ac:dyDescent="0.25">
      <c r="C193" s="17"/>
      <c r="D193" s="458"/>
      <c r="E193" s="458"/>
      <c r="F193" s="458"/>
      <c r="G193" s="458"/>
      <c r="H193" s="458"/>
      <c r="I193" s="458"/>
      <c r="J193" s="458"/>
      <c r="K193" s="458"/>
      <c r="L193" s="458"/>
      <c r="M193" s="458"/>
      <c r="N193" s="458"/>
      <c r="O193" s="458"/>
      <c r="P193" s="458"/>
      <c r="Q193" s="458"/>
      <c r="R193" s="458"/>
      <c r="S193" s="458"/>
      <c r="T193" s="458"/>
      <c r="U193" s="458"/>
      <c r="V193" s="458"/>
      <c r="W193" s="458"/>
      <c r="X193" s="458"/>
      <c r="Y193" s="458"/>
      <c r="Z193" s="458"/>
      <c r="AA193" s="458"/>
      <c r="AB193" s="458"/>
      <c r="AC193" s="458"/>
      <c r="AD193" s="458"/>
      <c r="AE193" s="458"/>
      <c r="AF193" s="458"/>
      <c r="AG193" s="458"/>
      <c r="AH193" s="458"/>
      <c r="AI193" s="458"/>
      <c r="AJ193" s="458"/>
      <c r="AK193" s="458"/>
      <c r="AL193" s="458"/>
      <c r="AM193" s="458"/>
      <c r="AN193" s="458"/>
      <c r="AO193" s="458"/>
      <c r="AP193" s="458"/>
      <c r="AQ193" s="459"/>
    </row>
    <row r="194" spans="2:44" ht="15.95" hidden="1" customHeight="1" x14ac:dyDescent="0.25">
      <c r="C194" s="17"/>
      <c r="D194" s="458"/>
      <c r="E194" s="458"/>
      <c r="F194" s="458"/>
      <c r="G194" s="458"/>
      <c r="H194" s="458"/>
      <c r="I194" s="458"/>
      <c r="J194" s="458"/>
      <c r="K194" s="458"/>
      <c r="L194" s="458"/>
      <c r="M194" s="458"/>
      <c r="N194" s="458"/>
      <c r="O194" s="458"/>
      <c r="P194" s="458"/>
      <c r="Q194" s="458"/>
      <c r="R194" s="458"/>
      <c r="S194" s="458"/>
      <c r="T194" s="458"/>
      <c r="U194" s="458"/>
      <c r="V194" s="458"/>
      <c r="W194" s="458"/>
      <c r="X194" s="458"/>
      <c r="Y194" s="458"/>
      <c r="Z194" s="458"/>
      <c r="AA194" s="458"/>
      <c r="AB194" s="458"/>
      <c r="AC194" s="458"/>
      <c r="AD194" s="458"/>
      <c r="AE194" s="458"/>
      <c r="AF194" s="458"/>
      <c r="AG194" s="458"/>
      <c r="AH194" s="458"/>
      <c r="AI194" s="458"/>
      <c r="AJ194" s="458"/>
      <c r="AK194" s="458"/>
      <c r="AL194" s="458"/>
      <c r="AM194" s="458"/>
      <c r="AN194" s="458"/>
      <c r="AO194" s="458"/>
      <c r="AP194" s="458"/>
      <c r="AQ194" s="459"/>
    </row>
    <row r="195" spans="2:44" ht="15.95" hidden="1" customHeight="1" x14ac:dyDescent="0.25">
      <c r="C195" s="17"/>
      <c r="D195" s="458"/>
      <c r="E195" s="458"/>
      <c r="F195" s="458"/>
      <c r="G195" s="458"/>
      <c r="H195" s="458"/>
      <c r="I195" s="458"/>
      <c r="J195" s="458"/>
      <c r="K195" s="458"/>
      <c r="L195" s="458"/>
      <c r="M195" s="458"/>
      <c r="N195" s="458"/>
      <c r="O195" s="458"/>
      <c r="P195" s="458"/>
      <c r="Q195" s="458"/>
      <c r="R195" s="458"/>
      <c r="S195" s="458"/>
      <c r="T195" s="458"/>
      <c r="U195" s="458"/>
      <c r="V195" s="458"/>
      <c r="W195" s="458"/>
      <c r="X195" s="458"/>
      <c r="Y195" s="458"/>
      <c r="Z195" s="458"/>
      <c r="AA195" s="458"/>
      <c r="AB195" s="458"/>
      <c r="AC195" s="458"/>
      <c r="AD195" s="458"/>
      <c r="AE195" s="458"/>
      <c r="AF195" s="458"/>
      <c r="AG195" s="458"/>
      <c r="AH195" s="458"/>
      <c r="AI195" s="458"/>
      <c r="AJ195" s="458"/>
      <c r="AK195" s="458"/>
      <c r="AL195" s="458"/>
      <c r="AM195" s="458"/>
      <c r="AN195" s="458"/>
      <c r="AO195" s="458"/>
      <c r="AP195" s="458"/>
      <c r="AQ195" s="459"/>
    </row>
    <row r="196" spans="2:44" ht="15.95" hidden="1" customHeight="1" x14ac:dyDescent="0.25">
      <c r="C196" s="17"/>
      <c r="D196" s="458"/>
      <c r="E196" s="458"/>
      <c r="F196" s="458"/>
      <c r="G196" s="458"/>
      <c r="H196" s="458"/>
      <c r="I196" s="458"/>
      <c r="J196" s="458"/>
      <c r="K196" s="458"/>
      <c r="L196" s="458"/>
      <c r="M196" s="458"/>
      <c r="N196" s="458"/>
      <c r="O196" s="458"/>
      <c r="P196" s="458"/>
      <c r="Q196" s="458"/>
      <c r="R196" s="458"/>
      <c r="S196" s="458"/>
      <c r="T196" s="458"/>
      <c r="U196" s="458"/>
      <c r="V196" s="458"/>
      <c r="W196" s="458"/>
      <c r="X196" s="458"/>
      <c r="Y196" s="458"/>
      <c r="Z196" s="458"/>
      <c r="AA196" s="458"/>
      <c r="AB196" s="458"/>
      <c r="AC196" s="458"/>
      <c r="AD196" s="458"/>
      <c r="AE196" s="458"/>
      <c r="AF196" s="458"/>
      <c r="AG196" s="458"/>
      <c r="AH196" s="458"/>
      <c r="AI196" s="458"/>
      <c r="AJ196" s="458"/>
      <c r="AK196" s="458"/>
      <c r="AL196" s="458"/>
      <c r="AM196" s="458"/>
      <c r="AN196" s="458"/>
      <c r="AO196" s="458"/>
      <c r="AP196" s="458"/>
      <c r="AQ196" s="459"/>
    </row>
    <row r="197" spans="2:44" ht="15.95" hidden="1" customHeight="1" x14ac:dyDescent="0.25">
      <c r="C197" s="17"/>
      <c r="D197" s="458"/>
      <c r="E197" s="458"/>
      <c r="F197" s="458"/>
      <c r="G197" s="458"/>
      <c r="H197" s="458"/>
      <c r="I197" s="458"/>
      <c r="J197" s="458"/>
      <c r="K197" s="458"/>
      <c r="L197" s="458"/>
      <c r="M197" s="458"/>
      <c r="N197" s="458"/>
      <c r="O197" s="458"/>
      <c r="P197" s="458"/>
      <c r="Q197" s="458"/>
      <c r="R197" s="458"/>
      <c r="S197" s="458"/>
      <c r="T197" s="458"/>
      <c r="U197" s="458"/>
      <c r="V197" s="458"/>
      <c r="W197" s="458"/>
      <c r="X197" s="458"/>
      <c r="Y197" s="458"/>
      <c r="Z197" s="458"/>
      <c r="AA197" s="458"/>
      <c r="AB197" s="458"/>
      <c r="AC197" s="458"/>
      <c r="AD197" s="458"/>
      <c r="AE197" s="458"/>
      <c r="AF197" s="458"/>
      <c r="AG197" s="458"/>
      <c r="AH197" s="458"/>
      <c r="AI197" s="458"/>
      <c r="AJ197" s="458"/>
      <c r="AK197" s="458"/>
      <c r="AL197" s="458"/>
      <c r="AM197" s="458"/>
      <c r="AN197" s="458"/>
      <c r="AO197" s="458"/>
      <c r="AP197" s="458"/>
      <c r="AQ197" s="459"/>
    </row>
    <row r="198" spans="2:44" ht="15.95" hidden="1" customHeight="1" x14ac:dyDescent="0.25">
      <c r="C198" s="17"/>
      <c r="D198" s="458"/>
      <c r="E198" s="458"/>
      <c r="F198" s="458"/>
      <c r="G198" s="458"/>
      <c r="H198" s="458"/>
      <c r="I198" s="458"/>
      <c r="J198" s="458"/>
      <c r="K198" s="458"/>
      <c r="L198" s="458"/>
      <c r="M198" s="458"/>
      <c r="N198" s="458"/>
      <c r="O198" s="458"/>
      <c r="P198" s="458"/>
      <c r="Q198" s="458"/>
      <c r="R198" s="458"/>
      <c r="S198" s="458"/>
      <c r="T198" s="458"/>
      <c r="U198" s="458"/>
      <c r="V198" s="458"/>
      <c r="W198" s="458"/>
      <c r="X198" s="458"/>
      <c r="Y198" s="458"/>
      <c r="Z198" s="458"/>
      <c r="AA198" s="458"/>
      <c r="AB198" s="458"/>
      <c r="AC198" s="458"/>
      <c r="AD198" s="458"/>
      <c r="AE198" s="458"/>
      <c r="AF198" s="458"/>
      <c r="AG198" s="458"/>
      <c r="AH198" s="458"/>
      <c r="AI198" s="458"/>
      <c r="AJ198" s="458"/>
      <c r="AK198" s="458"/>
      <c r="AL198" s="458"/>
      <c r="AM198" s="458"/>
      <c r="AN198" s="458"/>
      <c r="AO198" s="458"/>
      <c r="AP198" s="458"/>
      <c r="AQ198" s="459"/>
    </row>
    <row r="199" spans="2:44" ht="15.95" hidden="1" customHeight="1" x14ac:dyDescent="0.25">
      <c r="C199" s="17"/>
      <c r="D199" s="458"/>
      <c r="E199" s="458"/>
      <c r="F199" s="458"/>
      <c r="G199" s="458"/>
      <c r="H199" s="458"/>
      <c r="I199" s="458"/>
      <c r="J199" s="458"/>
      <c r="K199" s="458"/>
      <c r="L199" s="458"/>
      <c r="M199" s="458"/>
      <c r="N199" s="458"/>
      <c r="O199" s="458"/>
      <c r="P199" s="458"/>
      <c r="Q199" s="458"/>
      <c r="R199" s="458"/>
      <c r="S199" s="458"/>
      <c r="T199" s="458"/>
      <c r="U199" s="458"/>
      <c r="V199" s="458"/>
      <c r="W199" s="458"/>
      <c r="X199" s="458"/>
      <c r="Y199" s="458"/>
      <c r="Z199" s="458"/>
      <c r="AA199" s="458"/>
      <c r="AB199" s="458"/>
      <c r="AC199" s="458"/>
      <c r="AD199" s="458"/>
      <c r="AE199" s="458"/>
      <c r="AF199" s="458"/>
      <c r="AG199" s="458"/>
      <c r="AH199" s="458"/>
      <c r="AI199" s="458"/>
      <c r="AJ199" s="458"/>
      <c r="AK199" s="458"/>
      <c r="AL199" s="458"/>
      <c r="AM199" s="458"/>
      <c r="AN199" s="458"/>
      <c r="AO199" s="458"/>
      <c r="AP199" s="458"/>
      <c r="AQ199" s="459"/>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N12peyg16ILhHETv+HDXyOb9DVwLW5k/afBtNzjH4srghaJQzxOz8CcXfQVtkvTG9oHx6fQmUSzboG5YaIXv8w==" saltValue="C0ZCFJ3UcauKmSqpQ15cYQ==" spinCount="100000" sheet="1" objects="1" scenarios="1" selectLockedCells="1"/>
  <mergeCells count="29">
    <mergeCell ref="C14:AQ16"/>
    <mergeCell ref="AL1:AP1"/>
    <mergeCell ref="AQ1:AR1"/>
    <mergeCell ref="I13:AK13"/>
    <mergeCell ref="Q1:R1"/>
    <mergeCell ref="U1:V1"/>
    <mergeCell ref="Y1:Z1"/>
    <mergeCell ref="AH1:AK1"/>
    <mergeCell ref="AH2:AK3"/>
    <mergeCell ref="AL2:AP3"/>
    <mergeCell ref="AQ2:AR3"/>
    <mergeCell ref="F10:AN10"/>
    <mergeCell ref="F11:AN12"/>
    <mergeCell ref="C133:K137"/>
    <mergeCell ref="M200:AG201"/>
    <mergeCell ref="C124:V124"/>
    <mergeCell ref="X124:AJ124"/>
    <mergeCell ref="AL124:AQ124"/>
    <mergeCell ref="F131:AN131"/>
    <mergeCell ref="L135:Q135"/>
    <mergeCell ref="AC135:AH135"/>
    <mergeCell ref="K132:AI132"/>
    <mergeCell ref="C125:V125"/>
    <mergeCell ref="X125:AJ125"/>
    <mergeCell ref="M129:V129"/>
    <mergeCell ref="X128:AG129"/>
    <mergeCell ref="M127:AG127"/>
    <mergeCell ref="AL125:AQ125"/>
    <mergeCell ref="AJ133:AQ137"/>
  </mergeCells>
  <conditionalFormatting sqref="C133 L133:AI134 T135:AB135 AI135 T136:AI137">
    <cfRule type="expression" dxfId="494" priority="5">
      <formula>M02S02F44=""</formula>
    </cfRule>
  </conditionalFormatting>
  <conditionalFormatting sqref="F11">
    <cfRule type="expression" dxfId="493" priority="14">
      <formula>ISNUMBER(SEARCH("DEADLINE",F11))</formula>
    </cfRule>
  </conditionalFormatting>
  <conditionalFormatting sqref="R135:S137 L136:Q137">
    <cfRule type="expression" dxfId="492" priority="1">
      <formula>M02S02F44=""</formula>
    </cfRule>
  </conditionalFormatting>
  <conditionalFormatting sqref="X128:AG129">
    <cfRule type="expression" dxfId="491" priority="316">
      <formula>NOT(ISNUMBER(SEARCH("Other",$M$129)))</formula>
    </cfRule>
  </conditionalFormatting>
  <conditionalFormatting sqref="AC135:AH135">
    <cfRule type="expression" dxfId="490" priority="8">
      <formula>M02S02F44="Yes"</formula>
    </cfRule>
  </conditionalFormatting>
  <conditionalFormatting sqref="AH2 AL2">
    <cfRule type="expression" dxfId="489" priority="9">
      <formula>PROJSTATUS=PROJSTATELI</formula>
    </cfRule>
    <cfRule type="expression" dxfId="488" priority="10">
      <formula>PROJSTATUS=PROJSTATREVIEW</formula>
    </cfRule>
    <cfRule type="expression" dxfId="487" priority="11">
      <formula>PROJSTATUS=PROJSTATPREAPPROVE</formula>
    </cfRule>
    <cfRule type="expression" dxfId="486" priority="12">
      <formula>PROJSTATUS=PROJSTATSTANDARD</formula>
    </cfRule>
    <cfRule type="expression" dxfId="485" priority="13">
      <formula>PROJSTATUS=PROJSTATEXP</formula>
    </cfRule>
  </conditionalFormatting>
  <conditionalFormatting sqref="AJ133">
    <cfRule type="expression" dxfId="484" priority="2">
      <formula>M02S02F44=""</formula>
    </cfRule>
  </conditionalFormatting>
  <conditionalFormatting sqref="AQ2:AR3">
    <cfRule type="cellIs" dxfId="483" priority="15" operator="equal">
      <formula>1</formula>
    </cfRule>
    <cfRule type="cellIs" dxfId="482" priority="16" operator="between">
      <formula>0.51</formula>
      <formula>0.99</formula>
    </cfRule>
    <cfRule type="cellIs" dxfId="481" priority="17" operator="lessThanOrEqual">
      <formula>0.5</formula>
    </cfRule>
  </conditionalFormatting>
  <dataValidations count="4">
    <dataValidation type="date" operator="greaterThan" allowBlank="1" showInputMessage="1" showErrorMessage="1" error="Please enter a valid date in the format MM/DD/YYYY" sqref="AL125:AQ125" xr:uid="{AE0312FD-6E18-421E-A00C-0FC4DB90948B}">
      <formula1>42005</formula1>
    </dataValidation>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25:V125" xr:uid="{D53DCB66-8D61-4121-8375-8A250FFE8F80}"/>
    <dataValidation type="list" allowBlank="1" showInputMessage="1" showErrorMessage="1" sqref="L135:Q135" xr:uid="{07E383B3-823B-4C8D-B9FC-3B87ABAE9E14}">
      <formula1>"Yes, No"</formula1>
    </dataValidation>
    <dataValidation type="list" allowBlank="1" showInputMessage="1" showErrorMessage="1" sqref="M129" xr:uid="{C6B14F4C-72A0-45AC-A219-5024AD843435}">
      <formula1>HEARABOUT</formula1>
    </dataValidation>
  </dataValidations>
  <hyperlinks>
    <hyperlink ref="B202" r:id="rId1" display="NIPSCO.Savings@LMCO.com" xr:uid="{B86D4CCA-936C-4088-B53E-20F1A6896CEB}"/>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BF202"/>
  <sheetViews>
    <sheetView showGridLines="0" showRowColHeaders="0" zoomScale="85" zoomScaleNormal="85" workbookViewId="0">
      <selection activeCell="C15" sqref="C15:H15"/>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69"/>
      <c r="D10" s="69"/>
      <c r="E10" s="69"/>
      <c r="F10" s="617" t="s">
        <v>903</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21" t="s">
        <v>1949</v>
      </c>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69"/>
      <c r="AP11" s="69"/>
      <c r="AQ11" s="69"/>
    </row>
    <row r="12" spans="3:44" ht="15.95" customHeight="1" x14ac:dyDescent="0.25">
      <c r="C12" s="69"/>
      <c r="D12" s="69"/>
      <c r="E12" s="69"/>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row>
    <row r="13" spans="3:44" ht="15.95" customHeight="1" x14ac:dyDescent="0.25">
      <c r="C13" s="160"/>
    </row>
    <row r="14" spans="3:44" ht="15.95" customHeight="1" thickBot="1" x14ac:dyDescent="0.3">
      <c r="C14" s="720" t="s">
        <v>831</v>
      </c>
      <c r="D14" s="720"/>
      <c r="E14" s="720"/>
      <c r="F14" s="720"/>
      <c r="G14" s="720"/>
      <c r="H14" s="720"/>
      <c r="J14" s="597" t="s">
        <v>837</v>
      </c>
      <c r="K14" s="597"/>
      <c r="L14" s="597"/>
      <c r="M14" s="597"/>
      <c r="N14" s="597"/>
      <c r="O14" s="597"/>
      <c r="Q14" s="597" t="s">
        <v>838</v>
      </c>
      <c r="R14" s="597"/>
      <c r="S14" s="597"/>
      <c r="T14" s="597"/>
      <c r="U14" s="597"/>
      <c r="V14" s="597"/>
      <c r="X14" s="670" t="s">
        <v>2217</v>
      </c>
      <c r="Y14" s="597"/>
      <c r="Z14" s="597"/>
      <c r="AA14" s="597"/>
      <c r="AB14" s="597"/>
      <c r="AC14" s="597"/>
      <c r="AE14" s="670" t="s">
        <v>2218</v>
      </c>
      <c r="AF14" s="597"/>
      <c r="AG14" s="597"/>
      <c r="AH14" s="597"/>
      <c r="AI14" s="597"/>
      <c r="AJ14" s="597"/>
      <c r="AL14" s="719" t="s">
        <v>423</v>
      </c>
      <c r="AM14" s="720"/>
      <c r="AN14" s="720"/>
      <c r="AO14" s="720"/>
      <c r="AP14" s="720"/>
      <c r="AQ14" s="720"/>
    </row>
    <row r="15" spans="3:44" ht="15.95" customHeight="1" thickBot="1" x14ac:dyDescent="0.3">
      <c r="C15" s="660"/>
      <c r="D15" s="661"/>
      <c r="E15" s="661"/>
      <c r="F15" s="661"/>
      <c r="G15" s="661"/>
      <c r="H15" s="662"/>
      <c r="J15" s="660"/>
      <c r="K15" s="661"/>
      <c r="L15" s="661"/>
      <c r="M15" s="661"/>
      <c r="N15" s="661"/>
      <c r="O15" s="662"/>
      <c r="Q15" s="660"/>
      <c r="R15" s="661"/>
      <c r="S15" s="661"/>
      <c r="T15" s="661"/>
      <c r="U15" s="661"/>
      <c r="V15" s="662"/>
      <c r="X15" s="660"/>
      <c r="Y15" s="661"/>
      <c r="Z15" s="661"/>
      <c r="AA15" s="661"/>
      <c r="AB15" s="661"/>
      <c r="AC15" s="662"/>
      <c r="AE15" s="722"/>
      <c r="AF15" s="723"/>
      <c r="AG15" s="723"/>
      <c r="AH15" s="723"/>
      <c r="AI15" s="723"/>
      <c r="AJ15" s="724"/>
      <c r="AL15" s="725"/>
      <c r="AM15" s="726"/>
      <c r="AN15" s="726"/>
      <c r="AO15" s="726"/>
      <c r="AP15" s="726"/>
      <c r="AQ15" s="727"/>
    </row>
    <row r="16" spans="3:44" ht="15.95" customHeight="1" x14ac:dyDescent="0.25">
      <c r="D16" s="69"/>
      <c r="E16" s="69"/>
      <c r="AO16" s="78"/>
      <c r="AP16" s="78"/>
      <c r="AQ16" s="255"/>
    </row>
    <row r="17" spans="3:43" ht="15.95" customHeight="1" x14ac:dyDescent="0.25">
      <c r="C17" s="127"/>
      <c r="D17" s="76"/>
      <c r="E17" s="76"/>
      <c r="F17" s="699" t="s">
        <v>1078</v>
      </c>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76"/>
      <c r="AP17" s="76"/>
      <c r="AQ17" s="76"/>
    </row>
    <row r="18" spans="3:43" ht="15.95" customHeight="1" x14ac:dyDescent="0.25">
      <c r="C18" s="127"/>
      <c r="D18" s="76"/>
      <c r="E18" s="76"/>
      <c r="F18" s="659" t="s">
        <v>852</v>
      </c>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659"/>
      <c r="AL18" s="659"/>
      <c r="AM18" s="659"/>
      <c r="AN18" s="659"/>
      <c r="AO18" s="76"/>
      <c r="AP18" s="76"/>
      <c r="AQ18" s="76"/>
    </row>
    <row r="19" spans="3:43" ht="15.95" customHeight="1" x14ac:dyDescent="0.25">
      <c r="C19" s="127"/>
      <c r="D19" s="76"/>
      <c r="E19" s="7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6"/>
      <c r="AP19" s="76"/>
      <c r="AQ19" s="76"/>
    </row>
    <row r="20" spans="3:43" ht="15.95" customHeight="1" thickBot="1" x14ac:dyDescent="0.3">
      <c r="C20" s="597" t="s">
        <v>904</v>
      </c>
      <c r="D20" s="597"/>
      <c r="E20" s="597"/>
      <c r="F20" s="597"/>
      <c r="G20" s="597"/>
      <c r="H20" s="597"/>
      <c r="I20" s="77"/>
      <c r="P20" s="77"/>
      <c r="Q20" s="597" t="s">
        <v>853</v>
      </c>
      <c r="R20" s="597"/>
      <c r="S20" s="597"/>
      <c r="T20" s="597"/>
      <c r="U20" s="597"/>
      <c r="V20" s="597"/>
      <c r="W20" s="77"/>
      <c r="X20" s="597" t="s">
        <v>854</v>
      </c>
      <c r="Y20" s="597"/>
      <c r="Z20" s="597"/>
      <c r="AA20" s="597"/>
      <c r="AB20" s="597"/>
      <c r="AC20" s="597"/>
      <c r="AD20" s="77"/>
      <c r="AE20" s="597" t="s">
        <v>855</v>
      </c>
      <c r="AF20" s="597"/>
      <c r="AG20" s="597"/>
      <c r="AH20" s="597"/>
      <c r="AI20" s="597"/>
      <c r="AJ20" s="597"/>
      <c r="AK20" s="77"/>
      <c r="AL20" s="597" t="s">
        <v>856</v>
      </c>
      <c r="AM20" s="597"/>
      <c r="AN20" s="597"/>
      <c r="AO20" s="597"/>
      <c r="AP20" s="597"/>
      <c r="AQ20" s="597"/>
    </row>
    <row r="21" spans="3:43" ht="15.95" customHeight="1" thickBot="1" x14ac:dyDescent="0.3">
      <c r="C21" s="703"/>
      <c r="D21" s="704"/>
      <c r="E21" s="704"/>
      <c r="F21" s="704"/>
      <c r="G21" s="704"/>
      <c r="H21" s="704"/>
      <c r="I21" s="704"/>
      <c r="J21" s="704"/>
      <c r="K21" s="704"/>
      <c r="L21" s="704"/>
      <c r="M21" s="704"/>
      <c r="N21" s="704"/>
      <c r="O21" s="705"/>
      <c r="P21" s="77"/>
      <c r="Q21" s="663"/>
      <c r="R21" s="661"/>
      <c r="S21" s="661"/>
      <c r="T21" s="661"/>
      <c r="U21" s="661"/>
      <c r="V21" s="662"/>
      <c r="W21" s="77"/>
      <c r="X21" s="700"/>
      <c r="Y21" s="701"/>
      <c r="Z21" s="701"/>
      <c r="AA21" s="701"/>
      <c r="AB21" s="701"/>
      <c r="AC21" s="702"/>
      <c r="AD21" s="77"/>
      <c r="AE21" s="671"/>
      <c r="AF21" s="657"/>
      <c r="AG21" s="657"/>
      <c r="AH21" s="657"/>
      <c r="AI21" s="657"/>
      <c r="AJ21" s="658"/>
      <c r="AK21" s="77"/>
      <c r="AL21" s="671"/>
      <c r="AM21" s="657"/>
      <c r="AN21" s="657"/>
      <c r="AO21" s="657"/>
      <c r="AP21" s="657"/>
      <c r="AQ21" s="658"/>
    </row>
    <row r="22" spans="3:43" ht="15.95" customHeight="1" x14ac:dyDescent="0.25"/>
    <row r="23" spans="3:43" ht="15.95" customHeight="1" x14ac:dyDescent="0.25">
      <c r="F23" s="699" t="s">
        <v>115</v>
      </c>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9"/>
      <c r="AE23" s="699"/>
      <c r="AF23" s="699"/>
      <c r="AG23" s="699"/>
      <c r="AH23" s="699"/>
      <c r="AI23" s="699"/>
      <c r="AJ23" s="699"/>
      <c r="AK23" s="699"/>
      <c r="AL23" s="699"/>
      <c r="AM23" s="699"/>
      <c r="AN23" s="699"/>
    </row>
    <row r="24" spans="3:43" ht="15.95" customHeight="1" x14ac:dyDescent="0.25">
      <c r="C24" s="69"/>
      <c r="D24" s="69"/>
      <c r="E24" s="69"/>
      <c r="F24" s="691" t="s">
        <v>1956</v>
      </c>
      <c r="G24" s="691"/>
      <c r="H24" s="691"/>
      <c r="I24" s="691"/>
      <c r="J24" s="691"/>
      <c r="K24" s="691"/>
      <c r="L24" s="691"/>
      <c r="M24" s="691"/>
      <c r="N24" s="691"/>
      <c r="O24" s="691"/>
      <c r="P24" s="691"/>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
      <c r="AP24" s="69"/>
      <c r="AQ24" s="69"/>
    </row>
    <row r="25" spans="3:43" ht="15.95" customHeight="1" x14ac:dyDescent="0.25">
      <c r="F25" s="691"/>
      <c r="G25" s="691"/>
      <c r="H25" s="691"/>
      <c r="I25" s="691"/>
      <c r="J25" s="691"/>
      <c r="K25" s="691"/>
      <c r="L25" s="691"/>
      <c r="M25" s="691"/>
      <c r="N25" s="691"/>
      <c r="O25" s="691"/>
      <c r="P25" s="691"/>
      <c r="Q25" s="691"/>
      <c r="R25" s="691"/>
      <c r="S25" s="691"/>
      <c r="T25" s="691"/>
      <c r="U25" s="691"/>
      <c r="V25" s="691"/>
      <c r="W25" s="691"/>
      <c r="X25" s="691"/>
      <c r="Y25" s="691"/>
      <c r="Z25" s="691"/>
      <c r="AA25" s="691"/>
      <c r="AB25" s="691"/>
      <c r="AC25" s="691"/>
      <c r="AD25" s="691"/>
      <c r="AE25" s="691"/>
      <c r="AF25" s="691"/>
      <c r="AG25" s="691"/>
      <c r="AH25" s="691"/>
      <c r="AI25" s="691"/>
      <c r="AJ25" s="691"/>
      <c r="AK25" s="691"/>
      <c r="AL25" s="691"/>
      <c r="AM25" s="691"/>
      <c r="AN25" s="691"/>
    </row>
    <row r="26" spans="3:43" ht="15.95" customHeight="1" x14ac:dyDescent="0.25"/>
    <row r="27" spans="3:43" ht="15.95" customHeight="1" thickBot="1" x14ac:dyDescent="0.3">
      <c r="C27" s="687" t="s">
        <v>841</v>
      </c>
      <c r="D27" s="687"/>
      <c r="E27" s="687"/>
      <c r="F27" s="687"/>
      <c r="G27" s="687"/>
      <c r="H27" s="687"/>
      <c r="I27" s="76"/>
      <c r="J27" s="687" t="s">
        <v>842</v>
      </c>
      <c r="K27" s="687"/>
      <c r="L27" s="687"/>
      <c r="M27" s="687"/>
      <c r="N27" s="687"/>
      <c r="O27" s="687"/>
    </row>
    <row r="28" spans="3:43" ht="15.95" customHeight="1" thickBot="1" x14ac:dyDescent="0.3">
      <c r="C28" s="706" t="s">
        <v>1125</v>
      </c>
      <c r="D28" s="707"/>
      <c r="E28" s="707"/>
      <c r="F28" s="707"/>
      <c r="G28" s="707"/>
      <c r="H28" s="708"/>
      <c r="I28" s="76"/>
      <c r="J28" s="709"/>
      <c r="K28" s="654"/>
      <c r="L28" s="654"/>
      <c r="M28" s="654"/>
      <c r="N28" s="654"/>
      <c r="O28" s="655"/>
      <c r="R28" s="697" t="s">
        <v>1951</v>
      </c>
      <c r="S28" s="697"/>
      <c r="T28" s="697"/>
      <c r="U28" s="697"/>
      <c r="V28" s="697"/>
      <c r="W28" s="697"/>
      <c r="X28" s="697"/>
      <c r="Y28" s="697"/>
      <c r="Z28" s="697"/>
      <c r="AA28" s="698"/>
      <c r="AB28" s="695"/>
      <c r="AC28" s="696"/>
    </row>
    <row r="29" spans="3:43" ht="15.95" customHeight="1" x14ac:dyDescent="0.25"/>
    <row r="30" spans="3:43" ht="15.95" customHeight="1" thickBot="1" x14ac:dyDescent="0.3">
      <c r="C30" s="718" t="s">
        <v>1993</v>
      </c>
      <c r="D30" s="687"/>
      <c r="E30" s="687"/>
      <c r="F30" s="687"/>
      <c r="G30" s="687"/>
      <c r="H30" s="687"/>
      <c r="I30" s="76"/>
      <c r="J30" s="687" t="s">
        <v>843</v>
      </c>
      <c r="K30" s="687"/>
      <c r="L30" s="687"/>
      <c r="M30" s="687"/>
      <c r="N30" s="687"/>
      <c r="O30" s="687"/>
      <c r="P30" s="76"/>
      <c r="Q30" s="687" t="s">
        <v>838</v>
      </c>
      <c r="R30" s="687"/>
      <c r="S30" s="687"/>
      <c r="T30" s="687"/>
      <c r="U30" s="687"/>
      <c r="V30" s="687"/>
      <c r="W30" s="76"/>
      <c r="X30" s="687" t="s">
        <v>839</v>
      </c>
      <c r="Y30" s="687"/>
      <c r="Z30" s="687"/>
      <c r="AA30" s="687"/>
      <c r="AB30" s="687"/>
      <c r="AC30" s="687"/>
      <c r="AD30" s="76"/>
      <c r="AE30" s="687" t="s">
        <v>840</v>
      </c>
      <c r="AF30" s="687"/>
      <c r="AG30" s="687"/>
      <c r="AH30" s="687"/>
      <c r="AI30" s="687"/>
      <c r="AJ30" s="687"/>
      <c r="AK30" s="76"/>
      <c r="AL30" s="69"/>
      <c r="AM30" s="69"/>
      <c r="AN30" s="69"/>
      <c r="AO30" s="69"/>
      <c r="AP30" s="69"/>
      <c r="AQ30" s="69"/>
    </row>
    <row r="31" spans="3:43" ht="15.95" customHeight="1" thickBot="1" x14ac:dyDescent="0.3">
      <c r="C31" s="711" t="str">
        <f>IF(M02S02F15="Yes",M02S02F46,"")</f>
        <v/>
      </c>
      <c r="D31" s="712"/>
      <c r="E31" s="712"/>
      <c r="F31" s="712"/>
      <c r="G31" s="712"/>
      <c r="H31" s="713"/>
      <c r="I31" s="76"/>
      <c r="J31" s="714" t="str">
        <f>IF(M02S02F15="Yes",M02S02F08,"")</f>
        <v/>
      </c>
      <c r="K31" s="712"/>
      <c r="L31" s="712"/>
      <c r="M31" s="712"/>
      <c r="N31" s="712"/>
      <c r="O31" s="713"/>
      <c r="P31" s="76"/>
      <c r="Q31" s="714" t="str">
        <f>IF(M02S02F15="Yes",M02S02F09,"")</f>
        <v/>
      </c>
      <c r="R31" s="712"/>
      <c r="S31" s="712"/>
      <c r="T31" s="712"/>
      <c r="U31" s="712"/>
      <c r="V31" s="713"/>
      <c r="W31" s="76"/>
      <c r="X31" s="715" t="s">
        <v>409</v>
      </c>
      <c r="Y31" s="716"/>
      <c r="Z31" s="716"/>
      <c r="AA31" s="716"/>
      <c r="AB31" s="716"/>
      <c r="AC31" s="717"/>
      <c r="AD31" s="76"/>
      <c r="AE31" s="692" t="str">
        <f>IF(M02S02F15="Yes",M02S02F11,"")</f>
        <v/>
      </c>
      <c r="AF31" s="693"/>
      <c r="AG31" s="693"/>
      <c r="AH31" s="693"/>
      <c r="AI31" s="693"/>
      <c r="AJ31" s="694"/>
      <c r="AK31" s="76"/>
      <c r="AL31" s="69"/>
      <c r="AM31" s="69"/>
      <c r="AN31" s="69"/>
      <c r="AO31" s="69"/>
      <c r="AP31" s="69"/>
      <c r="AQ31" s="69"/>
    </row>
    <row r="32" spans="3:43" ht="15.95" customHeight="1" x14ac:dyDescent="0.25">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row>
    <row r="33" spans="3:58" ht="15.95" customHeight="1" thickBot="1" x14ac:dyDescent="0.3">
      <c r="C33" s="687" t="s">
        <v>844</v>
      </c>
      <c r="D33" s="687"/>
      <c r="E33" s="687"/>
      <c r="F33" s="687"/>
      <c r="G33" s="687"/>
      <c r="H33" s="687"/>
      <c r="I33" s="76"/>
      <c r="J33" s="69" t="s">
        <v>845</v>
      </c>
      <c r="K33" s="69"/>
      <c r="L33" s="69"/>
      <c r="M33" s="69"/>
      <c r="N33" s="69"/>
      <c r="O33" s="69"/>
      <c r="P33" s="76"/>
      <c r="Q33" s="687" t="s">
        <v>846</v>
      </c>
      <c r="R33" s="687"/>
      <c r="S33" s="687"/>
      <c r="T33" s="687"/>
      <c r="U33" s="687"/>
      <c r="V33" s="687"/>
      <c r="W33" s="76"/>
      <c r="X33" s="687" t="s">
        <v>81</v>
      </c>
      <c r="Y33" s="687"/>
      <c r="Z33" s="687"/>
      <c r="AA33" s="687"/>
      <c r="AB33" s="687"/>
      <c r="AC33" s="687"/>
      <c r="AD33" s="76"/>
      <c r="AE33" s="735" t="s">
        <v>2468</v>
      </c>
      <c r="AF33" s="687"/>
      <c r="AG33" s="687"/>
      <c r="AH33" s="687"/>
      <c r="AI33" s="687"/>
      <c r="AJ33" s="687"/>
      <c r="AK33" s="76"/>
      <c r="AL33" s="687" t="s">
        <v>83</v>
      </c>
      <c r="AM33" s="687"/>
      <c r="AN33" s="687"/>
      <c r="AO33" s="687"/>
      <c r="AP33" s="687"/>
      <c r="AQ33" s="687"/>
    </row>
    <row r="34" spans="3:58" ht="15.95" customHeight="1" thickBot="1" x14ac:dyDescent="0.3">
      <c r="C34" s="653"/>
      <c r="D34" s="654"/>
      <c r="E34" s="654"/>
      <c r="F34" s="654"/>
      <c r="G34" s="654"/>
      <c r="H34" s="655"/>
      <c r="I34" s="76"/>
      <c r="J34" s="653"/>
      <c r="K34" s="654"/>
      <c r="L34" s="654"/>
      <c r="M34" s="654"/>
      <c r="N34" s="654"/>
      <c r="O34" s="655"/>
      <c r="P34" s="76"/>
      <c r="Q34" s="742"/>
      <c r="R34" s="743"/>
      <c r="S34" s="743"/>
      <c r="T34" s="743"/>
      <c r="U34" s="743"/>
      <c r="V34" s="744"/>
      <c r="W34" s="76"/>
      <c r="X34" s="653"/>
      <c r="Y34" s="654"/>
      <c r="Z34" s="654"/>
      <c r="AA34" s="654"/>
      <c r="AB34" s="654"/>
      <c r="AC34" s="655"/>
      <c r="AD34" s="76"/>
      <c r="AE34" s="684"/>
      <c r="AF34" s="685"/>
      <c r="AG34" s="685"/>
      <c r="AH34" s="685"/>
      <c r="AI34" s="685"/>
      <c r="AJ34" s="686"/>
      <c r="AK34" s="76"/>
      <c r="AL34" s="653"/>
      <c r="AM34" s="654"/>
      <c r="AN34" s="654"/>
      <c r="AO34" s="654"/>
      <c r="AP34" s="654"/>
      <c r="AQ34" s="655"/>
    </row>
    <row r="35" spans="3:58" ht="15.95" customHeight="1" x14ac:dyDescent="0.25">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row>
    <row r="36" spans="3:58" ht="15.95" customHeight="1" thickBot="1" x14ac:dyDescent="0.3">
      <c r="C36" s="687" t="s">
        <v>847</v>
      </c>
      <c r="D36" s="687"/>
      <c r="E36" s="687"/>
      <c r="F36" s="687"/>
      <c r="G36" s="687"/>
      <c r="H36" s="687"/>
      <c r="I36" s="76"/>
      <c r="J36" s="687" t="s">
        <v>848</v>
      </c>
      <c r="K36" s="687"/>
      <c r="L36" s="687"/>
      <c r="M36" s="687"/>
      <c r="N36" s="687"/>
      <c r="O36" s="687"/>
      <c r="P36" s="76"/>
      <c r="Q36" s="687" t="s">
        <v>1023</v>
      </c>
      <c r="R36" s="687"/>
      <c r="S36" s="687"/>
      <c r="T36" s="687"/>
      <c r="U36" s="687"/>
      <c r="V36" s="687"/>
      <c r="W36" s="76"/>
      <c r="X36" s="687" t="s">
        <v>849</v>
      </c>
      <c r="Y36" s="687"/>
      <c r="Z36" s="687"/>
      <c r="AA36" s="687"/>
      <c r="AB36" s="687"/>
      <c r="AC36" s="687"/>
      <c r="AD36" s="76"/>
      <c r="AE36" s="69" t="s">
        <v>1342</v>
      </c>
      <c r="AF36" s="69"/>
      <c r="AG36" s="69"/>
      <c r="AH36" s="69"/>
      <c r="AI36" s="69"/>
      <c r="AJ36" s="69"/>
      <c r="AK36" s="76"/>
      <c r="AL36" s="69"/>
      <c r="AM36" s="69"/>
      <c r="AN36" s="69"/>
      <c r="AO36" s="69"/>
      <c r="AP36" s="69"/>
      <c r="AQ36" s="69"/>
    </row>
    <row r="37" spans="3:58" ht="15.95" customHeight="1" thickBot="1" x14ac:dyDescent="0.3">
      <c r="C37" s="710"/>
      <c r="D37" s="654"/>
      <c r="E37" s="654"/>
      <c r="F37" s="654"/>
      <c r="G37" s="654"/>
      <c r="H37" s="655"/>
      <c r="I37" s="76"/>
      <c r="J37" s="653"/>
      <c r="K37" s="654"/>
      <c r="L37" s="654"/>
      <c r="M37" s="654"/>
      <c r="N37" s="654"/>
      <c r="O37" s="655"/>
      <c r="P37" s="76"/>
      <c r="Q37" s="736"/>
      <c r="R37" s="737"/>
      <c r="S37" s="737"/>
      <c r="T37" s="737"/>
      <c r="U37" s="737"/>
      <c r="V37" s="738"/>
      <c r="W37" s="76"/>
      <c r="X37" s="688" t="str">
        <f>IF(M02S02F36="","",INDEX(RATECLASS[Rate],MATCH(M02S02F36,RATECLASS[Rate Schedules],0)))</f>
        <v/>
      </c>
      <c r="Y37" s="689"/>
      <c r="Z37" s="689"/>
      <c r="AA37" s="689"/>
      <c r="AB37" s="689"/>
      <c r="AC37" s="690"/>
      <c r="AD37" s="76"/>
      <c r="AE37" s="736"/>
      <c r="AF37" s="737"/>
      <c r="AG37" s="737"/>
      <c r="AH37" s="737"/>
      <c r="AI37" s="737"/>
      <c r="AJ37" s="738"/>
      <c r="AK37" s="76"/>
      <c r="AL37" s="69"/>
      <c r="AM37" s="69"/>
      <c r="AN37" s="69"/>
      <c r="AO37" s="69"/>
      <c r="AP37" s="69"/>
      <c r="AQ37" s="69"/>
      <c r="AW37" s="253"/>
      <c r="AX37" s="253"/>
      <c r="AY37" s="253"/>
      <c r="AZ37" s="253"/>
      <c r="BA37" s="253"/>
      <c r="BB37" s="253"/>
      <c r="BC37" s="253"/>
      <c r="BD37" s="253"/>
      <c r="BE37" s="253"/>
      <c r="BF37" s="253"/>
    </row>
    <row r="38" spans="3:58" ht="15.95" customHeight="1" x14ac:dyDescent="0.25">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49" t="str">
        <f ca="1">IF(AND(OR(TEMPLATE!A72&lt;TEMPLATE!D72,TEMPLATE!A83&lt;TEMPLATE!D83,TEMPLATE!A140&lt;TEMPLATE!D140,TEMPLATE!A182&lt;TEMPLATE!D182),M02S02F49="Yes"),"Please complete the remaining sections under the “Project Information” tab and submit application to bizsavers@ameren.com. A BizSavers representative will reach out to discuss next steps",IF(AND(OR(TEMPLATE!A72&gt;=TEMPLATE!D72,TEMPLATE!A83&gt;=TEMPLATE!D83,TEMPLATE!A140&gt;=TEMPLATE!D140,TEMPLATE!A182&gt;=TEMPLATE!D182),M02S02F49="Yes"),"Please use the New Load sections under the Lighting Measures tab to enter Lighting measures",""))</f>
        <v/>
      </c>
      <c r="AE38" s="749"/>
      <c r="AF38" s="749"/>
      <c r="AG38" s="749"/>
      <c r="AH38" s="749"/>
      <c r="AI38" s="749"/>
      <c r="AJ38" s="749"/>
      <c r="AK38" s="749"/>
      <c r="AL38" s="749"/>
      <c r="AM38" s="749"/>
      <c r="AN38" s="749"/>
      <c r="AO38" s="749"/>
      <c r="AP38" s="749"/>
      <c r="AQ38" s="749"/>
      <c r="AR38" s="749"/>
      <c r="AV38" s="253"/>
      <c r="AW38" s="253"/>
      <c r="AX38" s="253"/>
      <c r="AY38" s="253"/>
      <c r="AZ38" s="253"/>
      <c r="BA38" s="253"/>
      <c r="BB38" s="253"/>
      <c r="BC38" s="253"/>
      <c r="BD38" s="253"/>
      <c r="BE38" s="253"/>
      <c r="BF38" s="253"/>
    </row>
    <row r="39" spans="3:58" ht="15.95" customHeight="1" thickBot="1" x14ac:dyDescent="0.3">
      <c r="C39" s="687" t="s">
        <v>850</v>
      </c>
      <c r="D39" s="687"/>
      <c r="E39" s="687"/>
      <c r="F39" s="687"/>
      <c r="G39" s="687"/>
      <c r="H39" s="687"/>
      <c r="I39" s="76"/>
      <c r="J39" s="687" t="s">
        <v>552</v>
      </c>
      <c r="K39" s="687"/>
      <c r="L39" s="687"/>
      <c r="M39" s="687"/>
      <c r="N39" s="687"/>
      <c r="O39" s="687"/>
      <c r="P39" s="76"/>
      <c r="Q39" s="252" t="s">
        <v>553</v>
      </c>
      <c r="R39" s="252"/>
      <c r="S39" s="252"/>
      <c r="T39" s="252"/>
      <c r="U39" s="252"/>
      <c r="V39" s="252"/>
      <c r="W39" s="76"/>
      <c r="X39" s="687" t="s">
        <v>554</v>
      </c>
      <c r="Y39" s="687"/>
      <c r="Z39" s="687"/>
      <c r="AA39" s="687"/>
      <c r="AB39" s="687"/>
      <c r="AC39" s="687"/>
      <c r="AD39" s="749"/>
      <c r="AE39" s="749"/>
      <c r="AF39" s="749"/>
      <c r="AG39" s="749"/>
      <c r="AH39" s="749"/>
      <c r="AI39" s="749"/>
      <c r="AJ39" s="749"/>
      <c r="AK39" s="749"/>
      <c r="AL39" s="749"/>
      <c r="AM39" s="749"/>
      <c r="AN39" s="749"/>
      <c r="AO39" s="749"/>
      <c r="AP39" s="749"/>
      <c r="AQ39" s="749"/>
      <c r="AR39" s="749"/>
      <c r="AV39" s="253"/>
      <c r="AW39" s="253"/>
      <c r="AX39" s="253"/>
      <c r="AY39" s="253"/>
      <c r="AZ39" s="253"/>
      <c r="BA39" s="253"/>
      <c r="BB39" s="253"/>
      <c r="BC39" s="253"/>
      <c r="BD39" s="253"/>
      <c r="BE39" s="253"/>
      <c r="BF39" s="253"/>
    </row>
    <row r="40" spans="3:58" ht="15.95" customHeight="1" thickBot="1" x14ac:dyDescent="0.3">
      <c r="C40" s="653"/>
      <c r="D40" s="654"/>
      <c r="E40" s="654"/>
      <c r="F40" s="654"/>
      <c r="G40" s="654"/>
      <c r="H40" s="655"/>
      <c r="I40" s="76"/>
      <c r="J40" s="653"/>
      <c r="K40" s="654"/>
      <c r="L40" s="654"/>
      <c r="M40" s="654"/>
      <c r="N40" s="654"/>
      <c r="O40" s="655"/>
      <c r="P40" s="76"/>
      <c r="Q40" s="653"/>
      <c r="R40" s="654"/>
      <c r="S40" s="654"/>
      <c r="T40" s="654"/>
      <c r="U40" s="654"/>
      <c r="V40" s="655"/>
      <c r="W40" s="76"/>
      <c r="X40" s="653"/>
      <c r="Y40" s="654"/>
      <c r="Z40" s="654"/>
      <c r="AA40" s="654"/>
      <c r="AB40" s="654"/>
      <c r="AC40" s="655"/>
      <c r="AD40" s="749"/>
      <c r="AE40" s="749"/>
      <c r="AF40" s="749"/>
      <c r="AG40" s="749"/>
      <c r="AH40" s="749"/>
      <c r="AI40" s="749"/>
      <c r="AJ40" s="749"/>
      <c r="AK40" s="749"/>
      <c r="AL40" s="749"/>
      <c r="AM40" s="749"/>
      <c r="AN40" s="749"/>
      <c r="AO40" s="749"/>
      <c r="AP40" s="749"/>
      <c r="AQ40" s="749"/>
      <c r="AR40" s="749"/>
      <c r="AT40" s="620" t="s">
        <v>2359</v>
      </c>
      <c r="AU40" s="620"/>
      <c r="AV40" s="620"/>
      <c r="AW40" s="620"/>
      <c r="AX40" s="620"/>
    </row>
    <row r="41" spans="3:58" ht="15.95" customHeight="1" thickBot="1" x14ac:dyDescent="0.3">
      <c r="AD41" s="749"/>
      <c r="AE41" s="749"/>
      <c r="AF41" s="749"/>
      <c r="AG41" s="749"/>
      <c r="AH41" s="749"/>
      <c r="AI41" s="749"/>
      <c r="AJ41" s="749"/>
      <c r="AK41" s="749"/>
      <c r="AL41" s="749"/>
      <c r="AM41" s="749"/>
      <c r="AN41" s="749"/>
      <c r="AO41" s="749"/>
      <c r="AP41" s="749"/>
      <c r="AQ41" s="749"/>
      <c r="AR41" s="749"/>
      <c r="AT41" s="745" t="s">
        <v>125</v>
      </c>
      <c r="AU41" s="745" t="s">
        <v>2309</v>
      </c>
      <c r="AV41" s="745" t="s">
        <v>1226</v>
      </c>
      <c r="AW41" s="745" t="s">
        <v>2364</v>
      </c>
      <c r="AX41" s="745" t="s">
        <v>118</v>
      </c>
      <c r="AY41" s="745"/>
    </row>
    <row r="42" spans="3:58" ht="15.95" customHeight="1" thickBot="1" x14ac:dyDescent="0.3">
      <c r="C42" s="682" t="s">
        <v>2345</v>
      </c>
      <c r="D42" s="682"/>
      <c r="E42" s="682"/>
      <c r="F42" s="682"/>
      <c r="G42" s="682"/>
      <c r="H42" s="682"/>
      <c r="I42" s="682"/>
      <c r="J42" s="682"/>
      <c r="K42" s="682"/>
      <c r="L42" s="682"/>
      <c r="M42" s="682"/>
      <c r="N42" s="682"/>
      <c r="O42" s="682"/>
      <c r="P42" s="682"/>
      <c r="Q42" s="682"/>
      <c r="R42" s="682"/>
      <c r="S42" s="682"/>
      <c r="T42" s="682"/>
      <c r="U42" s="683"/>
      <c r="V42" s="695"/>
      <c r="W42" s="696"/>
      <c r="Y42" s="739" t="s">
        <v>2352</v>
      </c>
      <c r="Z42" s="740"/>
      <c r="AA42" s="740"/>
      <c r="AB42" s="740"/>
      <c r="AC42" s="740"/>
      <c r="AD42" s="741"/>
      <c r="AE42" s="653"/>
      <c r="AF42" s="654"/>
      <c r="AG42" s="654"/>
      <c r="AH42" s="654"/>
      <c r="AI42" s="654"/>
      <c r="AJ42" s="655"/>
      <c r="AT42" s="746"/>
      <c r="AU42" s="746"/>
      <c r="AV42" s="746"/>
      <c r="AW42" s="746"/>
      <c r="AX42" s="746"/>
      <c r="AY42" s="746"/>
    </row>
    <row r="43" spans="3:58" ht="15.95" customHeight="1" x14ac:dyDescent="0.25">
      <c r="AT43" s="750" t="str">
        <f>IF(AND(M02S02F49&lt;&gt;"",M02S02F50&lt;&gt;""),NCPROVMEASNUM,"")</f>
        <v/>
      </c>
      <c r="AU43" s="747">
        <f>IF(OR(M02S02F30="",M02S02F49="",M02S02F49="No",M02S02F50=""),0,ROUND(((INDEX(PRELIM[#Data],MATCH(M02S02F26,PRELIM[Building Type],0),MATCH(M02S02F50,PRELIM[#Headers],0))-INDEX(PRELIM[Provisional Efficiency],MATCH(M02S02F26,PRELIM[Building Type],0)))*M02S02F30*M02S02F28)/1000,0))</f>
        <v>0</v>
      </c>
      <c r="AV43" s="752">
        <f>IFERROR(ROUND(AU43*INDEX(ENDUSEALL[Factor],MATCH("Lighting",ENDUSEALL[End Use to Coincident Peak Demand Factors],0)),4),"")</f>
        <v>0</v>
      </c>
      <c r="AW43" s="747">
        <f>IF(OR(M02S02F30="",M02S02F49="",M02S02F49="No",M02S02F50=""),0,ROUND(((INDEX(PRELIM[#Data],MATCH(M02S02F26,PRELIM[Building Type],0),MATCH(M02S02F50,PRELIM[#Headers],0))-INDEX(PRELIM[Provisional Efficiency],MATCH(M02S02F26,PRELIM[Building Type],0))))*M02S02F30,0))</f>
        <v>0</v>
      </c>
      <c r="AX43" s="754">
        <f>ROUND(LPDRATE*AW43,2)</f>
        <v>0</v>
      </c>
      <c r="AY43" s="756"/>
    </row>
    <row r="44" spans="3:58" ht="15.95" customHeight="1" thickBot="1" x14ac:dyDescent="0.3">
      <c r="C44" s="69" t="s">
        <v>851</v>
      </c>
      <c r="AP44" s="69"/>
      <c r="AQ44" s="69"/>
      <c r="AT44" s="751"/>
      <c r="AU44" s="748"/>
      <c r="AV44" s="753"/>
      <c r="AW44" s="748"/>
      <c r="AX44" s="755"/>
      <c r="AY44" s="757"/>
    </row>
    <row r="45" spans="3:58" ht="15.95" customHeight="1" x14ac:dyDescent="0.25">
      <c r="C45" s="728"/>
      <c r="D45" s="729"/>
      <c r="E45" s="729"/>
      <c r="F45" s="729"/>
      <c r="G45" s="729"/>
      <c r="H45" s="729"/>
      <c r="I45" s="729"/>
      <c r="J45" s="729"/>
      <c r="K45" s="729"/>
      <c r="L45" s="729"/>
      <c r="M45" s="729"/>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30"/>
    </row>
    <row r="46" spans="3:58" ht="15.95" customHeight="1" x14ac:dyDescent="0.25">
      <c r="C46" s="731"/>
      <c r="D46" s="732"/>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3"/>
    </row>
    <row r="47" spans="3:58" ht="15.95" customHeight="1" x14ac:dyDescent="0.25">
      <c r="C47" s="731"/>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3"/>
    </row>
    <row r="48" spans="3:58" ht="15.95" customHeight="1" x14ac:dyDescent="0.25">
      <c r="C48" s="731"/>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3"/>
    </row>
    <row r="49" spans="3:43" ht="15.95" customHeight="1" x14ac:dyDescent="0.25">
      <c r="C49" s="731"/>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3"/>
    </row>
    <row r="50" spans="3:43" ht="15.75" customHeight="1" x14ac:dyDescent="0.25">
      <c r="C50" s="731"/>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3"/>
    </row>
    <row r="51" spans="3:43" ht="15.95" customHeight="1" x14ac:dyDescent="0.25">
      <c r="C51" s="731"/>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3"/>
    </row>
    <row r="52" spans="3:43" ht="15.95" customHeight="1" thickBot="1" x14ac:dyDescent="0.3">
      <c r="C52" s="734"/>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9"/>
    </row>
    <row r="53" spans="3:43" ht="15.95"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Tk23kjMif2kwNQWAP2/Y7yroQCtCk+Tz5btpVG+Z/ulaB9qmU5KVbXnn/UXeQoZlScnHP445hATrjc+7urU76Q==" saltValue="9mP4Ag8+jK9u+HT5vA3U2A==" spinCount="100000" sheet="1" objects="1" scenarios="1" selectLockedCells="1"/>
  <mergeCells count="100">
    <mergeCell ref="AW41:AW42"/>
    <mergeCell ref="AW43:AW44"/>
    <mergeCell ref="AD38:AR41"/>
    <mergeCell ref="AY41:AY42"/>
    <mergeCell ref="AT43:AT44"/>
    <mergeCell ref="AU43:AU44"/>
    <mergeCell ref="AV43:AV44"/>
    <mergeCell ref="AX43:AX44"/>
    <mergeCell ref="AY43:AY44"/>
    <mergeCell ref="AT41:AT42"/>
    <mergeCell ref="AU41:AU42"/>
    <mergeCell ref="AV41:AV42"/>
    <mergeCell ref="AX41:AX42"/>
    <mergeCell ref="AT40:AX40"/>
    <mergeCell ref="AL33:AQ33"/>
    <mergeCell ref="X30:AC30"/>
    <mergeCell ref="C40:H40"/>
    <mergeCell ref="C39:H39"/>
    <mergeCell ref="C45:AQ52"/>
    <mergeCell ref="Q33:V33"/>
    <mergeCell ref="X33:AC33"/>
    <mergeCell ref="AE33:AJ33"/>
    <mergeCell ref="Q36:V36"/>
    <mergeCell ref="Q37:V37"/>
    <mergeCell ref="V42:W42"/>
    <mergeCell ref="Y42:AD42"/>
    <mergeCell ref="AE42:AJ42"/>
    <mergeCell ref="AE37:AJ37"/>
    <mergeCell ref="J34:O34"/>
    <mergeCell ref="Q34:V34"/>
    <mergeCell ref="Q1:R1"/>
    <mergeCell ref="U1:V1"/>
    <mergeCell ref="Y1:Z1"/>
    <mergeCell ref="Q20:V20"/>
    <mergeCell ref="Q21:V21"/>
    <mergeCell ref="F11:AN12"/>
    <mergeCell ref="AE14:AJ14"/>
    <mergeCell ref="Q15:V15"/>
    <mergeCell ref="X15:AC15"/>
    <mergeCell ref="AE15:AJ15"/>
    <mergeCell ref="AE21:AJ21"/>
    <mergeCell ref="F18:AN18"/>
    <mergeCell ref="J14:O14"/>
    <mergeCell ref="AL21:AQ21"/>
    <mergeCell ref="C15:H15"/>
    <mergeCell ref="AL15:AQ15"/>
    <mergeCell ref="AL14:AQ14"/>
    <mergeCell ref="C14:H14"/>
    <mergeCell ref="F17:AN17"/>
    <mergeCell ref="Q14:V14"/>
    <mergeCell ref="X14:AC14"/>
    <mergeCell ref="M200:AG201"/>
    <mergeCell ref="C28:H28"/>
    <mergeCell ref="J28:O28"/>
    <mergeCell ref="C37:H37"/>
    <mergeCell ref="C31:H31"/>
    <mergeCell ref="J31:O31"/>
    <mergeCell ref="Q31:V31"/>
    <mergeCell ref="X31:AC31"/>
    <mergeCell ref="C33:H33"/>
    <mergeCell ref="C34:H34"/>
    <mergeCell ref="C30:H30"/>
    <mergeCell ref="J30:O30"/>
    <mergeCell ref="Q30:V30"/>
    <mergeCell ref="C36:H36"/>
    <mergeCell ref="J36:O36"/>
    <mergeCell ref="J37:O37"/>
    <mergeCell ref="AH1:AK1"/>
    <mergeCell ref="AL1:AP1"/>
    <mergeCell ref="AH2:AK3"/>
    <mergeCell ref="AL2:AP3"/>
    <mergeCell ref="AQ1:AR1"/>
    <mergeCell ref="AQ2:AR3"/>
    <mergeCell ref="F24:AN25"/>
    <mergeCell ref="C27:H27"/>
    <mergeCell ref="J27:O27"/>
    <mergeCell ref="F10:AN10"/>
    <mergeCell ref="AE31:AJ31"/>
    <mergeCell ref="AE30:AJ30"/>
    <mergeCell ref="AE20:AJ20"/>
    <mergeCell ref="J15:O15"/>
    <mergeCell ref="AB28:AC28"/>
    <mergeCell ref="R28:AA28"/>
    <mergeCell ref="F23:AN23"/>
    <mergeCell ref="X21:AC21"/>
    <mergeCell ref="X20:AC20"/>
    <mergeCell ref="AL20:AQ20"/>
    <mergeCell ref="C20:H20"/>
    <mergeCell ref="C21:O21"/>
    <mergeCell ref="C42:U42"/>
    <mergeCell ref="AL34:AQ34"/>
    <mergeCell ref="AE34:AJ34"/>
    <mergeCell ref="X34:AC34"/>
    <mergeCell ref="J40:O40"/>
    <mergeCell ref="Q40:V40"/>
    <mergeCell ref="J39:O39"/>
    <mergeCell ref="X40:AC40"/>
    <mergeCell ref="X37:AC37"/>
    <mergeCell ref="X36:AC36"/>
    <mergeCell ref="X39:AC39"/>
  </mergeCells>
  <conditionalFormatting sqref="C21">
    <cfRule type="expression" dxfId="480" priority="97">
      <formula>M02S02F11.1="Not Applicable"</formula>
    </cfRule>
  </conditionalFormatting>
  <conditionalFormatting sqref="C42 V42:W42">
    <cfRule type="expression" dxfId="479" priority="1">
      <formula>M02S02F44="Yes"</formula>
    </cfRule>
  </conditionalFormatting>
  <conditionalFormatting sqref="J31 Q31 X31 AE31">
    <cfRule type="expression" dxfId="478" priority="126">
      <formula>M02S02F15="Yes"</formula>
    </cfRule>
  </conditionalFormatting>
  <conditionalFormatting sqref="Q21:V21 X21:AC21 AE21:AJ21 AL21:AQ21">
    <cfRule type="expression" dxfId="477" priority="98">
      <formula>M02S02F11.1="Not Applicable"</formula>
    </cfRule>
  </conditionalFormatting>
  <conditionalFormatting sqref="X37">
    <cfRule type="expression" dxfId="476" priority="95">
      <formula>M02S02F36&lt;&gt;"Enter Rate Manually"</formula>
    </cfRule>
  </conditionalFormatting>
  <conditionalFormatting sqref="Y42:AJ42">
    <cfRule type="expression" dxfId="475" priority="369">
      <formula>OR($V$42="No",$V$42="")</formula>
    </cfRule>
  </conditionalFormatting>
  <conditionalFormatting sqref="AH2 AL2">
    <cfRule type="expression" dxfId="474" priority="31">
      <formula>PROJSTATUS=PROJSTATELI</formula>
    </cfRule>
    <cfRule type="expression" dxfId="473" priority="32">
      <formula>PROJSTATUS=PROJSTATREVIEW</formula>
    </cfRule>
    <cfRule type="expression" dxfId="472" priority="33">
      <formula>PROJSTATUS=PROJSTATPREAPPROVE</formula>
    </cfRule>
    <cfRule type="expression" dxfId="471" priority="34">
      <formula>PROJSTATUS=PROJSTATSTANDARD</formula>
    </cfRule>
    <cfRule type="expression" dxfId="470" priority="35">
      <formula>PROJSTATUS=PROJSTATEXP</formula>
    </cfRule>
  </conditionalFormatting>
  <conditionalFormatting sqref="AQ2:AR3">
    <cfRule type="cellIs" dxfId="469" priority="41" operator="equal">
      <formula>1</formula>
    </cfRule>
    <cfRule type="cellIs" dxfId="468" priority="42" operator="between">
      <formula>0.51</formula>
      <formula>0.99</formula>
    </cfRule>
    <cfRule type="cellIs" dxfId="467" priority="43" operator="lessThanOrEqual">
      <formula>0.5</formula>
    </cfRule>
  </conditionalFormatting>
  <dataValidations xWindow="754" yWindow="1048" count="25">
    <dataValidation type="custom" allowBlank="1" showInputMessage="1" showErrorMessage="1" error="Please enter a valid email address." sqref="C17:E19" xr:uid="{00000000-0002-0000-0F00-000000000000}">
      <formula1>AND(FIND(".",C17),FIND("@",C17))</formula1>
    </dataValidation>
    <dataValidation type="decimal" operator="lessThanOrEqual" allowBlank="1" showInputMessage="1" showErrorMessage="1" sqref="Q34" xr:uid="{00000000-0002-0000-0F00-000002000000}">
      <formula1>8760</formula1>
    </dataValidation>
    <dataValidation type="list" allowBlank="1" showInputMessage="1" showErrorMessage="1" sqref="J34" xr:uid="{00000000-0002-0000-0F00-000003000000}">
      <formula1>"Owner,Tenant"</formula1>
    </dataValidation>
    <dataValidation type="list" allowBlank="1" showInputMessage="1" showErrorMessage="1" sqref="X31" xr:uid="{00000000-0002-0000-0F00-000004000000}">
      <formula1>"MO"</formula1>
    </dataValidation>
    <dataValidation type="list" allowBlank="1" showInputMessage="1" showErrorMessage="1" sqref="C37" xr:uid="{00000000-0002-0000-0F00-000006000000}">
      <formula1>SHEAT</formula1>
    </dataValidation>
    <dataValidation type="list" allowBlank="1" showInputMessage="1" showErrorMessage="1" sqref="J37" xr:uid="{00000000-0002-0000-0F00-000007000000}">
      <formula1>WHEAT</formula1>
    </dataValidation>
    <dataValidation type="list" allowBlank="1" showInputMessage="1" showErrorMessage="1" sqref="C28" xr:uid="{00000000-0002-0000-0F00-000008000000}">
      <formula1>PROGRAM</formula1>
    </dataValidation>
    <dataValidation allowBlank="1" showInputMessage="1" prompt="You may provide a site name for this project for easy reference in future communications." sqref="C31" xr:uid="{00000000-0002-0000-0F00-00000A000000}"/>
    <dataValidation type="decimal" operator="lessThanOrEqual" allowBlank="1" showInputMessage="1" showErrorMessage="1" prompt="Please consult your utility bill for your account rate (Use your total monthly cost divided by your total kWh)." sqref="X37" xr:uid="{00000000-0002-0000-0F00-00000B000000}">
      <formula1>10</formula1>
    </dataValidation>
    <dataValidation type="list" allowBlank="1" showInputMessage="1" showErrorMessage="1" sqref="C21" xr:uid="{00000000-0002-0000-0F00-00000C000000}">
      <formula1>DIVERSITYBUSTYPE</formula1>
    </dataValidation>
    <dataValidation type="list" allowBlank="1" showInputMessage="1" showErrorMessage="1" sqref="Q21:V21" xr:uid="{00000000-0002-0000-0F00-00000D000000}">
      <formula1>DIVERSITYORG</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Q40 C40 J40 X40" xr:uid="{00000000-0002-0000-0F00-00000F000000}">
      <formula1>10</formula1>
    </dataValidation>
    <dataValidation type="decimal" operator="greaterThan" allowBlank="1" showErrorMessage="1" error="Please enter a valid numerical value." sqref="AL34" xr:uid="{00000000-0002-0000-0F00-000010000000}">
      <formula1>0</formula1>
    </dataValidation>
    <dataValidation type="whole" operator="lessThanOrEqual" allowBlank="1" showInputMessage="1" showErrorMessage="1" sqref="X34" xr:uid="{00000000-0002-0000-0F00-000011000000}">
      <formula1>YEAR(TODAY())</formula1>
    </dataValidation>
    <dataValidation type="whole" operator="greaterThan" allowBlank="1" showInputMessage="1" showErrorMessage="1" sqref="AE34" xr:uid="{00000000-0002-0000-0F00-000012000000}">
      <formula1>0</formula1>
    </dataValidation>
    <dataValidation type="list" allowBlank="1" showInputMessage="1" sqref="AE37" xr:uid="{00000000-0002-0000-0F00-000013000000}">
      <formula1>BUSDEVELNAME</formula1>
    </dataValidation>
    <dataValidation type="whole" operator="lessThanOrEqual" allowBlank="1" showInputMessage="1" showErrorMessage="1" sqref="AE32 AE31:AJ31" xr:uid="{00000000-0002-0000-0F00-000014000000}">
      <formula1>99999</formula1>
    </dataValidation>
    <dataValidation type="date" allowBlank="1" showInputMessage="1" showErrorMessage="1" error="Please enter a valid date in the format MM/DD/YYYY" sqref="AE21:AJ21 AL21:AQ21" xr:uid="{00000000-0002-0000-0F00-000015000000}">
      <formula1>18264</formula1>
      <formula2>55153</formula2>
    </dataValidation>
    <dataValidation type="list" allowBlank="1" showInputMessage="1" showErrorMessage="1" sqref="X15:AC15" xr:uid="{00000000-0002-0000-0F00-000017000000}">
      <formula1>STATESABBREV</formula1>
    </dataValidation>
    <dataValidation allowBlank="1" showInputMessage="1" showErrorMessage="1" prompt="Provide a project name or ID for the project you are applying. This will be your name for the project" sqref="J28:O28" xr:uid="{E662A2F4-59C1-4DB5-BB6D-2FF0C3DEDD63}"/>
    <dataValidation type="list" allowBlank="1" showInputMessage="1" showErrorMessage="1" sqref="AB28:AC28 V42:W42" xr:uid="{D6F246AD-520F-49F6-AC12-A2CC6778F179}">
      <formula1>"Yes, No"</formula1>
    </dataValidation>
    <dataValidation operator="lessThanOrEqual" allowBlank="1" showInputMessage="1" showErrorMessage="1" sqref="AE15:AJ15" xr:uid="{2A35B416-DD54-4A54-B514-199F48D6CD5D}"/>
    <dataValidation type="list" allowBlank="1" showInputMessage="1" showErrorMessage="1" prompt="If there is no defined local code, please select IECC 2015" sqref="AE42:AJ42" xr:uid="{4F516B8F-D6ED-40B9-94AD-5B6D59777C54}">
      <formula1>CODEBASE</formula1>
    </dataValidation>
    <dataValidation type="list" allowBlank="1" showInputMessage="1" showErrorMessage="1" prompt="Please consult your utility bill or your online account summary for your Rate Class._x000a__x000a_If this is new construction with no assigned rate yet, select &quot;New Construction&quot;" sqref="Q37:V37" xr:uid="{4C0F6BD8-DA40-4FB0-9A14-6D5DA17D3AE6}">
      <formula1>RATECAT</formula1>
    </dataValidation>
    <dataValidation type="list" allowBlank="1" showInputMessage="1" showErrorMessage="1" sqref="C34:H34" xr:uid="{983D568C-8EFD-40ED-8835-AB396DFB22E0}">
      <formula1>BUILDINGSITEINFO</formula1>
    </dataValidation>
  </dataValidations>
  <hyperlinks>
    <hyperlink ref="B202" r:id="rId1" display="NIPSCO.Savings@LMCO.com" xr:uid="{00000000-0004-0000-0F00-000000000000}"/>
  </hyperlinks>
  <pageMargins left="0.25" right="0.25" top="0.25" bottom="0.25" header="0.25" footer="0.25"/>
  <pageSetup scale="62"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C685-B935-4DFB-BC8C-B7BBF138A76E}">
  <sheetPr codeName="Sheet11"/>
  <dimension ref="A1:AT202"/>
  <sheetViews>
    <sheetView showGridLines="0" showRowColHeaders="0" zoomScale="85" zoomScaleNormal="85" workbookViewId="0">
      <selection activeCell="C15" sqref="C15:H15"/>
    </sheetView>
  </sheetViews>
  <sheetFormatPr defaultColWidth="0" defaultRowHeight="15" zeroHeight="1" x14ac:dyDescent="0.25"/>
  <cols>
    <col min="1" max="23" width="4.7109375" customWidth="1"/>
    <col min="24" max="24" width="4.85546875" customWidth="1"/>
    <col min="25" max="46" width="4.7109375" customWidth="1"/>
    <col min="47"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25">
      <c r="C10" s="69"/>
      <c r="D10" s="69"/>
      <c r="E10" s="69"/>
      <c r="F10" s="699" t="s">
        <v>1945</v>
      </c>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
      <c r="AP10" s="69"/>
      <c r="AQ10" s="69"/>
    </row>
    <row r="11" spans="3:44" ht="15.95" customHeight="1" x14ac:dyDescent="0.25">
      <c r="C11" s="69"/>
      <c r="D11" s="69"/>
      <c r="E11" s="69"/>
      <c r="F11" s="764" t="s">
        <v>1950</v>
      </c>
      <c r="G11" s="764"/>
      <c r="H11" s="764"/>
      <c r="I11" s="764"/>
      <c r="J11" s="764"/>
      <c r="K11" s="764"/>
      <c r="L11" s="764"/>
      <c r="M11" s="764"/>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69"/>
      <c r="AP11" s="69"/>
      <c r="AQ11" s="69"/>
    </row>
    <row r="12" spans="3:44" ht="15.95" customHeight="1" x14ac:dyDescent="0.25">
      <c r="C12" s="69"/>
      <c r="D12" s="69"/>
      <c r="E12" s="69"/>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row>
    <row r="13" spans="3:44" ht="15.95" customHeight="1" x14ac:dyDescent="0.25">
      <c r="C13" s="160"/>
    </row>
    <row r="14" spans="3:44" ht="15.95" customHeight="1" thickBot="1" x14ac:dyDescent="0.3">
      <c r="C14" s="765" t="s">
        <v>1939</v>
      </c>
      <c r="D14" s="687"/>
      <c r="E14" s="687"/>
      <c r="F14" s="687"/>
      <c r="G14" s="687"/>
      <c r="H14" s="687"/>
      <c r="I14" s="76"/>
      <c r="J14" s="765" t="s">
        <v>832</v>
      </c>
      <c r="K14" s="687"/>
      <c r="L14" s="687"/>
      <c r="M14" s="687"/>
      <c r="N14" s="687"/>
      <c r="O14" s="687"/>
      <c r="Q14" s="765" t="s">
        <v>833</v>
      </c>
      <c r="R14" s="687"/>
      <c r="S14" s="687"/>
      <c r="T14" s="687"/>
      <c r="U14" s="687"/>
      <c r="V14" s="687"/>
      <c r="W14" s="76"/>
      <c r="X14" s="765" t="s">
        <v>834</v>
      </c>
      <c r="Y14" s="687"/>
      <c r="Z14" s="687"/>
      <c r="AA14" s="687"/>
      <c r="AB14" s="687"/>
      <c r="AC14" s="687"/>
      <c r="AD14" s="76"/>
      <c r="AE14" s="766" t="s">
        <v>1946</v>
      </c>
      <c r="AF14" s="687"/>
      <c r="AG14" s="687"/>
      <c r="AH14" s="687"/>
      <c r="AI14" s="687"/>
      <c r="AJ14" s="687"/>
      <c r="AK14" s="76"/>
      <c r="AL14" s="460" t="s">
        <v>836</v>
      </c>
      <c r="AM14" s="69"/>
      <c r="AN14" s="69"/>
      <c r="AO14" s="69"/>
      <c r="AP14" s="69"/>
      <c r="AQ14" s="69"/>
    </row>
    <row r="15" spans="3:44" ht="15.95" customHeight="1" thickBot="1" x14ac:dyDescent="0.3">
      <c r="C15" s="711"/>
      <c r="D15" s="712"/>
      <c r="E15" s="712"/>
      <c r="F15" s="712"/>
      <c r="G15" s="712"/>
      <c r="H15" s="713"/>
      <c r="I15" s="76"/>
      <c r="J15" s="711"/>
      <c r="K15" s="712"/>
      <c r="L15" s="712"/>
      <c r="M15" s="712"/>
      <c r="N15" s="712"/>
      <c r="O15" s="713"/>
      <c r="Q15" s="711"/>
      <c r="R15" s="712"/>
      <c r="S15" s="712"/>
      <c r="T15" s="712"/>
      <c r="U15" s="712"/>
      <c r="V15" s="713"/>
      <c r="W15" s="76"/>
      <c r="X15" s="711"/>
      <c r="Y15" s="712"/>
      <c r="Z15" s="712"/>
      <c r="AA15" s="712"/>
      <c r="AB15" s="712"/>
      <c r="AC15" s="713"/>
      <c r="AD15" s="76"/>
      <c r="AE15" s="761"/>
      <c r="AF15" s="762"/>
      <c r="AG15" s="762"/>
      <c r="AH15" s="762"/>
      <c r="AI15" s="762"/>
      <c r="AJ15" s="763"/>
      <c r="AK15" s="76"/>
      <c r="AL15" s="758"/>
      <c r="AM15" s="759"/>
      <c r="AN15" s="759"/>
      <c r="AO15" s="759"/>
      <c r="AP15" s="759"/>
      <c r="AQ15" s="760"/>
    </row>
    <row r="16" spans="3:44" ht="15.95" customHeight="1" x14ac:dyDescent="0.25">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c r="AE16" s="76"/>
      <c r="AF16" s="488"/>
      <c r="AG16" s="488"/>
      <c r="AH16" s="488"/>
      <c r="AI16" s="488"/>
      <c r="AJ16" s="488"/>
      <c r="AK16" s="488"/>
      <c r="AL16" s="488"/>
      <c r="AM16" s="488"/>
      <c r="AN16" s="488"/>
      <c r="AO16" s="488"/>
      <c r="AP16" s="488"/>
      <c r="AQ16" s="488"/>
    </row>
    <row r="17" spans="3:43" ht="15.95" hidden="1" customHeight="1" x14ac:dyDescent="0.25">
      <c r="AF17" s="488"/>
      <c r="AG17" s="488"/>
      <c r="AH17" s="488"/>
      <c r="AI17" s="488"/>
      <c r="AJ17" s="488"/>
      <c r="AK17" s="488"/>
      <c r="AL17" s="488"/>
      <c r="AM17" s="488"/>
      <c r="AN17" s="488"/>
      <c r="AO17" s="488"/>
      <c r="AP17" s="488"/>
      <c r="AQ17" s="488"/>
    </row>
    <row r="18" spans="3:43" ht="15.95" hidden="1" customHeight="1" x14ac:dyDescent="0.25">
      <c r="AF18" s="488"/>
      <c r="AG18" s="488"/>
      <c r="AH18" s="488"/>
      <c r="AI18" s="488"/>
      <c r="AJ18" s="488"/>
      <c r="AK18" s="488"/>
      <c r="AL18" s="488"/>
      <c r="AM18" s="488"/>
      <c r="AN18" s="488"/>
      <c r="AO18" s="488"/>
      <c r="AP18" s="488"/>
      <c r="AQ18" s="488"/>
    </row>
    <row r="19" spans="3:43" ht="15.95" hidden="1" customHeight="1" x14ac:dyDescent="0.25"/>
    <row r="20" spans="3:43" ht="15.95" hidden="1" customHeight="1" x14ac:dyDescent="0.25"/>
    <row r="21" spans="3:43" ht="15.95" customHeight="1" x14ac:dyDescent="0.25">
      <c r="F21" s="699" t="s">
        <v>1947</v>
      </c>
      <c r="G21" s="699"/>
      <c r="H21" s="699"/>
      <c r="I21" s="699"/>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row>
    <row r="22" spans="3:43" ht="15.95" customHeight="1" x14ac:dyDescent="0.25">
      <c r="C22" s="659" t="s">
        <v>1948</v>
      </c>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row>
    <row r="23" spans="3:43" ht="15.75" customHeight="1" x14ac:dyDescent="0.25">
      <c r="C23" s="659"/>
      <c r="D23" s="659"/>
      <c r="E23" s="659"/>
      <c r="F23" s="659"/>
      <c r="G23" s="659"/>
      <c r="H23" s="659"/>
      <c r="I23" s="659"/>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row>
    <row r="24" spans="3:43" ht="15.75" customHeight="1" thickBot="1" x14ac:dyDescent="0.3">
      <c r="C24" s="587"/>
      <c r="D24" s="587"/>
      <c r="E24" s="587"/>
      <c r="F24" s="587"/>
      <c r="G24" s="587"/>
      <c r="H24" s="587"/>
      <c r="I24" s="587"/>
      <c r="J24" s="587"/>
      <c r="K24" s="587"/>
      <c r="L24" s="587"/>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87"/>
      <c r="AP24" s="587"/>
      <c r="AQ24" s="587"/>
    </row>
    <row r="25" spans="3:43" ht="15.75" customHeight="1" thickBot="1" x14ac:dyDescent="0.3">
      <c r="C25" s="588" t="s">
        <v>2375</v>
      </c>
      <c r="D25" s="587"/>
      <c r="E25" s="587"/>
      <c r="F25" s="587"/>
      <c r="G25" s="587"/>
      <c r="H25" s="587"/>
      <c r="I25" s="587"/>
      <c r="J25" s="587"/>
      <c r="K25" s="587"/>
      <c r="L25" s="587"/>
      <c r="M25" s="587"/>
      <c r="N25" s="587"/>
      <c r="O25" s="695"/>
      <c r="P25" s="696"/>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row>
    <row r="26" spans="3:43" ht="15.95" customHeight="1" x14ac:dyDescent="0.25"/>
    <row r="27" spans="3:43" ht="15.95" customHeight="1" thickBot="1" x14ac:dyDescent="0.3">
      <c r="C27" s="765" t="s">
        <v>1939</v>
      </c>
      <c r="D27" s="687"/>
      <c r="E27" s="687"/>
      <c r="F27" s="687"/>
      <c r="G27" s="687"/>
      <c r="H27" s="687"/>
      <c r="I27" s="76"/>
      <c r="J27" s="765" t="s">
        <v>832</v>
      </c>
      <c r="K27" s="687"/>
      <c r="L27" s="687"/>
      <c r="M27" s="687"/>
      <c r="N27" s="687"/>
      <c r="O27" s="687"/>
      <c r="Q27" s="765" t="s">
        <v>833</v>
      </c>
      <c r="R27" s="687"/>
      <c r="S27" s="687"/>
      <c r="T27" s="687"/>
      <c r="U27" s="687"/>
      <c r="V27" s="687"/>
      <c r="W27" s="76"/>
      <c r="X27" s="765" t="s">
        <v>834</v>
      </c>
      <c r="Y27" s="687"/>
      <c r="Z27" s="687"/>
      <c r="AA27" s="687"/>
      <c r="AB27" s="687"/>
      <c r="AC27" s="687"/>
      <c r="AD27" s="76"/>
      <c r="AE27" s="766" t="s">
        <v>1946</v>
      </c>
      <c r="AF27" s="687"/>
      <c r="AG27" s="687"/>
      <c r="AH27" s="687"/>
      <c r="AI27" s="687"/>
      <c r="AJ27" s="687"/>
      <c r="AK27" s="76"/>
      <c r="AL27" s="460" t="s">
        <v>836</v>
      </c>
      <c r="AM27" s="69"/>
      <c r="AN27" s="69"/>
      <c r="AO27" s="69"/>
      <c r="AP27" s="69"/>
      <c r="AQ27" s="69"/>
    </row>
    <row r="28" spans="3:43" ht="15.95" customHeight="1" thickBot="1" x14ac:dyDescent="0.3">
      <c r="C28" s="711" t="str">
        <f>IF(M02S05F01="Yes",M02S02F34,"")</f>
        <v/>
      </c>
      <c r="D28" s="712"/>
      <c r="E28" s="712"/>
      <c r="F28" s="712"/>
      <c r="G28" s="712"/>
      <c r="H28" s="713"/>
      <c r="I28" s="76"/>
      <c r="J28" s="711" t="str">
        <f>IF(M02S05F01="Yes",M02S02F16,"")</f>
        <v/>
      </c>
      <c r="K28" s="712"/>
      <c r="L28" s="712"/>
      <c r="M28" s="712"/>
      <c r="N28" s="712"/>
      <c r="O28" s="713"/>
      <c r="Q28" s="711" t="str">
        <f>IF(M02S05F01="Yes",M02S02F17,"")</f>
        <v/>
      </c>
      <c r="R28" s="712"/>
      <c r="S28" s="712"/>
      <c r="T28" s="712"/>
      <c r="U28" s="712"/>
      <c r="V28" s="713"/>
      <c r="W28" s="76"/>
      <c r="X28" s="711" t="str">
        <f>IF(M02S05F01="Yes",M02S02F18,"")</f>
        <v/>
      </c>
      <c r="Y28" s="712"/>
      <c r="Z28" s="712"/>
      <c r="AA28" s="712"/>
      <c r="AB28" s="712"/>
      <c r="AC28" s="713"/>
      <c r="AD28" s="76"/>
      <c r="AE28" s="761" t="str">
        <f>IF(M02S05F01="Yes",M02S02F19,"")</f>
        <v/>
      </c>
      <c r="AF28" s="762"/>
      <c r="AG28" s="762"/>
      <c r="AH28" s="762"/>
      <c r="AI28" s="762"/>
      <c r="AJ28" s="763"/>
      <c r="AK28" s="76"/>
      <c r="AL28" s="758" t="str">
        <f>IF(M02S05F01="Yes",M02S02F21,"")</f>
        <v/>
      </c>
      <c r="AM28" s="759"/>
      <c r="AN28" s="759"/>
      <c r="AO28" s="759"/>
      <c r="AP28" s="759"/>
      <c r="AQ28" s="760"/>
    </row>
    <row r="29" spans="3:43" ht="15.95" hidden="1" customHeight="1" x14ac:dyDescent="0.25">
      <c r="AF29" s="488"/>
      <c r="AG29" s="488"/>
      <c r="AH29" s="488"/>
      <c r="AI29" s="488"/>
      <c r="AJ29" s="488"/>
      <c r="AK29" s="488"/>
      <c r="AL29" s="488"/>
      <c r="AM29" s="488"/>
      <c r="AN29" s="488"/>
      <c r="AO29" s="488"/>
      <c r="AP29" s="488"/>
      <c r="AQ29" s="488"/>
    </row>
    <row r="30" spans="3:43" ht="15.95" hidden="1" customHeight="1" x14ac:dyDescent="0.25">
      <c r="AF30" s="488"/>
      <c r="AG30" s="488"/>
      <c r="AH30" s="488"/>
      <c r="AI30" s="488"/>
      <c r="AJ30" s="488"/>
      <c r="AK30" s="488"/>
      <c r="AL30" s="488"/>
      <c r="AM30" s="488"/>
      <c r="AN30" s="488"/>
      <c r="AO30" s="488"/>
      <c r="AP30" s="488"/>
      <c r="AQ30" s="488"/>
    </row>
    <row r="31" spans="3:43" ht="15.95" hidden="1" customHeight="1" x14ac:dyDescent="0.25">
      <c r="AF31" s="488"/>
      <c r="AG31" s="488"/>
      <c r="AH31" s="488"/>
      <c r="AI31" s="488"/>
      <c r="AJ31" s="488"/>
      <c r="AK31" s="488"/>
      <c r="AL31" s="488"/>
      <c r="AM31" s="488"/>
      <c r="AN31" s="488"/>
      <c r="AO31" s="488"/>
      <c r="AP31" s="488"/>
      <c r="AQ31" s="488"/>
    </row>
    <row r="32" spans="3:43" ht="15.95" hidden="1" customHeight="1" x14ac:dyDescent="0.25"/>
    <row r="33" ht="15.95" hidden="1" customHeight="1" x14ac:dyDescent="0.25"/>
    <row r="34" ht="15.95" hidden="1" customHeight="1" x14ac:dyDescent="0.25"/>
    <row r="35" ht="15.95" hidden="1"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P60" s="76"/>
      <c r="AQ60" s="76"/>
    </row>
    <row r="61" spans="3:43" ht="15.95" hidden="1" customHeight="1" x14ac:dyDescent="0.25"/>
    <row r="62" spans="3:43" ht="15.95" hidden="1" customHeight="1" x14ac:dyDescent="0.25"/>
    <row r="63" spans="3:43" ht="15.95" hidden="1" customHeight="1" x14ac:dyDescent="0.25"/>
    <row r="64" spans="3:43" ht="15.95" hidden="1" customHeight="1" x14ac:dyDescent="0.25"/>
    <row r="65" ht="15.95" hidden="1" customHeight="1" x14ac:dyDescent="0.25"/>
    <row r="66" ht="15.95" hidden="1" customHeight="1" x14ac:dyDescent="0.25"/>
    <row r="67" ht="15.95" hidden="1" customHeight="1" x14ac:dyDescent="0.25"/>
    <row r="68" ht="15.95" hidden="1" customHeight="1" x14ac:dyDescent="0.25"/>
    <row r="69" ht="15.95" hidden="1" customHeight="1" x14ac:dyDescent="0.25"/>
    <row r="70" ht="15.95" hidden="1" customHeight="1" x14ac:dyDescent="0.25"/>
    <row r="71" ht="15.95" hidden="1" customHeight="1" x14ac:dyDescent="0.25"/>
    <row r="72" ht="15.95" hidden="1" customHeight="1" x14ac:dyDescent="0.25"/>
    <row r="73" ht="15.95" hidden="1" customHeight="1" x14ac:dyDescent="0.25"/>
    <row r="74" ht="15.95" hidden="1" customHeight="1" x14ac:dyDescent="0.25"/>
    <row r="75" ht="15.95" hidden="1" customHeight="1" x14ac:dyDescent="0.25"/>
    <row r="76" ht="15.95" hidden="1" customHeight="1" x14ac:dyDescent="0.25"/>
    <row r="77" ht="15.95" hidden="1" customHeight="1" x14ac:dyDescent="0.25"/>
    <row r="78" ht="15.95" hidden="1" customHeight="1" x14ac:dyDescent="0.25"/>
    <row r="79" ht="15.95" hidden="1" customHeight="1" x14ac:dyDescent="0.25"/>
    <row r="80"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mz9H7zeou3mlq7+6aT5gssD2EoMA12rxiRCpf0nAkAS4bZIdqG6I8BOn+0AveEo3TbTxvycBDMpY64W31UQCHg==" saltValue="Czp5no3Z7Jz95hqMNkdEpQ==" spinCount="100000" sheet="1" objects="1" scenarios="1" selectLockedCells="1"/>
  <mergeCells count="37">
    <mergeCell ref="AL28:AQ28"/>
    <mergeCell ref="C22:AQ23"/>
    <mergeCell ref="F21:AN21"/>
    <mergeCell ref="M200:AG201"/>
    <mergeCell ref="Q27:V27"/>
    <mergeCell ref="X27:AC27"/>
    <mergeCell ref="AE27:AJ27"/>
    <mergeCell ref="C27:H27"/>
    <mergeCell ref="J27:O27"/>
    <mergeCell ref="C28:H28"/>
    <mergeCell ref="J28:O28"/>
    <mergeCell ref="Q28:V28"/>
    <mergeCell ref="X28:AC28"/>
    <mergeCell ref="AE28:AJ28"/>
    <mergeCell ref="O25:P25"/>
    <mergeCell ref="F10:AN10"/>
    <mergeCell ref="F11:AN12"/>
    <mergeCell ref="C14:H14"/>
    <mergeCell ref="J14:O14"/>
    <mergeCell ref="Q14:V14"/>
    <mergeCell ref="X14:AC14"/>
    <mergeCell ref="AE14:AJ14"/>
    <mergeCell ref="AL15:AQ15"/>
    <mergeCell ref="C15:H15"/>
    <mergeCell ref="J15:O15"/>
    <mergeCell ref="Q15:V15"/>
    <mergeCell ref="X15:AC15"/>
    <mergeCell ref="AE15:AJ15"/>
    <mergeCell ref="AH2:AK3"/>
    <mergeCell ref="AL2:AP3"/>
    <mergeCell ref="AQ2:AR3"/>
    <mergeCell ref="Q1:R1"/>
    <mergeCell ref="U1:V1"/>
    <mergeCell ref="Y1:Z1"/>
    <mergeCell ref="AH1:AK1"/>
    <mergeCell ref="AL1:AP1"/>
    <mergeCell ref="AQ1:AR1"/>
  </mergeCells>
  <conditionalFormatting sqref="C15:H15">
    <cfRule type="expression" dxfId="466" priority="3">
      <formula>OR(M02S02F46="Company",M02S02F46="Site",M02S02F46="Vendor (Enter on Next Page)")</formula>
    </cfRule>
  </conditionalFormatting>
  <conditionalFormatting sqref="C28:H28">
    <cfRule type="expression" dxfId="465" priority="1">
      <formula>OR(M02S02F46="Company",M02S02F46="Site",M02S02F46="Vendor (Enter on Next Page)")</formula>
    </cfRule>
  </conditionalFormatting>
  <conditionalFormatting sqref="J15 Q15 X15 AE15 AL15">
    <cfRule type="expression" dxfId="464" priority="5">
      <formula>OR(M02S02F46="Company",M02S02F46="Site",M02S02F46="Vendor (Enter on Next Page)")</formula>
    </cfRule>
  </conditionalFormatting>
  <conditionalFormatting sqref="J28 Q28 X28 AE28 AL28">
    <cfRule type="expression" dxfId="463" priority="2">
      <formula>OR(M02S02F46="Company",M02S02F46="Site",M02S02F46="Vendor (Enter on Next Page)")</formula>
    </cfRule>
  </conditionalFormatting>
  <conditionalFormatting sqref="AH2 AL2">
    <cfRule type="expression" dxfId="462" priority="6">
      <formula>PROJSTATUS=PROJSTATELI</formula>
    </cfRule>
    <cfRule type="expression" dxfId="461" priority="7">
      <formula>PROJSTATUS=PROJSTATREVIEW</formula>
    </cfRule>
    <cfRule type="expression" dxfId="460" priority="8">
      <formula>PROJSTATUS=PROJSTATPREAPPROVE</formula>
    </cfRule>
    <cfRule type="expression" dxfId="459" priority="9">
      <formula>PROJSTATUS=PROJSTATSTANDARD</formula>
    </cfRule>
    <cfRule type="expression" dxfId="458" priority="10">
      <formula>PROJSTATUS=PROJSTATEXP</formula>
    </cfRule>
  </conditionalFormatting>
  <conditionalFormatting sqref="AQ2:AR3">
    <cfRule type="cellIs" dxfId="457" priority="12" operator="equal">
      <formula>1</formula>
    </cfRule>
    <cfRule type="cellIs" dxfId="456" priority="13" operator="between">
      <formula>0.51</formula>
      <formula>0.99</formula>
    </cfRule>
    <cfRule type="cellIs" dxfId="455" priority="14" operator="lessThanOrEqual">
      <formula>0.5</formula>
    </cfRule>
  </conditionalFormatting>
  <dataValidations count="4">
    <dataValidation allowBlank="1" showInputMessage="1" sqref="C15:H15 C28:H28" xr:uid="{C74854C7-88B0-40EA-AD26-AA920CB0BB3E}"/>
    <dataValidation type="custom" allowBlank="1" showInputMessage="1" showErrorMessage="1" error="Please enter a valid email address." sqref="AL15:AQ15 AL28:AQ28" xr:uid="{B6446F85-5CE2-4D3E-80CA-9D93BD35D116}">
      <formula1>AND(FIND(".",AL15),FIND("@",AL15))</formula1>
    </dataValidation>
    <dataValidation type="list" allowBlank="1" showInputMessage="1" showErrorMessage="1" sqref="O25:P25" xr:uid="{C7F76A9D-3B63-48A9-BBAE-A967DBD3AE4C}">
      <formula1>"Yes, No"</formula1>
    </dataValidation>
    <dataValidation type="custom" allowBlank="1" showInputMessage="1" showErrorMessage="1" sqref="AF34" xr:uid="{A7477C99-8C83-4A8E-937B-AF02BE0D39D6}">
      <formula1>AND(FIND(".",AL28),FIND("@",AL28))</formula1>
    </dataValidation>
  </dataValidations>
  <hyperlinks>
    <hyperlink ref="B202" r:id="rId1" display="NIPSCO.Savings@LMCO.com" xr:uid="{96109E5E-7355-4E9C-B8B3-1EF7569F8CC0}"/>
  </hyperlinks>
  <pageMargins left="0.7" right="0.7" top="0.75" bottom="0.75" header="0.3" footer="0.3"/>
  <pageSetup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17" t="s">
        <v>1077</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64" t="s">
        <v>1709</v>
      </c>
      <c r="G11" s="764"/>
      <c r="H11" s="764"/>
      <c r="I11" s="764"/>
      <c r="J11" s="764"/>
      <c r="K11" s="764"/>
      <c r="L11" s="764"/>
      <c r="M11" s="764"/>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69"/>
      <c r="AP11" s="69"/>
      <c r="AQ11" s="69"/>
    </row>
    <row r="12" spans="3:44" ht="15.95" customHeight="1" x14ac:dyDescent="0.25">
      <c r="C12" s="69"/>
      <c r="D12" s="69"/>
      <c r="E12" s="69"/>
      <c r="F12" s="764"/>
      <c r="G12" s="764"/>
      <c r="H12" s="764"/>
      <c r="I12" s="764"/>
      <c r="J12" s="764"/>
      <c r="K12" s="764"/>
      <c r="L12" s="764"/>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69"/>
      <c r="AP12" s="69"/>
      <c r="AQ12" s="69"/>
    </row>
    <row r="13" spans="3:44" ht="15.95" customHeight="1" thickBot="1" x14ac:dyDescent="0.3">
      <c r="C13" s="69" t="s">
        <v>1192</v>
      </c>
      <c r="D13" s="69"/>
      <c r="E13" s="69"/>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69"/>
      <c r="AP13" s="69"/>
      <c r="AQ13" s="69"/>
    </row>
    <row r="14" spans="3:44" ht="15.95" customHeight="1" thickBot="1" x14ac:dyDescent="0.3">
      <c r="C14" s="773"/>
      <c r="D14" s="774"/>
      <c r="E14" s="774"/>
      <c r="F14" s="774"/>
      <c r="G14" s="774"/>
      <c r="H14" s="775"/>
      <c r="I14" s="69"/>
      <c r="P14" s="69"/>
      <c r="Q14" s="776"/>
      <c r="R14" s="776"/>
      <c r="S14" s="776"/>
      <c r="T14" s="776"/>
      <c r="U14" s="776"/>
      <c r="V14" s="776"/>
      <c r="W14" s="69"/>
      <c r="X14" s="776"/>
      <c r="Y14" s="776"/>
      <c r="Z14" s="776"/>
      <c r="AA14" s="776"/>
      <c r="AB14" s="776"/>
      <c r="AC14" s="776"/>
      <c r="AD14" s="69"/>
      <c r="AE14" s="776"/>
      <c r="AF14" s="776"/>
      <c r="AG14" s="776"/>
      <c r="AH14" s="776"/>
      <c r="AI14" s="776"/>
      <c r="AJ14" s="776"/>
      <c r="AK14" s="69"/>
      <c r="AL14" s="776"/>
      <c r="AM14" s="776"/>
      <c r="AN14" s="776"/>
      <c r="AO14" s="776"/>
      <c r="AP14" s="776"/>
      <c r="AQ14" s="776"/>
    </row>
    <row r="15" spans="3:44" ht="15.95" customHeight="1" x14ac:dyDescent="0.25">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row>
    <row r="16" spans="3:44" ht="15.95" customHeight="1" thickBot="1" x14ac:dyDescent="0.3">
      <c r="C16" s="597" t="s">
        <v>1193</v>
      </c>
      <c r="D16" s="597"/>
      <c r="E16" s="597"/>
      <c r="F16" s="597"/>
      <c r="G16" s="597"/>
      <c r="H16" s="597"/>
      <c r="I16" s="76"/>
      <c r="J16" s="597" t="s">
        <v>832</v>
      </c>
      <c r="K16" s="597"/>
      <c r="L16" s="597"/>
      <c r="M16" s="597"/>
      <c r="N16" s="597"/>
      <c r="O16" s="597"/>
      <c r="P16" s="76"/>
      <c r="Q16" s="597" t="s">
        <v>833</v>
      </c>
      <c r="R16" s="597"/>
      <c r="S16" s="597"/>
      <c r="T16" s="597"/>
      <c r="U16" s="597"/>
      <c r="V16" s="597"/>
      <c r="W16" s="76"/>
      <c r="X16" s="597" t="s">
        <v>834</v>
      </c>
      <c r="Y16" s="597"/>
      <c r="Z16" s="597"/>
      <c r="AA16" s="597"/>
      <c r="AB16" s="597"/>
      <c r="AC16" s="597"/>
      <c r="AD16" s="76"/>
      <c r="AE16" s="597" t="s">
        <v>835</v>
      </c>
      <c r="AF16" s="597"/>
      <c r="AG16" s="597"/>
      <c r="AH16" s="597"/>
      <c r="AI16" s="597"/>
      <c r="AJ16" s="597"/>
      <c r="AK16" s="76"/>
      <c r="AL16" s="597" t="s">
        <v>78</v>
      </c>
      <c r="AM16" s="597"/>
      <c r="AN16" s="597"/>
      <c r="AO16" s="597"/>
      <c r="AP16" s="597"/>
      <c r="AQ16" s="597"/>
    </row>
    <row r="17" spans="3:43" ht="15.95" customHeight="1" thickBot="1" x14ac:dyDescent="0.3">
      <c r="C17" s="660"/>
      <c r="D17" s="661"/>
      <c r="E17" s="661"/>
      <c r="F17" s="661"/>
      <c r="G17" s="661"/>
      <c r="H17" s="662"/>
      <c r="I17" s="76"/>
      <c r="J17" s="660"/>
      <c r="K17" s="661"/>
      <c r="L17" s="661"/>
      <c r="M17" s="661"/>
      <c r="N17" s="661"/>
      <c r="O17" s="662"/>
      <c r="P17" s="76"/>
      <c r="Q17" s="660"/>
      <c r="R17" s="661"/>
      <c r="S17" s="661"/>
      <c r="T17" s="661"/>
      <c r="U17" s="661"/>
      <c r="V17" s="662"/>
      <c r="W17" s="76"/>
      <c r="X17" s="660"/>
      <c r="Y17" s="661"/>
      <c r="Z17" s="661"/>
      <c r="AA17" s="661"/>
      <c r="AB17" s="661"/>
      <c r="AC17" s="662"/>
      <c r="AD17" s="76"/>
      <c r="AE17" s="777"/>
      <c r="AF17" s="726"/>
      <c r="AG17" s="726"/>
      <c r="AH17" s="726"/>
      <c r="AI17" s="726"/>
      <c r="AJ17" s="727"/>
      <c r="AK17" s="76"/>
      <c r="AL17" s="777"/>
      <c r="AM17" s="726"/>
      <c r="AN17" s="726"/>
      <c r="AO17" s="726"/>
      <c r="AP17" s="726"/>
      <c r="AQ17" s="727"/>
    </row>
    <row r="18" spans="3:43" ht="15.95" customHeight="1" x14ac:dyDescent="0.25">
      <c r="C18" s="76"/>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row>
    <row r="19" spans="3:43" ht="15.95" customHeight="1" thickBot="1" x14ac:dyDescent="0.3">
      <c r="C19" s="597" t="s">
        <v>836</v>
      </c>
      <c r="D19" s="597"/>
      <c r="E19" s="597"/>
      <c r="F19" s="597"/>
      <c r="G19" s="597"/>
      <c r="H19" s="597"/>
      <c r="I19" s="76"/>
      <c r="J19" s="597" t="s">
        <v>857</v>
      </c>
      <c r="K19" s="597"/>
      <c r="L19" s="597"/>
      <c r="M19" s="597"/>
      <c r="N19" s="597"/>
      <c r="O19" s="597"/>
      <c r="P19" s="76"/>
      <c r="Q19" s="597" t="s">
        <v>838</v>
      </c>
      <c r="R19" s="597"/>
      <c r="S19" s="597"/>
      <c r="T19" s="597"/>
      <c r="U19" s="597"/>
      <c r="V19" s="597"/>
      <c r="W19" s="76"/>
      <c r="X19" s="670" t="s">
        <v>2217</v>
      </c>
      <c r="Y19" s="597"/>
      <c r="Z19" s="597"/>
      <c r="AA19" s="597"/>
      <c r="AB19" s="597"/>
      <c r="AC19" s="597"/>
      <c r="AD19" s="76"/>
      <c r="AE19" s="670" t="s">
        <v>2218</v>
      </c>
      <c r="AF19" s="597"/>
      <c r="AG19" s="597"/>
      <c r="AH19" s="597"/>
      <c r="AI19" s="597"/>
      <c r="AJ19" s="597"/>
      <c r="AK19" s="76"/>
      <c r="AL19" s="597"/>
      <c r="AM19" s="597"/>
      <c r="AN19" s="597"/>
      <c r="AO19" s="597"/>
      <c r="AP19" s="597"/>
      <c r="AQ19" s="597"/>
    </row>
    <row r="20" spans="3:43" ht="15.95" customHeight="1" thickBot="1" x14ac:dyDescent="0.3">
      <c r="C20" s="767"/>
      <c r="D20" s="661"/>
      <c r="E20" s="661"/>
      <c r="F20" s="661"/>
      <c r="G20" s="661"/>
      <c r="H20" s="662"/>
      <c r="I20" s="76"/>
      <c r="J20" s="660"/>
      <c r="K20" s="661"/>
      <c r="L20" s="661"/>
      <c r="M20" s="661"/>
      <c r="N20" s="661"/>
      <c r="O20" s="662"/>
      <c r="P20" s="76"/>
      <c r="Q20" s="660"/>
      <c r="R20" s="661"/>
      <c r="S20" s="661"/>
      <c r="T20" s="661"/>
      <c r="U20" s="661"/>
      <c r="V20" s="662"/>
      <c r="W20" s="76"/>
      <c r="X20" s="660"/>
      <c r="Y20" s="661"/>
      <c r="Z20" s="661"/>
      <c r="AA20" s="661"/>
      <c r="AB20" s="661"/>
      <c r="AC20" s="662"/>
      <c r="AD20" s="76"/>
      <c r="AE20" s="722"/>
      <c r="AF20" s="723"/>
      <c r="AG20" s="723"/>
      <c r="AH20" s="723"/>
      <c r="AI20" s="723"/>
      <c r="AJ20" s="724"/>
      <c r="AK20" s="76"/>
      <c r="AL20" s="597"/>
      <c r="AM20" s="597"/>
      <c r="AN20" s="597"/>
      <c r="AO20" s="597"/>
      <c r="AP20" s="597"/>
      <c r="AQ20" s="597"/>
    </row>
    <row r="21" spans="3:43" ht="15.95" customHeight="1" x14ac:dyDescent="0.25">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row>
    <row r="22" spans="3:43" ht="15.95" customHeight="1" x14ac:dyDescent="0.25">
      <c r="C22" s="127"/>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128"/>
      <c r="AF22" s="128"/>
      <c r="AG22" s="128"/>
      <c r="AH22" s="128"/>
      <c r="AI22" s="128"/>
      <c r="AJ22" s="128"/>
      <c r="AK22" s="76"/>
      <c r="AL22" s="76"/>
      <c r="AM22" s="76"/>
      <c r="AN22" s="76"/>
      <c r="AO22" s="76"/>
      <c r="AP22" s="76"/>
      <c r="AQ22" s="76"/>
    </row>
    <row r="23" spans="3:43" ht="15.95" customHeight="1" x14ac:dyDescent="0.25">
      <c r="C23" s="127"/>
      <c r="D23" s="76"/>
      <c r="E23" s="76"/>
      <c r="F23" s="772" t="s">
        <v>1078</v>
      </c>
      <c r="G23" s="772"/>
      <c r="H23" s="772"/>
      <c r="I23" s="772"/>
      <c r="J23" s="772"/>
      <c r="K23" s="772"/>
      <c r="L23" s="772"/>
      <c r="M23" s="772"/>
      <c r="N23" s="772"/>
      <c r="O23" s="772"/>
      <c r="P23" s="772"/>
      <c r="Q23" s="772"/>
      <c r="R23" s="772"/>
      <c r="S23" s="772"/>
      <c r="T23" s="772"/>
      <c r="U23" s="772"/>
      <c r="V23" s="772"/>
      <c r="W23" s="772"/>
      <c r="X23" s="772"/>
      <c r="Y23" s="772"/>
      <c r="Z23" s="772"/>
      <c r="AA23" s="772"/>
      <c r="AB23" s="772"/>
      <c r="AC23" s="772"/>
      <c r="AD23" s="772"/>
      <c r="AE23" s="772"/>
      <c r="AF23" s="772"/>
      <c r="AG23" s="772"/>
      <c r="AH23" s="772"/>
      <c r="AI23" s="772"/>
      <c r="AJ23" s="772"/>
      <c r="AK23" s="772"/>
      <c r="AL23" s="772"/>
      <c r="AM23" s="772"/>
      <c r="AN23" s="772"/>
      <c r="AO23" s="76"/>
      <c r="AP23" s="76"/>
      <c r="AQ23" s="76"/>
    </row>
    <row r="24" spans="3:43" ht="15.95" customHeight="1" x14ac:dyDescent="0.25">
      <c r="C24" s="127"/>
      <c r="D24" s="76"/>
      <c r="E24" s="76"/>
      <c r="F24" s="659" t="s">
        <v>852</v>
      </c>
      <c r="G24" s="659"/>
      <c r="H24" s="659"/>
      <c r="I24" s="659"/>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76"/>
      <c r="AP24" s="76"/>
      <c r="AQ24" s="76"/>
    </row>
    <row r="25" spans="3:43" ht="15.95" customHeight="1" x14ac:dyDescent="0.25">
      <c r="C25" s="127"/>
      <c r="D25" s="76"/>
      <c r="E25" s="7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6"/>
      <c r="AP25" s="76"/>
      <c r="AQ25" s="76"/>
    </row>
    <row r="26" spans="3:43" ht="15.95" customHeight="1" thickBot="1" x14ac:dyDescent="0.3">
      <c r="C26" s="597" t="s">
        <v>904</v>
      </c>
      <c r="D26" s="597"/>
      <c r="E26" s="597"/>
      <c r="F26" s="597"/>
      <c r="G26" s="597"/>
      <c r="H26" s="597"/>
      <c r="I26" s="77"/>
      <c r="P26" s="77"/>
      <c r="Q26" s="597" t="s">
        <v>853</v>
      </c>
      <c r="R26" s="597"/>
      <c r="S26" s="597"/>
      <c r="T26" s="597"/>
      <c r="U26" s="597"/>
      <c r="V26" s="597"/>
      <c r="W26" s="77"/>
      <c r="X26" s="597" t="s">
        <v>854</v>
      </c>
      <c r="Y26" s="597"/>
      <c r="Z26" s="597"/>
      <c r="AA26" s="597"/>
      <c r="AB26" s="597"/>
      <c r="AC26" s="597"/>
      <c r="AD26" s="77"/>
      <c r="AE26" s="597" t="s">
        <v>855</v>
      </c>
      <c r="AF26" s="597"/>
      <c r="AG26" s="597"/>
      <c r="AH26" s="597"/>
      <c r="AI26" s="597"/>
      <c r="AJ26" s="597"/>
      <c r="AK26" s="77"/>
      <c r="AL26" s="597" t="s">
        <v>856</v>
      </c>
      <c r="AM26" s="597"/>
      <c r="AN26" s="597"/>
      <c r="AO26" s="597"/>
      <c r="AP26" s="597"/>
      <c r="AQ26" s="597"/>
    </row>
    <row r="27" spans="3:43" ht="15.95" customHeight="1" thickBot="1" x14ac:dyDescent="0.3">
      <c r="C27" s="703"/>
      <c r="D27" s="704"/>
      <c r="E27" s="704"/>
      <c r="F27" s="704"/>
      <c r="G27" s="704"/>
      <c r="H27" s="704"/>
      <c r="I27" s="704"/>
      <c r="J27" s="704"/>
      <c r="K27" s="704"/>
      <c r="L27" s="704"/>
      <c r="M27" s="704"/>
      <c r="N27" s="704"/>
      <c r="O27" s="705"/>
      <c r="P27" s="77"/>
      <c r="Q27" s="663"/>
      <c r="R27" s="661"/>
      <c r="S27" s="661"/>
      <c r="T27" s="661"/>
      <c r="U27" s="661"/>
      <c r="V27" s="662"/>
      <c r="W27" s="77"/>
      <c r="X27" s="700"/>
      <c r="Y27" s="701"/>
      <c r="Z27" s="701"/>
      <c r="AA27" s="701"/>
      <c r="AB27" s="701"/>
      <c r="AC27" s="702"/>
      <c r="AD27" s="77"/>
      <c r="AE27" s="671"/>
      <c r="AF27" s="657"/>
      <c r="AG27" s="657"/>
      <c r="AH27" s="657"/>
      <c r="AI27" s="657"/>
      <c r="AJ27" s="658"/>
      <c r="AK27" s="77"/>
      <c r="AL27" s="671"/>
      <c r="AM27" s="657"/>
      <c r="AN27" s="657"/>
      <c r="AO27" s="657"/>
      <c r="AP27" s="657"/>
      <c r="AQ27" s="658"/>
    </row>
    <row r="28" spans="3:43" ht="15.95" customHeight="1" x14ac:dyDescent="0.25">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row>
    <row r="29" spans="3:43" ht="15.95" customHeight="1" x14ac:dyDescent="0.25">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x14ac:dyDescent="0.25">
      <c r="C30" s="59"/>
      <c r="D30" s="59"/>
      <c r="E30" s="59"/>
      <c r="F30" s="772" t="s">
        <v>1864</v>
      </c>
      <c r="G30" s="772"/>
      <c r="H30" s="772"/>
      <c r="I30" s="772"/>
      <c r="J30" s="772"/>
      <c r="K30" s="772"/>
      <c r="L30" s="772"/>
      <c r="M30" s="772"/>
      <c r="N30" s="772"/>
      <c r="O30" s="772"/>
      <c r="P30" s="772"/>
      <c r="Q30" s="772"/>
      <c r="R30" s="772"/>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59"/>
      <c r="AP30" s="59"/>
      <c r="AQ30" s="59"/>
    </row>
    <row r="31" spans="3:43" ht="15.95" customHeight="1" x14ac:dyDescent="0.25">
      <c r="C31" s="59"/>
      <c r="D31" s="59"/>
      <c r="E31" s="59"/>
      <c r="F31" s="659" t="s">
        <v>1900</v>
      </c>
      <c r="G31" s="659"/>
      <c r="H31" s="659"/>
      <c r="I31" s="659"/>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c r="AK31" s="659"/>
      <c r="AL31" s="659"/>
      <c r="AM31" s="659"/>
      <c r="AN31" s="659"/>
      <c r="AO31" s="59"/>
      <c r="AP31" s="59"/>
      <c r="AQ31" s="59"/>
    </row>
    <row r="32" spans="3:43" ht="15.95" customHeight="1" x14ac:dyDescent="0.25">
      <c r="C32" s="59"/>
      <c r="D32" s="59"/>
      <c r="E32" s="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59"/>
      <c r="AM32" s="659"/>
      <c r="AN32" s="659"/>
      <c r="AO32" s="59"/>
      <c r="AP32" s="59"/>
      <c r="AQ32" s="59"/>
    </row>
    <row r="33" spans="3:43" ht="15.95" customHeight="1" x14ac:dyDescent="0.25"/>
    <row r="34" spans="3:43" ht="15.95" customHeight="1" thickBot="1" x14ac:dyDescent="0.3">
      <c r="C34" s="770" t="s">
        <v>1863</v>
      </c>
      <c r="D34" s="597"/>
      <c r="E34" s="597"/>
      <c r="F34" s="597"/>
      <c r="G34" s="597"/>
      <c r="H34" s="597"/>
      <c r="I34" s="76"/>
      <c r="J34" s="770" t="s">
        <v>1865</v>
      </c>
      <c r="K34" s="597"/>
      <c r="L34" s="597"/>
      <c r="M34" s="597"/>
      <c r="N34" s="597"/>
      <c r="O34" s="597"/>
      <c r="P34" s="76"/>
      <c r="Q34" s="770" t="s">
        <v>1866</v>
      </c>
      <c r="R34" s="597"/>
      <c r="S34" s="597"/>
      <c r="T34" s="597"/>
      <c r="U34" s="597"/>
      <c r="V34" s="597"/>
      <c r="W34" s="76"/>
      <c r="X34" s="770" t="s">
        <v>77</v>
      </c>
      <c r="Y34" s="597"/>
      <c r="Z34" s="597"/>
      <c r="AA34" s="597"/>
      <c r="AB34" s="597"/>
      <c r="AC34" s="597"/>
      <c r="AD34" s="76"/>
      <c r="AE34" s="770" t="s">
        <v>1867</v>
      </c>
      <c r="AF34" s="597"/>
      <c r="AG34" s="597"/>
      <c r="AH34" s="597"/>
      <c r="AI34" s="597"/>
      <c r="AJ34" s="597"/>
      <c r="AK34" s="76"/>
      <c r="AL34" s="597" t="s">
        <v>78</v>
      </c>
      <c r="AM34" s="597"/>
      <c r="AN34" s="597"/>
      <c r="AO34" s="597"/>
      <c r="AP34" s="597"/>
      <c r="AQ34" s="597"/>
    </row>
    <row r="35" spans="3:43" ht="15.95" customHeight="1" thickBot="1" x14ac:dyDescent="0.3">
      <c r="C35" s="771"/>
      <c r="D35" s="661"/>
      <c r="E35" s="661"/>
      <c r="F35" s="661"/>
      <c r="G35" s="661"/>
      <c r="H35" s="662"/>
      <c r="I35" s="76"/>
      <c r="J35" s="771"/>
      <c r="K35" s="661"/>
      <c r="L35" s="661"/>
      <c r="M35" s="661"/>
      <c r="N35" s="661"/>
      <c r="O35" s="662"/>
      <c r="P35" s="76"/>
      <c r="Q35" s="771"/>
      <c r="R35" s="661"/>
      <c r="S35" s="661"/>
      <c r="T35" s="661"/>
      <c r="U35" s="661"/>
      <c r="V35" s="662"/>
      <c r="W35" s="76"/>
      <c r="X35" s="771"/>
      <c r="Y35" s="661"/>
      <c r="Z35" s="661"/>
      <c r="AA35" s="661"/>
      <c r="AB35" s="661"/>
      <c r="AC35" s="662"/>
      <c r="AD35" s="76"/>
      <c r="AE35" s="725"/>
      <c r="AF35" s="726"/>
      <c r="AG35" s="726"/>
      <c r="AH35" s="726"/>
      <c r="AI35" s="726"/>
      <c r="AJ35" s="727"/>
      <c r="AK35" s="76"/>
      <c r="AL35" s="725"/>
      <c r="AM35" s="726"/>
      <c r="AN35" s="726"/>
      <c r="AO35" s="726"/>
      <c r="AP35" s="726"/>
      <c r="AQ35" s="727"/>
    </row>
    <row r="36" spans="3:43" ht="15.95" customHeight="1" x14ac:dyDescent="0.25">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row>
    <row r="37" spans="3:43" ht="15.95" customHeight="1" thickBot="1" x14ac:dyDescent="0.3">
      <c r="C37" s="770" t="s">
        <v>217</v>
      </c>
      <c r="D37" s="597"/>
      <c r="E37" s="597"/>
      <c r="F37" s="597"/>
      <c r="G37" s="597"/>
      <c r="H37" s="597"/>
      <c r="I37" s="76"/>
      <c r="J37" s="770" t="s">
        <v>1868</v>
      </c>
      <c r="K37" s="597"/>
      <c r="L37" s="597"/>
      <c r="M37" s="597"/>
      <c r="N37" s="597"/>
      <c r="O37" s="597"/>
      <c r="P37" s="76"/>
      <c r="Q37" s="770" t="s">
        <v>79</v>
      </c>
      <c r="R37" s="597"/>
      <c r="S37" s="597"/>
      <c r="T37" s="597"/>
      <c r="U37" s="597"/>
      <c r="V37" s="597"/>
      <c r="W37" s="76"/>
      <c r="X37" s="670" t="s">
        <v>2219</v>
      </c>
      <c r="Y37" s="597"/>
      <c r="Z37" s="597"/>
      <c r="AA37" s="597"/>
      <c r="AB37" s="597"/>
      <c r="AC37" s="597"/>
      <c r="AD37" s="76"/>
      <c r="AE37" s="670" t="s">
        <v>2220</v>
      </c>
      <c r="AF37" s="597"/>
      <c r="AG37" s="597"/>
      <c r="AH37" s="597"/>
      <c r="AI37" s="597"/>
      <c r="AJ37" s="597"/>
      <c r="AK37" s="76"/>
      <c r="AL37" s="597"/>
      <c r="AM37" s="597"/>
      <c r="AN37" s="597"/>
      <c r="AO37" s="597"/>
      <c r="AP37" s="597"/>
      <c r="AQ37" s="597"/>
    </row>
    <row r="38" spans="3:43" ht="15.95" customHeight="1" thickBot="1" x14ac:dyDescent="0.3">
      <c r="C38" s="767"/>
      <c r="D38" s="661"/>
      <c r="E38" s="661"/>
      <c r="F38" s="661"/>
      <c r="G38" s="661"/>
      <c r="H38" s="662"/>
      <c r="I38" s="76"/>
      <c r="J38" s="771"/>
      <c r="K38" s="661"/>
      <c r="L38" s="661"/>
      <c r="M38" s="661"/>
      <c r="N38" s="661"/>
      <c r="O38" s="662"/>
      <c r="P38" s="76"/>
      <c r="Q38" s="771"/>
      <c r="R38" s="661"/>
      <c r="S38" s="661"/>
      <c r="T38" s="661"/>
      <c r="U38" s="661"/>
      <c r="V38" s="662"/>
      <c r="W38" s="76"/>
      <c r="X38" s="771"/>
      <c r="Y38" s="661"/>
      <c r="Z38" s="661"/>
      <c r="AA38" s="661"/>
      <c r="AB38" s="661"/>
      <c r="AC38" s="662"/>
      <c r="AD38" s="76"/>
      <c r="AE38" s="769"/>
      <c r="AF38" s="723"/>
      <c r="AG38" s="723"/>
      <c r="AH38" s="723"/>
      <c r="AI38" s="723"/>
      <c r="AJ38" s="724"/>
      <c r="AK38" s="76"/>
      <c r="AL38" s="597"/>
      <c r="AM38" s="597"/>
      <c r="AN38" s="597"/>
      <c r="AO38" s="597"/>
      <c r="AP38" s="597"/>
      <c r="AQ38" s="597"/>
    </row>
    <row r="39" spans="3:43" ht="15.95" customHeight="1" x14ac:dyDescent="0.25"/>
    <row r="40" spans="3:43" ht="15.95" customHeight="1" thickBot="1" x14ac:dyDescent="0.3">
      <c r="C40" s="770" t="s">
        <v>1863</v>
      </c>
      <c r="D40" s="597"/>
      <c r="E40" s="597"/>
      <c r="F40" s="597"/>
      <c r="G40" s="597"/>
      <c r="H40" s="597"/>
      <c r="I40" s="76"/>
      <c r="J40" s="770" t="s">
        <v>1865</v>
      </c>
      <c r="K40" s="597"/>
      <c r="L40" s="597"/>
      <c r="M40" s="597"/>
      <c r="N40" s="597"/>
      <c r="O40" s="597"/>
      <c r="P40" s="76"/>
      <c r="Q40" s="770" t="s">
        <v>1866</v>
      </c>
      <c r="R40" s="597"/>
      <c r="S40" s="597"/>
      <c r="T40" s="597"/>
      <c r="U40" s="597"/>
      <c r="V40" s="597"/>
      <c r="W40" s="76"/>
      <c r="X40" s="770" t="s">
        <v>77</v>
      </c>
      <c r="Y40" s="597"/>
      <c r="Z40" s="597"/>
      <c r="AA40" s="597"/>
      <c r="AB40" s="597"/>
      <c r="AC40" s="597"/>
      <c r="AD40" s="76"/>
      <c r="AE40" s="770" t="s">
        <v>1867</v>
      </c>
      <c r="AF40" s="597"/>
      <c r="AG40" s="597"/>
      <c r="AH40" s="597"/>
      <c r="AI40" s="597"/>
      <c r="AJ40" s="597"/>
      <c r="AK40" s="76"/>
      <c r="AL40" s="597" t="s">
        <v>78</v>
      </c>
      <c r="AM40" s="597"/>
      <c r="AN40" s="597"/>
      <c r="AO40" s="597"/>
      <c r="AP40" s="597"/>
      <c r="AQ40" s="597"/>
    </row>
    <row r="41" spans="3:43" ht="15.95" customHeight="1" thickBot="1" x14ac:dyDescent="0.3">
      <c r="C41" s="768"/>
      <c r="D41" s="661"/>
      <c r="E41" s="661"/>
      <c r="F41" s="661"/>
      <c r="G41" s="661"/>
      <c r="H41" s="662"/>
      <c r="I41" s="76"/>
      <c r="J41" s="768"/>
      <c r="K41" s="661"/>
      <c r="L41" s="661"/>
      <c r="M41" s="661"/>
      <c r="N41" s="661"/>
      <c r="O41" s="662"/>
      <c r="P41" s="76"/>
      <c r="Q41" s="768"/>
      <c r="R41" s="661"/>
      <c r="S41" s="661"/>
      <c r="T41" s="661"/>
      <c r="U41" s="661"/>
      <c r="V41" s="662"/>
      <c r="W41" s="76"/>
      <c r="X41" s="768"/>
      <c r="Y41" s="661"/>
      <c r="Z41" s="661"/>
      <c r="AA41" s="661"/>
      <c r="AB41" s="661"/>
      <c r="AC41" s="662"/>
      <c r="AD41" s="76"/>
      <c r="AE41" s="725"/>
      <c r="AF41" s="726"/>
      <c r="AG41" s="726"/>
      <c r="AH41" s="726"/>
      <c r="AI41" s="726"/>
      <c r="AJ41" s="727"/>
      <c r="AK41" s="76"/>
      <c r="AL41" s="725"/>
      <c r="AM41" s="726"/>
      <c r="AN41" s="726"/>
      <c r="AO41" s="726"/>
      <c r="AP41" s="726"/>
      <c r="AQ41" s="727"/>
    </row>
    <row r="42" spans="3:43" ht="15.95" customHeight="1" x14ac:dyDescent="0.25">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row>
    <row r="43" spans="3:43" ht="15.95" customHeight="1" thickBot="1" x14ac:dyDescent="0.3">
      <c r="C43" s="770" t="s">
        <v>217</v>
      </c>
      <c r="D43" s="597"/>
      <c r="E43" s="597"/>
      <c r="F43" s="597"/>
      <c r="G43" s="597"/>
      <c r="H43" s="597"/>
      <c r="I43" s="76"/>
      <c r="J43" s="770" t="s">
        <v>1868</v>
      </c>
      <c r="K43" s="597"/>
      <c r="L43" s="597"/>
      <c r="M43" s="597"/>
      <c r="N43" s="597"/>
      <c r="O43" s="597"/>
      <c r="P43" s="76"/>
      <c r="Q43" s="770" t="s">
        <v>79</v>
      </c>
      <c r="R43" s="597"/>
      <c r="S43" s="597"/>
      <c r="T43" s="597"/>
      <c r="U43" s="597"/>
      <c r="V43" s="597"/>
      <c r="W43" s="76"/>
      <c r="X43" s="670" t="s">
        <v>2219</v>
      </c>
      <c r="Y43" s="597"/>
      <c r="Z43" s="597"/>
      <c r="AA43" s="597"/>
      <c r="AB43" s="597"/>
      <c r="AC43" s="597"/>
      <c r="AD43" s="76"/>
      <c r="AE43" s="670" t="s">
        <v>2220</v>
      </c>
      <c r="AF43" s="597"/>
      <c r="AG43" s="597"/>
      <c r="AH43" s="597"/>
      <c r="AI43" s="597"/>
      <c r="AJ43" s="597"/>
      <c r="AK43" s="76"/>
      <c r="AL43" s="597"/>
      <c r="AM43" s="597"/>
      <c r="AN43" s="597"/>
      <c r="AO43" s="597"/>
      <c r="AP43" s="597"/>
      <c r="AQ43" s="597"/>
    </row>
    <row r="44" spans="3:43" ht="15.95" customHeight="1" thickBot="1" x14ac:dyDescent="0.3">
      <c r="C44" s="767"/>
      <c r="D44" s="661"/>
      <c r="E44" s="661"/>
      <c r="F44" s="661"/>
      <c r="G44" s="661"/>
      <c r="H44" s="662"/>
      <c r="I44" s="76"/>
      <c r="J44" s="768"/>
      <c r="K44" s="661"/>
      <c r="L44" s="661"/>
      <c r="M44" s="661"/>
      <c r="N44" s="661"/>
      <c r="O44" s="662"/>
      <c r="P44" s="76"/>
      <c r="Q44" s="768"/>
      <c r="R44" s="661"/>
      <c r="S44" s="661"/>
      <c r="T44" s="661"/>
      <c r="U44" s="661"/>
      <c r="V44" s="662"/>
      <c r="W44" s="76"/>
      <c r="X44" s="768"/>
      <c r="Y44" s="661"/>
      <c r="Z44" s="661"/>
      <c r="AA44" s="661"/>
      <c r="AB44" s="661"/>
      <c r="AC44" s="662"/>
      <c r="AD44" s="76"/>
      <c r="AE44" s="769"/>
      <c r="AF44" s="723"/>
      <c r="AG44" s="723"/>
      <c r="AH44" s="723"/>
      <c r="AI44" s="723"/>
      <c r="AJ44" s="724"/>
      <c r="AK44" s="76"/>
      <c r="AL44" s="597"/>
      <c r="AM44" s="597"/>
      <c r="AN44" s="597"/>
      <c r="AO44" s="597"/>
      <c r="AP44" s="597"/>
      <c r="AQ44" s="597"/>
    </row>
    <row r="45" spans="3:43" ht="15.95"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Ev3DhpsEiYDmaDVS6avWtwzpVCr6owp4+L9wMuiIwPV31/BU58Ocdq2KAQ5YT8yHfDNnCEiMIbhWm+u5jt/q+Q==" saltValue="4kUFGvJ5aOpeba7L8s58MQ==" spinCount="100000" sheet="1" objects="1" scenarios="1" selectLockedCells="1"/>
  <mergeCells count="103">
    <mergeCell ref="Q1:R1"/>
    <mergeCell ref="U1:V1"/>
    <mergeCell ref="Y1:Z1"/>
    <mergeCell ref="M200:AG201"/>
    <mergeCell ref="F24:AN24"/>
    <mergeCell ref="Q27:V27"/>
    <mergeCell ref="X27:AC27"/>
    <mergeCell ref="AE27:AJ27"/>
    <mergeCell ref="F30:AN30"/>
    <mergeCell ref="C34:H34"/>
    <mergeCell ref="J34:O34"/>
    <mergeCell ref="Q34:V34"/>
    <mergeCell ref="X34:AC34"/>
    <mergeCell ref="AE34:AJ34"/>
    <mergeCell ref="AL34:AQ34"/>
    <mergeCell ref="C35:H35"/>
    <mergeCell ref="J35:O35"/>
    <mergeCell ref="C17:H17"/>
    <mergeCell ref="J17:O17"/>
    <mergeCell ref="Q17:V17"/>
    <mergeCell ref="X17:AC17"/>
    <mergeCell ref="AE17:AJ17"/>
    <mergeCell ref="C27:O27"/>
    <mergeCell ref="AL27:AQ27"/>
    <mergeCell ref="AL20:AQ20"/>
    <mergeCell ref="C19:H19"/>
    <mergeCell ref="J19:O19"/>
    <mergeCell ref="Q19:V19"/>
    <mergeCell ref="X19:AC19"/>
    <mergeCell ref="AE19:AJ19"/>
    <mergeCell ref="AL19:AQ19"/>
    <mergeCell ref="C20:H20"/>
    <mergeCell ref="J20:O20"/>
    <mergeCell ref="Q20:V20"/>
    <mergeCell ref="X20:AC20"/>
    <mergeCell ref="AE20:AJ20"/>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AL38:AQ38"/>
    <mergeCell ref="F31:AN32"/>
    <mergeCell ref="C40:H40"/>
    <mergeCell ref="J40:O40"/>
    <mergeCell ref="Q40:V40"/>
    <mergeCell ref="X40:AC40"/>
    <mergeCell ref="AE40:AJ40"/>
    <mergeCell ref="AL40:AQ40"/>
    <mergeCell ref="C38:H38"/>
    <mergeCell ref="J38:O38"/>
    <mergeCell ref="Q38:V38"/>
    <mergeCell ref="X38:AC38"/>
    <mergeCell ref="AE38:AJ38"/>
    <mergeCell ref="Q35:V35"/>
    <mergeCell ref="X35:AC35"/>
    <mergeCell ref="AE35:AJ35"/>
    <mergeCell ref="AL35:AQ35"/>
    <mergeCell ref="C37:H37"/>
    <mergeCell ref="J37:O37"/>
    <mergeCell ref="Q37:V37"/>
    <mergeCell ref="X37:AC37"/>
    <mergeCell ref="AE37:AJ37"/>
    <mergeCell ref="AL37:AQ37"/>
    <mergeCell ref="AL44:AQ44"/>
    <mergeCell ref="C44:H44"/>
    <mergeCell ref="J44:O44"/>
    <mergeCell ref="Q44:V44"/>
    <mergeCell ref="X44:AC44"/>
    <mergeCell ref="AE44:AJ44"/>
    <mergeCell ref="AL41:AQ41"/>
    <mergeCell ref="C43:H43"/>
    <mergeCell ref="J43:O43"/>
    <mergeCell ref="Q43:V43"/>
    <mergeCell ref="X43:AC43"/>
    <mergeCell ref="AE43:AJ43"/>
    <mergeCell ref="AL43:AQ43"/>
    <mergeCell ref="C41:H41"/>
    <mergeCell ref="J41:O41"/>
    <mergeCell ref="Q41:V41"/>
    <mergeCell ref="X41:AC41"/>
    <mergeCell ref="AE41:AJ41"/>
  </mergeCells>
  <conditionalFormatting sqref="C14 C17 J17 Q17 X17 AE17 AL17 C20 J20 Q20 X20 AE20 C27 Q27 X27 AL27">
    <cfRule type="expression" dxfId="454" priority="102">
      <formula>M02S03F01="No"</formula>
    </cfRule>
  </conditionalFormatting>
  <conditionalFormatting sqref="C27 Q27 X27 AL27">
    <cfRule type="expression" dxfId="453" priority="67">
      <formula>M02S03F13="Not Applicable"</formula>
    </cfRule>
  </conditionalFormatting>
  <conditionalFormatting sqref="C29">
    <cfRule type="expression" dxfId="452" priority="87">
      <formula>M02S02F12&lt;&gt;"Retro-Commissioning"</formula>
    </cfRule>
  </conditionalFormatting>
  <conditionalFormatting sqref="AE27:AJ27">
    <cfRule type="expression" dxfId="451" priority="8">
      <formula>M02S03F13="Not Applicable"</formula>
    </cfRule>
    <cfRule type="expression" dxfId="450" priority="17">
      <formula>M02S03F01="No"</formula>
    </cfRule>
  </conditionalFormatting>
  <conditionalFormatting sqref="AH2 AL2">
    <cfRule type="expression" dxfId="449" priority="3">
      <formula>PROJSTATUS=PROJSTATELI</formula>
    </cfRule>
    <cfRule type="expression" dxfId="448" priority="4">
      <formula>PROJSTATUS=PROJSTATREVIEW</formula>
    </cfRule>
    <cfRule type="expression" dxfId="447" priority="5">
      <formula>PROJSTATUS=PROJSTATPREAPPROVE</formula>
    </cfRule>
    <cfRule type="expression" dxfId="446" priority="6">
      <formula>PROJSTATUS=PROJSTATSTANDARD</formula>
    </cfRule>
    <cfRule type="expression" dxfId="445" priority="7">
      <formula>PROJSTATUS=PROJSTATEXP</formula>
    </cfRule>
  </conditionalFormatting>
  <conditionalFormatting sqref="AQ2:AR3">
    <cfRule type="cellIs" dxfId="444" priority="11" operator="equal">
      <formula>1</formula>
    </cfRule>
    <cfRule type="cellIs" dxfId="443" priority="12" operator="between">
      <formula>0.51</formula>
      <formula>0.99</formula>
    </cfRule>
    <cfRule type="cellIs" dxfId="442" priority="13" operator="lessThanOrEqual">
      <formula>0.5</formula>
    </cfRule>
  </conditionalFormatting>
  <dataValidations count="7">
    <dataValidation type="list" allowBlank="1" showInputMessage="1" showErrorMessage="1" sqref="C14:H14" xr:uid="{00000000-0002-0000-1000-000000000000}">
      <formula1>IF(ISBLANK(M02S04F01),TATYPE)</formula1>
    </dataValidation>
    <dataValidation type="list" allowBlank="1" showInputMessage="1" showErrorMessage="1" sqref="X20:AC20 X22:AC22 X38:AC38 X44:AC44" xr:uid="{00000000-0002-0000-1000-000001000000}">
      <formula1>STATESABBREV</formula1>
    </dataValidation>
    <dataValidation type="custom" allowBlank="1" showInputMessage="1" showErrorMessage="1" sqref="C20:H20 C38:H38 C44:H44" xr:uid="{00000000-0002-0000-1000-000002000000}">
      <formula1>AND(FIND(".",C20),FIND("@",C20))</formula1>
    </dataValidation>
    <dataValidation type="custom" allowBlank="1" showInputMessage="1" showErrorMessage="1" error="Please enter a valid email address." sqref="F22:H22 C22:E25" xr:uid="{00000000-0002-0000-1000-000003000000}">
      <formula1>AND(FIND(".",C22),FIND("@",C22))</formula1>
    </dataValidation>
    <dataValidation type="list" allowBlank="1" showInputMessage="1" showErrorMessage="1" sqref="Q27:V27" xr:uid="{00000000-0002-0000-1000-000004000000}">
      <formula1>DIVERSITYORG</formula1>
    </dataValidation>
    <dataValidation type="list" allowBlank="1" showInputMessage="1" showErrorMessage="1" sqref="C27" xr:uid="{00000000-0002-0000-1000-000005000000}">
      <formula1>DIVERSITYBUSTYPE</formula1>
    </dataValidation>
    <dataValidation type="date" allowBlank="1" showInputMessage="1" showErrorMessage="1" error="Please enter valid date in the format MM/DD/YYYY" sqref="AL27:AQ27 AE27:AJ27" xr:uid="{00000000-0002-0000-1000-000006000000}">
      <formula1>18264</formula1>
      <formula2>55153</formula2>
    </dataValidation>
  </dataValidations>
  <hyperlinks>
    <hyperlink ref="B202" r:id="rId1" display="NIPSCO.Savings@LMCO.com" xr:uid="{00000000-0004-0000-1000-00000000000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row>
    <row r="10" spans="3:44" ht="15.95" customHeight="1" x14ac:dyDescent="0.3">
      <c r="C10" s="69"/>
      <c r="D10" s="69"/>
      <c r="E10" s="69"/>
      <c r="F10" s="617" t="s">
        <v>489</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row>
    <row r="11" spans="3:44" ht="15.95" customHeight="1" x14ac:dyDescent="0.25">
      <c r="C11" s="69"/>
      <c r="D11" s="69"/>
      <c r="E11" s="69"/>
      <c r="F11" s="781" t="s">
        <v>1957</v>
      </c>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69"/>
      <c r="AP11" s="69"/>
      <c r="AQ11" s="69"/>
    </row>
    <row r="12" spans="3:44" ht="15.95" customHeight="1" thickBot="1" x14ac:dyDescent="0.3">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row>
    <row r="13" spans="3:44" ht="15.95" customHeight="1" thickBot="1" x14ac:dyDescent="0.3">
      <c r="C13" s="597" t="s">
        <v>1156</v>
      </c>
      <c r="D13" s="597"/>
      <c r="E13" s="597"/>
      <c r="F13" s="597"/>
      <c r="G13" s="597"/>
      <c r="H13" s="597"/>
      <c r="I13" s="76"/>
      <c r="J13" s="663"/>
      <c r="K13" s="661"/>
      <c r="L13" s="661"/>
      <c r="M13" s="661"/>
      <c r="N13" s="661"/>
      <c r="O13" s="662"/>
      <c r="P13" s="76"/>
      <c r="Q13" s="585" t="str">
        <f>IF(ISNUMBER(SEARCH("Check",M02S04F01)),"If your expected incentive is greater than $50,000, you must supply a physical address.","")</f>
        <v/>
      </c>
      <c r="R13" s="585"/>
      <c r="S13" s="585"/>
      <c r="T13" s="585"/>
      <c r="U13" s="585"/>
      <c r="V13" s="585"/>
      <c r="W13" s="586"/>
      <c r="X13" s="585"/>
      <c r="Y13" s="585"/>
      <c r="Z13" s="585"/>
      <c r="AA13" s="585"/>
      <c r="AB13" s="585"/>
      <c r="AC13" s="585"/>
      <c r="AD13" s="586"/>
      <c r="AE13" s="585"/>
      <c r="AF13" s="585"/>
      <c r="AG13" s="585"/>
      <c r="AH13" s="585"/>
      <c r="AI13" s="585"/>
      <c r="AJ13" s="585"/>
      <c r="AK13" s="76"/>
      <c r="AL13" s="597"/>
      <c r="AM13" s="597"/>
      <c r="AN13" s="597"/>
      <c r="AO13" s="597"/>
      <c r="AP13" s="597"/>
      <c r="AQ13" s="597"/>
    </row>
    <row r="14" spans="3:44" ht="15.95" customHeight="1" x14ac:dyDescent="0.25">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row>
    <row r="15" spans="3:44" ht="15.95" customHeight="1" thickBot="1" x14ac:dyDescent="0.3">
      <c r="C15" s="597" t="s">
        <v>858</v>
      </c>
      <c r="D15" s="597"/>
      <c r="E15" s="597"/>
      <c r="F15" s="597"/>
      <c r="G15" s="597"/>
      <c r="H15" s="597"/>
      <c r="I15" s="76"/>
      <c r="J15" s="597" t="s">
        <v>859</v>
      </c>
      <c r="K15" s="597"/>
      <c r="L15" s="597"/>
      <c r="M15" s="597"/>
      <c r="N15" s="597"/>
      <c r="O15" s="597"/>
      <c r="P15" s="76"/>
      <c r="Q15" s="597" t="s">
        <v>860</v>
      </c>
      <c r="R15" s="597"/>
      <c r="S15" s="597"/>
      <c r="T15" s="597"/>
      <c r="U15" s="597"/>
      <c r="V15" s="597"/>
      <c r="W15" s="76"/>
      <c r="X15" s="597" t="s">
        <v>861</v>
      </c>
      <c r="Y15" s="597"/>
      <c r="Z15" s="597"/>
      <c r="AA15" s="597"/>
      <c r="AB15" s="597"/>
      <c r="AC15" s="597"/>
      <c r="AD15" s="76"/>
      <c r="AE15" s="597" t="s">
        <v>836</v>
      </c>
      <c r="AF15" s="597"/>
      <c r="AG15" s="597"/>
      <c r="AH15" s="597"/>
      <c r="AI15" s="597"/>
      <c r="AJ15" s="597"/>
      <c r="AK15" s="76"/>
      <c r="AL15" s="597" t="s">
        <v>1166</v>
      </c>
      <c r="AM15" s="597"/>
      <c r="AN15" s="597"/>
      <c r="AO15" s="597"/>
      <c r="AP15" s="597"/>
      <c r="AQ15" s="597"/>
    </row>
    <row r="16" spans="3:44" ht="15.95" customHeight="1" thickBot="1" x14ac:dyDescent="0.3">
      <c r="C16" s="782" t="str">
        <f>IF(M02S04F01="","",INDEX(PAYMENT[Company],MATCH(M02S04F01,PAYMENT[Payment to],0)))</f>
        <v/>
      </c>
      <c r="D16" s="779"/>
      <c r="E16" s="779"/>
      <c r="F16" s="779"/>
      <c r="G16" s="779"/>
      <c r="H16" s="780"/>
      <c r="I16" s="76"/>
      <c r="J16" s="778"/>
      <c r="K16" s="779"/>
      <c r="L16" s="779"/>
      <c r="M16" s="779"/>
      <c r="N16" s="779"/>
      <c r="O16" s="780"/>
      <c r="P16" s="76"/>
      <c r="Q16" s="778"/>
      <c r="R16" s="779"/>
      <c r="S16" s="779"/>
      <c r="T16" s="779"/>
      <c r="U16" s="779"/>
      <c r="V16" s="780"/>
      <c r="W16" s="76"/>
      <c r="X16" s="761"/>
      <c r="Y16" s="762"/>
      <c r="Z16" s="762"/>
      <c r="AA16" s="762"/>
      <c r="AB16" s="762"/>
      <c r="AC16" s="763"/>
      <c r="AD16" s="76"/>
      <c r="AE16" s="778"/>
      <c r="AF16" s="779"/>
      <c r="AG16" s="779"/>
      <c r="AH16" s="779"/>
      <c r="AI16" s="779"/>
      <c r="AJ16" s="780"/>
      <c r="AK16" s="76"/>
      <c r="AL16" s="782" t="str">
        <f>IF(M02S02F37&lt;&gt;0,M02S02F37,IF(M02S02F38&lt;&gt;0,M02S02F38,IF(M02S02F39&lt;&gt;0,M02S02F39,IF(M02S02F40&lt;&gt;0,M02S02F40,""))))</f>
        <v/>
      </c>
      <c r="AM16" s="779"/>
      <c r="AN16" s="779"/>
      <c r="AO16" s="779"/>
      <c r="AP16" s="779"/>
      <c r="AQ16" s="780"/>
    </row>
    <row r="17" spans="3:43" ht="15.95" customHeight="1" x14ac:dyDescent="0.25">
      <c r="C17" s="76"/>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row>
    <row r="18" spans="3:43" ht="15.95" customHeight="1" thickBot="1" x14ac:dyDescent="0.3">
      <c r="C18" s="597" t="s">
        <v>857</v>
      </c>
      <c r="D18" s="597"/>
      <c r="E18" s="597"/>
      <c r="F18" s="597"/>
      <c r="G18" s="597"/>
      <c r="H18" s="597"/>
      <c r="I18" s="76"/>
      <c r="J18" s="597" t="s">
        <v>838</v>
      </c>
      <c r="K18" s="597"/>
      <c r="L18" s="597"/>
      <c r="M18" s="597"/>
      <c r="N18" s="597"/>
      <c r="O18" s="597"/>
      <c r="P18" s="76"/>
      <c r="Q18" s="670" t="s">
        <v>2217</v>
      </c>
      <c r="R18" s="597"/>
      <c r="S18" s="597"/>
      <c r="T18" s="597"/>
      <c r="U18" s="597"/>
      <c r="V18" s="597"/>
      <c r="W18" s="76"/>
      <c r="X18" s="670" t="s">
        <v>2218</v>
      </c>
      <c r="Y18" s="597"/>
      <c r="Z18" s="597"/>
      <c r="AA18" s="597"/>
      <c r="AB18" s="597"/>
      <c r="AC18" s="597"/>
      <c r="AD18" s="76"/>
      <c r="AK18" s="76"/>
    </row>
    <row r="19" spans="3:43" ht="15.95" customHeight="1" thickBot="1" x14ac:dyDescent="0.3">
      <c r="C19" s="778" t="str">
        <f>IF(M02S04F01="","",INDEX(PAYMENT[Address],MATCH(M02S04F01,PAYMENT[Payment to],0)))</f>
        <v/>
      </c>
      <c r="D19" s="779"/>
      <c r="E19" s="779"/>
      <c r="F19" s="779"/>
      <c r="G19" s="779"/>
      <c r="H19" s="780"/>
      <c r="I19" s="76"/>
      <c r="J19" s="782" t="str">
        <f>IF(M02S04F01="","",INDEX(PAYMENT[City],MATCH(M02S04F01,PAYMENT[Payment to],0)))</f>
        <v/>
      </c>
      <c r="K19" s="779"/>
      <c r="L19" s="779"/>
      <c r="M19" s="779"/>
      <c r="N19" s="779"/>
      <c r="O19" s="780"/>
      <c r="P19" s="76"/>
      <c r="Q19" s="782" t="str">
        <f>IF(M02S04F01="","",INDEX(PAYMENT[State],MATCH(M02S04F01,PAYMENT[Payment to],0)))</f>
        <v/>
      </c>
      <c r="R19" s="779"/>
      <c r="S19" s="779"/>
      <c r="T19" s="779"/>
      <c r="U19" s="779"/>
      <c r="V19" s="780"/>
      <c r="W19" s="76"/>
      <c r="X19" s="692" t="str">
        <f>IF(M02S04F01="","",INDEX(PAYMENT[Zip],MATCH(M02S04F01,PAYMENT[Payment to],0)))</f>
        <v/>
      </c>
      <c r="Y19" s="693"/>
      <c r="Z19" s="693"/>
      <c r="AA19" s="693"/>
      <c r="AB19" s="693"/>
      <c r="AC19" s="694"/>
      <c r="AD19" s="76"/>
      <c r="AK19" s="76"/>
    </row>
    <row r="20" spans="3:43" ht="15.95" customHeight="1" x14ac:dyDescent="0.25">
      <c r="C20" s="586" t="str">
        <f>IF(AND(OR(INCENSTATUS="---",INCENSTATUS&lt;50000),OR(ISNUMBER(SEARCH("PO Box",M02S04F07)),ISNUMBER(SEARCH("P.O. Box",M02S04F07)),ISNUMBER(SEARCH("P.O Box",M02S04F07)))),"PO Boxes are only permitted for incentive payments less than $50,000",IF(AND(INCENSTATUS&gt;=50000,OR(ISNUMBER(SEARCH("PO Box",M02S04F07)),ISNUMBER(SEARCH("P.O. Box",M02S04F07)),ISNUMBER(SEARCH("P.O Box",M02S04F07)))),"Please enter a physical site address. PO Boxes are not permitted for incentive payments greater than $50,000",""))</f>
        <v/>
      </c>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row>
    <row r="21" spans="3:43" ht="15.95" customHeight="1" x14ac:dyDescent="0.3">
      <c r="F21" s="617" t="s">
        <v>2237</v>
      </c>
      <c r="G21" s="617"/>
      <c r="H21" s="617"/>
      <c r="I21" s="617"/>
      <c r="J21" s="617"/>
      <c r="K21" s="617"/>
      <c r="L21" s="617"/>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row>
    <row r="22" spans="3:43" ht="15.95" customHeight="1" x14ac:dyDescent="0.25">
      <c r="F22" s="781" t="s">
        <v>2238</v>
      </c>
      <c r="G22" s="781"/>
      <c r="H22" s="781"/>
      <c r="I22" s="781"/>
      <c r="J22" s="781"/>
      <c r="K22" s="781"/>
      <c r="L22" s="781"/>
      <c r="M22" s="781"/>
      <c r="N22" s="781"/>
      <c r="O22" s="781"/>
      <c r="P22" s="781"/>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781"/>
      <c r="AN22" s="781"/>
    </row>
    <row r="23" spans="3:43" ht="15.95" customHeight="1" x14ac:dyDescent="0.25"/>
    <row r="24" spans="3:43" ht="15.95" customHeight="1" thickBot="1" x14ac:dyDescent="0.3">
      <c r="C24" s="670" t="s">
        <v>831</v>
      </c>
      <c r="D24" s="597"/>
      <c r="E24" s="597"/>
      <c r="F24" s="597"/>
      <c r="G24" s="597"/>
      <c r="H24" s="597"/>
      <c r="J24" s="670" t="s">
        <v>857</v>
      </c>
      <c r="K24" s="597"/>
      <c r="L24" s="597"/>
      <c r="M24" s="597"/>
      <c r="N24" s="597"/>
      <c r="O24" s="597"/>
      <c r="Q24" s="670" t="s">
        <v>838</v>
      </c>
      <c r="R24" s="597"/>
      <c r="S24" s="597"/>
      <c r="T24" s="597"/>
      <c r="U24" s="597"/>
      <c r="V24" s="597"/>
      <c r="W24" s="76"/>
      <c r="X24" s="670" t="s">
        <v>2217</v>
      </c>
      <c r="Y24" s="597"/>
      <c r="Z24" s="597"/>
      <c r="AA24" s="597"/>
      <c r="AB24" s="597"/>
      <c r="AC24" s="597"/>
      <c r="AD24" s="76"/>
      <c r="AE24" s="670" t="s">
        <v>2218</v>
      </c>
      <c r="AF24" s="597"/>
      <c r="AG24" s="597"/>
      <c r="AH24" s="597"/>
      <c r="AI24" s="597"/>
      <c r="AJ24" s="597"/>
    </row>
    <row r="25" spans="3:43" ht="15.95" customHeight="1" thickBot="1" x14ac:dyDescent="0.3">
      <c r="C25" s="778"/>
      <c r="D25" s="779"/>
      <c r="E25" s="779"/>
      <c r="F25" s="779"/>
      <c r="G25" s="779"/>
      <c r="H25" s="780"/>
      <c r="J25" s="778"/>
      <c r="K25" s="779"/>
      <c r="L25" s="779"/>
      <c r="M25" s="779"/>
      <c r="N25" s="779"/>
      <c r="O25" s="780"/>
      <c r="Q25" s="778"/>
      <c r="R25" s="779"/>
      <c r="S25" s="779"/>
      <c r="T25" s="779"/>
      <c r="U25" s="779"/>
      <c r="V25" s="780"/>
      <c r="W25" s="76"/>
      <c r="X25" s="778"/>
      <c r="Y25" s="779"/>
      <c r="Z25" s="779"/>
      <c r="AA25" s="779"/>
      <c r="AB25" s="779"/>
      <c r="AC25" s="780"/>
      <c r="AD25" s="76"/>
      <c r="AE25" s="692"/>
      <c r="AF25" s="693"/>
      <c r="AG25" s="693"/>
      <c r="AH25" s="693"/>
      <c r="AI25" s="693"/>
      <c r="AJ25" s="694"/>
    </row>
    <row r="26" spans="3:43" ht="15.95" customHeight="1" x14ac:dyDescent="0.25"/>
    <row r="27" spans="3:43" ht="15.95" customHeight="1" thickBot="1" x14ac:dyDescent="0.3">
      <c r="C27" s="597" t="s">
        <v>862</v>
      </c>
      <c r="D27" s="597"/>
      <c r="E27" s="597"/>
      <c r="F27" s="597"/>
      <c r="G27" s="597"/>
      <c r="H27" s="597"/>
      <c r="J27" s="597" t="s">
        <v>863</v>
      </c>
      <c r="K27" s="597"/>
      <c r="L27" s="597"/>
      <c r="M27" s="597"/>
      <c r="N27" s="597"/>
      <c r="O27" s="597"/>
    </row>
    <row r="28" spans="3:43" ht="15.95" customHeight="1" thickBot="1" x14ac:dyDescent="0.3">
      <c r="C28" s="663"/>
      <c r="D28" s="661"/>
      <c r="E28" s="661"/>
      <c r="F28" s="661"/>
      <c r="G28" s="661"/>
      <c r="H28" s="662"/>
      <c r="J28" s="515"/>
      <c r="K28" s="129" t="s">
        <v>430</v>
      </c>
      <c r="L28" s="793"/>
      <c r="M28" s="701"/>
      <c r="N28" s="701"/>
      <c r="O28" s="702"/>
    </row>
    <row r="29" spans="3:43" ht="15.95" customHeight="1" x14ac:dyDescent="0.25"/>
    <row r="30" spans="3:43" ht="15.95" customHeight="1" x14ac:dyDescent="0.25">
      <c r="C30" s="69" t="s">
        <v>215</v>
      </c>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row>
    <row r="31" spans="3:43" ht="15.95" customHeight="1" x14ac:dyDescent="0.25">
      <c r="C31" s="783" t="str">
        <f>IF(M02S04F01="","",INDEX(PAYMENT[Terms],MATCH(M02S04F01,PAYMENT[Payment to],0)))</f>
        <v/>
      </c>
      <c r="D31" s="784"/>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4"/>
      <c r="AC31" s="784"/>
      <c r="AD31" s="784"/>
      <c r="AE31" s="784"/>
      <c r="AF31" s="784"/>
      <c r="AG31" s="784"/>
      <c r="AH31" s="784"/>
      <c r="AI31" s="784"/>
      <c r="AJ31" s="784"/>
      <c r="AK31" s="784"/>
      <c r="AL31" s="784"/>
      <c r="AM31" s="784"/>
      <c r="AN31" s="784"/>
      <c r="AO31" s="784"/>
      <c r="AP31" s="784"/>
      <c r="AQ31" s="785"/>
    </row>
    <row r="32" spans="3:43" ht="15.95" customHeight="1" x14ac:dyDescent="0.25">
      <c r="C32" s="786"/>
      <c r="D32" s="787"/>
      <c r="E32" s="787"/>
      <c r="F32" s="787"/>
      <c r="G32" s="787"/>
      <c r="H32" s="787"/>
      <c r="I32" s="787"/>
      <c r="J32" s="787"/>
      <c r="K32" s="787"/>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8"/>
    </row>
    <row r="33" spans="3:43" ht="15.95" customHeight="1" x14ac:dyDescent="0.25">
      <c r="C33" s="786"/>
      <c r="D33" s="787"/>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8"/>
    </row>
    <row r="34" spans="3:43" ht="15.95" customHeight="1" x14ac:dyDescent="0.25">
      <c r="C34" s="786"/>
      <c r="D34" s="787"/>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787"/>
      <c r="AN34" s="787"/>
      <c r="AO34" s="787"/>
      <c r="AP34" s="787"/>
      <c r="AQ34" s="788"/>
    </row>
    <row r="35" spans="3:43" ht="15.95" customHeight="1" x14ac:dyDescent="0.25">
      <c r="C35" s="786"/>
      <c r="D35" s="787"/>
      <c r="E35" s="787"/>
      <c r="F35" s="787"/>
      <c r="G35" s="787"/>
      <c r="H35" s="787"/>
      <c r="I35" s="787"/>
      <c r="J35" s="787"/>
      <c r="K35" s="787"/>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8"/>
    </row>
    <row r="36" spans="3:43" ht="15.95" customHeight="1" x14ac:dyDescent="0.25">
      <c r="C36" s="786"/>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7"/>
      <c r="AN36" s="787"/>
      <c r="AO36" s="787"/>
      <c r="AP36" s="787"/>
      <c r="AQ36" s="788"/>
    </row>
    <row r="37" spans="3:43" ht="15.95" customHeight="1" x14ac:dyDescent="0.25">
      <c r="C37" s="786"/>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8"/>
    </row>
    <row r="38" spans="3:43" ht="15.95" customHeight="1" x14ac:dyDescent="0.25">
      <c r="C38" s="789"/>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1"/>
    </row>
    <row r="39" spans="3:43" ht="15.95" customHeight="1" x14ac:dyDescent="0.25">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row>
    <row r="40" spans="3:43" ht="15.95" customHeight="1" x14ac:dyDescent="0.25">
      <c r="C40" s="69"/>
      <c r="D40" s="792" t="s">
        <v>1129</v>
      </c>
      <c r="E40" s="792"/>
      <c r="F40" s="792"/>
      <c r="G40" s="792"/>
      <c r="H40" s="792"/>
      <c r="I40" s="792"/>
      <c r="J40" s="792"/>
      <c r="K40" s="792"/>
      <c r="L40" s="79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792"/>
    </row>
    <row r="41" spans="3:43" ht="15.95" customHeight="1" x14ac:dyDescent="0.25">
      <c r="C41" s="78"/>
      <c r="D41" s="792"/>
      <c r="E41" s="792"/>
      <c r="F41" s="792"/>
      <c r="G41" s="792"/>
      <c r="H41" s="792"/>
      <c r="I41" s="792"/>
      <c r="J41" s="792"/>
      <c r="K41" s="792"/>
      <c r="L41" s="792"/>
      <c r="M41" s="792"/>
      <c r="N41" s="792"/>
      <c r="O41" s="792"/>
      <c r="P41" s="792"/>
      <c r="Q41" s="792"/>
      <c r="R41" s="792"/>
      <c r="S41" s="792"/>
      <c r="T41" s="792"/>
      <c r="U41" s="792"/>
      <c r="V41" s="792"/>
      <c r="W41" s="792"/>
      <c r="X41" s="792"/>
      <c r="Y41" s="792"/>
      <c r="Z41" s="792"/>
      <c r="AA41" s="792"/>
      <c r="AB41" s="792"/>
      <c r="AC41" s="792"/>
      <c r="AD41" s="792"/>
      <c r="AE41" s="792"/>
      <c r="AF41" s="792"/>
      <c r="AG41" s="792"/>
      <c r="AH41" s="792"/>
      <c r="AI41" s="792"/>
      <c r="AJ41" s="792"/>
      <c r="AK41" s="792"/>
      <c r="AL41" s="792"/>
      <c r="AM41" s="792"/>
      <c r="AN41" s="792"/>
      <c r="AO41" s="792"/>
      <c r="AP41" s="792"/>
      <c r="AQ41" s="792"/>
    </row>
    <row r="42" spans="3:43" ht="15.95"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spans="3:43" ht="15.95" hidden="1" customHeight="1" x14ac:dyDescent="0.25"/>
    <row r="50" spans="3:43" ht="15.95" hidden="1" customHeight="1" x14ac:dyDescent="0.25"/>
    <row r="51" spans="3:43" ht="15.95" hidden="1" customHeight="1" x14ac:dyDescent="0.25"/>
    <row r="52" spans="3:43" ht="15.95" hidden="1" customHeight="1" x14ac:dyDescent="0.25"/>
    <row r="53" spans="3:43" ht="15.95" hidden="1" customHeight="1" x14ac:dyDescent="0.25"/>
    <row r="54" spans="3:43" ht="15.95" hidden="1" customHeight="1" x14ac:dyDescent="0.25"/>
    <row r="55" spans="3:43" ht="15.95" hidden="1" customHeight="1" x14ac:dyDescent="0.25"/>
    <row r="56" spans="3:43" ht="15.95" hidden="1" customHeight="1" x14ac:dyDescent="0.25"/>
    <row r="57" spans="3:43" ht="15.95" hidden="1" customHeight="1" x14ac:dyDescent="0.25"/>
    <row r="58" spans="3:43" ht="15.95" hidden="1" customHeight="1" x14ac:dyDescent="0.25"/>
    <row r="59" spans="3:43" ht="15.95" hidden="1" customHeight="1" x14ac:dyDescent="0.25"/>
    <row r="60" spans="3:43" ht="15.95" hidden="1" customHeight="1" x14ac:dyDescent="0.25"/>
    <row r="61" spans="3:43" ht="15.95" hidden="1" customHeight="1" x14ac:dyDescent="0.25"/>
    <row r="62" spans="3:43" ht="15.95" hidden="1" customHeight="1" x14ac:dyDescent="0.25"/>
    <row r="63" spans="3:43" ht="15.95" hidden="1" customHeight="1" x14ac:dyDescent="0.25"/>
    <row r="64" spans="3:43" ht="15.95" hidden="1" customHeight="1" x14ac:dyDescent="0.25">
      <c r="C64" s="1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row>
    <row r="65" spans="3:43" ht="15.95" hidden="1" customHeight="1" x14ac:dyDescent="0.25">
      <c r="C65" s="1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row>
    <row r="66" spans="3:43" ht="15.95" hidden="1" customHeight="1" x14ac:dyDescent="0.25">
      <c r="C66" s="1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c r="AM66" s="67"/>
      <c r="AN66" s="67"/>
      <c r="AO66" s="67"/>
      <c r="AP66" s="67"/>
      <c r="AQ66" s="67"/>
    </row>
    <row r="67" spans="3:43" ht="15.95" hidden="1" customHeight="1" x14ac:dyDescent="0.25">
      <c r="C67" s="1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row>
    <row r="68" spans="3:43" ht="15.95" hidden="1" customHeight="1" x14ac:dyDescent="0.25">
      <c r="C68" s="1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c r="AK68" s="67"/>
      <c r="AL68" s="67"/>
      <c r="AM68" s="67"/>
      <c r="AN68" s="67"/>
      <c r="AO68" s="67"/>
      <c r="AP68" s="67"/>
      <c r="AQ68" s="67"/>
    </row>
    <row r="69" spans="3:43" ht="15.95" hidden="1" customHeight="1" x14ac:dyDescent="0.25">
      <c r="C69" s="1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c r="AK69" s="67"/>
      <c r="AL69" s="67"/>
      <c r="AM69" s="67"/>
      <c r="AN69" s="67"/>
      <c r="AO69" s="67"/>
      <c r="AP69" s="67"/>
      <c r="AQ69" s="67"/>
    </row>
    <row r="70" spans="3:43" ht="15.95" hidden="1" customHeight="1" x14ac:dyDescent="0.25">
      <c r="C70" s="1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c r="AK70" s="67"/>
      <c r="AL70" s="67"/>
      <c r="AM70" s="67"/>
      <c r="AN70" s="67"/>
      <c r="AO70" s="67"/>
      <c r="AP70" s="67"/>
      <c r="AQ70" s="67"/>
    </row>
    <row r="71" spans="3:43" ht="15.95" hidden="1" customHeight="1" x14ac:dyDescent="0.25">
      <c r="C71" s="1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row>
    <row r="72" spans="3:43" ht="15.95" hidden="1" customHeight="1" x14ac:dyDescent="0.25">
      <c r="C72" s="1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row>
    <row r="73" spans="3:43" ht="15.95" hidden="1" customHeight="1" x14ac:dyDescent="0.25">
      <c r="C73" s="1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row>
    <row r="74" spans="3:43" ht="15.95" hidden="1" customHeight="1" x14ac:dyDescent="0.25">
      <c r="C74" s="1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row>
    <row r="75" spans="3:43" ht="15.95" hidden="1" customHeight="1" x14ac:dyDescent="0.25">
      <c r="C75" s="1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row>
    <row r="76" spans="3:43" ht="15.95" hidden="1" customHeight="1" x14ac:dyDescent="0.25">
      <c r="C76" s="1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row>
    <row r="77" spans="3:43" ht="15.95" hidden="1" customHeight="1" x14ac:dyDescent="0.25">
      <c r="C77" s="1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row>
    <row r="78" spans="3:43" ht="15.95" hidden="1" customHeight="1" x14ac:dyDescent="0.25">
      <c r="C78" s="1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row>
    <row r="79" spans="3:43" ht="15.95" hidden="1" customHeight="1" x14ac:dyDescent="0.25">
      <c r="C79" s="1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row>
    <row r="80" spans="3:43" ht="15.95" hidden="1" customHeight="1" x14ac:dyDescent="0.25">
      <c r="C80" s="1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c r="AK80" s="67"/>
      <c r="AL80" s="67"/>
      <c r="AM80" s="67"/>
      <c r="AN80" s="67"/>
      <c r="AO80" s="67"/>
      <c r="AP80" s="67"/>
      <c r="AQ80" s="67"/>
    </row>
    <row r="81" spans="3:43" ht="15.95" hidden="1" customHeight="1" x14ac:dyDescent="0.25">
      <c r="C81" s="1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row>
    <row r="82" spans="3:43" ht="15.95" hidden="1" customHeight="1" x14ac:dyDescent="0.25">
      <c r="C82" s="1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row>
    <row r="83" spans="3:43" ht="15.95" hidden="1" customHeight="1" x14ac:dyDescent="0.25">
      <c r="C83" s="1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row>
    <row r="84" spans="3:43" ht="15.95" hidden="1" customHeight="1" x14ac:dyDescent="0.25">
      <c r="C84" s="1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row>
    <row r="85" spans="3:43" ht="15.95" hidden="1" customHeight="1" x14ac:dyDescent="0.25">
      <c r="C85" s="1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row>
    <row r="86" spans="3:43" ht="15.95" hidden="1" customHeight="1" x14ac:dyDescent="0.25">
      <c r="C86" s="1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c r="AK86" s="67"/>
      <c r="AL86" s="67"/>
      <c r="AM86" s="67"/>
      <c r="AN86" s="67"/>
      <c r="AO86" s="67"/>
      <c r="AP86" s="67"/>
      <c r="AQ86" s="67"/>
    </row>
    <row r="87" spans="3:43" ht="15.95" hidden="1" customHeight="1" x14ac:dyDescent="0.25">
      <c r="C87" s="1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row>
    <row r="88" spans="3:43" ht="15.95" hidden="1" customHeight="1" x14ac:dyDescent="0.25">
      <c r="C88" s="1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row>
    <row r="89" spans="3:43" ht="15.95" hidden="1" customHeight="1" x14ac:dyDescent="0.25">
      <c r="C89" s="1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c r="AK89" s="67"/>
      <c r="AL89" s="67"/>
      <c r="AM89" s="67"/>
      <c r="AN89" s="67"/>
      <c r="AO89" s="67"/>
      <c r="AP89" s="67"/>
      <c r="AQ89" s="67"/>
    </row>
    <row r="90" spans="3:43" ht="15.95" hidden="1" customHeight="1" x14ac:dyDescent="0.25">
      <c r="C90" s="1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c r="AK90" s="67"/>
      <c r="AL90" s="67"/>
      <c r="AM90" s="67"/>
      <c r="AN90" s="67"/>
      <c r="AO90" s="67"/>
      <c r="AP90" s="67"/>
      <c r="AQ90" s="67"/>
    </row>
    <row r="91" spans="3:43" ht="15.95" hidden="1" customHeight="1" x14ac:dyDescent="0.25">
      <c r="C91" s="1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row>
    <row r="92" spans="3:43" ht="15.95" hidden="1" customHeight="1" x14ac:dyDescent="0.25">
      <c r="C92" s="1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row>
    <row r="93" spans="3:43" ht="15.95" hidden="1" customHeight="1" x14ac:dyDescent="0.25">
      <c r="C93" s="1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row>
    <row r="94" spans="3:43" ht="15.95" hidden="1" customHeight="1" x14ac:dyDescent="0.25">
      <c r="C94" s="1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row>
    <row r="95" spans="3:43" ht="15.95" hidden="1" customHeight="1" x14ac:dyDescent="0.25">
      <c r="C95" s="1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c r="AK95" s="67"/>
      <c r="AL95" s="67"/>
      <c r="AM95" s="67"/>
      <c r="AN95" s="67"/>
      <c r="AO95" s="67"/>
      <c r="AP95" s="67"/>
      <c r="AQ95" s="67"/>
    </row>
    <row r="96" spans="3:43" ht="15.95" hidden="1" customHeight="1" x14ac:dyDescent="0.25">
      <c r="C96" s="1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row>
    <row r="97" spans="3:43" ht="15.95" hidden="1" customHeight="1" x14ac:dyDescent="0.25">
      <c r="C97" s="1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c r="AK97" s="67"/>
      <c r="AL97" s="67"/>
      <c r="AM97" s="67"/>
      <c r="AN97" s="67"/>
      <c r="AO97" s="67"/>
      <c r="AP97" s="67"/>
      <c r="AQ97" s="67"/>
    </row>
    <row r="98" spans="3:43" ht="15.95" hidden="1" customHeight="1" x14ac:dyDescent="0.25">
      <c r="C98" s="1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c r="AK98" s="67"/>
      <c r="AL98" s="67"/>
      <c r="AM98" s="67"/>
      <c r="AN98" s="67"/>
      <c r="AO98" s="67"/>
      <c r="AP98" s="67"/>
      <c r="AQ98" s="67"/>
    </row>
    <row r="99" spans="3:43" ht="15.95" hidden="1" customHeight="1" x14ac:dyDescent="0.25">
      <c r="C99" s="1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c r="AK99" s="67"/>
      <c r="AL99" s="67"/>
      <c r="AM99" s="67"/>
      <c r="AN99" s="67"/>
      <c r="AO99" s="67"/>
      <c r="AP99" s="67"/>
      <c r="AQ99" s="67"/>
    </row>
    <row r="100" spans="3:43" ht="15.95" hidden="1" customHeight="1" x14ac:dyDescent="0.25">
      <c r="C100" s="1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row>
    <row r="101" spans="3:43" ht="15.95" hidden="1" customHeight="1" x14ac:dyDescent="0.25">
      <c r="C101" s="1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row>
    <row r="102" spans="3:43" ht="15.95" hidden="1" customHeight="1" x14ac:dyDescent="0.25">
      <c r="C102" s="1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row>
    <row r="103" spans="3:43" ht="15.95" hidden="1" customHeight="1" x14ac:dyDescent="0.25">
      <c r="C103" s="1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row>
    <row r="104" spans="3:43" ht="15.95" hidden="1" customHeight="1" x14ac:dyDescent="0.25">
      <c r="C104" s="1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row>
    <row r="105" spans="3:43" ht="15.95" hidden="1" customHeight="1" x14ac:dyDescent="0.25">
      <c r="C105" s="1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row>
    <row r="106" spans="3:43" ht="15.95" hidden="1" customHeight="1" x14ac:dyDescent="0.25">
      <c r="C106" s="1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row>
    <row r="107" spans="3:43" ht="15.95" hidden="1" customHeight="1" x14ac:dyDescent="0.25">
      <c r="C107" s="1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row>
    <row r="108" spans="3:43" ht="15.95" hidden="1" customHeight="1" x14ac:dyDescent="0.25">
      <c r="C108" s="1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row>
    <row r="109" spans="3:43" ht="15.95" hidden="1" customHeight="1" x14ac:dyDescent="0.25">
      <c r="C109" s="1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row>
    <row r="110" spans="3:43" ht="15.95" hidden="1" customHeight="1" x14ac:dyDescent="0.25">
      <c r="C110" s="1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row>
    <row r="111" spans="3:43" ht="15.95" hidden="1" customHeight="1" x14ac:dyDescent="0.25">
      <c r="C111" s="1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row>
    <row r="112" spans="3:43" ht="15.95" hidden="1" customHeight="1" x14ac:dyDescent="0.25">
      <c r="C112" s="1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row>
    <row r="113" spans="3:43" ht="15.95" hidden="1" customHeight="1" x14ac:dyDescent="0.25">
      <c r="C113" s="1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row>
    <row r="114" spans="3:43" ht="15.95" hidden="1" customHeight="1" x14ac:dyDescent="0.25">
      <c r="C114" s="1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row>
    <row r="115" spans="3:43" ht="15.95" hidden="1" customHeight="1" x14ac:dyDescent="0.25">
      <c r="C115" s="1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row>
    <row r="116" spans="3:43" ht="15.95" hidden="1" customHeight="1" x14ac:dyDescent="0.25">
      <c r="C116" s="1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row>
    <row r="117" spans="3:43" ht="15.95" hidden="1" customHeight="1" x14ac:dyDescent="0.25">
      <c r="C117" s="1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c r="AK117" s="67"/>
      <c r="AL117" s="67"/>
      <c r="AM117" s="67"/>
      <c r="AN117" s="67"/>
      <c r="AO117" s="67"/>
      <c r="AP117" s="67"/>
      <c r="AQ117" s="67"/>
    </row>
    <row r="118" spans="3:43" ht="15.95" hidden="1" customHeight="1" x14ac:dyDescent="0.25">
      <c r="C118" s="1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c r="AK118" s="67"/>
      <c r="AL118" s="67"/>
      <c r="AM118" s="67"/>
      <c r="AN118" s="67"/>
      <c r="AO118" s="67"/>
      <c r="AP118" s="67"/>
      <c r="AQ118" s="67"/>
    </row>
    <row r="119" spans="3:43" ht="15.95" hidden="1" customHeight="1" x14ac:dyDescent="0.25">
      <c r="C119" s="1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row>
    <row r="120" spans="3:43" ht="15.95" hidden="1" customHeight="1" x14ac:dyDescent="0.25">
      <c r="C120" s="1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c r="AK120" s="67"/>
      <c r="AL120" s="67"/>
      <c r="AM120" s="67"/>
      <c r="AN120" s="67"/>
      <c r="AO120" s="67"/>
      <c r="AP120" s="67"/>
      <c r="AQ120" s="67"/>
    </row>
    <row r="121" spans="3:43" ht="15.95" hidden="1" customHeight="1" x14ac:dyDescent="0.25">
      <c r="C121" s="1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row>
    <row r="122" spans="3:43" ht="15.95" hidden="1" customHeight="1" x14ac:dyDescent="0.25">
      <c r="C122" s="1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c r="AK122" s="67"/>
      <c r="AL122" s="67"/>
      <c r="AM122" s="67"/>
      <c r="AN122" s="67"/>
      <c r="AO122" s="67"/>
      <c r="AP122" s="67"/>
      <c r="AQ122" s="67"/>
    </row>
    <row r="123" spans="3:43" ht="15.95" hidden="1" customHeight="1" x14ac:dyDescent="0.25">
      <c r="C123" s="1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c r="AK123" s="67"/>
      <c r="AL123" s="67"/>
      <c r="AM123" s="67"/>
      <c r="AN123" s="67"/>
      <c r="AO123" s="67"/>
      <c r="AP123" s="67"/>
      <c r="AQ123" s="67"/>
    </row>
    <row r="124" spans="3:43" ht="15.95" hidden="1" customHeight="1" x14ac:dyDescent="0.25">
      <c r="C124" s="1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row>
    <row r="125" spans="3:43" ht="15.95" hidden="1" customHeight="1" x14ac:dyDescent="0.25">
      <c r="C125" s="1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row>
    <row r="126" spans="3:43" ht="15.95" hidden="1" customHeight="1" x14ac:dyDescent="0.25">
      <c r="C126" s="1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row>
    <row r="127" spans="3:43" ht="15.95" hidden="1" customHeight="1" x14ac:dyDescent="0.25">
      <c r="C127" s="1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row>
    <row r="128" spans="3:43" ht="15.95" hidden="1" customHeight="1" x14ac:dyDescent="0.25">
      <c r="C128" s="1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c r="AK128" s="67"/>
      <c r="AL128" s="67"/>
      <c r="AM128" s="67"/>
      <c r="AN128" s="67"/>
      <c r="AO128" s="67"/>
      <c r="AP128" s="67"/>
      <c r="AQ128" s="67"/>
    </row>
    <row r="129" spans="3:43" ht="15.95" hidden="1" customHeight="1" x14ac:dyDescent="0.25">
      <c r="C129" s="1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row>
    <row r="130" spans="3:43" ht="15.95" hidden="1" customHeight="1" x14ac:dyDescent="0.25">
      <c r="C130" s="1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row>
    <row r="131" spans="3:43" ht="15.95" hidden="1" customHeight="1" x14ac:dyDescent="0.25">
      <c r="C131" s="1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row>
    <row r="132" spans="3:43" ht="15.95" hidden="1" customHeight="1" x14ac:dyDescent="0.25">
      <c r="C132" s="1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row>
    <row r="133" spans="3:43" ht="15.95" hidden="1" customHeight="1" x14ac:dyDescent="0.25">
      <c r="C133" s="1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row>
    <row r="134" spans="3:43" ht="15.95" hidden="1" customHeight="1" x14ac:dyDescent="0.25">
      <c r="C134" s="1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row>
    <row r="135" spans="3:43" ht="15.95" hidden="1" customHeight="1" x14ac:dyDescent="0.25">
      <c r="C135" s="1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row>
    <row r="136" spans="3:43" ht="15.95" hidden="1" customHeight="1" x14ac:dyDescent="0.25">
      <c r="C136" s="1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row>
    <row r="137" spans="3:43" ht="15.95" hidden="1" customHeight="1" x14ac:dyDescent="0.25">
      <c r="C137" s="1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row>
    <row r="138" spans="3:43" ht="15.95" hidden="1" customHeight="1" x14ac:dyDescent="0.25">
      <c r="C138" s="1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row>
    <row r="139" spans="3:43" ht="15.95" hidden="1" customHeight="1" x14ac:dyDescent="0.25">
      <c r="C139" s="1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c r="AJ139" s="67"/>
      <c r="AK139" s="67"/>
      <c r="AL139" s="67"/>
      <c r="AM139" s="67"/>
      <c r="AN139" s="67"/>
      <c r="AO139" s="67"/>
      <c r="AP139" s="67"/>
      <c r="AQ139" s="67"/>
    </row>
    <row r="140" spans="3:43" ht="15.95" hidden="1" customHeight="1" x14ac:dyDescent="0.25">
      <c r="C140" s="1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row>
    <row r="141" spans="3:43" ht="15.95" hidden="1" customHeight="1" x14ac:dyDescent="0.25">
      <c r="C141" s="1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67"/>
      <c r="AP141" s="67"/>
      <c r="AQ141" s="67"/>
    </row>
    <row r="142" spans="3:43" ht="15.95" hidden="1" customHeight="1" x14ac:dyDescent="0.25">
      <c r="C142" s="1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67"/>
      <c r="AP142" s="67"/>
      <c r="AQ142" s="67"/>
    </row>
    <row r="143" spans="3:43" ht="15.95" hidden="1" customHeight="1" x14ac:dyDescent="0.25">
      <c r="C143" s="1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67"/>
      <c r="AP143" s="67"/>
      <c r="AQ143" s="67"/>
    </row>
    <row r="144" spans="3:43" ht="15.95" hidden="1" customHeight="1" x14ac:dyDescent="0.25">
      <c r="C144" s="1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67"/>
      <c r="AP144" s="67"/>
      <c r="AQ144" s="67"/>
    </row>
    <row r="145" spans="3:43" ht="15.95" hidden="1" customHeight="1" x14ac:dyDescent="0.25">
      <c r="C145" s="1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c r="AJ145" s="67"/>
      <c r="AK145" s="67"/>
      <c r="AL145" s="67"/>
      <c r="AM145" s="67"/>
      <c r="AN145" s="67"/>
      <c r="AO145" s="67"/>
      <c r="AP145" s="67"/>
      <c r="AQ145" s="67"/>
    </row>
    <row r="146" spans="3:43" ht="15.95" hidden="1" customHeight="1" x14ac:dyDescent="0.25">
      <c r="C146" s="1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row>
    <row r="147" spans="3:43" ht="15.95" hidden="1" customHeight="1" x14ac:dyDescent="0.25">
      <c r="C147" s="1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c r="AJ147" s="67"/>
      <c r="AK147" s="67"/>
      <c r="AL147" s="67"/>
      <c r="AM147" s="67"/>
      <c r="AN147" s="67"/>
      <c r="AO147" s="67"/>
      <c r="AP147" s="67"/>
      <c r="AQ147" s="67"/>
    </row>
    <row r="148" spans="3:43" ht="15.95" hidden="1" customHeight="1" x14ac:dyDescent="0.25">
      <c r="C148" s="1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row>
    <row r="149" spans="3:43" ht="15.95" hidden="1" customHeight="1" x14ac:dyDescent="0.25">
      <c r="C149" s="1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c r="AJ149" s="67"/>
      <c r="AK149" s="67"/>
      <c r="AL149" s="67"/>
      <c r="AM149" s="67"/>
      <c r="AN149" s="67"/>
      <c r="AO149" s="67"/>
      <c r="AP149" s="67"/>
      <c r="AQ149" s="67"/>
    </row>
    <row r="150" spans="3:43" ht="15.95" hidden="1" customHeight="1" x14ac:dyDescent="0.25">
      <c r="C150" s="1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row>
    <row r="151" spans="3:43" ht="15.95" hidden="1" customHeight="1" x14ac:dyDescent="0.25">
      <c r="C151" s="1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row>
    <row r="152" spans="3:43" ht="15.95" hidden="1" customHeight="1" x14ac:dyDescent="0.25">
      <c r="C152" s="1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row>
    <row r="153" spans="3:43" ht="15.95" hidden="1" customHeight="1" x14ac:dyDescent="0.25">
      <c r="C153" s="1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row>
    <row r="154" spans="3:43" ht="15.95" hidden="1" customHeight="1" x14ac:dyDescent="0.25">
      <c r="C154" s="1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row>
    <row r="155" spans="3:43" ht="15.95" hidden="1" customHeight="1" x14ac:dyDescent="0.25">
      <c r="C155" s="1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c r="AJ155" s="67"/>
      <c r="AK155" s="67"/>
      <c r="AL155" s="67"/>
      <c r="AM155" s="67"/>
      <c r="AN155" s="67"/>
      <c r="AO155" s="67"/>
      <c r="AP155" s="67"/>
      <c r="AQ155" s="67"/>
    </row>
    <row r="156" spans="3:43" ht="15.95" hidden="1" customHeight="1" x14ac:dyDescent="0.25">
      <c r="C156" s="1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row>
    <row r="157" spans="3:43" ht="15.95" hidden="1" customHeight="1" x14ac:dyDescent="0.25">
      <c r="C157" s="1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c r="AJ157" s="67"/>
      <c r="AK157" s="67"/>
      <c r="AL157" s="67"/>
      <c r="AM157" s="67"/>
      <c r="AN157" s="67"/>
      <c r="AO157" s="67"/>
      <c r="AP157" s="67"/>
      <c r="AQ157" s="67"/>
    </row>
    <row r="158" spans="3:43" ht="15.95" hidden="1" customHeight="1" x14ac:dyDescent="0.25">
      <c r="C158" s="1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row>
    <row r="159" spans="3:43" ht="15.95" hidden="1" customHeight="1" x14ac:dyDescent="0.25">
      <c r="C159" s="1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c r="AJ159" s="67"/>
      <c r="AK159" s="67"/>
      <c r="AL159" s="67"/>
      <c r="AM159" s="67"/>
      <c r="AN159" s="67"/>
      <c r="AO159" s="67"/>
      <c r="AP159" s="67"/>
      <c r="AQ159" s="67"/>
    </row>
    <row r="160" spans="3:43" ht="15.95" hidden="1" customHeight="1" x14ac:dyDescent="0.25">
      <c r="C160" s="1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row>
    <row r="161" spans="3:43" ht="15.95" hidden="1" customHeight="1" x14ac:dyDescent="0.25">
      <c r="C161" s="1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row>
    <row r="162" spans="3:43" ht="15.95" hidden="1" customHeight="1" x14ac:dyDescent="0.25">
      <c r="C162" s="1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row>
    <row r="163" spans="3:43" ht="15.95" hidden="1" customHeight="1" x14ac:dyDescent="0.25">
      <c r="C163" s="1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c r="AJ163" s="67"/>
      <c r="AK163" s="67"/>
      <c r="AL163" s="67"/>
      <c r="AM163" s="67"/>
      <c r="AN163" s="67"/>
      <c r="AO163" s="67"/>
      <c r="AP163" s="67"/>
      <c r="AQ163" s="67"/>
    </row>
    <row r="164" spans="3:43" ht="15.95" hidden="1" customHeight="1" x14ac:dyDescent="0.25">
      <c r="C164" s="1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c r="AJ164" s="67"/>
      <c r="AK164" s="67"/>
      <c r="AL164" s="67"/>
      <c r="AM164" s="67"/>
      <c r="AN164" s="67"/>
      <c r="AO164" s="67"/>
      <c r="AP164" s="67"/>
      <c r="AQ164" s="67"/>
    </row>
    <row r="165" spans="3:43" ht="15.95" hidden="1" customHeight="1" x14ac:dyDescent="0.25">
      <c r="C165" s="1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row>
    <row r="166" spans="3:43" ht="15.95" hidden="1" customHeight="1" x14ac:dyDescent="0.25">
      <c r="C166" s="1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row>
    <row r="167" spans="3:43" ht="15.95" hidden="1" customHeight="1" x14ac:dyDescent="0.25">
      <c r="C167" s="1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c r="AJ167" s="67"/>
      <c r="AK167" s="67"/>
      <c r="AL167" s="67"/>
      <c r="AM167" s="67"/>
      <c r="AN167" s="67"/>
      <c r="AO167" s="67"/>
      <c r="AP167" s="67"/>
      <c r="AQ167" s="67"/>
    </row>
    <row r="168" spans="3:43" ht="15.95" hidden="1" customHeight="1" x14ac:dyDescent="0.25">
      <c r="C168" s="1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row>
    <row r="169" spans="3:43" ht="15.95" hidden="1" customHeight="1" x14ac:dyDescent="0.25">
      <c r="C169" s="1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row>
    <row r="170" spans="3:43" ht="15.95" hidden="1" customHeight="1" x14ac:dyDescent="0.25">
      <c r="C170" s="1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c r="AJ170" s="67"/>
      <c r="AK170" s="67"/>
      <c r="AL170" s="67"/>
      <c r="AM170" s="67"/>
      <c r="AN170" s="67"/>
      <c r="AO170" s="67"/>
      <c r="AP170" s="67"/>
      <c r="AQ170" s="67"/>
    </row>
    <row r="171" spans="3:43" ht="15.95" hidden="1" customHeight="1" x14ac:dyDescent="0.25">
      <c r="C171" s="1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c r="AJ171" s="67"/>
      <c r="AK171" s="67"/>
      <c r="AL171" s="67"/>
      <c r="AM171" s="67"/>
      <c r="AN171" s="67"/>
      <c r="AO171" s="67"/>
      <c r="AP171" s="67"/>
      <c r="AQ171" s="67"/>
    </row>
    <row r="172" spans="3:43" ht="15.95" hidden="1" customHeight="1" x14ac:dyDescent="0.25">
      <c r="C172" s="1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row>
    <row r="173" spans="3:43" ht="15.95" hidden="1" customHeight="1" x14ac:dyDescent="0.25">
      <c r="C173" s="1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row>
    <row r="174" spans="3:43" ht="15.95" hidden="1" customHeight="1" x14ac:dyDescent="0.25">
      <c r="C174" s="1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row>
    <row r="175" spans="3:43" ht="15.95" hidden="1" customHeight="1" x14ac:dyDescent="0.25">
      <c r="C175" s="1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row>
    <row r="176" spans="3:43" ht="15.95" hidden="1" customHeight="1" x14ac:dyDescent="0.25">
      <c r="C176" s="1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c r="AJ176" s="67"/>
      <c r="AK176" s="67"/>
      <c r="AL176" s="67"/>
      <c r="AM176" s="67"/>
      <c r="AN176" s="67"/>
      <c r="AO176" s="67"/>
      <c r="AP176" s="67"/>
      <c r="AQ176" s="67"/>
    </row>
    <row r="177" spans="3:43" ht="15.95" hidden="1" customHeight="1" x14ac:dyDescent="0.25">
      <c r="C177" s="1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c r="AJ177" s="67"/>
      <c r="AK177" s="67"/>
      <c r="AL177" s="67"/>
      <c r="AM177" s="67"/>
      <c r="AN177" s="67"/>
      <c r="AO177" s="67"/>
      <c r="AP177" s="67"/>
      <c r="AQ177" s="67"/>
    </row>
    <row r="178" spans="3:43" ht="15.95" hidden="1" customHeight="1" x14ac:dyDescent="0.25">
      <c r="C178" s="1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c r="AJ178" s="67"/>
      <c r="AK178" s="67"/>
      <c r="AL178" s="67"/>
      <c r="AM178" s="67"/>
      <c r="AN178" s="67"/>
      <c r="AO178" s="67"/>
      <c r="AP178" s="67"/>
      <c r="AQ178" s="67"/>
    </row>
    <row r="179" spans="3:43" ht="15.95" hidden="1" customHeight="1" x14ac:dyDescent="0.25">
      <c r="C179" s="1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row>
    <row r="180" spans="3:43" ht="15.95" hidden="1" customHeight="1" x14ac:dyDescent="0.25">
      <c r="C180" s="1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c r="AJ180" s="67"/>
      <c r="AK180" s="67"/>
      <c r="AL180" s="67"/>
      <c r="AM180" s="67"/>
      <c r="AN180" s="67"/>
      <c r="AO180" s="67"/>
      <c r="AP180" s="67"/>
      <c r="AQ180" s="67"/>
    </row>
    <row r="181" spans="3:43" ht="15.95" hidden="1" customHeight="1" x14ac:dyDescent="0.25">
      <c r="C181" s="1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row>
    <row r="182" spans="3:43" ht="15.95" hidden="1" customHeight="1" x14ac:dyDescent="0.25">
      <c r="C182" s="1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row>
    <row r="183" spans="3:43" ht="15.95" hidden="1" customHeight="1" x14ac:dyDescent="0.25">
      <c r="C183" s="1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c r="AJ183" s="67"/>
      <c r="AK183" s="67"/>
      <c r="AL183" s="67"/>
      <c r="AM183" s="67"/>
      <c r="AN183" s="67"/>
      <c r="AO183" s="67"/>
      <c r="AP183" s="67"/>
      <c r="AQ183" s="67"/>
    </row>
    <row r="184" spans="3:43" ht="15.95" hidden="1" customHeight="1" x14ac:dyDescent="0.25">
      <c r="C184" s="1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row>
    <row r="185" spans="3:43" ht="15.95" hidden="1" customHeight="1" x14ac:dyDescent="0.25">
      <c r="C185" s="1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row>
    <row r="186" spans="3:43" ht="15.95" hidden="1" customHeight="1" x14ac:dyDescent="0.25">
      <c r="C186" s="1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row>
    <row r="187" spans="3:43" ht="15.95" hidden="1" customHeight="1" x14ac:dyDescent="0.25">
      <c r="C187" s="1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row>
    <row r="188" spans="3:43" ht="15.95" hidden="1" customHeight="1" x14ac:dyDescent="0.25">
      <c r="C188" s="1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row>
    <row r="189" spans="3:43" ht="15.95" hidden="1" customHeight="1" x14ac:dyDescent="0.25">
      <c r="C189" s="1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row>
    <row r="190" spans="3:43" ht="15.95" hidden="1" customHeight="1" x14ac:dyDescent="0.25">
      <c r="C190" s="1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row>
    <row r="191" spans="3:43" ht="15.95" hidden="1" customHeight="1" x14ac:dyDescent="0.25">
      <c r="C191" s="1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row>
    <row r="192" spans="3:43" ht="15.95" hidden="1" customHeight="1" x14ac:dyDescent="0.25">
      <c r="C192" s="1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row>
    <row r="193" spans="2:44" ht="15.95" hidden="1" customHeight="1" x14ac:dyDescent="0.25">
      <c r="C193" s="1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row>
    <row r="194" spans="2:44" ht="15.95" hidden="1" customHeight="1" x14ac:dyDescent="0.25">
      <c r="C194" s="1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row>
    <row r="195" spans="2:44" ht="15.95" hidden="1" customHeight="1" x14ac:dyDescent="0.25">
      <c r="C195" s="1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row>
    <row r="196" spans="2:44" ht="15.95" hidden="1" customHeight="1" x14ac:dyDescent="0.25">
      <c r="C196" s="1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row>
    <row r="197" spans="2:44" ht="15.95" hidden="1" customHeight="1" x14ac:dyDescent="0.25">
      <c r="C197" s="1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row>
    <row r="198" spans="2:44" ht="15.95" hidden="1" customHeight="1" x14ac:dyDescent="0.25">
      <c r="C198" s="1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row>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JL9X9NDb0227JGMhXzy00kOe5OfwalqRGfXtsacfkBqgS4cy0xjtHFlDJ472qO+51ZljQ1qLnHw2osdEmDpgCQ==" saltValue="KD/grDRfjT7UokOJ5uGDLw==" spinCount="100000" sheet="1" objects="1" scenarios="1" selectLockedCells="1"/>
  <mergeCells count="53">
    <mergeCell ref="Q1:R1"/>
    <mergeCell ref="U1:V1"/>
    <mergeCell ref="Y1:Z1"/>
    <mergeCell ref="M200:AG201"/>
    <mergeCell ref="C31:AQ38"/>
    <mergeCell ref="D40:AQ41"/>
    <mergeCell ref="J27:O27"/>
    <mergeCell ref="C19:H19"/>
    <mergeCell ref="J19:O19"/>
    <mergeCell ref="Q19:V19"/>
    <mergeCell ref="X19:AC19"/>
    <mergeCell ref="C28:H28"/>
    <mergeCell ref="L28:O28"/>
    <mergeCell ref="C18:H18"/>
    <mergeCell ref="J18:O18"/>
    <mergeCell ref="Q18:V18"/>
    <mergeCell ref="C27:H27"/>
    <mergeCell ref="AL16:AQ16"/>
    <mergeCell ref="C15:H15"/>
    <mergeCell ref="J15:O15"/>
    <mergeCell ref="Q15:V15"/>
    <mergeCell ref="X15:AC15"/>
    <mergeCell ref="AE15:AJ15"/>
    <mergeCell ref="AL15:AQ15"/>
    <mergeCell ref="C16:H16"/>
    <mergeCell ref="J16:O16"/>
    <mergeCell ref="Q16:V16"/>
    <mergeCell ref="X16:AC16"/>
    <mergeCell ref="AE16:AJ16"/>
    <mergeCell ref="X18:AC18"/>
    <mergeCell ref="F21:AN21"/>
    <mergeCell ref="F22:AN22"/>
    <mergeCell ref="AQ1:AR1"/>
    <mergeCell ref="AQ2:AR3"/>
    <mergeCell ref="AH1:AK1"/>
    <mergeCell ref="AL1:AP1"/>
    <mergeCell ref="AH2:AK3"/>
    <mergeCell ref="AL2:AP3"/>
    <mergeCell ref="F10:AN10"/>
    <mergeCell ref="F11:AN11"/>
    <mergeCell ref="C13:H13"/>
    <mergeCell ref="J13:O13"/>
    <mergeCell ref="AL13:AQ13"/>
    <mergeCell ref="X24:AC24"/>
    <mergeCell ref="AE24:AJ24"/>
    <mergeCell ref="Q25:V25"/>
    <mergeCell ref="X25:AC25"/>
    <mergeCell ref="AE25:AJ25"/>
    <mergeCell ref="C24:H24"/>
    <mergeCell ref="C25:H25"/>
    <mergeCell ref="J24:O24"/>
    <mergeCell ref="J25:O25"/>
    <mergeCell ref="Q24:V24"/>
  </mergeCells>
  <conditionalFormatting sqref="C20">
    <cfRule type="expression" dxfId="441" priority="1">
      <formula>ISNUMBER(SEARCH("Please enter a physical site address.",$C$20))</formula>
    </cfRule>
  </conditionalFormatting>
  <conditionalFormatting sqref="AH2 AL2">
    <cfRule type="expression" dxfId="440" priority="2">
      <formula>PROJSTATUS=PROJSTATELI</formula>
    </cfRule>
    <cfRule type="expression" dxfId="439" priority="3">
      <formula>PROJSTATUS=PROJSTATREVIEW</formula>
    </cfRule>
    <cfRule type="expression" dxfId="438" priority="4">
      <formula>PROJSTATUS=PROJSTATPREAPPROVE</formula>
    </cfRule>
    <cfRule type="expression" dxfId="437" priority="5">
      <formula>PROJSTATUS=PROJSTATSTANDARD</formula>
    </cfRule>
    <cfRule type="expression" dxfId="436" priority="6">
      <formula>PROJSTATUS=PROJSTATEXP</formula>
    </cfRule>
  </conditionalFormatting>
  <conditionalFormatting sqref="AL15:AQ16">
    <cfRule type="expression" dxfId="435" priority="31">
      <formula>M02S04F01&lt;&gt;"Site (Bill Credit)"</formula>
    </cfRule>
  </conditionalFormatting>
  <conditionalFormatting sqref="AQ2:AR3">
    <cfRule type="cellIs" dxfId="434" priority="9" operator="equal">
      <formula>1</formula>
    </cfRule>
    <cfRule type="cellIs" dxfId="433" priority="10" operator="between">
      <formula>0.51</formula>
      <formula>0.99</formula>
    </cfRule>
    <cfRule type="cellIs" dxfId="432" priority="11" operator="lessThanOrEqual">
      <formula>0.5</formula>
    </cfRule>
  </conditionalFormatting>
  <dataValidations count="6">
    <dataValidation type="list" allowBlank="1" showInputMessage="1" showErrorMessage="1" prompt="Selecting the Payment Type will autopopulate with selected option." sqref="J13:O13" xr:uid="{00000000-0002-0000-1100-000000000000}">
      <formula1>PAYMENTTYPE</formula1>
    </dataValidation>
    <dataValidation type="list" allowBlank="1" showInputMessage="1" showErrorMessage="1" sqref="Q19:V19 X25:AC25" xr:uid="{00000000-0002-0000-1100-000001000000}">
      <formula1>STATESABBREV</formula1>
    </dataValidation>
    <dataValidation type="textLength" operator="equal" allowBlank="1" showInputMessage="1" showErrorMessage="1" error="Please enter only the first 2 digits of the Tax ID" prompt="Please enter only the first 2 digits of the Tax ID" sqref="J28" xr:uid="{00000000-0002-0000-1100-000002000000}">
      <formula1>2</formula1>
    </dataValidation>
    <dataValidation type="textLength" operator="equal" allowBlank="1" showInputMessage="1" showErrorMessage="1" error="Please enter only the last 7 digits of the Tax ID" prompt="Please enter only the last 7 digits of the Tax ID" sqref="L28:O28" xr:uid="{00000000-0002-0000-1100-000003000000}">
      <formula1>7</formula1>
    </dataValidation>
    <dataValidation type="list" allowBlank="1" showInputMessage="1" showErrorMessage="1" sqref="C28:H28" xr:uid="{00000000-0002-0000-1100-000004000000}">
      <formula1>TAX</formula1>
    </dataValidation>
    <dataValidation type="textLength" allowBlank="1" showInputMessage="1" sqref="AL16:AQ16" xr:uid="{00000000-0002-0000-1100-000005000000}">
      <formula1>5</formula1>
      <formula2>10</formula2>
    </dataValidation>
  </dataValidations>
  <hyperlinks>
    <hyperlink ref="B202" r:id="rId1" display="NIPSCO.Savings@LMCO.com" xr:uid="{00000000-0004-0000-1100-000000000000}"/>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0</xdr:colOff>
                    <xdr:row>39</xdr:row>
                    <xdr:rowOff>9525</xdr:rowOff>
                  </from>
                  <to>
                    <xdr:col>3</xdr:col>
                    <xdr:colOff>0</xdr:colOff>
                    <xdr:row>41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8">
    <pageSetUpPr fitToPage="1"/>
  </sheetPr>
  <dimension ref="A1:BK211"/>
  <sheetViews>
    <sheetView showGridLines="0" showRowColHeaders="0" zoomScale="85" zoomScaleNormal="85" workbookViewId="0">
      <selection activeCell="AH6" sqref="AH6:AI6"/>
    </sheetView>
  </sheetViews>
  <sheetFormatPr defaultColWidth="0" defaultRowHeight="0" customHeight="1" zeroHeight="1" x14ac:dyDescent="0.25"/>
  <cols>
    <col min="1" max="45" width="4.7109375" customWidth="1"/>
    <col min="46" max="68" width="9.140625" hidden="1" customWidth="1"/>
    <col min="69" max="16384" width="9.140625" hidden="1"/>
  </cols>
  <sheetData>
    <row r="1" spans="2:60"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60"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60" ht="15.95" customHeight="1" x14ac:dyDescent="0.25">
      <c r="AH3" s="604"/>
      <c r="AI3" s="605"/>
      <c r="AJ3" s="605"/>
      <c r="AK3" s="605"/>
      <c r="AL3" s="614"/>
      <c r="AM3" s="614"/>
      <c r="AN3" s="614"/>
      <c r="AO3" s="614"/>
      <c r="AP3" s="614"/>
      <c r="AQ3" s="610"/>
      <c r="AR3" s="611"/>
    </row>
    <row r="4" spans="2:60" ht="15.95" customHeight="1" x14ac:dyDescent="0.25"/>
    <row r="5" spans="2:60"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0"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1050"/>
      <c r="AI6" s="1050"/>
      <c r="AJ6" s="582"/>
      <c r="AK6" s="582"/>
      <c r="AL6" s="582"/>
      <c r="AM6" s="582"/>
      <c r="AN6" s="582"/>
      <c r="AO6" s="582"/>
      <c r="AP6" s="582"/>
      <c r="AQ6" s="296"/>
    </row>
    <row r="7" spans="2:60"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82"/>
      <c r="AK7" s="582"/>
      <c r="AL7" s="582"/>
      <c r="AM7" s="582"/>
      <c r="AN7" s="582"/>
      <c r="AO7" s="582"/>
      <c r="AP7" s="582"/>
      <c r="AQ7" s="296"/>
    </row>
    <row r="8" spans="2:60"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60" ht="15.95" customHeight="1" x14ac:dyDescent="0.25">
      <c r="B9" s="69"/>
      <c r="C9" s="69"/>
      <c r="D9" s="69"/>
      <c r="E9" s="69"/>
      <c r="F9" s="69"/>
      <c r="G9" s="69"/>
      <c r="H9" s="69"/>
      <c r="I9" s="69"/>
      <c r="J9" s="69"/>
      <c r="K9" s="69"/>
      <c r="L9" s="69"/>
      <c r="M9" s="69"/>
      <c r="N9" s="69"/>
      <c r="O9" s="794" t="str">
        <f>IF(INCENSTATUS="---",CONCATENATE(M3S1," ","Summary"),IF(INCENSTATUS&gt;15000,"This project may require an inspection. Please submit photos of existing equipment and of new efficient equipment once installed.",CONCATENATE(M3S1," ","Summary")))</f>
        <v>Interior Linear-LED or Redesign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S9" s="69"/>
      <c r="AT9" s="69"/>
      <c r="AU9" s="69"/>
      <c r="AV9" s="69"/>
      <c r="AW9" s="69"/>
      <c r="AX9" s="69"/>
    </row>
    <row r="10" spans="2:60" ht="15.95" customHeight="1" x14ac:dyDescent="0.25">
      <c r="B10" s="69"/>
      <c r="C10" s="69"/>
      <c r="D10" s="69"/>
      <c r="E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S10" s="69"/>
      <c r="AT10" s="69"/>
      <c r="AU10" s="69"/>
      <c r="AV10" s="69"/>
      <c r="AW10" s="69"/>
      <c r="AX10" s="69"/>
    </row>
    <row r="11" spans="2:60" ht="15.95" customHeight="1" x14ac:dyDescent="0.3">
      <c r="B11" s="69"/>
      <c r="C11" s="69"/>
      <c r="D11" s="69"/>
      <c r="E11" s="69"/>
      <c r="J11" s="876" t="str">
        <f>IF(COUNTIF(BG22:BG77,"Yes")&gt;0,"The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858"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E11" s="858"/>
      <c r="AF11" s="858"/>
      <c r="AG11" s="858"/>
      <c r="AH11" s="858"/>
      <c r="AI11" s="858"/>
      <c r="AJ11" s="858"/>
      <c r="AK11" s="858"/>
      <c r="AL11" s="69"/>
      <c r="AM11" s="69"/>
      <c r="AN11" s="69"/>
      <c r="AO11" s="69"/>
      <c r="AP11" s="69"/>
      <c r="AQ11" s="69"/>
      <c r="AR11" s="69"/>
      <c r="AS11" s="69"/>
      <c r="AT11" s="69"/>
      <c r="AU11" s="517"/>
      <c r="AV11" s="69"/>
      <c r="AW11" s="69"/>
      <c r="AX11" s="69"/>
    </row>
    <row r="12" spans="2:60" ht="15.95" customHeight="1" x14ac:dyDescent="0.25">
      <c r="B12" s="69"/>
      <c r="D12" s="69"/>
      <c r="E12" s="69"/>
      <c r="G12" s="266"/>
      <c r="J12" s="876"/>
      <c r="K12" s="876"/>
      <c r="L12" s="876"/>
      <c r="M12" s="876"/>
      <c r="N12" s="876"/>
      <c r="O12" s="876"/>
      <c r="P12" s="876"/>
      <c r="Q12" s="876"/>
      <c r="R12" s="1040">
        <f>SUM(AO22:AQ199)</f>
        <v>0</v>
      </c>
      <c r="S12" s="1040"/>
      <c r="T12" s="1040"/>
      <c r="U12" s="1040"/>
      <c r="V12" s="1040">
        <f>AU200</f>
        <v>0</v>
      </c>
      <c r="W12" s="1040"/>
      <c r="X12" s="1040"/>
      <c r="Y12" s="1040"/>
      <c r="Z12" s="1041">
        <f>SUM(AL22:AN199)</f>
        <v>0</v>
      </c>
      <c r="AA12" s="1041"/>
      <c r="AB12" s="1041"/>
      <c r="AC12" s="1041"/>
      <c r="AD12" s="858"/>
      <c r="AE12" s="858"/>
      <c r="AF12" s="858"/>
      <c r="AG12" s="858"/>
      <c r="AH12" s="858"/>
      <c r="AI12" s="858"/>
      <c r="AJ12" s="858"/>
      <c r="AK12" s="858"/>
      <c r="AL12" s="69"/>
      <c r="AM12" s="69"/>
      <c r="AN12" s="69"/>
      <c r="AO12" s="69"/>
      <c r="AP12" s="69"/>
      <c r="AQ12" s="69"/>
      <c r="AR12" s="69"/>
      <c r="AS12" s="69"/>
      <c r="AT12" s="69"/>
      <c r="AU12" s="69"/>
      <c r="AV12" s="69"/>
      <c r="AW12" s="69"/>
      <c r="AX12" s="69"/>
    </row>
    <row r="13" spans="2:60" ht="15.95" customHeight="1" x14ac:dyDescent="0.25">
      <c r="B13" s="69"/>
      <c r="D13" s="69"/>
      <c r="E13" s="69"/>
      <c r="F13" s="266"/>
      <c r="H13" s="266"/>
      <c r="I13" s="257"/>
      <c r="J13" s="876"/>
      <c r="K13" s="876"/>
      <c r="L13" s="876"/>
      <c r="M13" s="876"/>
      <c r="N13" s="876"/>
      <c r="O13" s="876"/>
      <c r="P13" s="876"/>
      <c r="Q13" s="876"/>
      <c r="R13" s="1040"/>
      <c r="S13" s="1040"/>
      <c r="T13" s="1040"/>
      <c r="U13" s="1040"/>
      <c r="V13" s="1040"/>
      <c r="W13" s="1040"/>
      <c r="X13" s="1040"/>
      <c r="Y13" s="1040"/>
      <c r="Z13" s="1041"/>
      <c r="AA13" s="1041"/>
      <c r="AB13" s="1041"/>
      <c r="AC13" s="1041"/>
      <c r="AD13" s="858"/>
      <c r="AE13" s="858"/>
      <c r="AF13" s="858"/>
      <c r="AG13" s="858"/>
      <c r="AH13" s="858"/>
      <c r="AI13" s="858"/>
      <c r="AJ13" s="858"/>
      <c r="AK13" s="858"/>
      <c r="AL13" s="69"/>
      <c r="AM13" s="69"/>
      <c r="AN13" s="69"/>
      <c r="AO13" s="69"/>
      <c r="AP13" s="69"/>
      <c r="AQ13" s="69"/>
      <c r="AR13" s="69"/>
      <c r="AS13" s="69"/>
      <c r="AT13" s="69"/>
      <c r="AU13" s="69">
        <f>SUMPRODUCT(--(LEN(C26:AK77)&gt;0))+SUMPRODUCT(--(LEN(K22:N25)&gt;0))+SUMPRODUCT(--(LEN(Y22:AE25)&gt;0))+SUMPRODUCT(--(LEN(AH22:AK25)&gt;0))</f>
        <v>0</v>
      </c>
      <c r="AV13" s="69"/>
      <c r="AW13" s="69"/>
      <c r="AX13" s="69"/>
    </row>
    <row r="14" spans="2:60" ht="15.95" customHeight="1" x14ac:dyDescent="0.25">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858"/>
      <c r="AE14" s="858"/>
      <c r="AF14" s="858"/>
      <c r="AG14" s="858"/>
      <c r="AH14" s="858"/>
      <c r="AI14" s="858"/>
      <c r="AJ14" s="858"/>
      <c r="AK14" s="858"/>
      <c r="AL14" s="262"/>
      <c r="AM14" s="262"/>
      <c r="AN14" s="262"/>
      <c r="AO14" s="262"/>
      <c r="AP14" s="262"/>
      <c r="AQ14" s="262"/>
      <c r="AR14" s="69"/>
      <c r="AS14" s="69"/>
      <c r="AT14" s="69"/>
      <c r="AU14" s="253" t="str">
        <f>IF(M02S02F44="","CLICK HERE to update install status.",IF(M02S02F44="Yes","Haven't installed yet? CLICK HERE to update status and apply for Pre-Approval Incentives", IF(M02S02F44="No", "You ARE eligible to receive Pre-Approval Incentives")))</f>
        <v>CLICK HERE to update install status.</v>
      </c>
      <c r="AV14" s="253"/>
      <c r="AW14" s="253"/>
      <c r="AX14" s="253"/>
      <c r="AY14" s="253"/>
      <c r="AZ14" s="253"/>
      <c r="BA14" s="253"/>
      <c r="BB14" s="253"/>
      <c r="BC14" s="253"/>
      <c r="BD14" s="253"/>
      <c r="BE14" s="253"/>
      <c r="BF14" s="253"/>
      <c r="BG14" s="253"/>
      <c r="BH14" s="253"/>
    </row>
    <row r="15" spans="2:60" ht="15.95" customHeight="1" x14ac:dyDescent="0.25">
      <c r="D15" s="262"/>
      <c r="E15" s="262"/>
      <c r="F15" s="795"/>
      <c r="G15" s="795"/>
      <c r="H15" s="795"/>
      <c r="I15" s="795"/>
      <c r="J15" s="795"/>
      <c r="K15" s="795"/>
      <c r="L15" s="795"/>
      <c r="M15" s="795"/>
      <c r="N15" s="795"/>
      <c r="O15" s="795"/>
      <c r="P15" s="795"/>
      <c r="Q15" s="795"/>
      <c r="R15" s="262"/>
      <c r="S15" s="262"/>
      <c r="T15" s="262"/>
      <c r="U15" s="262"/>
      <c r="V15" s="262"/>
      <c r="W15" s="262"/>
      <c r="X15" s="262"/>
      <c r="Y15" s="262"/>
      <c r="Z15" s="262"/>
      <c r="AA15" s="262"/>
      <c r="AB15" s="253"/>
      <c r="AC15" s="253"/>
      <c r="AD15" s="253"/>
      <c r="AE15" s="253"/>
      <c r="AF15" s="253"/>
      <c r="AG15" s="262"/>
      <c r="AH15" s="262"/>
      <c r="AI15" s="262"/>
      <c r="AJ15" s="262"/>
      <c r="AK15" s="262"/>
      <c r="AL15" s="262"/>
      <c r="AM15" s="262"/>
      <c r="AN15" s="262"/>
      <c r="AO15" s="262"/>
      <c r="AP15" s="262"/>
      <c r="AQ15" s="262"/>
      <c r="AR15" s="69"/>
      <c r="AS15" s="69"/>
      <c r="AT15" s="69"/>
      <c r="AU15" s="253"/>
      <c r="AV15" s="253"/>
      <c r="AW15" s="253"/>
      <c r="AX15" s="253"/>
      <c r="AY15" s="253"/>
      <c r="AZ15" s="253"/>
      <c r="BA15" s="253"/>
      <c r="BB15" s="253"/>
      <c r="BC15" s="253"/>
      <c r="BD15" s="253"/>
      <c r="BE15" s="253"/>
      <c r="BF15" s="253"/>
      <c r="BG15" s="253"/>
      <c r="BH15" s="253"/>
    </row>
    <row r="16" spans="2:60" ht="15.95" customHeight="1" x14ac:dyDescent="0.25">
      <c r="D16" s="262"/>
      <c r="E16" s="262"/>
      <c r="F16" s="795"/>
      <c r="G16" s="795"/>
      <c r="H16" s="795"/>
      <c r="I16" s="795"/>
      <c r="J16" s="795"/>
      <c r="K16" s="795"/>
      <c r="L16" s="795"/>
      <c r="M16" s="795"/>
      <c r="N16" s="795"/>
      <c r="O16" s="795"/>
      <c r="P16" s="795"/>
      <c r="Q16" s="795"/>
      <c r="R16" s="262"/>
      <c r="S16" s="262"/>
      <c r="T16" s="262"/>
      <c r="U16" s="262"/>
      <c r="V16" s="262"/>
      <c r="W16" s="262"/>
      <c r="X16" s="262"/>
      <c r="Y16" s="262"/>
      <c r="Z16" s="262"/>
      <c r="AA16" s="262"/>
      <c r="AB16" s="253"/>
      <c r="AC16" s="253"/>
      <c r="AD16" s="253"/>
      <c r="AE16" s="253"/>
      <c r="AF16" s="253"/>
      <c r="AG16" s="262"/>
      <c r="AH16" s="262"/>
      <c r="AI16" s="262"/>
      <c r="AJ16" s="262"/>
      <c r="AK16" s="262"/>
      <c r="AL16" s="262"/>
      <c r="AM16" s="262"/>
      <c r="AN16" s="262"/>
      <c r="AO16" s="262"/>
      <c r="AP16" s="262"/>
      <c r="AQ16" s="262"/>
      <c r="AR16" s="69"/>
      <c r="AS16" s="69"/>
      <c r="AT16" s="69"/>
      <c r="AU16" s="518"/>
      <c r="AV16" s="518"/>
      <c r="AW16" s="253"/>
      <c r="AX16" s="253"/>
      <c r="AY16" s="253"/>
      <c r="AZ16" s="253"/>
      <c r="BA16" s="253"/>
      <c r="BB16" s="253"/>
      <c r="BC16" s="253"/>
      <c r="BD16" s="253"/>
      <c r="BE16" s="253"/>
      <c r="BF16" s="253"/>
      <c r="BG16" s="253"/>
      <c r="BH16" s="253"/>
    </row>
    <row r="17" spans="2:63" ht="15.95" customHeight="1" x14ac:dyDescent="0.25">
      <c r="D17" s="262"/>
      <c r="E17" s="262"/>
      <c r="F17" s="795"/>
      <c r="G17" s="795"/>
      <c r="H17" s="795"/>
      <c r="I17" s="795"/>
      <c r="J17" s="795"/>
      <c r="K17" s="795"/>
      <c r="L17" s="795"/>
      <c r="M17" s="795"/>
      <c r="N17" s="795"/>
      <c r="O17" s="795"/>
      <c r="P17" s="795"/>
      <c r="Q17" s="795"/>
      <c r="R17" s="262"/>
      <c r="S17" s="262"/>
      <c r="T17" s="262"/>
      <c r="U17" s="262"/>
      <c r="V17" s="262"/>
      <c r="W17" s="262"/>
      <c r="X17" s="262"/>
      <c r="Y17" s="262"/>
      <c r="Z17" s="262"/>
      <c r="AA17" s="262"/>
      <c r="AB17" s="253"/>
      <c r="AC17" s="253"/>
      <c r="AD17" s="253"/>
      <c r="AE17" s="253"/>
      <c r="AF17" s="253"/>
      <c r="AG17" s="262"/>
      <c r="AH17" s="262"/>
      <c r="AI17" s="262"/>
      <c r="AJ17" s="262"/>
      <c r="AK17" s="262"/>
      <c r="AL17" s="262"/>
      <c r="AM17" s="262"/>
      <c r="AN17" s="262"/>
      <c r="AO17" s="262"/>
      <c r="AP17" s="262"/>
      <c r="AQ17" s="262"/>
      <c r="AR17" s="69"/>
      <c r="AS17" s="69"/>
      <c r="AT17" s="69"/>
      <c r="AU17" s="253"/>
      <c r="AV17" s="253"/>
      <c r="AW17" s="253"/>
      <c r="AX17" s="253"/>
      <c r="AY17" s="253"/>
      <c r="AZ17" s="253"/>
      <c r="BA17" s="253"/>
      <c r="BB17" s="253"/>
      <c r="BC17" s="253"/>
      <c r="BD17" s="253"/>
      <c r="BE17" s="253"/>
      <c r="BF17" s="253"/>
      <c r="BG17" s="253"/>
      <c r="BH17" s="253"/>
    </row>
    <row r="18" spans="2:63" ht="15.95" customHeight="1" x14ac:dyDescent="0.25">
      <c r="D18" s="262"/>
      <c r="E18" s="262"/>
      <c r="F18" s="262"/>
      <c r="G18" s="262"/>
      <c r="H18" s="262"/>
      <c r="I18" s="262"/>
      <c r="J18" s="262"/>
      <c r="K18" s="262"/>
      <c r="L18" s="262"/>
      <c r="M18" s="253"/>
      <c r="N18" s="253"/>
      <c r="P18" s="262"/>
      <c r="Q18" s="262"/>
      <c r="R18" s="262"/>
      <c r="S18" s="262"/>
      <c r="T18" s="262"/>
      <c r="U18" s="262"/>
      <c r="V18" s="262"/>
      <c r="W18" s="262"/>
      <c r="X18" s="262"/>
      <c r="Y18" s="262"/>
      <c r="Z18" s="262"/>
      <c r="AA18" s="262"/>
      <c r="AB18" s="253"/>
      <c r="AC18" s="253"/>
      <c r="AD18" s="253"/>
      <c r="AE18" s="253"/>
      <c r="AF18" s="253"/>
      <c r="AG18" s="262"/>
      <c r="AH18" s="262"/>
      <c r="AI18" s="262"/>
      <c r="AJ18" s="262"/>
      <c r="AK18" s="262"/>
      <c r="AL18" s="262"/>
      <c r="AM18" s="262"/>
      <c r="AN18" s="262"/>
      <c r="AO18" s="262"/>
      <c r="AP18" s="262"/>
      <c r="AQ18" s="262"/>
      <c r="AR18" s="69"/>
      <c r="AS18" s="69"/>
      <c r="AT18" s="69"/>
      <c r="AU18" s="253"/>
      <c r="AV18" s="253"/>
      <c r="AW18" s="253"/>
      <c r="AX18" s="253"/>
      <c r="AY18" s="253"/>
      <c r="AZ18" s="253"/>
      <c r="BA18" s="253"/>
      <c r="BB18" s="253"/>
      <c r="BC18" s="253"/>
      <c r="BD18" s="253"/>
      <c r="BE18" s="253"/>
      <c r="BF18" s="253"/>
      <c r="BG18" s="253"/>
      <c r="BH18" s="253"/>
    </row>
    <row r="19" spans="2:63" ht="15.95" customHeight="1" thickBot="1" x14ac:dyDescent="0.3">
      <c r="C19" s="1037" t="s">
        <v>85</v>
      </c>
      <c r="D19" s="1037"/>
      <c r="E19" s="1037"/>
      <c r="F19" s="1037"/>
      <c r="G19" s="1037"/>
      <c r="H19" s="1037"/>
      <c r="I19" s="1037"/>
      <c r="J19" s="1037"/>
      <c r="K19" s="1037"/>
      <c r="L19" s="1037"/>
      <c r="M19" s="277"/>
      <c r="N19" s="264"/>
      <c r="O19" s="1038" t="s">
        <v>1380</v>
      </c>
      <c r="P19" s="1037"/>
      <c r="Q19" s="1037"/>
      <c r="R19" s="1037"/>
      <c r="S19" s="1037"/>
      <c r="T19" s="1037"/>
      <c r="U19" s="1037"/>
      <c r="V19" s="1037"/>
      <c r="W19" s="1037"/>
      <c r="X19" s="1037"/>
      <c r="Y19" s="1037"/>
      <c r="Z19" s="1037"/>
      <c r="AA19" s="1037"/>
      <c r="AB19" s="1037"/>
      <c r="AC19" s="1037"/>
      <c r="AD19" s="1037"/>
      <c r="AE19" s="11"/>
      <c r="AF19" s="11"/>
      <c r="AG19" s="277"/>
      <c r="AH19" s="1038" t="s">
        <v>1368</v>
      </c>
      <c r="AI19" s="1037"/>
      <c r="AJ19" s="1037"/>
      <c r="AK19" s="1046"/>
      <c r="AL19" s="1038" t="s">
        <v>1369</v>
      </c>
      <c r="AM19" s="1037"/>
      <c r="AN19" s="1037"/>
      <c r="AO19" s="1037"/>
      <c r="AP19" s="1037"/>
      <c r="AQ19" s="1037"/>
      <c r="AR19" s="69"/>
      <c r="AS19" s="69"/>
      <c r="AT19" s="69"/>
      <c r="AU19" s="253"/>
      <c r="AV19" s="253"/>
      <c r="AW19" s="253"/>
      <c r="AX19" s="253"/>
      <c r="AY19" s="1043" t="s">
        <v>1669</v>
      </c>
      <c r="AZ19" s="965"/>
      <c r="BA19" s="253"/>
      <c r="BB19" s="253"/>
      <c r="BC19" s="253"/>
      <c r="BD19" s="859" t="s">
        <v>1692</v>
      </c>
      <c r="BE19" s="253"/>
      <c r="BF19" s="253"/>
      <c r="BG19" s="253"/>
      <c r="BH19" s="253"/>
    </row>
    <row r="20" spans="2:63" ht="15.95" customHeight="1" x14ac:dyDescent="0.25">
      <c r="C20" s="1039" t="s">
        <v>1649</v>
      </c>
      <c r="D20" s="798"/>
      <c r="E20" s="798" t="s">
        <v>1393</v>
      </c>
      <c r="F20" s="798"/>
      <c r="G20" s="798"/>
      <c r="H20" s="798" t="s">
        <v>1395</v>
      </c>
      <c r="I20" s="798"/>
      <c r="J20" s="798"/>
      <c r="K20" s="798" t="s">
        <v>1492</v>
      </c>
      <c r="L20" s="798"/>
      <c r="M20" s="798" t="s">
        <v>1365</v>
      </c>
      <c r="N20" s="798"/>
      <c r="O20" s="798" t="s">
        <v>1394</v>
      </c>
      <c r="P20" s="798"/>
      <c r="Q20" s="798"/>
      <c r="R20" s="798" t="s">
        <v>1364</v>
      </c>
      <c r="S20" s="798"/>
      <c r="T20" s="798"/>
      <c r="U20" s="798" t="s">
        <v>1488</v>
      </c>
      <c r="V20" s="798"/>
      <c r="W20" s="798" t="s">
        <v>1410</v>
      </c>
      <c r="X20" s="798"/>
      <c r="Y20" s="798" t="s">
        <v>1365</v>
      </c>
      <c r="Z20" s="798"/>
      <c r="AA20" s="798" t="s">
        <v>1357</v>
      </c>
      <c r="AB20" s="798"/>
      <c r="AC20" s="798"/>
      <c r="AD20" s="798" t="s">
        <v>1147</v>
      </c>
      <c r="AE20" s="798"/>
      <c r="AF20" s="1025" t="s">
        <v>1674</v>
      </c>
      <c r="AG20" s="798"/>
      <c r="AH20" s="1024" t="s">
        <v>1225</v>
      </c>
      <c r="AI20" s="798"/>
      <c r="AJ20" s="1024" t="s">
        <v>1145</v>
      </c>
      <c r="AK20" s="798"/>
      <c r="AL20" s="798" t="s">
        <v>88</v>
      </c>
      <c r="AM20" s="798"/>
      <c r="AN20" s="798"/>
      <c r="AO20" s="798" t="s">
        <v>448</v>
      </c>
      <c r="AP20" s="798"/>
      <c r="AQ20" s="798"/>
      <c r="AS20" s="69"/>
      <c r="AT20" s="69"/>
      <c r="AU20" s="799" t="s">
        <v>191</v>
      </c>
      <c r="AV20" s="799" t="s">
        <v>192</v>
      </c>
      <c r="AW20" s="799" t="s">
        <v>207</v>
      </c>
      <c r="AX20" s="799" t="s">
        <v>193</v>
      </c>
      <c r="AY20" s="965" t="s">
        <v>1361</v>
      </c>
      <c r="AZ20" s="965" t="s">
        <v>1362</v>
      </c>
      <c r="BA20" s="799" t="s">
        <v>1228</v>
      </c>
      <c r="BB20" s="799" t="s">
        <v>125</v>
      </c>
      <c r="BC20" s="799" t="s">
        <v>1363</v>
      </c>
      <c r="BD20" s="859"/>
      <c r="BE20" s="965" t="s">
        <v>1656</v>
      </c>
      <c r="BF20" s="799" t="s">
        <v>473</v>
      </c>
      <c r="BG20" s="799" t="s">
        <v>1352</v>
      </c>
      <c r="BH20" s="745" t="s">
        <v>2251</v>
      </c>
      <c r="BI20" s="1047" t="s">
        <v>2006</v>
      </c>
      <c r="BJ20" s="1047" t="s">
        <v>2007</v>
      </c>
      <c r="BK20" s="1047" t="s">
        <v>2008</v>
      </c>
    </row>
    <row r="21" spans="2:63" ht="15.95" customHeight="1" thickBot="1" x14ac:dyDescent="0.3">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S21" s="69"/>
      <c r="AT21" s="69"/>
      <c r="AU21" s="746"/>
      <c r="AV21" s="746"/>
      <c r="AW21" s="746"/>
      <c r="AX21" s="746"/>
      <c r="AY21" s="746" t="s">
        <v>1360</v>
      </c>
      <c r="AZ21" s="746"/>
      <c r="BA21" s="746"/>
      <c r="BB21" s="746"/>
      <c r="BC21" s="746"/>
      <c r="BD21" s="860"/>
      <c r="BE21" s="966"/>
      <c r="BF21" s="746"/>
      <c r="BG21" s="746"/>
      <c r="BH21" s="746" t="s">
        <v>2251</v>
      </c>
      <c r="BI21" s="1048"/>
      <c r="BJ21" s="1048"/>
      <c r="BK21" s="1048"/>
    </row>
    <row r="22" spans="2:63" ht="15.95" customHeight="1" x14ac:dyDescent="0.25">
      <c r="B22" s="873"/>
      <c r="C22" s="945" t="s">
        <v>1641</v>
      </c>
      <c r="D22" s="946"/>
      <c r="E22" s="949" t="str">
        <f>IF('M03-S01-2'!D27="","Space 1 Redesign",'M03-S01-2'!E18)</f>
        <v>Space 1 Redesign</v>
      </c>
      <c r="F22" s="950"/>
      <c r="G22" s="951"/>
      <c r="H22" s="949" t="str">
        <f>IF('M03-S01-2'!H18="Complete Worksheet","Complete Worksheet","See Worksheet")</f>
        <v>Complete Worksheet</v>
      </c>
      <c r="I22" s="950"/>
      <c r="J22" s="951"/>
      <c r="K22" s="955" t="str">
        <f>IF('M03-S01-2'!K18="","",'M03-S01-2'!K18)</f>
        <v/>
      </c>
      <c r="L22" s="956"/>
      <c r="M22" s="831" t="str">
        <f>IF('M03-S01-2'!M18="","",'M03-S01-2'!M18)</f>
        <v/>
      </c>
      <c r="N22" s="832"/>
      <c r="O22" s="989" t="s">
        <v>1651</v>
      </c>
      <c r="P22" s="990"/>
      <c r="Q22" s="991"/>
      <c r="R22" s="995" t="str">
        <f>IF('M03-S01-2'!R18="Complete Worksheet","Complete Worksheet","See Worksheet")</f>
        <v>Complete Worksheet</v>
      </c>
      <c r="S22" s="996"/>
      <c r="T22" s="997"/>
      <c r="U22" s="1001" t="str">
        <f>IF('M03-S01-2'!U18="","",'M03-S01-2'!U18)</f>
        <v/>
      </c>
      <c r="V22" s="996"/>
      <c r="W22" s="1032"/>
      <c r="X22" s="1033"/>
      <c r="Y22" s="831" t="str">
        <f>IF('M03-S01-2'!Y18="","",'M03-S01-2'!Y18)</f>
        <v/>
      </c>
      <c r="Z22" s="1006"/>
      <c r="AA22" s="1008" t="str">
        <f>IF('M03-S01-2'!AA18="","",'M03-S01-2'!AA18)</f>
        <v/>
      </c>
      <c r="AB22" s="1009"/>
      <c r="AC22" s="1009"/>
      <c r="AD22" s="1011" t="str">
        <f>IF('M03-S01-2'!AD18="","",'M03-S01-2'!AD18)</f>
        <v/>
      </c>
      <c r="AE22" s="1012"/>
      <c r="AF22" s="1035"/>
      <c r="AG22" s="1036"/>
      <c r="AH22" s="967" t="str">
        <f>IF('M03-S01-2'!AF18="","",'M03-S01-2'!AF18)</f>
        <v/>
      </c>
      <c r="AI22" s="968"/>
      <c r="AJ22" s="968" t="str">
        <f>IF('M03-S01-2'!AH18="","",'M03-S01-2'!AH18)</f>
        <v/>
      </c>
      <c r="AK22" s="971"/>
      <c r="AL22" s="973" t="str">
        <f>IF('M03-S01-2'!AL18="","",'M03-S01-2'!AL18)</f>
        <v/>
      </c>
      <c r="AM22" s="870"/>
      <c r="AN22" s="870"/>
      <c r="AO22" s="974" t="str">
        <f>IF('M03-S01-2'!AO18="","",'M03-S01-2'!AO18)</f>
        <v>Update Install Status</v>
      </c>
      <c r="AP22" s="975"/>
      <c r="AQ22" s="976"/>
      <c r="AS22" s="69"/>
      <c r="AT22" s="69"/>
      <c r="AU22" s="804" t="str">
        <f>IF('M03-S01-2'!AU18="","",'M03-S01-2'!AU18)</f>
        <v/>
      </c>
      <c r="AV22" s="806" t="str">
        <f>IF('M03-S01-2'!AV18="","",'M03-S01-2'!AV18)</f>
        <v/>
      </c>
      <c r="AW22" s="802" t="str">
        <f>IF('M03-S01-2'!AW18="","",'M03-S01-2'!AW18)</f>
        <v/>
      </c>
      <c r="AX22" s="802" t="str">
        <f>IF('M03-S01-2'!AX18="","",'M03-S01-2'!AX18)</f>
        <v/>
      </c>
      <c r="AY22" s="802" t="str">
        <f>IF('M03-S01-2'!AY18="","",'M03-S01-2'!AY18)</f>
        <v/>
      </c>
      <c r="AZ22" s="802" t="str">
        <f>IF('M03-S01-2'!AZ18="","",'M03-S01-2'!AZ18)</f>
        <v/>
      </c>
      <c r="BA22" s="800" t="str">
        <f>IF('M03-S01-2'!BA18="","",'M03-S01-2'!BA18)</f>
        <v>Redesign-LED-</v>
      </c>
      <c r="BB22" s="808" t="str">
        <f>IF('M03-S01-2'!BB18="","",'M03-S01-2'!BB18)</f>
        <v/>
      </c>
      <c r="BC22" s="808" t="str">
        <f ca="1">IFERROR(IF(OR(C22="",AH22=""),"",IF(BB22="","",IF(AND(AND(SUBLIGHTDATE1&lt;&gt;"No",SUBLIGHTDATE2&lt;&gt;"No",SUBLIGHTDATE3&lt;&gt;"No"),OR(M02S02F43&lt;=DATEVALUE("12/31/2021"),M02S02F43=""),OR(TODAY()&lt;=LIGHTING2021,ACTLIGHT&lt;&gt;"")),LIGHTRATE21*(INDEX(PMELIGHTLIN[Inc Rate Unit PA],MATCH(BA22,PMELIGHTLIN[Measure Validator],0))),INDEX(PMELIGHTLIN[Inc Rate Unit PA],MATCH(BA22,PMELIGHTLIN[Measure Validator],0))))),"")</f>
        <v/>
      </c>
      <c r="BD22" s="808" t="str">
        <f>IFERROR(ROUND(IF(OR(C22="",AH22=""),"",IF(BB22="","",(AY22-AZ22)*BC22)),2),"")</f>
        <v/>
      </c>
      <c r="BE22" s="302"/>
      <c r="BF22" s="800" t="str">
        <f>IF('M03-S01-2'!BE18="","",'M03-S01-2'!BE18)</f>
        <v/>
      </c>
      <c r="BG22" s="802" t="str">
        <f>IF(AND(ISBLANK(AH22),ISBLANK(AJ22)),"",IF(BD22&gt;AU22,"Yes","No"))</f>
        <v>No</v>
      </c>
      <c r="BH22" s="521"/>
      <c r="BI22" s="1044">
        <f>IFERROR(ROUND(BK22*1.1,2),0)</f>
        <v>0</v>
      </c>
      <c r="BJ22" s="1044" t="str">
        <f>IF('M03-S01-2'!AO18="","",IF(NOT(ISNUMBER('M03-S01-2'!AO18)),'M03-S01-2'!AO18,ROUND(BI22*BONUSADJ,2)))</f>
        <v>Update Install Status</v>
      </c>
      <c r="BK22" s="1044" t="str">
        <f>IF('M03-S01-2'!AO18="","",'M03-S01-2'!AO18)</f>
        <v>Update Install Status</v>
      </c>
    </row>
    <row r="23" spans="2:63" ht="15.95" customHeight="1" x14ac:dyDescent="0.25">
      <c r="B23" s="873"/>
      <c r="C23" s="947"/>
      <c r="D23" s="948"/>
      <c r="E23" s="952"/>
      <c r="F23" s="953"/>
      <c r="G23" s="954"/>
      <c r="H23" s="952"/>
      <c r="I23" s="953"/>
      <c r="J23" s="954"/>
      <c r="K23" s="957"/>
      <c r="L23" s="958"/>
      <c r="M23" s="833"/>
      <c r="N23" s="834"/>
      <c r="O23" s="1026"/>
      <c r="P23" s="1027"/>
      <c r="Q23" s="1028"/>
      <c r="R23" s="1029"/>
      <c r="S23" s="1030"/>
      <c r="T23" s="1031"/>
      <c r="U23" s="1029"/>
      <c r="V23" s="1030"/>
      <c r="W23" s="1002"/>
      <c r="X23" s="1003"/>
      <c r="Y23" s="833"/>
      <c r="Z23" s="1034"/>
      <c r="AA23" s="1009"/>
      <c r="AB23" s="1009"/>
      <c r="AC23" s="1009"/>
      <c r="AD23" s="1011"/>
      <c r="AE23" s="1012"/>
      <c r="AF23" s="1015"/>
      <c r="AG23" s="1016"/>
      <c r="AH23" s="969"/>
      <c r="AI23" s="970"/>
      <c r="AJ23" s="970"/>
      <c r="AK23" s="972"/>
      <c r="AL23" s="973"/>
      <c r="AM23" s="870"/>
      <c r="AN23" s="870"/>
      <c r="AO23" s="977"/>
      <c r="AP23" s="978"/>
      <c r="AQ23" s="979"/>
      <c r="AS23" s="69"/>
      <c r="AT23" s="69"/>
      <c r="AU23" s="805"/>
      <c r="AV23" s="807"/>
      <c r="AW23" s="803"/>
      <c r="AX23" s="803"/>
      <c r="AY23" s="803"/>
      <c r="AZ23" s="803"/>
      <c r="BA23" s="801"/>
      <c r="BB23" s="797"/>
      <c r="BC23" s="797"/>
      <c r="BD23" s="797"/>
      <c r="BE23" s="303"/>
      <c r="BF23" s="801"/>
      <c r="BG23" s="803"/>
      <c r="BH23" s="522"/>
      <c r="BI23" s="1045"/>
      <c r="BJ23" s="1045"/>
      <c r="BK23" s="1045"/>
    </row>
    <row r="24" spans="2:63" ht="15.95" customHeight="1" x14ac:dyDescent="0.25">
      <c r="B24" s="873"/>
      <c r="C24" s="945" t="s">
        <v>1641</v>
      </c>
      <c r="D24" s="946"/>
      <c r="E24" s="949" t="str">
        <f>IF('M03-S01-2'!D54="","Space 2 Redesign",'M03-S01-2'!E20)</f>
        <v>Space 2 Redesign</v>
      </c>
      <c r="F24" s="950"/>
      <c r="G24" s="951"/>
      <c r="H24" s="949" t="str">
        <f>IF('M03-S01-2'!H20="Complete Worksheet","Complete Worksheet","See Worksheet")</f>
        <v>Complete Worksheet</v>
      </c>
      <c r="I24" s="950"/>
      <c r="J24" s="951"/>
      <c r="K24" s="955" t="str">
        <f>IF('M03-S01-2'!K20="","",'M03-S01-2'!K20)</f>
        <v/>
      </c>
      <c r="L24" s="956"/>
      <c r="M24" s="831" t="str">
        <f>IF('M03-S01-2'!M20="","",'M03-S01-2'!M20)</f>
        <v/>
      </c>
      <c r="N24" s="832"/>
      <c r="O24" s="989" t="s">
        <v>1651</v>
      </c>
      <c r="P24" s="990"/>
      <c r="Q24" s="991"/>
      <c r="R24" s="995" t="str">
        <f>IF('M03-S01-2'!R20="Complete Worksheet","Complete Worksheet","See Worksheet")</f>
        <v>Complete Worksheet</v>
      </c>
      <c r="S24" s="996"/>
      <c r="T24" s="997"/>
      <c r="U24" s="1001" t="str">
        <f>IF('M03-S01-2'!U20="","",'M03-S01-2'!U20)</f>
        <v/>
      </c>
      <c r="V24" s="996"/>
      <c r="W24" s="1002"/>
      <c r="X24" s="1003"/>
      <c r="Y24" s="831" t="str">
        <f>IF('M03-S01-2'!Y20="","",'M03-S01-2'!Y20)</f>
        <v/>
      </c>
      <c r="Z24" s="1006"/>
      <c r="AA24" s="1008" t="str">
        <f>IF('M03-S01-2'!AA20="","",'M03-S01-2'!AA20)</f>
        <v/>
      </c>
      <c r="AB24" s="1009"/>
      <c r="AC24" s="1009"/>
      <c r="AD24" s="1011" t="str">
        <f>IF('M03-S01-2'!AD20="","",'M03-S01-2'!AD20)</f>
        <v/>
      </c>
      <c r="AE24" s="1012"/>
      <c r="AF24" s="1015"/>
      <c r="AG24" s="1016"/>
      <c r="AH24" s="969" t="str">
        <f>IF('M03-S01-2'!AF20="","",'M03-S01-2'!AF20)</f>
        <v/>
      </c>
      <c r="AI24" s="970"/>
      <c r="AJ24" s="970" t="str">
        <f>IF('M03-S01-2'!AH20="","",'M03-S01-2'!AH20)</f>
        <v/>
      </c>
      <c r="AK24" s="972"/>
      <c r="AL24" s="973" t="str">
        <f>IF('M03-S01-2'!AL20="","",'M03-S01-2'!AL20)</f>
        <v/>
      </c>
      <c r="AM24" s="870"/>
      <c r="AN24" s="870"/>
      <c r="AO24" s="959" t="str">
        <f>IF('M03-S01-2'!AO20="","",'M03-S01-2'!AO20)</f>
        <v>Update Install Status</v>
      </c>
      <c r="AP24" s="960"/>
      <c r="AQ24" s="961"/>
      <c r="AS24" s="69"/>
      <c r="AT24" s="69"/>
      <c r="AU24" s="804" t="str">
        <f>IF('M03-S01-2'!AU20="","",'M03-S01-2'!AU20)</f>
        <v/>
      </c>
      <c r="AV24" s="806" t="str">
        <f>IF('M03-S01-2'!AV20="","",'M03-S01-2'!AV20)</f>
        <v/>
      </c>
      <c r="AW24" s="802" t="str">
        <f>IF('M03-S01-2'!AW20="","",'M03-S01-2'!AW20)</f>
        <v/>
      </c>
      <c r="AX24" s="802" t="str">
        <f>IF('M03-S01-2'!AX20="","",'M03-S01-2'!AX20)</f>
        <v/>
      </c>
      <c r="AY24" s="802" t="str">
        <f>IF('M03-S01-2'!AY20="","",'M03-S01-2'!AY20)</f>
        <v/>
      </c>
      <c r="AZ24" s="802" t="str">
        <f>IF('M03-S01-2'!AZ20="","",'M03-S01-2'!AZ20)</f>
        <v/>
      </c>
      <c r="BA24" s="800" t="str">
        <f>IF('M03-S01-2'!BA20="","",'M03-S01-2'!BA20)</f>
        <v>Redesign-LED-</v>
      </c>
      <c r="BB24" s="808" t="str">
        <f>IF('M03-S01-2'!BB20="","",'M03-S01-2'!BB20)</f>
        <v/>
      </c>
      <c r="BC24" s="808" t="str">
        <f ca="1">IFERROR(IF(OR(C24="",AH24=""),"",IF(BB24="","",IF(AND(AND(SUBLIGHTDATE1&lt;&gt;"No",SUBLIGHTDATE2&lt;&gt;"No",SUBLIGHTDATE3&lt;&gt;"No"),OR(M02S02F43&lt;=DATEVALUE("12/31/2021"),M02S02F43=""),OR(TODAY()&lt;=LIGHTING2021,ACTLIGHT&lt;&gt;"")),LIGHTRATE21*(INDEX(PMELIGHTLIN[Inc Rate Unit PA],MATCH(BA24,PMELIGHTLIN[Measure Validator],0))),INDEX(PMELIGHTLIN[Inc Rate Unit PA],MATCH(BA24,PMELIGHTLIN[Measure Validator],0))))),"")</f>
        <v/>
      </c>
      <c r="BD24" s="808" t="str">
        <f>IFERROR(ROUND(IF(OR(C24="",AH24=""),"",IF(BB24="","",(AY24-AZ24)*BC24)),2),"")</f>
        <v/>
      </c>
      <c r="BE24" s="302"/>
      <c r="BF24" s="800" t="str">
        <f>IF('M03-S01-2'!BE20="","",'M03-S01-2'!BE20)</f>
        <v/>
      </c>
      <c r="BG24" s="802" t="str">
        <f>IF(AND(ISBLANK(AH24),ISBLANK(AJ24)),"",IF(BD24&gt;AU24,"Yes","No"))</f>
        <v>No</v>
      </c>
      <c r="BH24" s="521"/>
      <c r="BI24" s="1044">
        <f>IFERROR(ROUND(BK24*1.1,2),0)</f>
        <v>0</v>
      </c>
      <c r="BJ24" s="1044" t="str">
        <f>IF('M03-S01-2'!AO20="","",IF(NOT(ISNUMBER('M03-S01-2'!AO20)),'M03-S01-2'!AO20,ROUND(BI24*BONUSADJ,2)))</f>
        <v>Update Install Status</v>
      </c>
      <c r="BK24" s="1044" t="str">
        <f>IF('M03-S01-2'!AO20="","",'M03-S01-2'!AO20)</f>
        <v>Update Install Status</v>
      </c>
    </row>
    <row r="25" spans="2:63" ht="15.95" customHeight="1" thickBot="1" x14ac:dyDescent="0.3">
      <c r="B25" s="873"/>
      <c r="C25" s="980"/>
      <c r="D25" s="981"/>
      <c r="E25" s="982"/>
      <c r="F25" s="983"/>
      <c r="G25" s="984"/>
      <c r="H25" s="982"/>
      <c r="I25" s="983"/>
      <c r="J25" s="984"/>
      <c r="K25" s="985"/>
      <c r="L25" s="986"/>
      <c r="M25" s="987"/>
      <c r="N25" s="988"/>
      <c r="O25" s="992"/>
      <c r="P25" s="993"/>
      <c r="Q25" s="994"/>
      <c r="R25" s="998"/>
      <c r="S25" s="999"/>
      <c r="T25" s="1000"/>
      <c r="U25" s="998"/>
      <c r="V25" s="999"/>
      <c r="W25" s="1004"/>
      <c r="X25" s="1005"/>
      <c r="Y25" s="987"/>
      <c r="Z25" s="1007"/>
      <c r="AA25" s="1010"/>
      <c r="AB25" s="1010"/>
      <c r="AC25" s="1010"/>
      <c r="AD25" s="1013"/>
      <c r="AE25" s="1014"/>
      <c r="AF25" s="1017"/>
      <c r="AG25" s="1018"/>
      <c r="AH25" s="1019"/>
      <c r="AI25" s="1020"/>
      <c r="AJ25" s="1020"/>
      <c r="AK25" s="1021"/>
      <c r="AL25" s="1022"/>
      <c r="AM25" s="1023"/>
      <c r="AN25" s="1023"/>
      <c r="AO25" s="962"/>
      <c r="AP25" s="963"/>
      <c r="AQ25" s="964"/>
      <c r="AS25" s="69"/>
      <c r="AT25" s="69"/>
      <c r="AU25" s="805"/>
      <c r="AV25" s="807"/>
      <c r="AW25" s="803"/>
      <c r="AX25" s="803"/>
      <c r="AY25" s="803"/>
      <c r="AZ25" s="803"/>
      <c r="BA25" s="801"/>
      <c r="BB25" s="797"/>
      <c r="BC25" s="797"/>
      <c r="BD25" s="797"/>
      <c r="BE25" s="303"/>
      <c r="BF25" s="801"/>
      <c r="BG25" s="803"/>
      <c r="BH25" s="522"/>
      <c r="BI25" s="1045"/>
      <c r="BJ25" s="1045"/>
      <c r="BK25" s="1045"/>
    </row>
    <row r="26" spans="2:63" ht="15.95" customHeight="1" thickTop="1" x14ac:dyDescent="0.25">
      <c r="B26" s="873">
        <v>1</v>
      </c>
      <c r="C26" s="919"/>
      <c r="D26" s="920"/>
      <c r="E26" s="921"/>
      <c r="F26" s="922"/>
      <c r="G26" s="923"/>
      <c r="H26" s="924"/>
      <c r="I26" s="925"/>
      <c r="J26" s="926"/>
      <c r="K26" s="927"/>
      <c r="L26" s="928"/>
      <c r="M26" s="929" t="str">
        <f>IF(OR($E26="",ISNUMBER(SEARCH("Other",$E26))),"",INDEX(CMLIGHTBASE[Base Watt 1],MATCH($E26,CMLIGHTBASE[Base Desc 1],0)))</f>
        <v/>
      </c>
      <c r="N26" s="930"/>
      <c r="O26" s="931"/>
      <c r="P26" s="932"/>
      <c r="Q26" s="933"/>
      <c r="R26" s="924"/>
      <c r="S26" s="925"/>
      <c r="T26" s="926"/>
      <c r="U26" s="934"/>
      <c r="V26" s="925"/>
      <c r="W26" s="843" t="str">
        <f t="shared" ref="W26" si="0">IF(O26="","",IF(ISNUMBER(SEARCH("Type",O26)),"","N/A"))</f>
        <v/>
      </c>
      <c r="X26" s="844"/>
      <c r="Y26" s="935"/>
      <c r="Z26" s="936"/>
      <c r="AA26" s="937"/>
      <c r="AB26" s="938"/>
      <c r="AC26" s="938"/>
      <c r="AD26" s="939"/>
      <c r="AE26" s="939"/>
      <c r="AF26" s="940"/>
      <c r="AG26" s="941"/>
      <c r="AH26" s="942"/>
      <c r="AI26" s="943"/>
      <c r="AJ26" s="943"/>
      <c r="AK26" s="944"/>
      <c r="AL26" s="869" t="str">
        <f>IF(OR(C26="",E26="",M26="",K26="",O26="",Y26="",R26="",AA26="",AH26="",AJ26="",AD26="",U26="",W26=""),"",IFERROR(ROUND(IF((AW26-AX26)&lt;=0,0,BH26*(AW26-AX26)),0),""))</f>
        <v/>
      </c>
      <c r="AM26" s="870"/>
      <c r="AN26" s="870"/>
      <c r="AO26" s="871" t="str">
        <f>IF(M02S02F44="","Update Install Status",IF(M02S02F44="Yes","Submit as Fast Track",IF(M02S02F49="Yes","Use New Load",IF(OR(C26="",E26="",M26="",K26="",O26="",Y26="",R26="",AA26="",AF26="",AH26="",AD26="",U26="",W26="",AJ26=""),"",IF(BF26&lt;&gt;"",BF26,IF(ISNUMBER(SEARCH("Type",O26)),MIN(BD26,AU26),MIN(BE26,AU26)))))))</f>
        <v>Update Install Status</v>
      </c>
      <c r="AP26" s="871"/>
      <c r="AQ26" s="871"/>
      <c r="AS26" s="69"/>
      <c r="AT26" s="69"/>
      <c r="AU26" s="804" t="str">
        <f>IF(OR(C26="",E26="",M26="",K26="",O26="",Y26="",R26="",AA26="",AH26="",AJ26="",AD26="", U26="",W26=""),"",IF(AND(ISNUMBER(SEARCH("Other",E26)),OR(H26="",ISBLANK(H26),ISNUMBER(SEARCH("Description",H26)))),"",(ROUND((AH26+AJ26)*U26,2))))</f>
        <v/>
      </c>
      <c r="AV26" s="806" t="str">
        <f>IF(OR(C26="",E26="",M26="",K26="",O26="",Y26="",R26="",AA26="",AH26="",AJ26="",AD26="", U26="",W26=""),"",IF(AND(ISNUMBER(SEARCH("Other",E26)),OR(H26="",ISBLANK(H26),ISNUMBER(SEARCH("Description",H26)))),"",ROUND(AL26*INDEX(ENDUSEALL[Factor],MATCH(IF(ISNUMBER(SEARCH("24/7",AA26)),"Miscellaneous","Lighting"),ENDUSEALL[End Use to Coincident Peak Demand Factors],0)),4)))</f>
        <v/>
      </c>
      <c r="AW26" s="802" t="str">
        <f>IF(OR(C26="",E26="",M26="",K26="",O26="",Y26="",R26="",AA26="",AH26="",AJ26="",AD26="", U26="",W26=""),"",IF(AND(ISNUMBER(SEARCH("Other",E26)),OR(H26="",ISBLANK(H26),ISNUMBER(SEARCH("Description",H26)))),"",ROUND(M26*AD26*K26/1000,0)))</f>
        <v/>
      </c>
      <c r="AX26" s="802" t="str">
        <f>IF(OR(C26="",E26="",M26="",K26="",O26="",Y26="",R26="",AA26="",AH26="",AJ26="",AD26="", U26="",W26=""),"",IF(AND(ISNUMBER(SEARCH("Other",E26)),OR(H26="",ISBLANK(H26),ISNUMBER(SEARCH("Description",H26)))),"",IF(ISNUMBER(SEARCH("Network",O26)),ROUND(0.76 *Y26*AD26*U26/1000,0),ROUND(Y26*AD26*U26/1000,0))))</f>
        <v/>
      </c>
      <c r="AY26" s="802" t="str">
        <f>IF(OR(C26="",E26="",M26="",K26="",O26="",Y26="",R26="",AA26="",AH26="",AJ26="",AD26="", U26="",W26=""),"",IF(AND(K26&gt;=U26,ISNUMBER(SEARCH("Type",O26))),ROUND(U26*LEFT(INDEX(CMLIGHTBASE[Measure Subgroup 2], MATCH(E26,CMLIGHTBASE[Base Desc 1],0)),2)*M26/LEFT(INDEX(CMLIGHTBASE[Measure Subgroup 2], MATCH(E26,CMLIGHTBASE[Base Desc 1],0)),2),0),IF(AND(K26&lt;U26,ISNUMBER(SEARCH("Type",O26))),ROUND(K26*LEFT(INDEX(CMLIGHTBASE[Measure Subgroup 2], MATCH(E26,CMLIGHTBASE[Base Desc 1],0)),2)*M26/LEFT(INDEX(CMLIGHTBASE[Measure Subgroup 2], MATCH(E26,CMLIGHTBASE[Base Desc 1],0)),2),0),IF(AND(OR(ISNUMBER(SEARCH("Fixture",O26)),ISNUMBER(SEARCH("Kit",O26))),K26&gt;=U26),U26*M26,K26*M26))))</f>
        <v/>
      </c>
      <c r="AZ26" s="802"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00" t="str">
        <f>CONCATENATE(C26,"-","LED","-",O26)</f>
        <v>-LED-</v>
      </c>
      <c r="BB26" s="808" t="str">
        <f>IF(OR(C26="",E26="",M26="",K26="",O26="",Y26="",R26="",AA26="",AH26="",AJ26="",AD26="", U26="",W26=""),"",IF(AND(ISNUMBER(SEARCH("Other",E26)),OR(H26="",ISBLANK(H26),ISNUMBER(SEARCH("Description",H26)))),"",INDEX(PMELIGHTLIN[Measure '#],MATCH(BA26,PMELIGHTLIN[Measure Validator],0))))</f>
        <v/>
      </c>
      <c r="BC26" s="809" t="str">
        <f ca="1">IFERROR(IF(OR(C26="",AJ26=""),"",IF(BB26="","",IF(AND(AND(SUBLIGHTDATE1&lt;&gt;"No",SUBLIGHTDATE2&lt;&gt;"No",SUBLIGHTDATE3&lt;&gt;"No"),OR(M02S02F43&lt;=DATEVALUE("12/31/2021"),M02S02F43=""),OR(TODAY()&lt;=LIGHTING2021,ACTLIGHT&lt;&gt;"")),LIGHTRATE21*(INDEX(PMELIGHTLIN[Inc Rate Unit PA],MATCH(BA26,PMELIGHTLIN[Measure Validator],0))),INDEX(PMELIGHTLIN[Inc Rate Unit PA],MATCH(BA26,PMELIGHTLIN[Measure Validator],0))))),"")</f>
        <v/>
      </c>
      <c r="BD26" s="808">
        <f>IFERROR(IF(ISNUMBER(SEARCH("Type",O26)),(AY26-AZ26)*BC26,0),0)</f>
        <v>0</v>
      </c>
      <c r="BE26" s="796">
        <f ca="1">IFERROR((IF(ISNUMBER(SEARCH("Type",O26)),0,IF(K26&gt;=U26,((U26*M26)-(U26*Y26)),((K26*M26)-(U26*Y26)))))*BC26,0)</f>
        <v>0</v>
      </c>
      <c r="BF26" s="800" t="str">
        <f>IF(M02S02F44="Yes","Not Eligible",IF(OR(C26="",E26="",M26="",K26="",O26="",Y26="",R26="",AA26="",AH26="",AJ26="",AD26="",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Savings",IF((AY26-AZ26)&lt;0,"No Incentive",IF(AF26&lt;50000,"Lamp Life Too Short",""))))),"ERROR"))))</f>
        <v/>
      </c>
      <c r="BG26" s="802" t="str">
        <f>IF(AND(ISBLANK(AH26),ISBLANK(AJ26)),"",IF(AND(ISNUMBER(SEARCH("Type",O26)),BD26&gt;AU26),"Yes",IF(AND(OR(ISNUMBER(SEARCH("Fixture",O26)),ISNUMBER(SEARCH("Kit",O26))),BE26&gt;AU26),"Yes","No")))</f>
        <v/>
      </c>
      <c r="BH26" s="796">
        <f>IF(M02S02F32&lt;&gt;"",INDEX(SPACEHEAT[HIF],MATCH(M02S02F32,SHEAT,0)),1)</f>
        <v>1</v>
      </c>
      <c r="BI26" s="1044">
        <f>IFERROR(ROUND(BK26*1.1,2),0)</f>
        <v>0</v>
      </c>
      <c r="BJ26" s="1044" t="str">
        <f>IF(M02S02F44="","Update Install Status",IF(M02S02F49="Yes","Use New Load",IF(OR(C26="",E26="",M26="",K26="",O26="",Y26="",R26="",AA26="",AF26="",AH26="",AD26="",U26="",W26="",AJ26=""),"",IF(BF26&lt;&gt;"",BF26,ROUND(BI26*BONUSADJ,2)))))</f>
        <v>Update Install Status</v>
      </c>
      <c r="BK26" s="1044" t="str">
        <f>IF(M02S02F44="","Update Install Status",IF(M02S02F44="Yes","Submit as Fast Track",IF(M02S02F49="Yes","Use New Load",IF(OR(C26="",E26="",M26="",K26="",O26="",Y26="",R26="",AA26="",AF26="",AH26="",AD26="",U26="",W26="",AJ26=""),"",IF(BF26&lt;&gt;"",BF26,IF(ISNUMBER(SEARCH("Type",O26)),MIN(BD26,AU26),MIN(BE26,AU26)))))))</f>
        <v>Update Install Status</v>
      </c>
    </row>
    <row r="27" spans="2:63" ht="15.95" customHeight="1" x14ac:dyDescent="0.25">
      <c r="B27" s="873"/>
      <c r="C27" s="813"/>
      <c r="D27" s="814"/>
      <c r="E27" s="818"/>
      <c r="F27" s="819"/>
      <c r="G27" s="820"/>
      <c r="H27" s="824"/>
      <c r="I27" s="825"/>
      <c r="J27" s="826"/>
      <c r="K27" s="829"/>
      <c r="L27" s="830"/>
      <c r="M27" s="833"/>
      <c r="N27" s="834"/>
      <c r="O27" s="838"/>
      <c r="P27" s="839"/>
      <c r="Q27" s="840"/>
      <c r="R27" s="824"/>
      <c r="S27" s="825"/>
      <c r="T27" s="826"/>
      <c r="U27" s="824"/>
      <c r="V27" s="825"/>
      <c r="W27" s="845"/>
      <c r="X27" s="846"/>
      <c r="Y27" s="849"/>
      <c r="Z27" s="850"/>
      <c r="AA27" s="852"/>
      <c r="AB27" s="852"/>
      <c r="AC27" s="852"/>
      <c r="AD27" s="853"/>
      <c r="AE27" s="853"/>
      <c r="AF27" s="854"/>
      <c r="AG27" s="855"/>
      <c r="AH27" s="856"/>
      <c r="AI27" s="857"/>
      <c r="AJ27" s="857"/>
      <c r="AK27" s="867"/>
      <c r="AL27" s="869"/>
      <c r="AM27" s="870"/>
      <c r="AN27" s="870"/>
      <c r="AO27" s="872"/>
      <c r="AP27" s="872"/>
      <c r="AQ27" s="872"/>
      <c r="AS27" s="69"/>
      <c r="AT27" s="69"/>
      <c r="AU27" s="805"/>
      <c r="AV27" s="807"/>
      <c r="AW27" s="803"/>
      <c r="AX27" s="803"/>
      <c r="AY27" s="803"/>
      <c r="AZ27" s="803"/>
      <c r="BA27" s="801"/>
      <c r="BB27" s="797"/>
      <c r="BC27" s="810"/>
      <c r="BD27" s="797"/>
      <c r="BE27" s="797"/>
      <c r="BF27" s="801"/>
      <c r="BG27" s="803"/>
      <c r="BH27" s="797"/>
      <c r="BI27" s="1045"/>
      <c r="BJ27" s="1045"/>
      <c r="BK27" s="1045"/>
    </row>
    <row r="28" spans="2:63" ht="15.95" customHeight="1" x14ac:dyDescent="0.25">
      <c r="B28" s="873">
        <v>2</v>
      </c>
      <c r="C28" s="884"/>
      <c r="D28" s="885"/>
      <c r="E28" s="888"/>
      <c r="F28" s="889"/>
      <c r="G28" s="890"/>
      <c r="H28" s="881"/>
      <c r="I28" s="894"/>
      <c r="J28" s="895"/>
      <c r="K28" s="902"/>
      <c r="L28" s="903"/>
      <c r="M28" s="831" t="str">
        <f>IF(OR($E28="",ISNUMBER(SEARCH("Other",$E28))),"",INDEX(CMLIGHTBASE[Base Watt 1],MATCH($E28,CMLIGHTBASE[Base Desc 1],0)))</f>
        <v/>
      </c>
      <c r="N28" s="832"/>
      <c r="O28" s="906"/>
      <c r="P28" s="907"/>
      <c r="Q28" s="908"/>
      <c r="R28" s="881"/>
      <c r="S28" s="894"/>
      <c r="T28" s="895"/>
      <c r="U28" s="881"/>
      <c r="V28" s="894"/>
      <c r="W28" s="843" t="str">
        <f t="shared" ref="W28" si="1">IF(O28="","",IF(ISNUMBER(SEARCH("Type",O28)),"","N/A"))</f>
        <v/>
      </c>
      <c r="X28" s="844"/>
      <c r="Y28" s="912"/>
      <c r="Z28" s="913"/>
      <c r="AA28" s="880"/>
      <c r="AB28" s="880"/>
      <c r="AC28" s="880"/>
      <c r="AD28" s="916"/>
      <c r="AE28" s="916"/>
      <c r="AF28" s="917"/>
      <c r="AG28" s="918"/>
      <c r="AH28" s="899"/>
      <c r="AI28" s="900"/>
      <c r="AJ28" s="900"/>
      <c r="AK28" s="901"/>
      <c r="AL28" s="869" t="str">
        <f t="shared" ref="AL28" si="2">IF(OR(C28="",E28="",M28="",K28="",O28="",Y28="",R28="",AA28="",AH28="",AJ28="",AD28="",U28="",W28=""),"",IFERROR(ROUND(IF((AW28-AX28)&lt;=0,0,BH28*(AW28-AX28)),0),""))</f>
        <v/>
      </c>
      <c r="AM28" s="870"/>
      <c r="AN28" s="870"/>
      <c r="AO28" s="871" t="str">
        <f>IF(M02S02F44="","Update Install Status",IF(M02S02F44="Yes","Submit as Fast Track",IF(M02S02F49="Yes","Use New Load",IF(OR(C28="",E28="",M28="",K28="",O28="",Y28="",R28="",AA28="",AF28="",AH28="",AD28="",U28="",W28="",AJ28=""),"",IF(BF28&lt;&gt;"",BF28,IF(ISNUMBER(SEARCH("Type",O28)),MIN(BD28,AU28),MIN(BE28,AU28)))))))</f>
        <v>Update Install Status</v>
      </c>
      <c r="AP28" s="871"/>
      <c r="AQ28" s="871"/>
      <c r="AS28" s="69"/>
      <c r="AT28" s="69"/>
      <c r="AU28" s="804" t="str">
        <f>IF(OR(C28="",E28="",M28="",K28="",O28="",Y28="",R28="",AA28="",AH28="",AJ28="",AD28="", U28="",W28=""),"",IF(AND(ISNUMBER(SEARCH("Other",E28)),OR(H28="",ISBLANK(H28),ISNUMBER(SEARCH("Description",H28)))),"",(ROUND((AH28+AJ28)*U28,2))))</f>
        <v/>
      </c>
      <c r="AV28" s="806" t="str">
        <f>IF(OR(C28="",E28="",M28="",K28="",O28="",Y28="",R28="",AA28="",AH28="",AJ28="",AD28="", U28="",W28=""),"",IF(AND(ISNUMBER(SEARCH("Other",E28)),OR(H28="",ISBLANK(H28),ISNUMBER(SEARCH("Description",H28)))),"",ROUND(AL28*INDEX(ENDUSEALL[Factor],MATCH(IF(ISNUMBER(SEARCH("24/7",AA28)),"Miscellaneous","Lighting"),ENDUSEALL[End Use to Coincident Peak Demand Factors],0)),4)))</f>
        <v/>
      </c>
      <c r="AW28" s="802" t="str">
        <f>IF(OR(C28="",E28="",M28="",K28="",O28="",Y28="",R28="",AA28="",AH28="",AJ28="",AD28="", U28="",W28=""),"",IF(AND(ISNUMBER(SEARCH("Other",E28)),OR(H28="",ISBLANK(H28),ISNUMBER(SEARCH("Description",H28)))),"",ROUND(M28*AD28*K28/1000,0)))</f>
        <v/>
      </c>
      <c r="AX28" s="802" t="str">
        <f>IF(OR(C28="",E28="",M28="",K28="",O28="",Y28="",R28="",AA28="",AH28="",AJ28="",AD28="", U28="",W28=""),"",IF(AND(ISNUMBER(SEARCH("Other",E28)),OR(H28="",ISBLANK(H28),ISNUMBER(SEARCH("Description",H28)))),"",IF(ISNUMBER(SEARCH("Network",O28)),ROUND(0.76 *Y28*AD28*U28/1000,0),ROUND(Y28*AD28*U28/1000,0))))</f>
        <v/>
      </c>
      <c r="AY28" s="802" t="str">
        <f>IF(OR(C28="",E28="",M28="",K28="",O28="",Y28="",R28="",AA28="",AH28="",AJ28="",AD28="", U28="",W28=""),"",IF(AND(K28&gt;=U28,ISNUMBER(SEARCH("Type",O28))),ROUND(U28*LEFT(INDEX(CMLIGHTBASE[Measure Subgroup 2], MATCH(E28,CMLIGHTBASE[Base Desc 1],0)),2)*M28/LEFT(INDEX(CMLIGHTBASE[Measure Subgroup 2], MATCH(E28,CMLIGHTBASE[Base Desc 1],0)),2),0),IF(AND(K28&lt;U28,ISNUMBER(SEARCH("Type",O28))),ROUND(K28*LEFT(INDEX(CMLIGHTBASE[Measure Subgroup 2], MATCH(E28,CMLIGHTBASE[Base Desc 1],0)),2)*M28/LEFT(INDEX(CMLIGHTBASE[Measure Subgroup 2], MATCH(E28,CMLIGHTBASE[Base Desc 1],0)),2),0),IF(AND(OR(ISNUMBER(SEARCH("Fixture",O28)),ISNUMBER(SEARCH("Kit",O28))),K28&gt;=U28),U28*M28,K28*M28))))</f>
        <v/>
      </c>
      <c r="AZ28" s="802"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00" t="str">
        <f>CONCATENATE(C28,"-","LED","-",O28)</f>
        <v>-LED-</v>
      </c>
      <c r="BB28" s="808" t="str">
        <f>IF(OR(C28="",E28="",M28="",K28="",O28="",Y28="",R28="",AA28="",AH28="",AJ28="",AD28="", U28="",W28=""),"",IF(AND(ISNUMBER(SEARCH("Other",E28)),OR(H28="",ISBLANK(H28),ISNUMBER(SEARCH("Description",H28)))),"",INDEX(PMELIGHTLIN[Measure '#],MATCH(BA28,PMELIGHTLIN[Measure Validator],0))))</f>
        <v/>
      </c>
      <c r="BC28" s="809" t="str">
        <f ca="1">IFERROR(IF(OR(C28="",AJ28=""),"",IF(BB28="","",IF(AND(AND(SUBLIGHTDATE1&lt;&gt;"No",SUBLIGHTDATE2&lt;&gt;"No",SUBLIGHTDATE3&lt;&gt;"No"),OR(M02S02F43&lt;=DATEVALUE("12/31/2021"),M02S02F43=""),OR(TODAY()&lt;=LIGHTING2021,ACTLIGHT&lt;&gt;"")),LIGHTRATE21*(INDEX(PMELIGHTLIN[Inc Rate Unit PA],MATCH(BA28,PMELIGHTLIN[Measure Validator],0))),INDEX(PMELIGHTLIN[Inc Rate Unit PA],MATCH(BA28,PMELIGHTLIN[Measure Validator],0))))),"")</f>
        <v/>
      </c>
      <c r="BD28" s="808">
        <f>IFERROR(IF(ISNUMBER(SEARCH("Type",O28)),(AY28-AZ28)*BC28,0),0)</f>
        <v>0</v>
      </c>
      <c r="BE28" s="796">
        <f ca="1">IFERROR((IF(ISNUMBER(SEARCH("Type",O28)),0,IF(K28&gt;=U28,((U28*M28)-(U28*Y28)),((K28*M28)-(U28*Y28)))))*BC28,0)</f>
        <v>0</v>
      </c>
      <c r="BF28" s="800" t="str">
        <f>IF(M02S02F44="Yes","Not Eligible",IF(OR(C28="",E28="",M28="",K28="",O28="",Y28="",R28="",AA28="",AH28="",AJ28="",AD28="",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Savings",IF((AY28-AZ28)&lt;0,"No Incentive",IF(AF28&lt;50000,"Lamp Life Too Short",""))))),"ERROR"))))</f>
        <v/>
      </c>
      <c r="BG28" s="802" t="str">
        <f>IF(AND(ISBLANK(AH28),ISBLANK(AJ28)),"",IF(AND(ISNUMBER(SEARCH("Type",O28)),BD28&gt;AU28),"Yes",IF(AND(OR(ISNUMBER(SEARCH("Fixture",O28)),ISNUMBER(SEARCH("Kit",O28))),BE28&gt;AU28),"Yes","No")))</f>
        <v/>
      </c>
      <c r="BH28" s="796">
        <f>IF(M02S02F32&lt;&gt;"",INDEX(SPACEHEAT[HIF],MATCH(M02S02F32,SHEAT,0)),1)</f>
        <v>1</v>
      </c>
      <c r="BI28" s="1044">
        <f t="shared" ref="BI28" si="3">IFERROR(ROUND(BK28*1.1,2),0)</f>
        <v>0</v>
      </c>
      <c r="BJ28" s="1044" t="str">
        <f>IF(M02S02F44="","Update Install Status",IF(M02S02F49="Yes","Use New Load",IF(OR(C28="",E28="",M28="",K28="",O28="",Y28="",R28="",AA28="",AF28="",AH28="",AD28="",U28="",W28="",AJ28=""),"",IF(BF28&lt;&gt;"",BF28,ROUND(BI28*BONUSADJ,2)))))</f>
        <v>Update Install Status</v>
      </c>
      <c r="BK28" s="1044" t="str">
        <f>IF(M02S02F44="","Update Install Status",IF(M02S02F44="Yes","Submit as Fast Track",IF(M02S02F49="Yes","Use New Load",IF(OR(C28="",E28="",M28="",K28="",O28="",Y28="",R28="",AA28="",AF28="",AH28="",AD28="",U28="",W28="",AJ28=""),"",IF(BF28&lt;&gt;"",BF28,IF(ISNUMBER(SEARCH("Type",O28)),MIN(BD28,AU28),MIN(BE28,AU28)))))))</f>
        <v>Update Install Status</v>
      </c>
    </row>
    <row r="29" spans="2:63" ht="15.95" customHeight="1" x14ac:dyDescent="0.25">
      <c r="B29" s="873"/>
      <c r="C29" s="886"/>
      <c r="D29" s="887"/>
      <c r="E29" s="891"/>
      <c r="F29" s="892"/>
      <c r="G29" s="893"/>
      <c r="H29" s="896"/>
      <c r="I29" s="897"/>
      <c r="J29" s="898"/>
      <c r="K29" s="904"/>
      <c r="L29" s="905"/>
      <c r="M29" s="833"/>
      <c r="N29" s="834"/>
      <c r="O29" s="909"/>
      <c r="P29" s="910"/>
      <c r="Q29" s="911"/>
      <c r="R29" s="896"/>
      <c r="S29" s="897"/>
      <c r="T29" s="898"/>
      <c r="U29" s="896"/>
      <c r="V29" s="897"/>
      <c r="W29" s="845"/>
      <c r="X29" s="846"/>
      <c r="Y29" s="914"/>
      <c r="Z29" s="915"/>
      <c r="AA29" s="880"/>
      <c r="AB29" s="880"/>
      <c r="AC29" s="880"/>
      <c r="AD29" s="916"/>
      <c r="AE29" s="916"/>
      <c r="AF29" s="917"/>
      <c r="AG29" s="918"/>
      <c r="AH29" s="899"/>
      <c r="AI29" s="900"/>
      <c r="AJ29" s="900"/>
      <c r="AK29" s="901"/>
      <c r="AL29" s="869"/>
      <c r="AM29" s="870"/>
      <c r="AN29" s="870"/>
      <c r="AO29" s="872"/>
      <c r="AP29" s="872"/>
      <c r="AQ29" s="872"/>
      <c r="AS29" s="69"/>
      <c r="AT29" s="69"/>
      <c r="AU29" s="805"/>
      <c r="AV29" s="807"/>
      <c r="AW29" s="803"/>
      <c r="AX29" s="803"/>
      <c r="AY29" s="803"/>
      <c r="AZ29" s="803"/>
      <c r="BA29" s="801"/>
      <c r="BB29" s="797"/>
      <c r="BC29" s="810"/>
      <c r="BD29" s="797"/>
      <c r="BE29" s="797"/>
      <c r="BF29" s="801"/>
      <c r="BG29" s="803"/>
      <c r="BH29" s="797"/>
      <c r="BI29" s="1045"/>
      <c r="BJ29" s="1045"/>
      <c r="BK29" s="1045"/>
    </row>
    <row r="30" spans="2:63" ht="15.95" customHeight="1" x14ac:dyDescent="0.25">
      <c r="B30" s="873">
        <v>3</v>
      </c>
      <c r="C30" s="884"/>
      <c r="D30" s="885"/>
      <c r="E30" s="888"/>
      <c r="F30" s="889"/>
      <c r="G30" s="890"/>
      <c r="H30" s="881"/>
      <c r="I30" s="894"/>
      <c r="J30" s="895"/>
      <c r="K30" s="902"/>
      <c r="L30" s="903"/>
      <c r="M30" s="831" t="str">
        <f>IF(OR($E30="",ISNUMBER(SEARCH("Other",$E30))),"",INDEX(CMLIGHTBASE[Base Watt 1],MATCH($E30,CMLIGHTBASE[Base Desc 1],0)))</f>
        <v/>
      </c>
      <c r="N30" s="832"/>
      <c r="O30" s="906"/>
      <c r="P30" s="907"/>
      <c r="Q30" s="908"/>
      <c r="R30" s="881"/>
      <c r="S30" s="894"/>
      <c r="T30" s="895"/>
      <c r="U30" s="881"/>
      <c r="V30" s="894"/>
      <c r="W30" s="843" t="str">
        <f t="shared" ref="W30" si="4">IF(O30="","",IF(ISNUMBER(SEARCH("Type",O30)),"","N/A"))</f>
        <v/>
      </c>
      <c r="X30" s="844"/>
      <c r="Y30" s="912"/>
      <c r="Z30" s="913"/>
      <c r="AA30" s="880"/>
      <c r="AB30" s="880"/>
      <c r="AC30" s="880"/>
      <c r="AD30" s="916"/>
      <c r="AE30" s="916"/>
      <c r="AF30" s="917"/>
      <c r="AG30" s="918"/>
      <c r="AH30" s="899"/>
      <c r="AI30" s="900"/>
      <c r="AJ30" s="900"/>
      <c r="AK30" s="901"/>
      <c r="AL30" s="869" t="str">
        <f t="shared" ref="AL30" si="5">IF(OR(C30="",E30="",M30="",K30="",O30="",Y30="",R30="",AA30="",AH30="",AJ30="",AD30="",U30="",W30=""),"",IFERROR(ROUND(IF((AW30-AX30)&lt;=0,0,BH30*(AW30-AX30)),0),""))</f>
        <v/>
      </c>
      <c r="AM30" s="870"/>
      <c r="AN30" s="870"/>
      <c r="AO30" s="871" t="str">
        <f>IF(M02S02F44="","Update Install Status",IF(M02S02F44="Yes","Submit as Fast Track",IF(M02S02F49="Yes","Use New Load",IF(OR(C30="",E30="",M30="",K30="",O30="",Y30="",R30="",AA30="",AF30="",AH30="",AD30="",U30="",W30="",AJ30=""),"",IF(BF30&lt;&gt;"",BF30,IF(ISNUMBER(SEARCH("Type",O30)),MIN(BD30,AU30),MIN(BE30,AU30)))))))</f>
        <v>Update Install Status</v>
      </c>
      <c r="AP30" s="871"/>
      <c r="AQ30" s="871"/>
      <c r="AS30" s="69"/>
      <c r="AT30" s="69"/>
      <c r="AU30" s="804" t="str">
        <f>IF(OR(C30="",E30="",M30="",K30="",O30="",Y30="",R30="",AA30="",AH30="",AJ30="",AD30="", U30="",W30=""),"",IF(AND(ISNUMBER(SEARCH("Other",E30)),OR(H30="",ISBLANK(H30),ISNUMBER(SEARCH("Description",H30)))),"",(ROUND((AH30+AJ30)*U30,2))))</f>
        <v/>
      </c>
      <c r="AV30" s="806" t="str">
        <f>IF(OR(C30="",E30="",M30="",K30="",O30="",Y30="",R30="",AA30="",AH30="",AJ30="",AD30="", U30="",W30=""),"",IF(AND(ISNUMBER(SEARCH("Other",E30)),OR(H30="",ISBLANK(H30),ISNUMBER(SEARCH("Description",H30)))),"",ROUND(AL30*INDEX(ENDUSEALL[Factor],MATCH(IF(ISNUMBER(SEARCH("24/7",AA30)),"Miscellaneous","Lighting"),ENDUSEALL[End Use to Coincident Peak Demand Factors],0)),4)))</f>
        <v/>
      </c>
      <c r="AW30" s="802" t="str">
        <f>IF(OR(C30="",E30="",M30="",K30="",O30="",Y30="",R30="",AA30="",AH30="",AJ30="",AD30="", U30="",W30=""),"",IF(AND(ISNUMBER(SEARCH("Other",E30)),OR(H30="",ISBLANK(H30),ISNUMBER(SEARCH("Description",H30)))),"",ROUND(M30*AD30*K30/1000,0)))</f>
        <v/>
      </c>
      <c r="AX30" s="802" t="str">
        <f>IF(OR(C30="",E30="",M30="",K30="",O30="",Y30="",R30="",AA30="",AH30="",AJ30="",AD30="", U30="",W30=""),"",IF(AND(ISNUMBER(SEARCH("Other",E30)),OR(H30="",ISBLANK(H30),ISNUMBER(SEARCH("Description",H30)))),"",IF(ISNUMBER(SEARCH("Network",O30)),ROUND(0.76 *Y30*AD30*U30/1000,0),ROUND(Y30*AD30*U30/1000,0))))</f>
        <v/>
      </c>
      <c r="AY30" s="802" t="str">
        <f>IF(OR(C30="",E30="",M30="",K30="",O30="",Y30="",R30="",AA30="",AH30="",AJ30="",AD30="", U30="",W30=""),"",IF(AND(K30&gt;=U30,ISNUMBER(SEARCH("Type",O30))),ROUND(U30*LEFT(INDEX(CMLIGHTBASE[Measure Subgroup 2], MATCH(E30,CMLIGHTBASE[Base Desc 1],0)),2)*M30/LEFT(INDEX(CMLIGHTBASE[Measure Subgroup 2], MATCH(E30,CMLIGHTBASE[Base Desc 1],0)),2),0),IF(AND(K30&lt;U30,ISNUMBER(SEARCH("Type",O30))),ROUND(K30*LEFT(INDEX(CMLIGHTBASE[Measure Subgroup 2], MATCH(E30,CMLIGHTBASE[Base Desc 1],0)),2)*M30/LEFT(INDEX(CMLIGHTBASE[Measure Subgroup 2], MATCH(E30,CMLIGHTBASE[Base Desc 1],0)),2),0),IF(AND(OR(ISNUMBER(SEARCH("Fixture",O30)),ISNUMBER(SEARCH("Kit",O30))),K30&gt;=U30),U30*M30,K30*M30))))</f>
        <v/>
      </c>
      <c r="AZ30" s="802"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00" t="str">
        <f>CONCATENATE(C30,"-","LED","-",O30)</f>
        <v>-LED-</v>
      </c>
      <c r="BB30" s="808" t="str">
        <f>IF(OR(C30="",E30="",M30="",K30="",O30="",Y30="",R30="",AA30="",AH30="",AJ30="",AD30="", U30="",W30=""),"",IF(AND(ISNUMBER(SEARCH("Other",E30)),OR(H30="",ISBLANK(H30),ISNUMBER(SEARCH("Description",H30)))),"",INDEX(PMELIGHTLIN[Measure '#],MATCH(BA30,PMELIGHTLIN[Measure Validator],0))))</f>
        <v/>
      </c>
      <c r="BC30" s="809" t="str">
        <f ca="1">IFERROR(IF(OR(C30="",AJ30=""),"",IF(BB30="","",IF(AND(AND(SUBLIGHTDATE1&lt;&gt;"No",SUBLIGHTDATE2&lt;&gt;"No",SUBLIGHTDATE3&lt;&gt;"No"),OR(M02S02F43&lt;=DATEVALUE("12/31/2021"),M02S02F43=""),OR(TODAY()&lt;=LIGHTING2021,ACTLIGHT&lt;&gt;"")),LIGHTRATE21*(INDEX(PMELIGHTLIN[Inc Rate Unit PA],MATCH(BA30,PMELIGHTLIN[Measure Validator],0))),INDEX(PMELIGHTLIN[Inc Rate Unit PA],MATCH(BA30,PMELIGHTLIN[Measure Validator],0))))),"")</f>
        <v/>
      </c>
      <c r="BD30" s="808">
        <f>IFERROR(IF(ISNUMBER(SEARCH("Type",O30)),(AY30-AZ30)*BC30,0),0)</f>
        <v>0</v>
      </c>
      <c r="BE30" s="796">
        <f ca="1">IFERROR((IF(ISNUMBER(SEARCH("Type",O30)),0,IF(K30&gt;=U30,((U30*M30)-(U30*Y30)),((K30*M30)-(U30*Y30)))))*BC30,0)</f>
        <v>0</v>
      </c>
      <c r="BF30" s="800" t="str">
        <f>IF(M02S02F44="Yes","Not Eligible",IF(OR(C30="",E30="",M30="",K30="",O30="",Y30="",R30="",AA30="",AH30="",AJ30="",AD30="",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Savings",IF((AY30-AZ30)&lt;0,"No Incentive",IF(AF30&lt;50000,"Lamp Life Too Short",""))))),"ERROR"))))</f>
        <v/>
      </c>
      <c r="BG30" s="802" t="str">
        <f>IF(AND(ISBLANK(AH30),ISBLANK(AJ30)),"",IF(AND(ISNUMBER(SEARCH("Type",O30)),BD30&gt;AU30),"Yes",IF(AND(OR(ISNUMBER(SEARCH("Fixture",O30)),ISNUMBER(SEARCH("Kit",O30))),BE30&gt;AU30),"Yes","No")))</f>
        <v/>
      </c>
      <c r="BH30" s="796">
        <f>IF(M02S02F32&lt;&gt;"",INDEX(SPACEHEAT[HIF],MATCH(M02S02F32,SHEAT,0)),1)</f>
        <v>1</v>
      </c>
      <c r="BI30" s="1044">
        <f t="shared" ref="BI30" si="6">IFERROR(ROUND(BK30*1.1,2),0)</f>
        <v>0</v>
      </c>
      <c r="BJ30" s="1044" t="str">
        <f>IF(M02S02F44="","Update Install Status",IF(M02S02F49="Yes","Use New Load",IF(OR(C30="",E30="",M30="",K30="",O30="",Y30="",R30="",AA30="",AF30="",AH30="",AD30="",U30="",W30="",AJ30=""),"",IF(BF30&lt;&gt;"",BF30,ROUND(BI30*BONUSADJ,2)))))</f>
        <v>Update Install Status</v>
      </c>
      <c r="BK30" s="1044" t="str">
        <f>IF(M02S02F44="","Update Install Status",IF(M02S02F44="Yes","Submit as Fast Track",IF(M02S02F49="Yes","Use New Load",IF(OR(C30="",E30="",M30="",K30="",O30="",Y30="",R30="",AA30="",AF30="",AH30="",AD30="",U30="",W30="",AJ30=""),"",IF(BF30&lt;&gt;"",BF30,IF(ISNUMBER(SEARCH("Type",O30)),MIN(BD30,AU30),MIN(BE30,AU30)))))))</f>
        <v>Update Install Status</v>
      </c>
    </row>
    <row r="31" spans="2:63" ht="15.95" customHeight="1" x14ac:dyDescent="0.25">
      <c r="B31" s="873"/>
      <c r="C31" s="886"/>
      <c r="D31" s="887"/>
      <c r="E31" s="891"/>
      <c r="F31" s="892"/>
      <c r="G31" s="893"/>
      <c r="H31" s="896"/>
      <c r="I31" s="897"/>
      <c r="J31" s="898"/>
      <c r="K31" s="904"/>
      <c r="L31" s="905"/>
      <c r="M31" s="833"/>
      <c r="N31" s="834"/>
      <c r="O31" s="909"/>
      <c r="P31" s="910"/>
      <c r="Q31" s="911"/>
      <c r="R31" s="896"/>
      <c r="S31" s="897"/>
      <c r="T31" s="898"/>
      <c r="U31" s="896"/>
      <c r="V31" s="897"/>
      <c r="W31" s="845"/>
      <c r="X31" s="846"/>
      <c r="Y31" s="914"/>
      <c r="Z31" s="915"/>
      <c r="AA31" s="880"/>
      <c r="AB31" s="880"/>
      <c r="AC31" s="880"/>
      <c r="AD31" s="916"/>
      <c r="AE31" s="916"/>
      <c r="AF31" s="917"/>
      <c r="AG31" s="918"/>
      <c r="AH31" s="899"/>
      <c r="AI31" s="900"/>
      <c r="AJ31" s="900"/>
      <c r="AK31" s="901"/>
      <c r="AL31" s="869"/>
      <c r="AM31" s="870"/>
      <c r="AN31" s="870"/>
      <c r="AO31" s="872"/>
      <c r="AP31" s="872"/>
      <c r="AQ31" s="872"/>
      <c r="AS31" s="69"/>
      <c r="AT31" s="69"/>
      <c r="AU31" s="805"/>
      <c r="AV31" s="807"/>
      <c r="AW31" s="803"/>
      <c r="AX31" s="803"/>
      <c r="AY31" s="803"/>
      <c r="AZ31" s="803"/>
      <c r="BA31" s="801"/>
      <c r="BB31" s="797"/>
      <c r="BC31" s="810"/>
      <c r="BD31" s="797"/>
      <c r="BE31" s="797"/>
      <c r="BF31" s="801"/>
      <c r="BG31" s="803"/>
      <c r="BH31" s="797"/>
      <c r="BI31" s="1045"/>
      <c r="BJ31" s="1045"/>
      <c r="BK31" s="1045"/>
    </row>
    <row r="32" spans="2:63" ht="15.95" customHeight="1" x14ac:dyDescent="0.25">
      <c r="B32" s="873">
        <v>4</v>
      </c>
      <c r="C32" s="884"/>
      <c r="D32" s="885"/>
      <c r="E32" s="888"/>
      <c r="F32" s="889"/>
      <c r="G32" s="890"/>
      <c r="H32" s="881"/>
      <c r="I32" s="894"/>
      <c r="J32" s="895"/>
      <c r="K32" s="902"/>
      <c r="L32" s="903"/>
      <c r="M32" s="831" t="str">
        <f>IF(OR($E32="",ISNUMBER(SEARCH("Other",$E32))),"",INDEX(CMLIGHTBASE[Base Watt 1],MATCH($E32,CMLIGHTBASE[Base Desc 1],0)))</f>
        <v/>
      </c>
      <c r="N32" s="832"/>
      <c r="O32" s="906"/>
      <c r="P32" s="907"/>
      <c r="Q32" s="908"/>
      <c r="R32" s="881"/>
      <c r="S32" s="894"/>
      <c r="T32" s="895"/>
      <c r="U32" s="881"/>
      <c r="V32" s="894"/>
      <c r="W32" s="843" t="str">
        <f t="shared" ref="W32" si="7">IF(O32="","",IF(ISNUMBER(SEARCH("Type",O32)),"","N/A"))</f>
        <v/>
      </c>
      <c r="X32" s="844"/>
      <c r="Y32" s="912"/>
      <c r="Z32" s="913"/>
      <c r="AA32" s="880"/>
      <c r="AB32" s="880"/>
      <c r="AC32" s="880"/>
      <c r="AD32" s="916"/>
      <c r="AE32" s="916"/>
      <c r="AF32" s="917"/>
      <c r="AG32" s="918"/>
      <c r="AH32" s="899"/>
      <c r="AI32" s="900"/>
      <c r="AJ32" s="900"/>
      <c r="AK32" s="901"/>
      <c r="AL32" s="869" t="str">
        <f t="shared" ref="AL32" si="8">IF(OR(C32="",E32="",M32="",K32="",O32="",Y32="",R32="",AA32="",AH32="",AJ32="",AD32="",U32="",W32=""),"",IFERROR(ROUND(IF((AW32-AX32)&lt;=0,0,BH32*(AW32-AX32)),0),""))</f>
        <v/>
      </c>
      <c r="AM32" s="870"/>
      <c r="AN32" s="870"/>
      <c r="AO32" s="871" t="str">
        <f>IF(M02S02F44="","Update Install Status",IF(M02S02F44="Yes","Submit as Fast Track",IF(M02S02F49="Yes","Use New Load",IF(OR(C32="",E32="",M32="",K32="",O32="",Y32="",R32="",AA32="",AF32="",AH32="",AD32="",U32="",W32="",AJ32=""),"",IF(BF32&lt;&gt;"",BF32,IF(ISNUMBER(SEARCH("Type",O32)),MIN(BD32,AU32),MIN(BE32,AU32)))))))</f>
        <v>Update Install Status</v>
      </c>
      <c r="AP32" s="871"/>
      <c r="AQ32" s="871"/>
      <c r="AS32" s="69"/>
      <c r="AT32" s="69"/>
      <c r="AU32" s="804" t="str">
        <f>IF(OR(C32="",E32="",M32="",K32="",O32="",Y32="",R32="",AA32="",AH32="",AJ32="",AD32="", U32="",W32=""),"",IF(AND(ISNUMBER(SEARCH("Other",E32)),OR(H32="",ISBLANK(H32),ISNUMBER(SEARCH("Description",H32)))),"",(ROUND((AH32+AJ32)*U32,2))))</f>
        <v/>
      </c>
      <c r="AV32" s="806" t="str">
        <f>IF(OR(C32="",E32="",M32="",K32="",O32="",Y32="",R32="",AA32="",AH32="",AJ32="",AD32="", U32="",W32=""),"",IF(AND(ISNUMBER(SEARCH("Other",E32)),OR(H32="",ISBLANK(H32),ISNUMBER(SEARCH("Description",H32)))),"",ROUND(AL32*INDEX(ENDUSEALL[Factor],MATCH(IF(ISNUMBER(SEARCH("24/7",AA32)),"Miscellaneous","Lighting"),ENDUSEALL[End Use to Coincident Peak Demand Factors],0)),4)))</f>
        <v/>
      </c>
      <c r="AW32" s="802" t="str">
        <f>IF(OR(C32="",E32="",M32="",K32="",O32="",Y32="",R32="",AA32="",AH32="",AJ32="",AD32="", U32="",W32=""),"",IF(AND(ISNUMBER(SEARCH("Other",E32)),OR(H32="",ISBLANK(H32),ISNUMBER(SEARCH("Description",H32)))),"",ROUND(M32*AD32*K32/1000,0)))</f>
        <v/>
      </c>
      <c r="AX32" s="802" t="str">
        <f>IF(OR(C32="",E32="",M32="",K32="",O32="",Y32="",R32="",AA32="",AH32="",AJ32="",AD32="", U32="",W32=""),"",IF(AND(ISNUMBER(SEARCH("Other",E32)),OR(H32="",ISBLANK(H32),ISNUMBER(SEARCH("Description",H32)))),"",IF(ISNUMBER(SEARCH("Network",O32)),ROUND(0.76 *Y32*AD32*U32/1000,0),ROUND(Y32*AD32*U32/1000,0))))</f>
        <v/>
      </c>
      <c r="AY32" s="802" t="str">
        <f>IF(OR(C32="",E32="",M32="",K32="",O32="",Y32="",R32="",AA32="",AH32="",AJ32="",AD32="", U32="",W32=""),"",IF(AND(K32&gt;=U32,ISNUMBER(SEARCH("Type",O32))),ROUND(U32*LEFT(INDEX(CMLIGHTBASE[Measure Subgroup 2], MATCH(E32,CMLIGHTBASE[Base Desc 1],0)),2)*M32/LEFT(INDEX(CMLIGHTBASE[Measure Subgroup 2], MATCH(E32,CMLIGHTBASE[Base Desc 1],0)),2),0),IF(AND(K32&lt;U32,ISNUMBER(SEARCH("Type",O32))),ROUND(K32*LEFT(INDEX(CMLIGHTBASE[Measure Subgroup 2], MATCH(E32,CMLIGHTBASE[Base Desc 1],0)),2)*M32/LEFT(INDEX(CMLIGHTBASE[Measure Subgroup 2], MATCH(E32,CMLIGHTBASE[Base Desc 1],0)),2),0),IF(AND(OR(ISNUMBER(SEARCH("Fixture",O32)),ISNUMBER(SEARCH("Kit",O32))),K32&gt;=U32),U32*M32,K32*M32))))</f>
        <v/>
      </c>
      <c r="AZ32" s="802"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00" t="str">
        <f>CONCATENATE(C32,"-","LED","-",O32)</f>
        <v>-LED-</v>
      </c>
      <c r="BB32" s="808" t="str">
        <f>IF(OR(C32="",E32="",M32="",K32="",O32="",Y32="",R32="",AA32="",AH32="",AJ32="",AD32="", U32="",W32=""),"",IF(AND(ISNUMBER(SEARCH("Other",E32)),OR(H32="",ISBLANK(H32),ISNUMBER(SEARCH("Description",H32)))),"",INDEX(PMELIGHTLIN[Measure '#],MATCH(BA32,PMELIGHTLIN[Measure Validator],0))))</f>
        <v/>
      </c>
      <c r="BC32" s="809" t="str">
        <f ca="1">IFERROR(IF(OR(C32="",AJ32=""),"",IF(BB32="","",IF(AND(AND(SUBLIGHTDATE1&lt;&gt;"No",SUBLIGHTDATE2&lt;&gt;"No",SUBLIGHTDATE3&lt;&gt;"No"),OR(M02S02F43&lt;=DATEVALUE("12/31/2021"),M02S02F43=""),OR(TODAY()&lt;=LIGHTING2021,ACTLIGHT&lt;&gt;"")),LIGHTRATE21*(INDEX(PMELIGHTLIN[Inc Rate Unit PA],MATCH(BA32,PMELIGHTLIN[Measure Validator],0))),INDEX(PMELIGHTLIN[Inc Rate Unit PA],MATCH(BA32,PMELIGHTLIN[Measure Validator],0))))),"")</f>
        <v/>
      </c>
      <c r="BD32" s="808">
        <f>IFERROR(IF(ISNUMBER(SEARCH("Type",O32)),(AY32-AZ32)*BC32,0),0)</f>
        <v>0</v>
      </c>
      <c r="BE32" s="796">
        <f ca="1">IFERROR((IF(ISNUMBER(SEARCH("Type",O32)),0,IF(K32&gt;=U32,((U32*M32)-(U32*Y32)),((K32*M32)-(U32*Y32)))))*BC32,0)</f>
        <v>0</v>
      </c>
      <c r="BF32" s="800" t="str">
        <f>IF(M02S02F44="Yes","Not Eligible",IF(OR(C32="",E32="",M32="",K32="",O32="",Y32="",R32="",AA32="",AH32="",AJ32="",AD32="",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Savings",IF((AY32-AZ32)&lt;0,"No Incentive",IF(AF32&lt;50000,"Lamp Life Too Short",""))))),"ERROR"))))</f>
        <v/>
      </c>
      <c r="BG32" s="802" t="str">
        <f>IF(AND(ISBLANK(AH32),ISBLANK(AJ32)),"",IF(AND(ISNUMBER(SEARCH("Type",O32)),BD32&gt;AU32),"Yes",IF(AND(OR(ISNUMBER(SEARCH("Fixture",O32)),ISNUMBER(SEARCH("Kit",O32))),BE32&gt;AU32),"Yes","No")))</f>
        <v/>
      </c>
      <c r="BH32" s="796">
        <f>IF(M02S02F32&lt;&gt;"",INDEX(SPACEHEAT[HIF],MATCH(M02S02F32,SHEAT,0)),1)</f>
        <v>1</v>
      </c>
      <c r="BI32" s="1044">
        <f t="shared" ref="BI32" si="9">IFERROR(ROUND(BK32*1.1,2),0)</f>
        <v>0</v>
      </c>
      <c r="BJ32" s="1044" t="str">
        <f>IF(M02S02F44="","Update Install Status",IF(M02S02F49="Yes","Use New Load",IF(OR(C32="",E32="",M32="",K32="",O32="",Y32="",R32="",AA32="",AF32="",AH32="",AD32="",U32="",W32="",AJ32=""),"",IF(BF32&lt;&gt;"",BF32,ROUND(BI32*BONUSADJ,2)))))</f>
        <v>Update Install Status</v>
      </c>
      <c r="BK32" s="1044" t="str">
        <f>IF(M02S02F44="","Update Install Status",IF(M02S02F44="Yes","Submit as Fast Track",IF(M02S02F49="Yes","Use New Load",IF(OR(C32="",E32="",M32="",K32="",O32="",Y32="",R32="",AA32="",AF32="",AH32="",AD32="",U32="",W32="",AJ32=""),"",IF(BF32&lt;&gt;"",BF32,IF(ISNUMBER(SEARCH("Type",O32)),MIN(BD32,AU32),MIN(BE32,AU32)))))))</f>
        <v>Update Install Status</v>
      </c>
    </row>
    <row r="33" spans="2:63" ht="15.95" customHeight="1" x14ac:dyDescent="0.25">
      <c r="B33" s="873"/>
      <c r="C33" s="886"/>
      <c r="D33" s="887"/>
      <c r="E33" s="891"/>
      <c r="F33" s="892"/>
      <c r="G33" s="893"/>
      <c r="H33" s="896"/>
      <c r="I33" s="897"/>
      <c r="J33" s="898"/>
      <c r="K33" s="904"/>
      <c r="L33" s="905"/>
      <c r="M33" s="833"/>
      <c r="N33" s="834"/>
      <c r="O33" s="909"/>
      <c r="P33" s="910"/>
      <c r="Q33" s="911"/>
      <c r="R33" s="896"/>
      <c r="S33" s="897"/>
      <c r="T33" s="898"/>
      <c r="U33" s="896"/>
      <c r="V33" s="897"/>
      <c r="W33" s="845"/>
      <c r="X33" s="846"/>
      <c r="Y33" s="914"/>
      <c r="Z33" s="915"/>
      <c r="AA33" s="880"/>
      <c r="AB33" s="880"/>
      <c r="AC33" s="880"/>
      <c r="AD33" s="916"/>
      <c r="AE33" s="916"/>
      <c r="AF33" s="917"/>
      <c r="AG33" s="918"/>
      <c r="AH33" s="899"/>
      <c r="AI33" s="900"/>
      <c r="AJ33" s="900"/>
      <c r="AK33" s="901"/>
      <c r="AL33" s="869"/>
      <c r="AM33" s="870"/>
      <c r="AN33" s="870"/>
      <c r="AO33" s="872"/>
      <c r="AP33" s="872"/>
      <c r="AQ33" s="872"/>
      <c r="AS33" s="69"/>
      <c r="AT33" s="69"/>
      <c r="AU33" s="805"/>
      <c r="AV33" s="807"/>
      <c r="AW33" s="803"/>
      <c r="AX33" s="803"/>
      <c r="AY33" s="803"/>
      <c r="AZ33" s="803"/>
      <c r="BA33" s="801"/>
      <c r="BB33" s="797"/>
      <c r="BC33" s="810"/>
      <c r="BD33" s="797"/>
      <c r="BE33" s="797"/>
      <c r="BF33" s="801"/>
      <c r="BG33" s="803"/>
      <c r="BH33" s="797"/>
      <c r="BI33" s="1045"/>
      <c r="BJ33" s="1045"/>
      <c r="BK33" s="1045"/>
    </row>
    <row r="34" spans="2:63" ht="15.95" customHeight="1" x14ac:dyDescent="0.25">
      <c r="B34" s="873">
        <v>5</v>
      </c>
      <c r="C34" s="884"/>
      <c r="D34" s="885"/>
      <c r="E34" s="888"/>
      <c r="F34" s="889"/>
      <c r="G34" s="890"/>
      <c r="H34" s="881"/>
      <c r="I34" s="894"/>
      <c r="J34" s="895"/>
      <c r="K34" s="902"/>
      <c r="L34" s="903"/>
      <c r="M34" s="831" t="str">
        <f>IF(OR($E34="",ISNUMBER(SEARCH("Other",$E34))),"",INDEX(CMLIGHTBASE[Base Watt 1],MATCH($E34,CMLIGHTBASE[Base Desc 1],0)))</f>
        <v/>
      </c>
      <c r="N34" s="832"/>
      <c r="O34" s="906"/>
      <c r="P34" s="907"/>
      <c r="Q34" s="908"/>
      <c r="R34" s="881"/>
      <c r="S34" s="894"/>
      <c r="T34" s="895"/>
      <c r="U34" s="881"/>
      <c r="V34" s="894"/>
      <c r="W34" s="843" t="str">
        <f t="shared" ref="W34" si="10">IF(O34="","",IF(ISNUMBER(SEARCH("Type",O34)),"","N/A"))</f>
        <v/>
      </c>
      <c r="X34" s="844"/>
      <c r="Y34" s="912"/>
      <c r="Z34" s="913"/>
      <c r="AA34" s="880"/>
      <c r="AB34" s="880"/>
      <c r="AC34" s="880"/>
      <c r="AD34" s="916"/>
      <c r="AE34" s="916"/>
      <c r="AF34" s="917"/>
      <c r="AG34" s="918"/>
      <c r="AH34" s="899"/>
      <c r="AI34" s="900"/>
      <c r="AJ34" s="900"/>
      <c r="AK34" s="901"/>
      <c r="AL34" s="869" t="str">
        <f t="shared" ref="AL34" si="11">IF(OR(C34="",E34="",M34="",K34="",O34="",Y34="",R34="",AA34="",AH34="",AJ34="",AD34="",U34="",W34=""),"",IFERROR(ROUND(IF((AW34-AX34)&lt;=0,0,BH34*(AW34-AX34)),0),""))</f>
        <v/>
      </c>
      <c r="AM34" s="870"/>
      <c r="AN34" s="870"/>
      <c r="AO34" s="871" t="str">
        <f>IF(M02S02F44="","Update Install Status",IF(M02S02F44="Yes","Submit as Fast Track",IF(M02S02F49="Yes","Use New Load",IF(OR(C34="",E34="",M34="",K34="",O34="",Y34="",R34="",AA34="",AF34="",AH34="",AD34="",U34="",W34="",AJ34=""),"",IF(BF34&lt;&gt;"",BF34,IF(ISNUMBER(SEARCH("Type",O34)),MIN(BD34,AU34),MIN(BE34,AU34)))))))</f>
        <v>Update Install Status</v>
      </c>
      <c r="AP34" s="871"/>
      <c r="AQ34" s="871"/>
      <c r="AS34" s="69"/>
      <c r="AT34" s="69"/>
      <c r="AU34" s="804" t="str">
        <f>IF(OR(C34="",E34="",M34="",K34="",O34="",Y34="",R34="",AA34="",AH34="",AJ34="",AD34="", U34="",W34=""),"",IF(AND(ISNUMBER(SEARCH("Other",E34)),OR(H34="",ISBLANK(H34),ISNUMBER(SEARCH("Description",H34)))),"",(ROUND((AH34+AJ34)*U34,2))))</f>
        <v/>
      </c>
      <c r="AV34" s="806" t="str">
        <f>IF(OR(C34="",E34="",M34="",K34="",O34="",Y34="",R34="",AA34="",AH34="",AJ34="",AD34="", U34="",W34=""),"",IF(AND(ISNUMBER(SEARCH("Other",E34)),OR(H34="",ISBLANK(H34),ISNUMBER(SEARCH("Description",H34)))),"",ROUND(AL34*INDEX(ENDUSEALL[Factor],MATCH(IF(ISNUMBER(SEARCH("24/7",AA34)),"Miscellaneous","Lighting"),ENDUSEALL[End Use to Coincident Peak Demand Factors],0)),4)))</f>
        <v/>
      </c>
      <c r="AW34" s="802" t="str">
        <f>IF(OR(C34="",E34="",M34="",K34="",O34="",Y34="",R34="",AA34="",AH34="",AJ34="",AD34="", U34="",W34=""),"",IF(AND(ISNUMBER(SEARCH("Other",E34)),OR(H34="",ISBLANK(H34),ISNUMBER(SEARCH("Description",H34)))),"",ROUND(M34*AD34*K34/1000,0)))</f>
        <v/>
      </c>
      <c r="AX34" s="802" t="str">
        <f>IF(OR(C34="",E34="",M34="",K34="",O34="",Y34="",R34="",AA34="",AH34="",AJ34="",AD34="", U34="",W34=""),"",IF(AND(ISNUMBER(SEARCH("Other",E34)),OR(H34="",ISBLANK(H34),ISNUMBER(SEARCH("Description",H34)))),"",IF(ISNUMBER(SEARCH("Network",O34)),ROUND(0.76 *Y34*AD34*U34/1000,0),ROUND(Y34*AD34*U34/1000,0))))</f>
        <v/>
      </c>
      <c r="AY34" s="802" t="str">
        <f>IF(OR(C34="",E34="",M34="",K34="",O34="",Y34="",R34="",AA34="",AH34="",AJ34="",AD34="", U34="",W34=""),"",IF(AND(K34&gt;=U34,ISNUMBER(SEARCH("Type",O34))),ROUND(U34*LEFT(INDEX(CMLIGHTBASE[Measure Subgroup 2], MATCH(E34,CMLIGHTBASE[Base Desc 1],0)),2)*M34/LEFT(INDEX(CMLIGHTBASE[Measure Subgroup 2], MATCH(E34,CMLIGHTBASE[Base Desc 1],0)),2),0),IF(AND(K34&lt;U34,ISNUMBER(SEARCH("Type",O34))),ROUND(K34*LEFT(INDEX(CMLIGHTBASE[Measure Subgroup 2], MATCH(E34,CMLIGHTBASE[Base Desc 1],0)),2)*M34/LEFT(INDEX(CMLIGHTBASE[Measure Subgroup 2], MATCH(E34,CMLIGHTBASE[Base Desc 1],0)),2),0),IF(AND(OR(ISNUMBER(SEARCH("Fixture",O34)),ISNUMBER(SEARCH("Kit",O34))),K34&gt;=U34),U34*M34,K34*M34))))</f>
        <v/>
      </c>
      <c r="AZ34" s="802"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00" t="str">
        <f>CONCATENATE(C34,"-","LED","-",O34)</f>
        <v>-LED-</v>
      </c>
      <c r="BB34" s="808" t="str">
        <f>IF(OR(C34="",E34="",M34="",K34="",O34="",Y34="",R34="",AA34="",AH34="",AJ34="",AD34="", U34="",W34=""),"",IF(AND(ISNUMBER(SEARCH("Other",E34)),OR(H34="",ISBLANK(H34),ISNUMBER(SEARCH("Description",H34)))),"",INDEX(PMELIGHTLIN[Measure '#],MATCH(BA34,PMELIGHTLIN[Measure Validator],0))))</f>
        <v/>
      </c>
      <c r="BC34" s="809" t="str">
        <f ca="1">IFERROR(IF(OR(C34="",AJ34=""),"",IF(BB34="","",IF(AND(AND(SUBLIGHTDATE1&lt;&gt;"No",SUBLIGHTDATE2&lt;&gt;"No",SUBLIGHTDATE3&lt;&gt;"No"),OR(M02S02F43&lt;=DATEVALUE("12/31/2021"),M02S02F43=""),OR(TODAY()&lt;=LIGHTING2021,ACTLIGHT&lt;&gt;"")),LIGHTRATE21*(INDEX(PMELIGHTLIN[Inc Rate Unit PA],MATCH(BA34,PMELIGHTLIN[Measure Validator],0))),INDEX(PMELIGHTLIN[Inc Rate Unit PA],MATCH(BA34,PMELIGHTLIN[Measure Validator],0))))),"")</f>
        <v/>
      </c>
      <c r="BD34" s="808">
        <f>IFERROR(IF(ISNUMBER(SEARCH("Type",O34)),(AY34-AZ34)*BC34,0),0)</f>
        <v>0</v>
      </c>
      <c r="BE34" s="796">
        <f ca="1">IFERROR((IF(ISNUMBER(SEARCH("Type",O34)),0,IF(K34&gt;=U34,((U34*M34)-(U34*Y34)),((K34*M34)-(U34*Y34)))))*BC34,0)</f>
        <v>0</v>
      </c>
      <c r="BF34" s="800" t="str">
        <f>IF(M02S02F44="Yes","Not Eligible",IF(OR(C34="",E34="",M34="",K34="",O34="",Y34="",R34="",AA34="",AH34="",AJ34="",AD34="",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Savings",IF((AY34-AZ34)&lt;0,"No Incentive",IF(AF34&lt;50000,"Lamp Life Too Short",""))))),"ERROR"))))</f>
        <v/>
      </c>
      <c r="BG34" s="802" t="str">
        <f>IF(AND(ISBLANK(AH34),ISBLANK(AJ34)),"",IF(AND(ISNUMBER(SEARCH("Type",O34)),BD34&gt;AU34),"Yes",IF(AND(OR(ISNUMBER(SEARCH("Fixture",O34)),ISNUMBER(SEARCH("Kit",O34))),BE34&gt;AU34),"Yes","No")))</f>
        <v/>
      </c>
      <c r="BH34" s="796">
        <f>IF(M02S02F32&lt;&gt;"",INDEX(SPACEHEAT[HIF],MATCH(M02S02F32,SHEAT,0)),1)</f>
        <v>1</v>
      </c>
      <c r="BI34" s="1044">
        <f t="shared" ref="BI34" si="12">IFERROR(ROUND(BK34*1.1,2),0)</f>
        <v>0</v>
      </c>
      <c r="BJ34" s="1044" t="str">
        <f>IF(M02S02F44="","Update Install Status",IF(M02S02F49="Yes","Use New Load",IF(OR(C34="",E34="",M34="",K34="",O34="",Y34="",R34="",AA34="",AF34="",AH34="",AD34="",U34="",W34="",AJ34=""),"",IF(BF34&lt;&gt;"",BF34,ROUND(BI34*BONUSADJ,2)))))</f>
        <v>Update Install Status</v>
      </c>
      <c r="BK34" s="1044" t="str">
        <f>IF(M02S02F44="","Update Install Status",IF(M02S02F44="Yes","Submit as Fast Track",IF(M02S02F49="Yes","Use New Load",IF(OR(C34="",E34="",M34="",K34="",O34="",Y34="",R34="",AA34="",AF34="",AH34="",AD34="",U34="",W34="",AJ34=""),"",IF(BF34&lt;&gt;"",BF34,IF(ISNUMBER(SEARCH("Type",O34)),MIN(BD34,AU34),MIN(BE34,AU34)))))))</f>
        <v>Update Install Status</v>
      </c>
    </row>
    <row r="35" spans="2:63" ht="15.95" customHeight="1" x14ac:dyDescent="0.25">
      <c r="B35" s="873"/>
      <c r="C35" s="886"/>
      <c r="D35" s="887"/>
      <c r="E35" s="891"/>
      <c r="F35" s="892"/>
      <c r="G35" s="893"/>
      <c r="H35" s="896"/>
      <c r="I35" s="897"/>
      <c r="J35" s="898"/>
      <c r="K35" s="904"/>
      <c r="L35" s="905"/>
      <c r="M35" s="833"/>
      <c r="N35" s="834"/>
      <c r="O35" s="909"/>
      <c r="P35" s="910"/>
      <c r="Q35" s="911"/>
      <c r="R35" s="896"/>
      <c r="S35" s="897"/>
      <c r="T35" s="898"/>
      <c r="U35" s="896"/>
      <c r="V35" s="897"/>
      <c r="W35" s="845"/>
      <c r="X35" s="846"/>
      <c r="Y35" s="914"/>
      <c r="Z35" s="915"/>
      <c r="AA35" s="880"/>
      <c r="AB35" s="880"/>
      <c r="AC35" s="880"/>
      <c r="AD35" s="916"/>
      <c r="AE35" s="916"/>
      <c r="AF35" s="917"/>
      <c r="AG35" s="918"/>
      <c r="AH35" s="899"/>
      <c r="AI35" s="900"/>
      <c r="AJ35" s="900"/>
      <c r="AK35" s="901"/>
      <c r="AL35" s="869"/>
      <c r="AM35" s="870"/>
      <c r="AN35" s="870"/>
      <c r="AO35" s="872"/>
      <c r="AP35" s="872"/>
      <c r="AQ35" s="872"/>
      <c r="AS35" s="69"/>
      <c r="AT35" s="69"/>
      <c r="AU35" s="805"/>
      <c r="AV35" s="807"/>
      <c r="AW35" s="803"/>
      <c r="AX35" s="803"/>
      <c r="AY35" s="803"/>
      <c r="AZ35" s="803"/>
      <c r="BA35" s="801"/>
      <c r="BB35" s="797"/>
      <c r="BC35" s="810"/>
      <c r="BD35" s="797"/>
      <c r="BE35" s="797"/>
      <c r="BF35" s="801"/>
      <c r="BG35" s="803"/>
      <c r="BH35" s="797"/>
      <c r="BI35" s="1045"/>
      <c r="BJ35" s="1045"/>
      <c r="BK35" s="1045"/>
    </row>
    <row r="36" spans="2:63" ht="15.95" customHeight="1" x14ac:dyDescent="0.25">
      <c r="B36" s="873">
        <v>6</v>
      </c>
      <c r="C36" s="884"/>
      <c r="D36" s="885"/>
      <c r="E36" s="888"/>
      <c r="F36" s="889"/>
      <c r="G36" s="890"/>
      <c r="H36" s="881"/>
      <c r="I36" s="894"/>
      <c r="J36" s="895"/>
      <c r="K36" s="902"/>
      <c r="L36" s="903"/>
      <c r="M36" s="831" t="str">
        <f>IF(OR($E36="",ISNUMBER(SEARCH("Other",$E36))),"",INDEX(CMLIGHTBASE[Base Watt 1],MATCH($E36,CMLIGHTBASE[Base Desc 1],0)))</f>
        <v/>
      </c>
      <c r="N36" s="832"/>
      <c r="O36" s="906"/>
      <c r="P36" s="907"/>
      <c r="Q36" s="908"/>
      <c r="R36" s="881"/>
      <c r="S36" s="894"/>
      <c r="T36" s="895"/>
      <c r="U36" s="881"/>
      <c r="V36" s="894"/>
      <c r="W36" s="843" t="str">
        <f t="shared" ref="W36" si="13">IF(O36="","",IF(ISNUMBER(SEARCH("Type",O36)),"","N/A"))</f>
        <v/>
      </c>
      <c r="X36" s="844"/>
      <c r="Y36" s="912"/>
      <c r="Z36" s="913"/>
      <c r="AA36" s="880"/>
      <c r="AB36" s="880"/>
      <c r="AC36" s="880"/>
      <c r="AD36" s="916"/>
      <c r="AE36" s="916"/>
      <c r="AF36" s="917"/>
      <c r="AG36" s="918"/>
      <c r="AH36" s="899"/>
      <c r="AI36" s="900"/>
      <c r="AJ36" s="900"/>
      <c r="AK36" s="901"/>
      <c r="AL36" s="869" t="str">
        <f t="shared" ref="AL36" si="14">IF(OR(C36="",E36="",M36="",K36="",O36="",Y36="",R36="",AA36="",AH36="",AJ36="",AD36="",U36="",W36=""),"",IFERROR(ROUND(IF((AW36-AX36)&lt;=0,0,BH36*(AW36-AX36)),0),""))</f>
        <v/>
      </c>
      <c r="AM36" s="870"/>
      <c r="AN36" s="870"/>
      <c r="AO36" s="871" t="str">
        <f>IF(M02S02F44="","Update Install Status",IF(M02S02F44="Yes","Submit as Fast Track",IF(M02S02F49="Yes","Use New Load",IF(OR(C36="",E36="",M36="",K36="",O36="",Y36="",R36="",AA36="",AF36="",AH36="",AD36="",U36="",W36="",AJ36=""),"",IF(BF36&lt;&gt;"",BF36,IF(ISNUMBER(SEARCH("Type",O36)),MIN(BD36,AU36),MIN(BE36,AU36)))))))</f>
        <v>Update Install Status</v>
      </c>
      <c r="AP36" s="871"/>
      <c r="AQ36" s="871"/>
      <c r="AS36" s="69"/>
      <c r="AT36" s="69"/>
      <c r="AU36" s="804" t="str">
        <f>IF(OR(C36="",E36="",M36="",K36="",O36="",Y36="",R36="",AA36="",AH36="",AJ36="",AD36="", U36="",W36=""),"",IF(AND(ISNUMBER(SEARCH("Other",E36)),OR(H36="",ISBLANK(H36),ISNUMBER(SEARCH("Description",H36)))),"",(ROUND((AH36+AJ36)*U36,2))))</f>
        <v/>
      </c>
      <c r="AV36" s="806" t="str">
        <f>IF(OR(C36="",E36="",M36="",K36="",O36="",Y36="",R36="",AA36="",AH36="",AJ36="",AD36="", U36="",W36=""),"",IF(AND(ISNUMBER(SEARCH("Other",E36)),OR(H36="",ISBLANK(H36),ISNUMBER(SEARCH("Description",H36)))),"",ROUND(AL36*INDEX(ENDUSEALL[Factor],MATCH(IF(ISNUMBER(SEARCH("24/7",AA36)),"Miscellaneous","Lighting"),ENDUSEALL[End Use to Coincident Peak Demand Factors],0)),4)))</f>
        <v/>
      </c>
      <c r="AW36" s="802" t="str">
        <f>IF(OR(C36="",E36="",M36="",K36="",O36="",Y36="",R36="",AA36="",AH36="",AJ36="",AD36="", U36="",W36=""),"",IF(AND(ISNUMBER(SEARCH("Other",E36)),OR(H36="",ISBLANK(H36),ISNUMBER(SEARCH("Description",H36)))),"",ROUND(M36*AD36*K36/1000,0)))</f>
        <v/>
      </c>
      <c r="AX36" s="802" t="str">
        <f>IF(OR(C36="",E36="",M36="",K36="",O36="",Y36="",R36="",AA36="",AH36="",AJ36="",AD36="", U36="",W36=""),"",IF(AND(ISNUMBER(SEARCH("Other",E36)),OR(H36="",ISBLANK(H36),ISNUMBER(SEARCH("Description",H36)))),"",IF(ISNUMBER(SEARCH("Network",O36)),ROUND(0.76 *Y36*AD36*U36/1000,0),ROUND(Y36*AD36*U36/1000,0))))</f>
        <v/>
      </c>
      <c r="AY36" s="802" t="str">
        <f>IF(OR(C36="",E36="",M36="",K36="",O36="",Y36="",R36="",AA36="",AH36="",AJ36="",AD36="", U36="",W36=""),"",IF(AND(K36&gt;=U36,ISNUMBER(SEARCH("Type",O36))),ROUND(U36*LEFT(INDEX(CMLIGHTBASE[Measure Subgroup 2], MATCH(E36,CMLIGHTBASE[Base Desc 1],0)),2)*M36/LEFT(INDEX(CMLIGHTBASE[Measure Subgroup 2], MATCH(E36,CMLIGHTBASE[Base Desc 1],0)),2),0),IF(AND(K36&lt;U36,ISNUMBER(SEARCH("Type",O36))),ROUND(K36*LEFT(INDEX(CMLIGHTBASE[Measure Subgroup 2], MATCH(E36,CMLIGHTBASE[Base Desc 1],0)),2)*M36/LEFT(INDEX(CMLIGHTBASE[Measure Subgroup 2], MATCH(E36,CMLIGHTBASE[Base Desc 1],0)),2),0),IF(AND(OR(ISNUMBER(SEARCH("Fixture",O36)),ISNUMBER(SEARCH("Kit",O36))),K36&gt;=U36),U36*M36,K36*M36))))</f>
        <v/>
      </c>
      <c r="AZ36" s="802"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00" t="str">
        <f>CONCATENATE(C36,"-","LED","-",O36)</f>
        <v>-LED-</v>
      </c>
      <c r="BB36" s="808" t="str">
        <f>IF(OR(C36="",E36="",M36="",K36="",O36="",Y36="",R36="",AA36="",AH36="",AJ36="",AD36="", U36="",W36=""),"",IF(AND(ISNUMBER(SEARCH("Other",E36)),OR(H36="",ISBLANK(H36),ISNUMBER(SEARCH("Description",H36)))),"",INDEX(PMELIGHTLIN[Measure '#],MATCH(BA36,PMELIGHTLIN[Measure Validator],0))))</f>
        <v/>
      </c>
      <c r="BC36" s="809" t="str">
        <f ca="1">IFERROR(IF(OR(C36="",AJ36=""),"",IF(BB36="","",IF(AND(AND(SUBLIGHTDATE1&lt;&gt;"No",SUBLIGHTDATE2&lt;&gt;"No",SUBLIGHTDATE3&lt;&gt;"No"),OR(M02S02F43&lt;=DATEVALUE("12/31/2021"),M02S02F43=""),OR(TODAY()&lt;=LIGHTING2021,ACTLIGHT&lt;&gt;"")),LIGHTRATE21*(INDEX(PMELIGHTLIN[Inc Rate Unit PA],MATCH(BA36,PMELIGHTLIN[Measure Validator],0))),INDEX(PMELIGHTLIN[Inc Rate Unit PA],MATCH(BA36,PMELIGHTLIN[Measure Validator],0))))),"")</f>
        <v/>
      </c>
      <c r="BD36" s="808">
        <f>IFERROR(IF(ISNUMBER(SEARCH("Type",O36)),(AY36-AZ36)*BC36,0),0)</f>
        <v>0</v>
      </c>
      <c r="BE36" s="796">
        <f ca="1">IFERROR((IF(ISNUMBER(SEARCH("Type",O36)),0,IF(K36&gt;=U36,((U36*M36)-(U36*Y36)),((K36*M36)-(U36*Y36)))))*BC36,0)</f>
        <v>0</v>
      </c>
      <c r="BF36" s="800" t="str">
        <f>IF(M02S02F44="Yes","Not Eligible",IF(OR(C36="",E36="",M36="",K36="",O36="",Y36="",R36="",AA36="",AH36="",AJ36="",AD36="",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Savings",IF((AY36-AZ36)&lt;0,"No Incentive",IF(AF36&lt;50000,"Lamp Life Too Short",""))))),"ERROR"))))</f>
        <v/>
      </c>
      <c r="BG36" s="802" t="str">
        <f>IF(AND(ISBLANK(AH36),ISBLANK(AJ36)),"",IF(AND(ISNUMBER(SEARCH("Type",O36)),BD36&gt;AU36),"Yes",IF(AND(OR(ISNUMBER(SEARCH("Fixture",O36)),ISNUMBER(SEARCH("Kit",O36))),BE36&gt;AU36),"Yes","No")))</f>
        <v/>
      </c>
      <c r="BH36" s="796">
        <f>IF(M02S02F32&lt;&gt;"",INDEX(SPACEHEAT[HIF],MATCH(M02S02F32,SHEAT,0)),1)</f>
        <v>1</v>
      </c>
      <c r="BI36" s="1044">
        <f t="shared" ref="BI36" si="15">IFERROR(ROUND(BK36*1.1,2),0)</f>
        <v>0</v>
      </c>
      <c r="BJ36" s="1044" t="str">
        <f>IF(M02S02F44="","Update Install Status",IF(M02S02F49="Yes","Use New Load",IF(OR(C36="",E36="",M36="",K36="",O36="",Y36="",R36="",AA36="",AF36="",AH36="",AD36="",U36="",W36="",AJ36=""),"",IF(BF36&lt;&gt;"",BF36,ROUND(BI36*BONUSADJ,2)))))</f>
        <v>Update Install Status</v>
      </c>
      <c r="BK36" s="1044" t="str">
        <f>IF(M02S02F44="","Update Install Status",IF(M02S02F44="Yes","Submit as Fast Track",IF(M02S02F49="Yes","Use New Load",IF(OR(C36="",E36="",M36="",K36="",O36="",Y36="",R36="",AA36="",AF36="",AH36="",AD36="",U36="",W36="",AJ36=""),"",IF(BF36&lt;&gt;"",BF36,IF(ISNUMBER(SEARCH("Type",O36)),MIN(BD36,AU36),MIN(BE36,AU36)))))))</f>
        <v>Update Install Status</v>
      </c>
    </row>
    <row r="37" spans="2:63" ht="15.95" customHeight="1" x14ac:dyDescent="0.25">
      <c r="B37" s="873"/>
      <c r="C37" s="886"/>
      <c r="D37" s="887"/>
      <c r="E37" s="891"/>
      <c r="F37" s="892"/>
      <c r="G37" s="893"/>
      <c r="H37" s="896"/>
      <c r="I37" s="897"/>
      <c r="J37" s="898"/>
      <c r="K37" s="904"/>
      <c r="L37" s="905"/>
      <c r="M37" s="833"/>
      <c r="N37" s="834"/>
      <c r="O37" s="909"/>
      <c r="P37" s="910"/>
      <c r="Q37" s="911"/>
      <c r="R37" s="896"/>
      <c r="S37" s="897"/>
      <c r="T37" s="898"/>
      <c r="U37" s="896"/>
      <c r="V37" s="897"/>
      <c r="W37" s="845"/>
      <c r="X37" s="846"/>
      <c r="Y37" s="914"/>
      <c r="Z37" s="915"/>
      <c r="AA37" s="880"/>
      <c r="AB37" s="880"/>
      <c r="AC37" s="880"/>
      <c r="AD37" s="916"/>
      <c r="AE37" s="916"/>
      <c r="AF37" s="917"/>
      <c r="AG37" s="918"/>
      <c r="AH37" s="899"/>
      <c r="AI37" s="900"/>
      <c r="AJ37" s="900"/>
      <c r="AK37" s="901"/>
      <c r="AL37" s="869"/>
      <c r="AM37" s="870"/>
      <c r="AN37" s="870"/>
      <c r="AO37" s="872"/>
      <c r="AP37" s="872"/>
      <c r="AQ37" s="872"/>
      <c r="AS37" s="69"/>
      <c r="AT37" s="69"/>
      <c r="AU37" s="805"/>
      <c r="AV37" s="807"/>
      <c r="AW37" s="803"/>
      <c r="AX37" s="803"/>
      <c r="AY37" s="803"/>
      <c r="AZ37" s="803"/>
      <c r="BA37" s="801"/>
      <c r="BB37" s="797"/>
      <c r="BC37" s="810"/>
      <c r="BD37" s="797"/>
      <c r="BE37" s="797"/>
      <c r="BF37" s="801"/>
      <c r="BG37" s="803"/>
      <c r="BH37" s="797"/>
      <c r="BI37" s="1045"/>
      <c r="BJ37" s="1045"/>
      <c r="BK37" s="1045"/>
    </row>
    <row r="38" spans="2:63" ht="15.95" customHeight="1" x14ac:dyDescent="0.25">
      <c r="B38" s="873">
        <v>7</v>
      </c>
      <c r="C38" s="884"/>
      <c r="D38" s="885"/>
      <c r="E38" s="888"/>
      <c r="F38" s="889"/>
      <c r="G38" s="890"/>
      <c r="H38" s="881"/>
      <c r="I38" s="894"/>
      <c r="J38" s="895"/>
      <c r="K38" s="902"/>
      <c r="L38" s="903"/>
      <c r="M38" s="831" t="str">
        <f>IF(OR($E38="",ISNUMBER(SEARCH("Other",$E38))),"",INDEX(CMLIGHTBASE[Base Watt 1],MATCH($E38,CMLIGHTBASE[Base Desc 1],0)))</f>
        <v/>
      </c>
      <c r="N38" s="832"/>
      <c r="O38" s="906"/>
      <c r="P38" s="907"/>
      <c r="Q38" s="908"/>
      <c r="R38" s="881"/>
      <c r="S38" s="894"/>
      <c r="T38" s="895"/>
      <c r="U38" s="881"/>
      <c r="V38" s="894"/>
      <c r="W38" s="843" t="str">
        <f t="shared" ref="W38" si="16">IF(O38="","",IF(ISNUMBER(SEARCH("Type",O38)),"","N/A"))</f>
        <v/>
      </c>
      <c r="X38" s="844"/>
      <c r="Y38" s="912"/>
      <c r="Z38" s="913"/>
      <c r="AA38" s="880"/>
      <c r="AB38" s="880"/>
      <c r="AC38" s="880"/>
      <c r="AD38" s="916"/>
      <c r="AE38" s="916"/>
      <c r="AF38" s="917"/>
      <c r="AG38" s="918"/>
      <c r="AH38" s="899"/>
      <c r="AI38" s="900"/>
      <c r="AJ38" s="900"/>
      <c r="AK38" s="901"/>
      <c r="AL38" s="869" t="str">
        <f t="shared" ref="AL38" si="17">IF(OR(C38="",E38="",M38="",K38="",O38="",Y38="",R38="",AA38="",AH38="",AJ38="",AD38="",U38="",W38=""),"",IFERROR(ROUND(IF((AW38-AX38)&lt;=0,0,BH38*(AW38-AX38)),0),""))</f>
        <v/>
      </c>
      <c r="AM38" s="870"/>
      <c r="AN38" s="870"/>
      <c r="AO38" s="871" t="str">
        <f>IF(M02S02F44="","Update Install Status",IF(M02S02F44="Yes","Submit as Fast Track",IF(M02S02F49="Yes","Use New Load",IF(OR(C38="",E38="",M38="",K38="",O38="",Y38="",R38="",AA38="",AF38="",AH38="",AD38="",U38="",W38="",AJ38=""),"",IF(BF38&lt;&gt;"",BF38,IF(ISNUMBER(SEARCH("Type",O38)),MIN(BD38,AU38),MIN(BE38,AU38)))))))</f>
        <v>Update Install Status</v>
      </c>
      <c r="AP38" s="871"/>
      <c r="AQ38" s="871"/>
      <c r="AS38" s="69"/>
      <c r="AT38" s="69"/>
      <c r="AU38" s="804" t="str">
        <f>IF(OR(C38="",E38="",M38="",K38="",O38="",Y38="",R38="",AA38="",AH38="",AJ38="",AD38="", U38="",W38=""),"",IF(AND(ISNUMBER(SEARCH("Other",E38)),OR(H38="",ISBLANK(H38),ISNUMBER(SEARCH("Description",H38)))),"",(ROUND((AH38+AJ38)*U38,2))))</f>
        <v/>
      </c>
      <c r="AV38" s="806" t="str">
        <f>IF(OR(C38="",E38="",M38="",K38="",O38="",Y38="",R38="",AA38="",AH38="",AJ38="",AD38="", U38="",W38=""),"",IF(AND(ISNUMBER(SEARCH("Other",E38)),OR(H38="",ISBLANK(H38),ISNUMBER(SEARCH("Description",H38)))),"",ROUND(AL38*INDEX(ENDUSEALL[Factor],MATCH(IF(ISNUMBER(SEARCH("24/7",AA38)),"Miscellaneous","Lighting"),ENDUSEALL[End Use to Coincident Peak Demand Factors],0)),4)))</f>
        <v/>
      </c>
      <c r="AW38" s="802" t="str">
        <f>IF(OR(C38="",E38="",M38="",K38="",O38="",Y38="",R38="",AA38="",AH38="",AJ38="",AD38="", U38="",W38=""),"",IF(AND(ISNUMBER(SEARCH("Other",E38)),OR(H38="",ISBLANK(H38),ISNUMBER(SEARCH("Description",H38)))),"",ROUND(M38*AD38*K38/1000,0)))</f>
        <v/>
      </c>
      <c r="AX38" s="802" t="str">
        <f>IF(OR(C38="",E38="",M38="",K38="",O38="",Y38="",R38="",AA38="",AH38="",AJ38="",AD38="", U38="",W38=""),"",IF(AND(ISNUMBER(SEARCH("Other",E38)),OR(H38="",ISBLANK(H38),ISNUMBER(SEARCH("Description",H38)))),"",IF(ISNUMBER(SEARCH("Network",O38)),ROUND(0.76 *Y38*AD38*U38/1000,0),ROUND(Y38*AD38*U38/1000,0))))</f>
        <v/>
      </c>
      <c r="AY38" s="802" t="str">
        <f>IF(OR(C38="",E38="",M38="",K38="",O38="",Y38="",R38="",AA38="",AH38="",AJ38="",AD38="", U38="",W38=""),"",IF(AND(K38&gt;=U38,ISNUMBER(SEARCH("Type",O38))),ROUND(U38*LEFT(INDEX(CMLIGHTBASE[Measure Subgroup 2], MATCH(E38,CMLIGHTBASE[Base Desc 1],0)),2)*M38/LEFT(INDEX(CMLIGHTBASE[Measure Subgroup 2], MATCH(E38,CMLIGHTBASE[Base Desc 1],0)),2),0),IF(AND(K38&lt;U38,ISNUMBER(SEARCH("Type",O38))),ROUND(K38*LEFT(INDEX(CMLIGHTBASE[Measure Subgroup 2], MATCH(E38,CMLIGHTBASE[Base Desc 1],0)),2)*M38/LEFT(INDEX(CMLIGHTBASE[Measure Subgroup 2], MATCH(E38,CMLIGHTBASE[Base Desc 1],0)),2),0),IF(AND(OR(ISNUMBER(SEARCH("Fixture",O38)),ISNUMBER(SEARCH("Kit",O38))),K38&gt;=U38),U38*M38,K38*M38))))</f>
        <v/>
      </c>
      <c r="AZ38" s="802"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00" t="str">
        <f>CONCATENATE(C38,"-","LED","-",O38)</f>
        <v>-LED-</v>
      </c>
      <c r="BB38" s="808" t="str">
        <f>IF(OR(C38="",E38="",M38="",K38="",O38="",Y38="",R38="",AA38="",AH38="",AJ38="",AD38="", U38="",W38=""),"",IF(AND(ISNUMBER(SEARCH("Other",E38)),OR(H38="",ISBLANK(H38),ISNUMBER(SEARCH("Description",H38)))),"",INDEX(PMELIGHTLIN[Measure '#],MATCH(BA38,PMELIGHTLIN[Measure Validator],0))))</f>
        <v/>
      </c>
      <c r="BC38" s="809" t="str">
        <f ca="1">IFERROR(IF(OR(C38="",AJ38=""),"",IF(BB38="","",IF(AND(AND(SUBLIGHTDATE1&lt;&gt;"No",SUBLIGHTDATE2&lt;&gt;"No",SUBLIGHTDATE3&lt;&gt;"No"),OR(M02S02F43&lt;=DATEVALUE("12/31/2021"),M02S02F43=""),OR(TODAY()&lt;=LIGHTING2021,ACTLIGHT&lt;&gt;"")),LIGHTRATE21*(INDEX(PMELIGHTLIN[Inc Rate Unit PA],MATCH(BA38,PMELIGHTLIN[Measure Validator],0))),INDEX(PMELIGHTLIN[Inc Rate Unit PA],MATCH(BA38,PMELIGHTLIN[Measure Validator],0))))),"")</f>
        <v/>
      </c>
      <c r="BD38" s="808">
        <f>IFERROR(IF(ISNUMBER(SEARCH("Type",O38)),(AY38-AZ38)*BC38,0),0)</f>
        <v>0</v>
      </c>
      <c r="BE38" s="796">
        <f ca="1">IFERROR((IF(ISNUMBER(SEARCH("Type",O38)),0,IF(K38&gt;=U38,((U38*M38)-(U38*Y38)),((K38*M38)-(U38*Y38)))))*BC38,0)</f>
        <v>0</v>
      </c>
      <c r="BF38" s="800" t="str">
        <f>IF(M02S02F44="Yes","Not Eligible",IF(OR(C38="",E38="",M38="",K38="",O38="",Y38="",R38="",AA38="",AH38="",AJ38="",AD38="",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Savings",IF((AY38-AZ38)&lt;0,"No Incentive",IF(AF38&lt;50000,"Lamp Life Too Short",""))))),"ERROR"))))</f>
        <v/>
      </c>
      <c r="BG38" s="802" t="str">
        <f>IF(AND(ISBLANK(AH38),ISBLANK(AJ38)),"",IF(AND(ISNUMBER(SEARCH("Type",O38)),BD38&gt;AU38),"Yes",IF(AND(OR(ISNUMBER(SEARCH("Fixture",O38)),ISNUMBER(SEARCH("Kit",O38))),BE38&gt;AU38),"Yes","No")))</f>
        <v/>
      </c>
      <c r="BH38" s="796">
        <f>IF(M02S02F32&lt;&gt;"",INDEX(SPACEHEAT[HIF],MATCH(M02S02F32,SHEAT,0)),1)</f>
        <v>1</v>
      </c>
      <c r="BI38" s="1044">
        <f t="shared" ref="BI38" si="18">IFERROR(ROUND(BK38*1.1,2),0)</f>
        <v>0</v>
      </c>
      <c r="BJ38" s="1044" t="str">
        <f>IF(M02S02F44="","Update Install Status",IF(M02S02F49="Yes","Use New Load",IF(OR(C38="",E38="",M38="",K38="",O38="",Y38="",R38="",AA38="",AF38="",AH38="",AD38="",U38="",W38="",AJ38=""),"",IF(BF38&lt;&gt;"",BF38,ROUND(BI38*BONUSADJ,2)))))</f>
        <v>Update Install Status</v>
      </c>
      <c r="BK38" s="1044" t="str">
        <f>IF(M02S02F44="","Update Install Status",IF(M02S02F44="Yes","Submit as Fast Track",IF(M02S02F49="Yes","Use New Load",IF(OR(C38="",E38="",M38="",K38="",O38="",Y38="",R38="",AA38="",AF38="",AH38="",AD38="",U38="",W38="",AJ38=""),"",IF(BF38&lt;&gt;"",BF38,IF(ISNUMBER(SEARCH("Type",O38)),MIN(BD38,AU38),MIN(BE38,AU38)))))))</f>
        <v>Update Install Status</v>
      </c>
    </row>
    <row r="39" spans="2:63" ht="15.95" customHeight="1" x14ac:dyDescent="0.25">
      <c r="B39" s="873"/>
      <c r="C39" s="886"/>
      <c r="D39" s="887"/>
      <c r="E39" s="891"/>
      <c r="F39" s="892"/>
      <c r="G39" s="893"/>
      <c r="H39" s="896"/>
      <c r="I39" s="897"/>
      <c r="J39" s="898"/>
      <c r="K39" s="904"/>
      <c r="L39" s="905"/>
      <c r="M39" s="833"/>
      <c r="N39" s="834"/>
      <c r="O39" s="909"/>
      <c r="P39" s="910"/>
      <c r="Q39" s="911"/>
      <c r="R39" s="896"/>
      <c r="S39" s="897"/>
      <c r="T39" s="898"/>
      <c r="U39" s="896"/>
      <c r="V39" s="897"/>
      <c r="W39" s="845"/>
      <c r="X39" s="846"/>
      <c r="Y39" s="914"/>
      <c r="Z39" s="915"/>
      <c r="AA39" s="880"/>
      <c r="AB39" s="880"/>
      <c r="AC39" s="880"/>
      <c r="AD39" s="916"/>
      <c r="AE39" s="916"/>
      <c r="AF39" s="917"/>
      <c r="AG39" s="918"/>
      <c r="AH39" s="899"/>
      <c r="AI39" s="900"/>
      <c r="AJ39" s="900"/>
      <c r="AK39" s="901"/>
      <c r="AL39" s="869"/>
      <c r="AM39" s="870"/>
      <c r="AN39" s="870"/>
      <c r="AO39" s="872"/>
      <c r="AP39" s="872"/>
      <c r="AQ39" s="872"/>
      <c r="AS39" s="69"/>
      <c r="AT39" s="69"/>
      <c r="AU39" s="805"/>
      <c r="AV39" s="807"/>
      <c r="AW39" s="803"/>
      <c r="AX39" s="803"/>
      <c r="AY39" s="803"/>
      <c r="AZ39" s="803"/>
      <c r="BA39" s="801"/>
      <c r="BB39" s="797"/>
      <c r="BC39" s="810"/>
      <c r="BD39" s="797"/>
      <c r="BE39" s="797"/>
      <c r="BF39" s="801"/>
      <c r="BG39" s="803"/>
      <c r="BH39" s="797"/>
      <c r="BI39" s="1045"/>
      <c r="BJ39" s="1045"/>
      <c r="BK39" s="1045"/>
    </row>
    <row r="40" spans="2:63" ht="15.95" customHeight="1" x14ac:dyDescent="0.25">
      <c r="B40" s="873">
        <v>8</v>
      </c>
      <c r="C40" s="884"/>
      <c r="D40" s="885"/>
      <c r="E40" s="888"/>
      <c r="F40" s="889"/>
      <c r="G40" s="890"/>
      <c r="H40" s="881"/>
      <c r="I40" s="894"/>
      <c r="J40" s="895"/>
      <c r="K40" s="902"/>
      <c r="L40" s="903"/>
      <c r="M40" s="831" t="str">
        <f>IF(OR($E40="",ISNUMBER(SEARCH("Other",$E40))),"",INDEX(CMLIGHTBASE[Base Watt 1],MATCH($E40,CMLIGHTBASE[Base Desc 1],0)))</f>
        <v/>
      </c>
      <c r="N40" s="832"/>
      <c r="O40" s="906"/>
      <c r="P40" s="907"/>
      <c r="Q40" s="908"/>
      <c r="R40" s="881"/>
      <c r="S40" s="894"/>
      <c r="T40" s="895"/>
      <c r="U40" s="881"/>
      <c r="V40" s="894"/>
      <c r="W40" s="843" t="str">
        <f t="shared" ref="W40" si="19">IF(O40="","",IF(ISNUMBER(SEARCH("Type",O40)),"","N/A"))</f>
        <v/>
      </c>
      <c r="X40" s="844"/>
      <c r="Y40" s="912"/>
      <c r="Z40" s="913"/>
      <c r="AA40" s="880"/>
      <c r="AB40" s="880"/>
      <c r="AC40" s="880"/>
      <c r="AD40" s="916"/>
      <c r="AE40" s="916"/>
      <c r="AF40" s="917"/>
      <c r="AG40" s="918"/>
      <c r="AH40" s="899"/>
      <c r="AI40" s="900"/>
      <c r="AJ40" s="900"/>
      <c r="AK40" s="901"/>
      <c r="AL40" s="869" t="str">
        <f t="shared" ref="AL40" si="20">IF(OR(C40="",E40="",M40="",K40="",O40="",Y40="",R40="",AA40="",AH40="",AJ40="",AD40="",U40="",W40=""),"",IFERROR(ROUND(IF((AW40-AX40)&lt;=0,0,BH40*(AW40-AX40)),0),""))</f>
        <v/>
      </c>
      <c r="AM40" s="870"/>
      <c r="AN40" s="870"/>
      <c r="AO40" s="871" t="str">
        <f>IF(M02S02F44="","Update Install Status",IF(M02S02F44="Yes","Submit as Fast Track",IF(M02S02F49="Yes","Use New Load",IF(OR(C40="",E40="",M40="",K40="",O40="",Y40="",R40="",AA40="",AF40="",AH40="",AD40="",U40="",W40="",AJ40=""),"",IF(BF40&lt;&gt;"",BF40,IF(ISNUMBER(SEARCH("Type",O40)),MIN(BD40,AU40),MIN(BE40,AU40)))))))</f>
        <v>Update Install Status</v>
      </c>
      <c r="AP40" s="871"/>
      <c r="AQ40" s="871"/>
      <c r="AS40" s="69"/>
      <c r="AT40" s="69"/>
      <c r="AU40" s="804" t="str">
        <f>IF(OR(C40="",E40="",M40="",K40="",O40="",Y40="",R40="",AA40="",AH40="",AJ40="",AD40="", U40="",W40=""),"",IF(AND(ISNUMBER(SEARCH("Other",E40)),OR(H40="",ISBLANK(H40),ISNUMBER(SEARCH("Description",H40)))),"",(ROUND((AH40+AJ40)*U40,2))))</f>
        <v/>
      </c>
      <c r="AV40" s="806" t="str">
        <f>IF(OR(C40="",E40="",M40="",K40="",O40="",Y40="",R40="",AA40="",AH40="",AJ40="",AD40="", U40="",W40=""),"",IF(AND(ISNUMBER(SEARCH("Other",E40)),OR(H40="",ISBLANK(H40),ISNUMBER(SEARCH("Description",H40)))),"",ROUND(AL40*INDEX(ENDUSEALL[Factor],MATCH(IF(ISNUMBER(SEARCH("24/7",AA40)),"Miscellaneous","Lighting"),ENDUSEALL[End Use to Coincident Peak Demand Factors],0)),4)))</f>
        <v/>
      </c>
      <c r="AW40" s="802" t="str">
        <f>IF(OR(C40="",E40="",M40="",K40="",O40="",Y40="",R40="",AA40="",AH40="",AJ40="",AD40="", U40="",W40=""),"",IF(AND(ISNUMBER(SEARCH("Other",E40)),OR(H40="",ISBLANK(H40),ISNUMBER(SEARCH("Description",H40)))),"",ROUND(M40*AD40*K40/1000,0)))</f>
        <v/>
      </c>
      <c r="AX40" s="802" t="str">
        <f>IF(OR(C40="",E40="",M40="",K40="",O40="",Y40="",R40="",AA40="",AH40="",AJ40="",AD40="", U40="",W40=""),"",IF(AND(ISNUMBER(SEARCH("Other",E40)),OR(H40="",ISBLANK(H40),ISNUMBER(SEARCH("Description",H40)))),"",IF(ISNUMBER(SEARCH("Network",O40)),ROUND(0.76 *Y40*AD40*U40/1000,0),ROUND(Y40*AD40*U40/1000,0))))</f>
        <v/>
      </c>
      <c r="AY40" s="802" t="str">
        <f>IF(OR(C40="",E40="",M40="",K40="",O40="",Y40="",R40="",AA40="",AH40="",AJ40="",AD40="", U40="",W40=""),"",IF(AND(K40&gt;=U40,ISNUMBER(SEARCH("Type",O40))),ROUND(U40*LEFT(INDEX(CMLIGHTBASE[Measure Subgroup 2], MATCH(E40,CMLIGHTBASE[Base Desc 1],0)),2)*M40/LEFT(INDEX(CMLIGHTBASE[Measure Subgroup 2], MATCH(E40,CMLIGHTBASE[Base Desc 1],0)),2),0),IF(AND(K40&lt;U40,ISNUMBER(SEARCH("Type",O40))),ROUND(K40*LEFT(INDEX(CMLIGHTBASE[Measure Subgroup 2], MATCH(E40,CMLIGHTBASE[Base Desc 1],0)),2)*M40/LEFT(INDEX(CMLIGHTBASE[Measure Subgroup 2], MATCH(E40,CMLIGHTBASE[Base Desc 1],0)),2),0),IF(AND(OR(ISNUMBER(SEARCH("Fixture",O40)),ISNUMBER(SEARCH("Kit",O40))),K40&gt;=U40),U40*M40,K40*M40))))</f>
        <v/>
      </c>
      <c r="AZ40" s="802"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00" t="str">
        <f>CONCATENATE(C40,"-","LED","-",O40)</f>
        <v>-LED-</v>
      </c>
      <c r="BB40" s="808" t="str">
        <f>IF(OR(C40="",E40="",M40="",K40="",O40="",Y40="",R40="",AA40="",AH40="",AJ40="",AD40="", U40="",W40=""),"",IF(AND(ISNUMBER(SEARCH("Other",E40)),OR(H40="",ISBLANK(H40),ISNUMBER(SEARCH("Description",H40)))),"",INDEX(PMELIGHTLIN[Measure '#],MATCH(BA40,PMELIGHTLIN[Measure Validator],0))))</f>
        <v/>
      </c>
      <c r="BC40" s="809" t="str">
        <f ca="1">IFERROR(IF(OR(C40="",AJ40=""),"",IF(BB40="","",IF(AND(AND(SUBLIGHTDATE1&lt;&gt;"No",SUBLIGHTDATE2&lt;&gt;"No",SUBLIGHTDATE3&lt;&gt;"No"),OR(M02S02F43&lt;=DATEVALUE("12/31/2021"),M02S02F43=""),OR(TODAY()&lt;=LIGHTING2021,ACTLIGHT&lt;&gt;"")),LIGHTRATE21*(INDEX(PMELIGHTLIN[Inc Rate Unit PA],MATCH(BA40,PMELIGHTLIN[Measure Validator],0))),INDEX(PMELIGHTLIN[Inc Rate Unit PA],MATCH(BA40,PMELIGHTLIN[Measure Validator],0))))),"")</f>
        <v/>
      </c>
      <c r="BD40" s="808">
        <f>IFERROR(IF(ISNUMBER(SEARCH("Type",O40)),(AY40-AZ40)*BC40,0),0)</f>
        <v>0</v>
      </c>
      <c r="BE40" s="796">
        <f ca="1">IFERROR((IF(ISNUMBER(SEARCH("Type",O40)),0,IF(K40&gt;=U40,((U40*M40)-(U40*Y40)),((K40*M40)-(U40*Y40)))))*BC40,0)</f>
        <v>0</v>
      </c>
      <c r="BF40" s="800" t="str">
        <f>IF(M02S02F44="Yes","Not Eligible",IF(OR(C40="",E40="",M40="",K40="",O40="",Y40="",R40="",AA40="",AH40="",AJ40="",AD40="",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Savings",IF((AY40-AZ40)&lt;0,"No Incentive",IF(AF40&lt;50000,"Lamp Life Too Short",""))))),"ERROR"))))</f>
        <v/>
      </c>
      <c r="BG40" s="802" t="str">
        <f>IF(AND(ISBLANK(AH40),ISBLANK(AJ40)),"",IF(AND(ISNUMBER(SEARCH("Type",O40)),BD40&gt;AU40),"Yes",IF(AND(OR(ISNUMBER(SEARCH("Fixture",O40)),ISNUMBER(SEARCH("Kit",O40))),BE40&gt;AU40),"Yes","No")))</f>
        <v/>
      </c>
      <c r="BH40" s="796">
        <f>IF(M02S02F32&lt;&gt;"",INDEX(SPACEHEAT[HIF],MATCH(M02S02F32,SHEAT,0)),1)</f>
        <v>1</v>
      </c>
      <c r="BI40" s="1044">
        <f t="shared" ref="BI40" si="21">IFERROR(ROUND(BK40*1.1,2),0)</f>
        <v>0</v>
      </c>
      <c r="BJ40" s="1044" t="str">
        <f>IF(M02S02F44="","Update Install Status",IF(M02S02F49="Yes","Use New Load",IF(OR(C40="",E40="",M40="",K40="",O40="",Y40="",R40="",AA40="",AF40="",AH40="",AD40="",U40="",W40="",AJ40=""),"",IF(BF40&lt;&gt;"",BF40,ROUND(BI40*BONUSADJ,2)))))</f>
        <v>Update Install Status</v>
      </c>
      <c r="BK40" s="1044" t="str">
        <f>IF(M02S02F44="","Update Install Status",IF(M02S02F44="Yes","Submit as Fast Track",IF(M02S02F49="Yes","Use New Load",IF(OR(C40="",E40="",M40="",K40="",O40="",Y40="",R40="",AA40="",AF40="",AH40="",AD40="",U40="",W40="",AJ40=""),"",IF(BF40&lt;&gt;"",BF40,IF(ISNUMBER(SEARCH("Type",O40)),MIN(BD40,AU40),MIN(BE40,AU40)))))))</f>
        <v>Update Install Status</v>
      </c>
    </row>
    <row r="41" spans="2:63" ht="15.95" customHeight="1" x14ac:dyDescent="0.25">
      <c r="B41" s="873"/>
      <c r="C41" s="886"/>
      <c r="D41" s="887"/>
      <c r="E41" s="891"/>
      <c r="F41" s="892"/>
      <c r="G41" s="893"/>
      <c r="H41" s="896"/>
      <c r="I41" s="897"/>
      <c r="J41" s="898"/>
      <c r="K41" s="904"/>
      <c r="L41" s="905"/>
      <c r="M41" s="833"/>
      <c r="N41" s="834"/>
      <c r="O41" s="909"/>
      <c r="P41" s="910"/>
      <c r="Q41" s="911"/>
      <c r="R41" s="896"/>
      <c r="S41" s="897"/>
      <c r="T41" s="898"/>
      <c r="U41" s="896"/>
      <c r="V41" s="897"/>
      <c r="W41" s="845"/>
      <c r="X41" s="846"/>
      <c r="Y41" s="914"/>
      <c r="Z41" s="915"/>
      <c r="AA41" s="880"/>
      <c r="AB41" s="880"/>
      <c r="AC41" s="880"/>
      <c r="AD41" s="916"/>
      <c r="AE41" s="916"/>
      <c r="AF41" s="917"/>
      <c r="AG41" s="918"/>
      <c r="AH41" s="899"/>
      <c r="AI41" s="900"/>
      <c r="AJ41" s="900"/>
      <c r="AK41" s="901"/>
      <c r="AL41" s="869"/>
      <c r="AM41" s="870"/>
      <c r="AN41" s="870"/>
      <c r="AO41" s="872"/>
      <c r="AP41" s="872"/>
      <c r="AQ41" s="872"/>
      <c r="AS41" s="69"/>
      <c r="AT41" s="69"/>
      <c r="AU41" s="805"/>
      <c r="AV41" s="807"/>
      <c r="AW41" s="803"/>
      <c r="AX41" s="803"/>
      <c r="AY41" s="803"/>
      <c r="AZ41" s="803"/>
      <c r="BA41" s="801"/>
      <c r="BB41" s="797"/>
      <c r="BC41" s="810"/>
      <c r="BD41" s="797"/>
      <c r="BE41" s="797"/>
      <c r="BF41" s="801"/>
      <c r="BG41" s="803"/>
      <c r="BH41" s="797"/>
      <c r="BI41" s="1045"/>
      <c r="BJ41" s="1045"/>
      <c r="BK41" s="1045"/>
    </row>
    <row r="42" spans="2:63" ht="15.95" customHeight="1" x14ac:dyDescent="0.25">
      <c r="B42" s="873">
        <v>9</v>
      </c>
      <c r="C42" s="811"/>
      <c r="D42" s="812"/>
      <c r="E42" s="815"/>
      <c r="F42" s="816"/>
      <c r="G42" s="817"/>
      <c r="H42" s="882"/>
      <c r="I42" s="822"/>
      <c r="J42" s="823"/>
      <c r="K42" s="827"/>
      <c r="L42" s="828"/>
      <c r="M42" s="831" t="str">
        <f>IF(OR($E42="",ISNUMBER(SEARCH("Other",$E42))),"",INDEX(CMLIGHTBASE[Base Watt 1],MATCH($E42,CMLIGHTBASE[Base Desc 1],0)))</f>
        <v/>
      </c>
      <c r="N42" s="832"/>
      <c r="O42" s="835"/>
      <c r="P42" s="836"/>
      <c r="Q42" s="837"/>
      <c r="R42" s="882"/>
      <c r="S42" s="822"/>
      <c r="T42" s="823"/>
      <c r="U42" s="842"/>
      <c r="V42" s="822"/>
      <c r="W42" s="843" t="str">
        <f t="shared" ref="W42" si="22">IF(O42="","",IF(ISNUMBER(SEARCH("Type",O42)),"","N/A"))</f>
        <v/>
      </c>
      <c r="X42" s="844"/>
      <c r="Y42" s="847"/>
      <c r="Z42" s="848"/>
      <c r="AA42" s="883"/>
      <c r="AB42" s="852"/>
      <c r="AC42" s="852"/>
      <c r="AD42" s="853"/>
      <c r="AE42" s="853"/>
      <c r="AF42" s="854"/>
      <c r="AG42" s="855"/>
      <c r="AH42" s="856"/>
      <c r="AI42" s="857"/>
      <c r="AJ42" s="857"/>
      <c r="AK42" s="867"/>
      <c r="AL42" s="869" t="str">
        <f t="shared" ref="AL42" si="23">IF(OR(C42="",E42="",M42="",K42="",O42="",Y42="",R42="",AA42="",AH42="",AJ42="",AD42="",U42="",W42=""),"",IFERROR(ROUND(IF((AW42-AX42)&lt;=0,0,BH42*(AW42-AX42)),0),""))</f>
        <v/>
      </c>
      <c r="AM42" s="870"/>
      <c r="AN42" s="870"/>
      <c r="AO42" s="871" t="str">
        <f>IF(M02S02F44="","Update Install Status",IF(M02S02F44="Yes","Submit as Fast Track",IF(M02S02F49="Yes","Use New Load",IF(OR(C42="",E42="",M42="",K42="",O42="",Y42="",R42="",AA42="",AF42="",AH42="",AD42="",U42="",W42="",AJ42=""),"",IF(BF42&lt;&gt;"",BF42,IF(ISNUMBER(SEARCH("Type",O42)),MIN(BD42,AU42),MIN(BE42,AU42)))))))</f>
        <v>Update Install Status</v>
      </c>
      <c r="AP42" s="871"/>
      <c r="AQ42" s="871"/>
      <c r="AS42" s="69"/>
      <c r="AT42" s="69"/>
      <c r="AU42" s="804" t="str">
        <f>IF(OR(C42="",E42="",M42="",K42="",O42="",Y42="",R42="",AA42="",AH42="",AJ42="",AD42="", U42="",W42=""),"",IF(AND(ISNUMBER(SEARCH("Other",E42)),OR(H42="",ISBLANK(H42),ISNUMBER(SEARCH("Description",H42)))),"",(ROUND((AH42+AJ42)*U42,2))))</f>
        <v/>
      </c>
      <c r="AV42" s="806" t="str">
        <f>IF(OR(C42="",E42="",M42="",K42="",O42="",Y42="",R42="",AA42="",AH42="",AJ42="",AD42="", U42="",W42=""),"",IF(AND(ISNUMBER(SEARCH("Other",E42)),OR(H42="",ISBLANK(H42),ISNUMBER(SEARCH("Description",H42)))),"",ROUND(AL42*INDEX(ENDUSEALL[Factor],MATCH(IF(ISNUMBER(SEARCH("24/7",AA42)),"Miscellaneous","Lighting"),ENDUSEALL[End Use to Coincident Peak Demand Factors],0)),4)))</f>
        <v/>
      </c>
      <c r="AW42" s="802" t="str">
        <f>IF(OR(C42="",E42="",M42="",K42="",O42="",Y42="",R42="",AA42="",AH42="",AJ42="",AD42="", U42="",W42=""),"",IF(AND(ISNUMBER(SEARCH("Other",E42)),OR(H42="",ISBLANK(H42),ISNUMBER(SEARCH("Description",H42)))),"",ROUND(M42*AD42*K42/1000,0)))</f>
        <v/>
      </c>
      <c r="AX42" s="802" t="str">
        <f>IF(OR(C42="",E42="",M42="",K42="",O42="",Y42="",R42="",AA42="",AH42="",AJ42="",AD42="", U42="",W42=""),"",IF(AND(ISNUMBER(SEARCH("Other",E42)),OR(H42="",ISBLANK(H42),ISNUMBER(SEARCH("Description",H42)))),"",IF(ISNUMBER(SEARCH("Network",O42)),ROUND(0.76 *Y42*AD42*U42/1000,0),ROUND(Y42*AD42*U42/1000,0))))</f>
        <v/>
      </c>
      <c r="AY42" s="802" t="str">
        <f>IF(OR(C42="",E42="",M42="",K42="",O42="",Y42="",R42="",AA42="",AH42="",AJ42="",AD42="", U42="",W42=""),"",IF(AND(K42&gt;=U42,ISNUMBER(SEARCH("Type",O42))),ROUND(U42*LEFT(INDEX(CMLIGHTBASE[Measure Subgroup 2], MATCH(E42,CMLIGHTBASE[Base Desc 1],0)),2)*M42/LEFT(INDEX(CMLIGHTBASE[Measure Subgroup 2], MATCH(E42,CMLIGHTBASE[Base Desc 1],0)),2),0),IF(AND(K42&lt;U42,ISNUMBER(SEARCH("Type",O42))),ROUND(K42*LEFT(INDEX(CMLIGHTBASE[Measure Subgroup 2], MATCH(E42,CMLIGHTBASE[Base Desc 1],0)),2)*M42/LEFT(INDEX(CMLIGHTBASE[Measure Subgroup 2], MATCH(E42,CMLIGHTBASE[Base Desc 1],0)),2),0),IF(AND(OR(ISNUMBER(SEARCH("Fixture",O42)),ISNUMBER(SEARCH("Kit",O42))),K42&gt;=U42),U42*M42,K42*M42))))</f>
        <v/>
      </c>
      <c r="AZ42" s="802"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00" t="str">
        <f>CONCATENATE(C42,"-","LED","-",O42)</f>
        <v>-LED-</v>
      </c>
      <c r="BB42" s="808" t="str">
        <f>IF(OR(C42="",E42="",M42="",K42="",O42="",Y42="",R42="",AA42="",AH42="",AJ42="",AD42="", U42="",W42=""),"",IF(AND(ISNUMBER(SEARCH("Other",E42)),OR(H42="",ISBLANK(H42),ISNUMBER(SEARCH("Description",H42)))),"",INDEX(PMELIGHTLIN[Measure '#],MATCH(BA42,PMELIGHTLIN[Measure Validator],0))))</f>
        <v/>
      </c>
      <c r="BC42" s="809" t="str">
        <f ca="1">IFERROR(IF(OR(C42="",AJ42=""),"",IF(BB42="","",IF(AND(AND(SUBLIGHTDATE1&lt;&gt;"No",SUBLIGHTDATE2&lt;&gt;"No",SUBLIGHTDATE3&lt;&gt;"No"),OR(M02S02F43&lt;=DATEVALUE("12/31/2021"),M02S02F43=""),OR(TODAY()&lt;=LIGHTING2021,ACTLIGHT&lt;&gt;"")),LIGHTRATE21*(INDEX(PMELIGHTLIN[Inc Rate Unit PA],MATCH(BA42,PMELIGHTLIN[Measure Validator],0))),INDEX(PMELIGHTLIN[Inc Rate Unit PA],MATCH(BA42,PMELIGHTLIN[Measure Validator],0))))),"")</f>
        <v/>
      </c>
      <c r="BD42" s="808">
        <f>IFERROR(IF(ISNUMBER(SEARCH("Type",O42)),(AY42-AZ42)*BC42,0),0)</f>
        <v>0</v>
      </c>
      <c r="BE42" s="796">
        <f ca="1">IFERROR((IF(ISNUMBER(SEARCH("Type",O42)),0,IF(K42&gt;=U42,((U42*M42)-(U42*Y42)),((K42*M42)-(U42*Y42)))))*BC42,0)</f>
        <v>0</v>
      </c>
      <c r="BF42" s="800" t="str">
        <f>IF(M02S02F44="Yes","Not Eligible",IF(OR(C42="",E42="",M42="",K42="",O42="",Y42="",R42="",AA42="",AH42="",AJ42="",AD42="",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Savings",IF((AY42-AZ42)&lt;0,"No Incentive",IF(AF42&lt;50000,"Lamp Life Too Short",""))))),"ERROR"))))</f>
        <v/>
      </c>
      <c r="BG42" s="802" t="str">
        <f>IF(AND(ISBLANK(AH42),ISBLANK(AJ42)),"",IF(AND(ISNUMBER(SEARCH("Type",O42)),BD42&gt;AU42),"Yes",IF(AND(OR(ISNUMBER(SEARCH("Fixture",O42)),ISNUMBER(SEARCH("Kit",O42))),BE42&gt;AU42),"Yes","No")))</f>
        <v/>
      </c>
      <c r="BH42" s="796">
        <f>IF(M02S02F32&lt;&gt;"",INDEX(SPACEHEAT[HIF],MATCH(M02S02F32,SHEAT,0)),1)</f>
        <v>1</v>
      </c>
      <c r="BI42" s="1044">
        <f t="shared" ref="BI42" si="24">IFERROR(ROUND(BK42*1.1,2),0)</f>
        <v>0</v>
      </c>
      <c r="BJ42" s="1044" t="str">
        <f>IF(M02S02F44="","Update Install Status",IF(M02S02F49="Yes","Use New Load",IF(OR(C42="",E42="",M42="",K42="",O42="",Y42="",R42="",AA42="",AF42="",AH42="",AD42="",U42="",W42="",AJ42=""),"",IF(BF42&lt;&gt;"",BF42,ROUND(BI42*BONUSADJ,2)))))</f>
        <v>Update Install Status</v>
      </c>
      <c r="BK42" s="1044" t="str">
        <f>IF(M02S02F44="","Update Install Status",IF(M02S02F44="Yes","Submit as Fast Track",IF(M02S02F49="Yes","Use New Load",IF(OR(C42="",E42="",M42="",K42="",O42="",Y42="",R42="",AA42="",AF42="",AH42="",AD42="",U42="",W42="",AJ42=""),"",IF(BF42&lt;&gt;"",BF42,IF(ISNUMBER(SEARCH("Type",O42)),MIN(BD42,AU42),MIN(BE42,AU42)))))))</f>
        <v>Update Install Status</v>
      </c>
    </row>
    <row r="43" spans="2:63" ht="15.95" customHeight="1" x14ac:dyDescent="0.25">
      <c r="B43" s="873"/>
      <c r="C43" s="813"/>
      <c r="D43" s="814"/>
      <c r="E43" s="818"/>
      <c r="F43" s="819"/>
      <c r="G43" s="820"/>
      <c r="H43" s="824"/>
      <c r="I43" s="825"/>
      <c r="J43" s="826"/>
      <c r="K43" s="829"/>
      <c r="L43" s="830"/>
      <c r="M43" s="833"/>
      <c r="N43" s="834"/>
      <c r="O43" s="838"/>
      <c r="P43" s="839"/>
      <c r="Q43" s="840"/>
      <c r="R43" s="824"/>
      <c r="S43" s="825"/>
      <c r="T43" s="826"/>
      <c r="U43" s="824"/>
      <c r="V43" s="825"/>
      <c r="W43" s="845"/>
      <c r="X43" s="846"/>
      <c r="Y43" s="849"/>
      <c r="Z43" s="850"/>
      <c r="AA43" s="852"/>
      <c r="AB43" s="852"/>
      <c r="AC43" s="852"/>
      <c r="AD43" s="853"/>
      <c r="AE43" s="853"/>
      <c r="AF43" s="854"/>
      <c r="AG43" s="855"/>
      <c r="AH43" s="856"/>
      <c r="AI43" s="857"/>
      <c r="AJ43" s="857"/>
      <c r="AK43" s="867"/>
      <c r="AL43" s="869"/>
      <c r="AM43" s="870"/>
      <c r="AN43" s="870"/>
      <c r="AO43" s="872"/>
      <c r="AP43" s="872"/>
      <c r="AQ43" s="872"/>
      <c r="AS43" s="69"/>
      <c r="AT43" s="69"/>
      <c r="AU43" s="805"/>
      <c r="AV43" s="807"/>
      <c r="AW43" s="803"/>
      <c r="AX43" s="803"/>
      <c r="AY43" s="803"/>
      <c r="AZ43" s="803"/>
      <c r="BA43" s="801"/>
      <c r="BB43" s="797"/>
      <c r="BC43" s="810"/>
      <c r="BD43" s="797"/>
      <c r="BE43" s="797"/>
      <c r="BF43" s="801"/>
      <c r="BG43" s="803"/>
      <c r="BH43" s="797"/>
      <c r="BI43" s="1045"/>
      <c r="BJ43" s="1045"/>
      <c r="BK43" s="1045"/>
    </row>
    <row r="44" spans="2:63" ht="15.95" customHeight="1" x14ac:dyDescent="0.25">
      <c r="B44" s="873">
        <v>10</v>
      </c>
      <c r="C44" s="811"/>
      <c r="D44" s="812"/>
      <c r="E44" s="815"/>
      <c r="F44" s="816"/>
      <c r="G44" s="817"/>
      <c r="H44" s="879"/>
      <c r="I44" s="822"/>
      <c r="J44" s="823"/>
      <c r="K44" s="827"/>
      <c r="L44" s="828"/>
      <c r="M44" s="831" t="str">
        <f>IF(OR($E44="",ISNUMBER(SEARCH("Other",$E44))),"",INDEX(CMLIGHTBASE[Base Watt 1],MATCH($E44,CMLIGHTBASE[Base Desc 1],0)))</f>
        <v/>
      </c>
      <c r="N44" s="832"/>
      <c r="O44" s="835"/>
      <c r="P44" s="836"/>
      <c r="Q44" s="837"/>
      <c r="R44" s="879"/>
      <c r="S44" s="822"/>
      <c r="T44" s="823"/>
      <c r="U44" s="842"/>
      <c r="V44" s="822"/>
      <c r="W44" s="843" t="str">
        <f t="shared" ref="W44" si="25">IF(O44="","",IF(ISNUMBER(SEARCH("Type",O44)),"","N/A"))</f>
        <v/>
      </c>
      <c r="X44" s="844"/>
      <c r="Y44" s="847"/>
      <c r="Z44" s="848"/>
      <c r="AA44" s="851"/>
      <c r="AB44" s="852"/>
      <c r="AC44" s="852"/>
      <c r="AD44" s="853"/>
      <c r="AE44" s="853"/>
      <c r="AF44" s="854"/>
      <c r="AG44" s="855"/>
      <c r="AH44" s="856"/>
      <c r="AI44" s="857"/>
      <c r="AJ44" s="857"/>
      <c r="AK44" s="867"/>
      <c r="AL44" s="869" t="str">
        <f t="shared" ref="AL44" si="26">IF(OR(C44="",E44="",M44="",K44="",O44="",Y44="",R44="",AA44="",AH44="",AJ44="",AD44="",U44="",W44=""),"",IFERROR(ROUND(IF((AW44-AX44)&lt;=0,0,BH44*(AW44-AX44)),0),""))</f>
        <v/>
      </c>
      <c r="AM44" s="870"/>
      <c r="AN44" s="870"/>
      <c r="AO44" s="871" t="str">
        <f>IF(M02S02F44="","Update Install Status",IF(M02S02F44="Yes","Submit as Fast Track",IF(M02S02F49="Yes","Use New Load",IF(OR(C44="",E44="",M44="",K44="",O44="",Y44="",R44="",AA44="",AF44="",AH44="",AD44="",U44="",W44="",AJ44=""),"",IF(BF44&lt;&gt;"",BF44,IF(ISNUMBER(SEARCH("Type",O44)),MIN(BD44,AU44),MIN(BE44,AU44)))))))</f>
        <v>Update Install Status</v>
      </c>
      <c r="AP44" s="871"/>
      <c r="AQ44" s="871"/>
      <c r="AS44" s="69"/>
      <c r="AT44" s="69"/>
      <c r="AU44" s="804" t="str">
        <f>IF(OR(C44="",E44="",M44="",K44="",O44="",Y44="",R44="",AA44="",AH44="",AJ44="",AD44="", U44="",W44=""),"",IF(AND(ISNUMBER(SEARCH("Other",E44)),OR(H44="",ISBLANK(H44),ISNUMBER(SEARCH("Description",H44)))),"",(ROUND((AH44+AJ44)*U44,2))))</f>
        <v/>
      </c>
      <c r="AV44" s="806" t="str">
        <f>IF(OR(C44="",E44="",M44="",K44="",O44="",Y44="",R44="",AA44="",AH44="",AJ44="",AD44="", U44="",W44=""),"",IF(AND(ISNUMBER(SEARCH("Other",E44)),OR(H44="",ISBLANK(H44),ISNUMBER(SEARCH("Description",H44)))),"",ROUND(AL44*INDEX(ENDUSEALL[Factor],MATCH(IF(ISNUMBER(SEARCH("24/7",AA44)),"Miscellaneous","Lighting"),ENDUSEALL[End Use to Coincident Peak Demand Factors],0)),4)))</f>
        <v/>
      </c>
      <c r="AW44" s="802" t="str">
        <f>IF(OR(C44="",E44="",M44="",K44="",O44="",Y44="",R44="",AA44="",AH44="",AJ44="",AD44="", U44="",W44=""),"",IF(AND(ISNUMBER(SEARCH("Other",E44)),OR(H44="",ISBLANK(H44),ISNUMBER(SEARCH("Description",H44)))),"",ROUND(M44*AD44*K44/1000,0)))</f>
        <v/>
      </c>
      <c r="AX44" s="802" t="str">
        <f>IF(OR(C44="",E44="",M44="",K44="",O44="",Y44="",R44="",AA44="",AH44="",AJ44="",AD44="", U44="",W44=""),"",IF(AND(ISNUMBER(SEARCH("Other",E44)),OR(H44="",ISBLANK(H44),ISNUMBER(SEARCH("Description",H44)))),"",IF(ISNUMBER(SEARCH("Network",O44)),ROUND(0.76 *Y44*AD44*U44/1000,0),ROUND(Y44*AD44*U44/1000,0))))</f>
        <v/>
      </c>
      <c r="AY44" s="802" t="str">
        <f>IF(OR(C44="",E44="",M44="",K44="",O44="",Y44="",R44="",AA44="",AH44="",AJ44="",AD44="", U44="",W44=""),"",IF(AND(K44&gt;=U44,ISNUMBER(SEARCH("Type",O44))),ROUND(U44*LEFT(INDEX(CMLIGHTBASE[Measure Subgroup 2], MATCH(E44,CMLIGHTBASE[Base Desc 1],0)),2)*M44/LEFT(INDEX(CMLIGHTBASE[Measure Subgroup 2], MATCH(E44,CMLIGHTBASE[Base Desc 1],0)),2),0),IF(AND(K44&lt;U44,ISNUMBER(SEARCH("Type",O44))),ROUND(K44*LEFT(INDEX(CMLIGHTBASE[Measure Subgroup 2], MATCH(E44,CMLIGHTBASE[Base Desc 1],0)),2)*M44/LEFT(INDEX(CMLIGHTBASE[Measure Subgroup 2], MATCH(E44,CMLIGHTBASE[Base Desc 1],0)),2),0),IF(AND(OR(ISNUMBER(SEARCH("Fixture",O44)),ISNUMBER(SEARCH("Kit",O44))),K44&gt;=U44),U44*M44,K44*M44))))</f>
        <v/>
      </c>
      <c r="AZ44" s="802"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00" t="str">
        <f>CONCATENATE(C44,"-","LED","-",O44)</f>
        <v>-LED-</v>
      </c>
      <c r="BB44" s="808" t="str">
        <f>IF(OR(C44="",E44="",M44="",K44="",O44="",Y44="",R44="",AA44="",AH44="",AJ44="",AD44="", U44="",W44=""),"",IF(AND(ISNUMBER(SEARCH("Other",E44)),OR(H44="",ISBLANK(H44),ISNUMBER(SEARCH("Description",H44)))),"",INDEX(PMELIGHTLIN[Measure '#],MATCH(BA44,PMELIGHTLIN[Measure Validator],0))))</f>
        <v/>
      </c>
      <c r="BC44" s="809" t="str">
        <f ca="1">IFERROR(IF(OR(C44="",AJ44=""),"",IF(BB44="","",IF(AND(AND(SUBLIGHTDATE1&lt;&gt;"No",SUBLIGHTDATE2&lt;&gt;"No",SUBLIGHTDATE3&lt;&gt;"No"),OR(M02S02F43&lt;=DATEVALUE("12/31/2021"),M02S02F43=""),OR(TODAY()&lt;=LIGHTING2021,ACTLIGHT&lt;&gt;"")),LIGHTRATE21*(INDEX(PMELIGHTLIN[Inc Rate Unit PA],MATCH(BA44,PMELIGHTLIN[Measure Validator],0))),INDEX(PMELIGHTLIN[Inc Rate Unit PA],MATCH(BA44,PMELIGHTLIN[Measure Validator],0))))),"")</f>
        <v/>
      </c>
      <c r="BD44" s="808">
        <f>IFERROR(IF(ISNUMBER(SEARCH("Type",O44)),(AY44-AZ44)*BC44,0),0)</f>
        <v>0</v>
      </c>
      <c r="BE44" s="796">
        <f ca="1">IFERROR((IF(ISNUMBER(SEARCH("Type",O44)),0,IF(K44&gt;=U44,((U44*M44)-(U44*Y44)),((K44*M44)-(U44*Y44)))))*BC44,0)</f>
        <v>0</v>
      </c>
      <c r="BF44" s="800" t="str">
        <f>IF(M02S02F44="Yes","Not Eligible",IF(OR(C44="",E44="",M44="",K44="",O44="",Y44="",R44="",AA44="",AH44="",AJ44="",AD44="",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Savings",IF((AY44-AZ44)&lt;0,"No Incentive",IF(AF44&lt;50000,"Lamp Life Too Short",""))))),"ERROR"))))</f>
        <v/>
      </c>
      <c r="BG44" s="802" t="str">
        <f>IF(AND(ISBLANK(AH44),ISBLANK(AJ44)),"",IF(AND(ISNUMBER(SEARCH("Type",O44)),BD44&gt;AU44),"Yes",IF(AND(OR(ISNUMBER(SEARCH("Fixture",O44)),ISNUMBER(SEARCH("Kit",O44))),BE44&gt;AU44),"Yes","No")))</f>
        <v/>
      </c>
      <c r="BH44" s="796">
        <f>IF(M02S02F32&lt;&gt;"",INDEX(SPACEHEAT[HIF],MATCH(M02S02F32,SHEAT,0)),1)</f>
        <v>1</v>
      </c>
      <c r="BI44" s="1044">
        <f t="shared" ref="BI44" si="27">IFERROR(ROUND(BK44*1.1,2),0)</f>
        <v>0</v>
      </c>
      <c r="BJ44" s="1044" t="str">
        <f>IF(M02S02F44="","Update Install Status",IF(M02S02F49="Yes","Use New Load",IF(OR(C44="",E44="",M44="",K44="",O44="",Y44="",R44="",AA44="",AF44="",AH44="",AD44="",U44="",W44="",AJ44=""),"",IF(BF44&lt;&gt;"",BF44,ROUND(BI44*BONUSADJ,2)))))</f>
        <v>Update Install Status</v>
      </c>
      <c r="BK44" s="1044" t="str">
        <f>IF(M02S02F44="","Update Install Status",IF(M02S02F44="Yes","Submit as Fast Track",IF(M02S02F49="Yes","Use New Load",IF(OR(C44="",E44="",M44="",K44="",O44="",Y44="",R44="",AA44="",AF44="",AH44="",AD44="",U44="",W44="",AJ44=""),"",IF(BF44&lt;&gt;"",BF44,IF(ISNUMBER(SEARCH("Type",O44)),MIN(BD44,AU44),MIN(BE44,AU44)))))))</f>
        <v>Update Install Status</v>
      </c>
    </row>
    <row r="45" spans="2:63" ht="15.95" customHeight="1" x14ac:dyDescent="0.25">
      <c r="B45" s="873"/>
      <c r="C45" s="813"/>
      <c r="D45" s="814"/>
      <c r="E45" s="818"/>
      <c r="F45" s="819"/>
      <c r="G45" s="820"/>
      <c r="H45" s="824"/>
      <c r="I45" s="825"/>
      <c r="J45" s="826"/>
      <c r="K45" s="829"/>
      <c r="L45" s="830"/>
      <c r="M45" s="833"/>
      <c r="N45" s="834"/>
      <c r="O45" s="838"/>
      <c r="P45" s="839"/>
      <c r="Q45" s="840"/>
      <c r="R45" s="824"/>
      <c r="S45" s="825"/>
      <c r="T45" s="826"/>
      <c r="U45" s="824"/>
      <c r="V45" s="825"/>
      <c r="W45" s="845"/>
      <c r="X45" s="846"/>
      <c r="Y45" s="849"/>
      <c r="Z45" s="850"/>
      <c r="AA45" s="852"/>
      <c r="AB45" s="852"/>
      <c r="AC45" s="852"/>
      <c r="AD45" s="853"/>
      <c r="AE45" s="853"/>
      <c r="AF45" s="854"/>
      <c r="AG45" s="855"/>
      <c r="AH45" s="856"/>
      <c r="AI45" s="857"/>
      <c r="AJ45" s="857"/>
      <c r="AK45" s="867"/>
      <c r="AL45" s="869"/>
      <c r="AM45" s="870"/>
      <c r="AN45" s="870"/>
      <c r="AO45" s="872"/>
      <c r="AP45" s="872"/>
      <c r="AQ45" s="872"/>
      <c r="AS45" s="69"/>
      <c r="AT45" s="69"/>
      <c r="AU45" s="805"/>
      <c r="AV45" s="807"/>
      <c r="AW45" s="803"/>
      <c r="AX45" s="803"/>
      <c r="AY45" s="803"/>
      <c r="AZ45" s="803"/>
      <c r="BA45" s="801"/>
      <c r="BB45" s="797"/>
      <c r="BC45" s="810"/>
      <c r="BD45" s="797"/>
      <c r="BE45" s="797"/>
      <c r="BF45" s="801"/>
      <c r="BG45" s="803"/>
      <c r="BH45" s="797"/>
      <c r="BI45" s="1045"/>
      <c r="BJ45" s="1045"/>
      <c r="BK45" s="1045"/>
    </row>
    <row r="46" spans="2:63" ht="15.95" customHeight="1" x14ac:dyDescent="0.25">
      <c r="B46" s="873">
        <v>11</v>
      </c>
      <c r="C46" s="811"/>
      <c r="D46" s="812"/>
      <c r="E46" s="815"/>
      <c r="F46" s="816"/>
      <c r="G46" s="817"/>
      <c r="H46" s="881"/>
      <c r="I46" s="822"/>
      <c r="J46" s="823"/>
      <c r="K46" s="827"/>
      <c r="L46" s="828"/>
      <c r="M46" s="831" t="str">
        <f>IF(OR($E46="",ISNUMBER(SEARCH("Other",$E46))),"",INDEX(CMLIGHTBASE[Base Watt 1],MATCH($E46,CMLIGHTBASE[Base Desc 1],0)))</f>
        <v/>
      </c>
      <c r="N46" s="832"/>
      <c r="O46" s="835"/>
      <c r="P46" s="836"/>
      <c r="Q46" s="837"/>
      <c r="R46" s="881"/>
      <c r="S46" s="822"/>
      <c r="T46" s="823"/>
      <c r="U46" s="842"/>
      <c r="V46" s="822"/>
      <c r="W46" s="843" t="str">
        <f t="shared" ref="W46" si="28">IF(O46="","",IF(ISNUMBER(SEARCH("Type",O46)),"","N/A"))</f>
        <v/>
      </c>
      <c r="X46" s="844"/>
      <c r="Y46" s="847"/>
      <c r="Z46" s="848"/>
      <c r="AA46" s="880"/>
      <c r="AB46" s="852"/>
      <c r="AC46" s="852"/>
      <c r="AD46" s="853"/>
      <c r="AE46" s="853"/>
      <c r="AF46" s="854"/>
      <c r="AG46" s="855"/>
      <c r="AH46" s="856"/>
      <c r="AI46" s="857"/>
      <c r="AJ46" s="857"/>
      <c r="AK46" s="867"/>
      <c r="AL46" s="869" t="str">
        <f t="shared" ref="AL46" si="29">IF(OR(C46="",E46="",M46="",K46="",O46="",Y46="",R46="",AA46="",AH46="",AJ46="",AD46="",U46="",W46=""),"",IFERROR(ROUND(IF((AW46-AX46)&lt;=0,0,BH46*(AW46-AX46)),0),""))</f>
        <v/>
      </c>
      <c r="AM46" s="870"/>
      <c r="AN46" s="870"/>
      <c r="AO46" s="871" t="str">
        <f>IF(M02S02F44="","Update Install Status",IF(M02S02F44="Yes","Submit as Fast Track",IF(M02S02F49="Yes","Use New Load",IF(OR(C46="",E46="",M46="",K46="",O46="",Y46="",R46="",AA46="",AF46="",AH46="",AD46="",U46="",W46="",AJ46=""),"",IF(BF46&lt;&gt;"",BF46,IF(ISNUMBER(SEARCH("Type",O46)),MIN(BD46,AU46),MIN(BE46,AU46)))))))</f>
        <v>Update Install Status</v>
      </c>
      <c r="AP46" s="871"/>
      <c r="AQ46" s="871"/>
      <c r="AS46" s="69"/>
      <c r="AT46" s="69"/>
      <c r="AU46" s="804" t="str">
        <f>IF(OR(C46="",E46="",M46="",K46="",O46="",Y46="",R46="",AA46="",AH46="",AJ46="",AD46="", U46="",W46=""),"",IF(AND(ISNUMBER(SEARCH("Other",E46)),OR(H46="",ISBLANK(H46),ISNUMBER(SEARCH("Description",H46)))),"",(ROUND((AH46+AJ46)*U46,2))))</f>
        <v/>
      </c>
      <c r="AV46" s="806" t="str">
        <f>IF(OR(C46="",E46="",M46="",K46="",O46="",Y46="",R46="",AA46="",AH46="",AJ46="",AD46="", U46="",W46=""),"",IF(AND(ISNUMBER(SEARCH("Other",E46)),OR(H46="",ISBLANK(H46),ISNUMBER(SEARCH("Description",H46)))),"",ROUND(AL46*INDEX(ENDUSEALL[Factor],MATCH(IF(ISNUMBER(SEARCH("24/7",AA46)),"Miscellaneous","Lighting"),ENDUSEALL[End Use to Coincident Peak Demand Factors],0)),4)))</f>
        <v/>
      </c>
      <c r="AW46" s="802" t="str">
        <f>IF(OR(C46="",E46="",M46="",K46="",O46="",Y46="",R46="",AA46="",AH46="",AJ46="",AD46="", U46="",W46=""),"",IF(AND(ISNUMBER(SEARCH("Other",E46)),OR(H46="",ISBLANK(H46),ISNUMBER(SEARCH("Description",H46)))),"",ROUND(M46*AD46*K46/1000,0)))</f>
        <v/>
      </c>
      <c r="AX46" s="802" t="str">
        <f>IF(OR(C46="",E46="",M46="",K46="",O46="",Y46="",R46="",AA46="",AH46="",AJ46="",AD46="", U46="",W46=""),"",IF(AND(ISNUMBER(SEARCH("Other",E46)),OR(H46="",ISBLANK(H46),ISNUMBER(SEARCH("Description",H46)))),"",IF(ISNUMBER(SEARCH("Network",O46)),ROUND(0.76 *Y46*AD46*U46/1000,0),ROUND(Y46*AD46*U46/1000,0))))</f>
        <v/>
      </c>
      <c r="AY46" s="802" t="str">
        <f>IF(OR(C46="",E46="",M46="",K46="",O46="",Y46="",R46="",AA46="",AH46="",AJ46="",AD46="", U46="",W46=""),"",IF(AND(K46&gt;=U46,ISNUMBER(SEARCH("Type",O46))),ROUND(U46*LEFT(INDEX(CMLIGHTBASE[Measure Subgroup 2], MATCH(E46,CMLIGHTBASE[Base Desc 1],0)),2)*M46/LEFT(INDEX(CMLIGHTBASE[Measure Subgroup 2], MATCH(E46,CMLIGHTBASE[Base Desc 1],0)),2),0),IF(AND(K46&lt;U46,ISNUMBER(SEARCH("Type",O46))),ROUND(K46*LEFT(INDEX(CMLIGHTBASE[Measure Subgroup 2], MATCH(E46,CMLIGHTBASE[Base Desc 1],0)),2)*M46/LEFT(INDEX(CMLIGHTBASE[Measure Subgroup 2], MATCH(E46,CMLIGHTBASE[Base Desc 1],0)),2),0),IF(AND(OR(ISNUMBER(SEARCH("Fixture",O46)),ISNUMBER(SEARCH("Kit",O46))),K46&gt;=U46),U46*M46,K46*M46))))</f>
        <v/>
      </c>
      <c r="AZ46" s="802"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00" t="str">
        <f>CONCATENATE(C46,"-","LED","-",O46)</f>
        <v>-LED-</v>
      </c>
      <c r="BB46" s="808" t="str">
        <f>IF(OR(C46="",E46="",M46="",K46="",O46="",Y46="",R46="",AA46="",AH46="",AJ46="",AD46="", U46="",W46=""),"",IF(AND(ISNUMBER(SEARCH("Other",E46)),OR(H46="",ISBLANK(H46),ISNUMBER(SEARCH("Description",H46)))),"",INDEX(PMELIGHTLIN[Measure '#],MATCH(BA46,PMELIGHTLIN[Measure Validator],0))))</f>
        <v/>
      </c>
      <c r="BC46" s="809" t="str">
        <f ca="1">IFERROR(IF(OR(C46="",AJ46=""),"",IF(BB46="","",IF(AND(AND(SUBLIGHTDATE1&lt;&gt;"No",SUBLIGHTDATE2&lt;&gt;"No",SUBLIGHTDATE3&lt;&gt;"No"),OR(M02S02F43&lt;=DATEVALUE("12/31/2021"),M02S02F43=""),OR(TODAY()&lt;=LIGHTING2021,ACTLIGHT&lt;&gt;"")),LIGHTRATE21*(INDEX(PMELIGHTLIN[Inc Rate Unit PA],MATCH(BA46,PMELIGHTLIN[Measure Validator],0))),INDEX(PMELIGHTLIN[Inc Rate Unit PA],MATCH(BA46,PMELIGHTLIN[Measure Validator],0))))),"")</f>
        <v/>
      </c>
      <c r="BD46" s="808">
        <f>IFERROR(IF(ISNUMBER(SEARCH("Type",O46)),(AY46-AZ46)*BC46,0),0)</f>
        <v>0</v>
      </c>
      <c r="BE46" s="796">
        <f ca="1">IFERROR((IF(ISNUMBER(SEARCH("Type",O46)),0,IF(K46&gt;=U46,((U46*M46)-(U46*Y46)),((K46*M46)-(U46*Y46)))))*BC46,0)</f>
        <v>0</v>
      </c>
      <c r="BF46" s="800" t="str">
        <f>IF(M02S02F44="Yes","Not Eligible",IF(OR(C46="",E46="",M46="",K46="",O46="",Y46="",R46="",AA46="",AH46="",AJ46="",AD46="",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Savings",IF((AY46-AZ46)&lt;0,"No Incentive",IF(AF46&lt;50000,"Lamp Life Too Short",""))))),"ERROR"))))</f>
        <v/>
      </c>
      <c r="BG46" s="802" t="str">
        <f>IF(AND(ISBLANK(AH46),ISBLANK(AJ46)),"",IF(AND(ISNUMBER(SEARCH("Type",O46)),BD46&gt;AU46),"Yes",IF(AND(OR(ISNUMBER(SEARCH("Fixture",O46)),ISNUMBER(SEARCH("Kit",O46))),BE46&gt;AU46),"Yes","No")))</f>
        <v/>
      </c>
      <c r="BH46" s="796">
        <f>IF(M02S02F32&lt;&gt;"",INDEX(SPACEHEAT[HIF],MATCH(M02S02F32,SHEAT,0)),1)</f>
        <v>1</v>
      </c>
      <c r="BI46" s="1044">
        <f t="shared" ref="BI46" si="30">IFERROR(ROUND(BK46*1.1,2),0)</f>
        <v>0</v>
      </c>
      <c r="BJ46" s="1044" t="str">
        <f>IF(M02S02F44="","Update Install Status",IF(M02S02F49="Yes","Use New Load",IF(OR(C46="",E46="",M46="",K46="",O46="",Y46="",R46="",AA46="",AF46="",AH46="",AD46="",U46="",W46="",AJ46=""),"",IF(BF46&lt;&gt;"",BF46,ROUND(BI46*BONUSADJ,2)))))</f>
        <v>Update Install Status</v>
      </c>
      <c r="BK46" s="1044" t="str">
        <f>IF(M02S02F44="","Update Install Status",IF(M02S02F44="Yes","Submit as Fast Track",IF(M02S02F49="Yes","Use New Load",IF(OR(C46="",E46="",M46="",K46="",O46="",Y46="",R46="",AA46="",AF46="",AH46="",AD46="",U46="",W46="",AJ46=""),"",IF(BF46&lt;&gt;"",BF46,IF(ISNUMBER(SEARCH("Type",O46)),MIN(BD46,AU46),MIN(BE46,AU46)))))))</f>
        <v>Update Install Status</v>
      </c>
    </row>
    <row r="47" spans="2:63" ht="15.95" customHeight="1" x14ac:dyDescent="0.25">
      <c r="B47" s="873"/>
      <c r="C47" s="813"/>
      <c r="D47" s="814"/>
      <c r="E47" s="818"/>
      <c r="F47" s="819"/>
      <c r="G47" s="820"/>
      <c r="H47" s="824"/>
      <c r="I47" s="825"/>
      <c r="J47" s="826"/>
      <c r="K47" s="829"/>
      <c r="L47" s="830"/>
      <c r="M47" s="833"/>
      <c r="N47" s="834"/>
      <c r="O47" s="838"/>
      <c r="P47" s="839"/>
      <c r="Q47" s="840"/>
      <c r="R47" s="824"/>
      <c r="S47" s="825"/>
      <c r="T47" s="826"/>
      <c r="U47" s="824"/>
      <c r="V47" s="825"/>
      <c r="W47" s="845"/>
      <c r="X47" s="846"/>
      <c r="Y47" s="849"/>
      <c r="Z47" s="850"/>
      <c r="AA47" s="852"/>
      <c r="AB47" s="852"/>
      <c r="AC47" s="852"/>
      <c r="AD47" s="853"/>
      <c r="AE47" s="853"/>
      <c r="AF47" s="854"/>
      <c r="AG47" s="855"/>
      <c r="AH47" s="856"/>
      <c r="AI47" s="857"/>
      <c r="AJ47" s="857"/>
      <c r="AK47" s="867"/>
      <c r="AL47" s="869"/>
      <c r="AM47" s="870"/>
      <c r="AN47" s="870"/>
      <c r="AO47" s="872"/>
      <c r="AP47" s="872"/>
      <c r="AQ47" s="872"/>
      <c r="AS47" s="69"/>
      <c r="AT47" s="69"/>
      <c r="AU47" s="805"/>
      <c r="AV47" s="807"/>
      <c r="AW47" s="803"/>
      <c r="AX47" s="803"/>
      <c r="AY47" s="803"/>
      <c r="AZ47" s="803"/>
      <c r="BA47" s="801"/>
      <c r="BB47" s="797"/>
      <c r="BC47" s="810"/>
      <c r="BD47" s="797"/>
      <c r="BE47" s="797"/>
      <c r="BF47" s="801"/>
      <c r="BG47" s="803"/>
      <c r="BH47" s="797"/>
      <c r="BI47" s="1045"/>
      <c r="BJ47" s="1045"/>
      <c r="BK47" s="1045"/>
    </row>
    <row r="48" spans="2:63" ht="15.95" customHeight="1" x14ac:dyDescent="0.25">
      <c r="B48" s="873">
        <v>12</v>
      </c>
      <c r="C48" s="811"/>
      <c r="D48" s="812"/>
      <c r="E48" s="815"/>
      <c r="F48" s="816"/>
      <c r="G48" s="817"/>
      <c r="H48" s="821"/>
      <c r="I48" s="822"/>
      <c r="J48" s="823"/>
      <c r="K48" s="827"/>
      <c r="L48" s="828"/>
      <c r="M48" s="831" t="str">
        <f>IF(OR($E48="",ISNUMBER(SEARCH("Other",$E48))),"",INDEX(CMLIGHTBASE[Base Watt 1],MATCH($E48,CMLIGHTBASE[Base Desc 1],0)))</f>
        <v/>
      </c>
      <c r="N48" s="832"/>
      <c r="O48" s="835"/>
      <c r="P48" s="836"/>
      <c r="Q48" s="837"/>
      <c r="R48" s="841"/>
      <c r="S48" s="822"/>
      <c r="T48" s="823"/>
      <c r="U48" s="842"/>
      <c r="V48" s="822"/>
      <c r="W48" s="843" t="str">
        <f t="shared" ref="W48" si="31">IF(O48="","",IF(ISNUMBER(SEARCH("Type",O48)),"","N/A"))</f>
        <v/>
      </c>
      <c r="X48" s="844"/>
      <c r="Y48" s="847"/>
      <c r="Z48" s="848"/>
      <c r="AA48" s="851"/>
      <c r="AB48" s="852"/>
      <c r="AC48" s="852"/>
      <c r="AD48" s="853"/>
      <c r="AE48" s="853"/>
      <c r="AF48" s="854"/>
      <c r="AG48" s="855"/>
      <c r="AH48" s="856"/>
      <c r="AI48" s="857"/>
      <c r="AJ48" s="857"/>
      <c r="AK48" s="867"/>
      <c r="AL48" s="869" t="str">
        <f t="shared" ref="AL48" si="32">IF(OR(C48="",E48="",M48="",K48="",O48="",Y48="",R48="",AA48="",AH48="",AJ48="",AD48="",U48="",W48=""),"",IFERROR(ROUND(IF((AW48-AX48)&lt;=0,0,BH48*(AW48-AX48)),0),""))</f>
        <v/>
      </c>
      <c r="AM48" s="870"/>
      <c r="AN48" s="870"/>
      <c r="AO48" s="871" t="str">
        <f>IF(M02S02F44="","Update Install Status",IF(M02S02F44="Yes","Submit as Fast Track",IF(M02S02F49="Yes","Use New Load",IF(OR(C48="",E48="",M48="",K48="",O48="",Y48="",R48="",AA48="",AF48="",AH48="",AD48="",U48="",W48="",AJ48=""),"",IF(BF48&lt;&gt;"",BF48,IF(ISNUMBER(SEARCH("Type",O48)),MIN(BD48,AU48),MIN(BE48,AU48)))))))</f>
        <v>Update Install Status</v>
      </c>
      <c r="AP48" s="871"/>
      <c r="AQ48" s="871"/>
      <c r="AS48" s="69"/>
      <c r="AT48" s="69"/>
      <c r="AU48" s="804" t="str">
        <f>IF(OR(C48="",E48="",M48="",K48="",O48="",Y48="",R48="",AA48="",AH48="",AJ48="",AD48="", U48="",W48=""),"",IF(AND(ISNUMBER(SEARCH("Other",E48)),OR(H48="",ISBLANK(H48),ISNUMBER(SEARCH("Description",H48)))),"",(ROUND((AH48+AJ48)*U48,2))))</f>
        <v/>
      </c>
      <c r="AV48" s="806" t="str">
        <f>IF(OR(C48="",E48="",M48="",K48="",O48="",Y48="",R48="",AA48="",AH48="",AJ48="",AD48="", U48="",W48=""),"",IF(AND(ISNUMBER(SEARCH("Other",E48)),OR(H48="",ISBLANK(H48),ISNUMBER(SEARCH("Description",H48)))),"",ROUND(AL48*INDEX(ENDUSEALL[Factor],MATCH(IF(ISNUMBER(SEARCH("24/7",AA48)),"Miscellaneous","Lighting"),ENDUSEALL[End Use to Coincident Peak Demand Factors],0)),4)))</f>
        <v/>
      </c>
      <c r="AW48" s="802" t="str">
        <f>IF(OR(C48="",E48="",M48="",K48="",O48="",Y48="",R48="",AA48="",AH48="",AJ48="",AD48="", U48="",W48=""),"",IF(AND(ISNUMBER(SEARCH("Other",E48)),OR(H48="",ISBLANK(H48),ISNUMBER(SEARCH("Description",H48)))),"",ROUND(M48*AD48*K48/1000,0)))</f>
        <v/>
      </c>
      <c r="AX48" s="802" t="str">
        <f>IF(OR(C48="",E48="",M48="",K48="",O48="",Y48="",R48="",AA48="",AH48="",AJ48="",AD48="", U48="",W48=""),"",IF(AND(ISNUMBER(SEARCH("Other",E48)),OR(H48="",ISBLANK(H48),ISNUMBER(SEARCH("Description",H48)))),"",IF(ISNUMBER(SEARCH("Network",O48)),ROUND(0.76 *Y48*AD48*U48/1000,0),ROUND(Y48*AD48*U48/1000,0))))</f>
        <v/>
      </c>
      <c r="AY48" s="802" t="str">
        <f>IF(OR(C48="",E48="",M48="",K48="",O48="",Y48="",R48="",AA48="",AH48="",AJ48="",AD48="", U48="",W48=""),"",IF(AND(K48&gt;=U48,ISNUMBER(SEARCH("Type",O48))),ROUND(U48*LEFT(INDEX(CMLIGHTBASE[Measure Subgroup 2], MATCH(E48,CMLIGHTBASE[Base Desc 1],0)),2)*M48/LEFT(INDEX(CMLIGHTBASE[Measure Subgroup 2], MATCH(E48,CMLIGHTBASE[Base Desc 1],0)),2),0),IF(AND(K48&lt;U48,ISNUMBER(SEARCH("Type",O48))),ROUND(K48*LEFT(INDEX(CMLIGHTBASE[Measure Subgroup 2], MATCH(E48,CMLIGHTBASE[Base Desc 1],0)),2)*M48/LEFT(INDEX(CMLIGHTBASE[Measure Subgroup 2], MATCH(E48,CMLIGHTBASE[Base Desc 1],0)),2),0),IF(AND(OR(ISNUMBER(SEARCH("Fixture",O48)),ISNUMBER(SEARCH("Kit",O48))),K48&gt;=U48),U48*M48,K48*M48))))</f>
        <v/>
      </c>
      <c r="AZ48" s="802"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00" t="str">
        <f>CONCATENATE(C48,"-","LED","-",O48)</f>
        <v>-LED-</v>
      </c>
      <c r="BB48" s="808" t="str">
        <f>IF(OR(C48="",E48="",M48="",K48="",O48="",Y48="",R48="",AA48="",AH48="",AJ48="",AD48="", U48="",W48=""),"",IF(AND(ISNUMBER(SEARCH("Other",E48)),OR(H48="",ISBLANK(H48),ISNUMBER(SEARCH("Description",H48)))),"",INDEX(PMELIGHTLIN[Measure '#],MATCH(BA48,PMELIGHTLIN[Measure Validator],0))))</f>
        <v/>
      </c>
      <c r="BC48" s="809" t="str">
        <f ca="1">IFERROR(IF(OR(C48="",AJ48=""),"",IF(BB48="","",IF(AND(AND(SUBLIGHTDATE1&lt;&gt;"No",SUBLIGHTDATE2&lt;&gt;"No",SUBLIGHTDATE3&lt;&gt;"No"),OR(M02S02F43&lt;=DATEVALUE("12/31/2021"),M02S02F43=""),OR(TODAY()&lt;=LIGHTING2021,ACTLIGHT&lt;&gt;"")),LIGHTRATE21*(INDEX(PMELIGHTLIN[Inc Rate Unit PA],MATCH(BA48,PMELIGHTLIN[Measure Validator],0))),INDEX(PMELIGHTLIN[Inc Rate Unit PA],MATCH(BA48,PMELIGHTLIN[Measure Validator],0))))),"")</f>
        <v/>
      </c>
      <c r="BD48" s="808">
        <f>IFERROR(IF(ISNUMBER(SEARCH("Type",O48)),(AY48-AZ48)*BC48,0),0)</f>
        <v>0</v>
      </c>
      <c r="BE48" s="796">
        <f ca="1">IFERROR((IF(ISNUMBER(SEARCH("Type",O48)),0,IF(K48&gt;=U48,((U48*M48)-(U48*Y48)),((K48*M48)-(U48*Y48)))))*BC48,0)</f>
        <v>0</v>
      </c>
      <c r="BF48" s="800" t="str">
        <f>IF(M02S02F44="Yes","Not Eligible",IF(OR(C48="",E48="",M48="",K48="",O48="",Y48="",R48="",AA48="",AH48="",AJ48="",AD48="",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Savings",IF((AY48-AZ48)&lt;0,"No Incentive",IF(AF48&lt;50000,"Lamp Life Too Short",""))))),"ERROR"))))</f>
        <v/>
      </c>
      <c r="BG48" s="802" t="str">
        <f>IF(AND(ISBLANK(AH48),ISBLANK(AJ48)),"",IF(AND(ISNUMBER(SEARCH("Type",O48)),BD48&gt;AU48),"Yes",IF(AND(OR(ISNUMBER(SEARCH("Fixture",O48)),ISNUMBER(SEARCH("Kit",O48))),BE48&gt;AU48),"Yes","No")))</f>
        <v/>
      </c>
      <c r="BH48" s="796">
        <f>IF(M02S02F32&lt;&gt;"",INDEX(SPACEHEAT[HIF],MATCH(M02S02F32,SHEAT,0)),1)</f>
        <v>1</v>
      </c>
      <c r="BI48" s="1044">
        <f t="shared" ref="BI48" si="33">IFERROR(ROUND(BK48*1.1,2),0)</f>
        <v>0</v>
      </c>
      <c r="BJ48" s="1044" t="str">
        <f>IF(M02S02F44="","Update Install Status",IF(M02S02F49="Yes","Use New Load",IF(OR(C48="",E48="",M48="",K48="",O48="",Y48="",R48="",AA48="",AF48="",AH48="",AD48="",U48="",W48="",AJ48=""),"",IF(BF48&lt;&gt;"",BF48,ROUND(BI48*BONUSADJ,2)))))</f>
        <v>Update Install Status</v>
      </c>
      <c r="BK48" s="1044" t="str">
        <f>IF(M02S02F44="","Update Install Status",IF(M02S02F44="Yes","Submit as Fast Track",IF(M02S02F49="Yes","Use New Load",IF(OR(C48="",E48="",M48="",K48="",O48="",Y48="",R48="",AA48="",AF48="",AH48="",AD48="",U48="",W48="",AJ48=""),"",IF(BF48&lt;&gt;"",BF48,IF(ISNUMBER(SEARCH("Type",O48)),MIN(BD48,AU48),MIN(BE48,AU48)))))))</f>
        <v>Update Install Status</v>
      </c>
    </row>
    <row r="49" spans="2:63" ht="15.95" customHeight="1" x14ac:dyDescent="0.25">
      <c r="B49" s="873"/>
      <c r="C49" s="813"/>
      <c r="D49" s="814"/>
      <c r="E49" s="818"/>
      <c r="F49" s="819"/>
      <c r="G49" s="820"/>
      <c r="H49" s="824"/>
      <c r="I49" s="825"/>
      <c r="J49" s="826"/>
      <c r="K49" s="829"/>
      <c r="L49" s="830"/>
      <c r="M49" s="833"/>
      <c r="N49" s="834"/>
      <c r="O49" s="838"/>
      <c r="P49" s="839"/>
      <c r="Q49" s="840"/>
      <c r="R49" s="824"/>
      <c r="S49" s="825"/>
      <c r="T49" s="826"/>
      <c r="U49" s="824"/>
      <c r="V49" s="825"/>
      <c r="W49" s="845"/>
      <c r="X49" s="846"/>
      <c r="Y49" s="849"/>
      <c r="Z49" s="850"/>
      <c r="AA49" s="852"/>
      <c r="AB49" s="852"/>
      <c r="AC49" s="852"/>
      <c r="AD49" s="853"/>
      <c r="AE49" s="853"/>
      <c r="AF49" s="854"/>
      <c r="AG49" s="855"/>
      <c r="AH49" s="856"/>
      <c r="AI49" s="857"/>
      <c r="AJ49" s="857"/>
      <c r="AK49" s="867"/>
      <c r="AL49" s="869"/>
      <c r="AM49" s="870"/>
      <c r="AN49" s="870"/>
      <c r="AO49" s="872"/>
      <c r="AP49" s="872"/>
      <c r="AQ49" s="872"/>
      <c r="AS49" s="69"/>
      <c r="AT49" s="69"/>
      <c r="AU49" s="805"/>
      <c r="AV49" s="807"/>
      <c r="AW49" s="803"/>
      <c r="AX49" s="803"/>
      <c r="AY49" s="803"/>
      <c r="AZ49" s="803"/>
      <c r="BA49" s="801"/>
      <c r="BB49" s="797"/>
      <c r="BC49" s="810"/>
      <c r="BD49" s="797"/>
      <c r="BE49" s="797"/>
      <c r="BF49" s="801"/>
      <c r="BG49" s="803"/>
      <c r="BH49" s="797"/>
      <c r="BI49" s="1045"/>
      <c r="BJ49" s="1045"/>
      <c r="BK49" s="1045"/>
    </row>
    <row r="50" spans="2:63" ht="15.95" customHeight="1" x14ac:dyDescent="0.25">
      <c r="B50" s="873">
        <v>13</v>
      </c>
      <c r="C50" s="811"/>
      <c r="D50" s="812"/>
      <c r="E50" s="815"/>
      <c r="F50" s="816"/>
      <c r="G50" s="817"/>
      <c r="H50" s="821"/>
      <c r="I50" s="822"/>
      <c r="J50" s="823"/>
      <c r="K50" s="827"/>
      <c r="L50" s="828"/>
      <c r="M50" s="831" t="str">
        <f>IF(OR($E50="",ISNUMBER(SEARCH("Other",$E50))),"",INDEX(CMLIGHTBASE[Base Watt 1],MATCH($E50,CMLIGHTBASE[Base Desc 1],0)))</f>
        <v/>
      </c>
      <c r="N50" s="832"/>
      <c r="O50" s="835"/>
      <c r="P50" s="836"/>
      <c r="Q50" s="837"/>
      <c r="R50" s="841"/>
      <c r="S50" s="822"/>
      <c r="T50" s="823"/>
      <c r="U50" s="842"/>
      <c r="V50" s="822"/>
      <c r="W50" s="843" t="str">
        <f t="shared" ref="W50" si="34">IF(O50="","",IF(ISNUMBER(SEARCH("Type",O50)),"","N/A"))</f>
        <v/>
      </c>
      <c r="X50" s="844"/>
      <c r="Y50" s="847"/>
      <c r="Z50" s="848"/>
      <c r="AA50" s="851"/>
      <c r="AB50" s="852"/>
      <c r="AC50" s="852"/>
      <c r="AD50" s="853"/>
      <c r="AE50" s="853"/>
      <c r="AF50" s="854"/>
      <c r="AG50" s="855"/>
      <c r="AH50" s="856"/>
      <c r="AI50" s="857"/>
      <c r="AJ50" s="857"/>
      <c r="AK50" s="867"/>
      <c r="AL50" s="869" t="str">
        <f t="shared" ref="AL50" si="35">IF(OR(C50="",E50="",M50="",K50="",O50="",Y50="",R50="",AA50="",AH50="",AJ50="",AD50="",U50="",W50=""),"",IFERROR(ROUND(IF((AW50-AX50)&lt;=0,0,BH50*(AW50-AX50)),0),""))</f>
        <v/>
      </c>
      <c r="AM50" s="870"/>
      <c r="AN50" s="870"/>
      <c r="AO50" s="871" t="str">
        <f>IF(M02S02F44="","Update Install Status",IF(M02S02F44="Yes","Submit as Fast Track",IF(M02S02F49="Yes","Use New Load",IF(OR(C50="",E50="",M50="",K50="",O50="",Y50="",R50="",AA50="",AF50="",AH50="",AD50="",U50="",W50="",AJ50=""),"",IF(BF50&lt;&gt;"",BF50,IF(ISNUMBER(SEARCH("Type",O50)),MIN(BD50,AU50),MIN(BE50,AU50)))))))</f>
        <v>Update Install Status</v>
      </c>
      <c r="AP50" s="871"/>
      <c r="AQ50" s="871"/>
      <c r="AS50" s="69"/>
      <c r="AT50" s="69"/>
      <c r="AU50" s="804" t="str">
        <f>IF(OR(C50="",E50="",M50="",K50="",O50="",Y50="",R50="",AA50="",AH50="",AJ50="",AD50="", U50="",W50=""),"",IF(AND(ISNUMBER(SEARCH("Other",E50)),OR(H50="",ISBLANK(H50),ISNUMBER(SEARCH("Description",H50)))),"",(ROUND((AH50+AJ50)*U50,2))))</f>
        <v/>
      </c>
      <c r="AV50" s="806" t="str">
        <f>IF(OR(C50="",E50="",M50="",K50="",O50="",Y50="",R50="",AA50="",AH50="",AJ50="",AD50="", U50="",W50=""),"",IF(AND(ISNUMBER(SEARCH("Other",E50)),OR(H50="",ISBLANK(H50),ISNUMBER(SEARCH("Description",H50)))),"",ROUND(AL50*INDEX(ENDUSEALL[Factor],MATCH(IF(ISNUMBER(SEARCH("24/7",AA50)),"Miscellaneous","Lighting"),ENDUSEALL[End Use to Coincident Peak Demand Factors],0)),4)))</f>
        <v/>
      </c>
      <c r="AW50" s="802" t="str">
        <f>IF(OR(C50="",E50="",M50="",K50="",O50="",Y50="",R50="",AA50="",AH50="",AJ50="",AD50="", U50="",W50=""),"",IF(AND(ISNUMBER(SEARCH("Other",E50)),OR(H50="",ISBLANK(H50),ISNUMBER(SEARCH("Description",H50)))),"",ROUND(M50*AD50*K50/1000,0)))</f>
        <v/>
      </c>
      <c r="AX50" s="802" t="str">
        <f>IF(OR(C50="",E50="",M50="",K50="",O50="",Y50="",R50="",AA50="",AH50="",AJ50="",AD50="", U50="",W50=""),"",IF(AND(ISNUMBER(SEARCH("Other",E50)),OR(H50="",ISBLANK(H50),ISNUMBER(SEARCH("Description",H50)))),"",IF(ISNUMBER(SEARCH("Network",O50)),ROUND(0.76 *Y50*AD50*U50/1000,0),ROUND(Y50*AD50*U50/1000,0))))</f>
        <v/>
      </c>
      <c r="AY50" s="802" t="str">
        <f>IF(OR(C50="",E50="",M50="",K50="",O50="",Y50="",R50="",AA50="",AH50="",AJ50="",AD50="", U50="",W50=""),"",IF(AND(K50&gt;=U50,ISNUMBER(SEARCH("Type",O50))),ROUND(U50*LEFT(INDEX(CMLIGHTBASE[Measure Subgroup 2], MATCH(E50,CMLIGHTBASE[Base Desc 1],0)),2)*M50/LEFT(INDEX(CMLIGHTBASE[Measure Subgroup 2], MATCH(E50,CMLIGHTBASE[Base Desc 1],0)),2),0),IF(AND(K50&lt;U50,ISNUMBER(SEARCH("Type",O50))),ROUND(K50*LEFT(INDEX(CMLIGHTBASE[Measure Subgroup 2], MATCH(E50,CMLIGHTBASE[Base Desc 1],0)),2)*M50/LEFT(INDEX(CMLIGHTBASE[Measure Subgroup 2], MATCH(E50,CMLIGHTBASE[Base Desc 1],0)),2),0),IF(AND(OR(ISNUMBER(SEARCH("Fixture",O50)),ISNUMBER(SEARCH("Kit",O50))),K50&gt;=U50),U50*M50,K50*M50))))</f>
        <v/>
      </c>
      <c r="AZ50" s="802"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00" t="str">
        <f>CONCATENATE(C50,"-","LED","-",O50)</f>
        <v>-LED-</v>
      </c>
      <c r="BB50" s="808" t="str">
        <f>IF(OR(C50="",E50="",M50="",K50="",O50="",Y50="",R50="",AA50="",AH50="",AJ50="",AD50="", U50="",W50=""),"",IF(AND(ISNUMBER(SEARCH("Other",E50)),OR(H50="",ISBLANK(H50),ISNUMBER(SEARCH("Description",H50)))),"",INDEX(PMELIGHTLIN[Measure '#],MATCH(BA50,PMELIGHTLIN[Measure Validator],0))))</f>
        <v/>
      </c>
      <c r="BC50" s="809" t="str">
        <f ca="1">IFERROR(IF(OR(C50="",AJ50=""),"",IF(BB50="","",IF(AND(AND(SUBLIGHTDATE1&lt;&gt;"No",SUBLIGHTDATE2&lt;&gt;"No",SUBLIGHTDATE3&lt;&gt;"No"),OR(M02S02F43&lt;=DATEVALUE("12/31/2021"),M02S02F43=""),OR(TODAY()&lt;=LIGHTING2021,ACTLIGHT&lt;&gt;"")),LIGHTRATE21*(INDEX(PMELIGHTLIN[Inc Rate Unit PA],MATCH(BA50,PMELIGHTLIN[Measure Validator],0))),INDEX(PMELIGHTLIN[Inc Rate Unit PA],MATCH(BA50,PMELIGHTLIN[Measure Validator],0))))),"")</f>
        <v/>
      </c>
      <c r="BD50" s="808">
        <f>IFERROR(IF(ISNUMBER(SEARCH("Type",O50)),(AY50-AZ50)*BC50,0),0)</f>
        <v>0</v>
      </c>
      <c r="BE50" s="796">
        <f ca="1">IFERROR((IF(ISNUMBER(SEARCH("Type",O50)),0,IF(K50&gt;=U50,((U50*M50)-(U50*Y50)),((K50*M50)-(U50*Y50)))))*BC50,0)</f>
        <v>0</v>
      </c>
      <c r="BF50" s="800" t="str">
        <f>IF(M02S02F44="Yes","Not Eligible",IF(OR(C50="",E50="",M50="",K50="",O50="",Y50="",R50="",AA50="",AH50="",AJ50="",AD50="",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Savings",IF((AY50-AZ50)&lt;0,"No Incentive",IF(AF50&lt;50000,"Lamp Life Too Short",""))))),"ERROR"))))</f>
        <v/>
      </c>
      <c r="BG50" s="802" t="str">
        <f>IF(AND(ISBLANK(AH50),ISBLANK(AJ50)),"",IF(AND(ISNUMBER(SEARCH("Type",O50)),BD50&gt;AU50),"Yes",IF(AND(OR(ISNUMBER(SEARCH("Fixture",O50)),ISNUMBER(SEARCH("Kit",O50))),BE50&gt;AU50),"Yes","No")))</f>
        <v/>
      </c>
      <c r="BH50" s="796">
        <f>IF(M02S02F32&lt;&gt;"",INDEX(SPACEHEAT[HIF],MATCH(M02S02F32,SHEAT,0)),1)</f>
        <v>1</v>
      </c>
      <c r="BI50" s="1044">
        <f t="shared" ref="BI50" si="36">IFERROR(ROUND(BK50*1.1,2),0)</f>
        <v>0</v>
      </c>
      <c r="BJ50" s="1044" t="str">
        <f>IF(M02S02F44="","Update Install Status",IF(M02S02F49="Yes","Use New Load",IF(OR(C50="",E50="",M50="",K50="",O50="",Y50="",R50="",AA50="",AF50="",AH50="",AD50="",U50="",W50="",AJ50=""),"",IF(BF50&lt;&gt;"",BF50,ROUND(BI50*BONUSADJ,2)))))</f>
        <v>Update Install Status</v>
      </c>
      <c r="BK50" s="1044" t="str">
        <f>IF(M02S02F44="","Update Install Status",IF(M02S02F44="Yes","Submit as Fast Track",IF(M02S02F49="Yes","Use New Load",IF(OR(C50="",E50="",M50="",K50="",O50="",Y50="",R50="",AA50="",AF50="",AH50="",AD50="",U50="",W50="",AJ50=""),"",IF(BF50&lt;&gt;"",BF50,IF(ISNUMBER(SEARCH("Type",O50)),MIN(BD50,AU50),MIN(BE50,AU50)))))))</f>
        <v>Update Install Status</v>
      </c>
    </row>
    <row r="51" spans="2:63" ht="15.95" customHeight="1" x14ac:dyDescent="0.25">
      <c r="B51" s="873"/>
      <c r="C51" s="813"/>
      <c r="D51" s="814"/>
      <c r="E51" s="818"/>
      <c r="F51" s="819"/>
      <c r="G51" s="820"/>
      <c r="H51" s="824"/>
      <c r="I51" s="825"/>
      <c r="J51" s="826"/>
      <c r="K51" s="829"/>
      <c r="L51" s="830"/>
      <c r="M51" s="833"/>
      <c r="N51" s="834"/>
      <c r="O51" s="838"/>
      <c r="P51" s="839"/>
      <c r="Q51" s="840"/>
      <c r="R51" s="824"/>
      <c r="S51" s="825"/>
      <c r="T51" s="826"/>
      <c r="U51" s="824"/>
      <c r="V51" s="825"/>
      <c r="W51" s="845"/>
      <c r="X51" s="846"/>
      <c r="Y51" s="849"/>
      <c r="Z51" s="850"/>
      <c r="AA51" s="852"/>
      <c r="AB51" s="852"/>
      <c r="AC51" s="852"/>
      <c r="AD51" s="853"/>
      <c r="AE51" s="853"/>
      <c r="AF51" s="854"/>
      <c r="AG51" s="855"/>
      <c r="AH51" s="856"/>
      <c r="AI51" s="857"/>
      <c r="AJ51" s="857"/>
      <c r="AK51" s="867"/>
      <c r="AL51" s="869"/>
      <c r="AM51" s="870"/>
      <c r="AN51" s="870"/>
      <c r="AO51" s="872"/>
      <c r="AP51" s="872"/>
      <c r="AQ51" s="872"/>
      <c r="AS51" s="69"/>
      <c r="AT51" s="69"/>
      <c r="AU51" s="805"/>
      <c r="AV51" s="807"/>
      <c r="AW51" s="803"/>
      <c r="AX51" s="803"/>
      <c r="AY51" s="803"/>
      <c r="AZ51" s="803"/>
      <c r="BA51" s="801"/>
      <c r="BB51" s="797"/>
      <c r="BC51" s="810"/>
      <c r="BD51" s="797"/>
      <c r="BE51" s="797"/>
      <c r="BF51" s="801"/>
      <c r="BG51" s="803"/>
      <c r="BH51" s="797"/>
      <c r="BI51" s="1045"/>
      <c r="BJ51" s="1045"/>
      <c r="BK51" s="1045"/>
    </row>
    <row r="52" spans="2:63" ht="15.95" customHeight="1" x14ac:dyDescent="0.25">
      <c r="B52" s="873">
        <v>14</v>
      </c>
      <c r="C52" s="811"/>
      <c r="D52" s="812"/>
      <c r="E52" s="815"/>
      <c r="F52" s="816"/>
      <c r="G52" s="817"/>
      <c r="H52" s="821"/>
      <c r="I52" s="822"/>
      <c r="J52" s="823"/>
      <c r="K52" s="827"/>
      <c r="L52" s="828"/>
      <c r="M52" s="831" t="str">
        <f>IF(OR($E52="",ISNUMBER(SEARCH("Other",$E52))),"",INDEX(CMLIGHTBASE[Base Watt 1],MATCH($E52,CMLIGHTBASE[Base Desc 1],0)))</f>
        <v/>
      </c>
      <c r="N52" s="832"/>
      <c r="O52" s="835"/>
      <c r="P52" s="836"/>
      <c r="Q52" s="837"/>
      <c r="R52" s="841"/>
      <c r="S52" s="822"/>
      <c r="T52" s="823"/>
      <c r="U52" s="842"/>
      <c r="V52" s="822"/>
      <c r="W52" s="843" t="str">
        <f t="shared" ref="W52" si="37">IF(O52="","",IF(ISNUMBER(SEARCH("Type",O52)),"","N/A"))</f>
        <v/>
      </c>
      <c r="X52" s="844"/>
      <c r="Y52" s="847"/>
      <c r="Z52" s="848"/>
      <c r="AA52" s="851"/>
      <c r="AB52" s="852"/>
      <c r="AC52" s="852"/>
      <c r="AD52" s="853"/>
      <c r="AE52" s="853"/>
      <c r="AF52" s="854"/>
      <c r="AG52" s="855"/>
      <c r="AH52" s="856"/>
      <c r="AI52" s="857"/>
      <c r="AJ52" s="857"/>
      <c r="AK52" s="867"/>
      <c r="AL52" s="869" t="str">
        <f t="shared" ref="AL52" si="38">IF(OR(C52="",E52="",M52="",K52="",O52="",Y52="",R52="",AA52="",AH52="",AJ52="",AD52="",U52="",W52=""),"",IFERROR(ROUND(IF((AW52-AX52)&lt;=0,0,BH52*(AW52-AX52)),0),""))</f>
        <v/>
      </c>
      <c r="AM52" s="870"/>
      <c r="AN52" s="870"/>
      <c r="AO52" s="871" t="str">
        <f>IF(M02S02F44="","Update Install Status",IF(M02S02F44="Yes","Submit as Fast Track",IF(M02S02F49="Yes","Use New Load",IF(OR(C52="",E52="",M52="",K52="",O52="",Y52="",R52="",AA52="",AF52="",AH52="",AD52="",U52="",W52="",AJ52=""),"",IF(BF52&lt;&gt;"",BF52,IF(ISNUMBER(SEARCH("Type",O52)),MIN(BD52,AU52),MIN(BE52,AU52)))))))</f>
        <v>Update Install Status</v>
      </c>
      <c r="AP52" s="871"/>
      <c r="AQ52" s="871"/>
      <c r="AS52" s="69"/>
      <c r="AT52" s="69"/>
      <c r="AU52" s="804" t="str">
        <f>IF(OR(C52="",E52="",M52="",K52="",O52="",Y52="",R52="",AA52="",AH52="",AJ52="",AD52="", U52="",W52=""),"",IF(AND(ISNUMBER(SEARCH("Other",E52)),OR(H52="",ISBLANK(H52),ISNUMBER(SEARCH("Description",H52)))),"",(ROUND((AH52+AJ52)*U52,2))))</f>
        <v/>
      </c>
      <c r="AV52" s="806" t="str">
        <f>IF(OR(C52="",E52="",M52="",K52="",O52="",Y52="",R52="",AA52="",AH52="",AJ52="",AD52="", U52="",W52=""),"",IF(AND(ISNUMBER(SEARCH("Other",E52)),OR(H52="",ISBLANK(H52),ISNUMBER(SEARCH("Description",H52)))),"",ROUND(AL52*INDEX(ENDUSEALL[Factor],MATCH(IF(ISNUMBER(SEARCH("24/7",AA52)),"Miscellaneous","Lighting"),ENDUSEALL[End Use to Coincident Peak Demand Factors],0)),4)))</f>
        <v/>
      </c>
      <c r="AW52" s="802" t="str">
        <f>IF(OR(C52="",E52="",M52="",K52="",O52="",Y52="",R52="",AA52="",AH52="",AJ52="",AD52="", U52="",W52=""),"",IF(AND(ISNUMBER(SEARCH("Other",E52)),OR(H52="",ISBLANK(H52),ISNUMBER(SEARCH("Description",H52)))),"",ROUND(M52*AD52*K52/1000,0)))</f>
        <v/>
      </c>
      <c r="AX52" s="802" t="str">
        <f>IF(OR(C52="",E52="",M52="",K52="",O52="",Y52="",R52="",AA52="",AH52="",AJ52="",AD52="", U52="",W52=""),"",IF(AND(ISNUMBER(SEARCH("Other",E52)),OR(H52="",ISBLANK(H52),ISNUMBER(SEARCH("Description",H52)))),"",IF(ISNUMBER(SEARCH("Network",O52)),ROUND(0.76 *Y52*AD52*U52/1000,0),ROUND(Y52*AD52*U52/1000,0))))</f>
        <v/>
      </c>
      <c r="AY52" s="802" t="str">
        <f>IF(OR(C52="",E52="",M52="",K52="",O52="",Y52="",R52="",AA52="",AH52="",AJ52="",AD52="", U52="",W52=""),"",IF(AND(K52&gt;=U52,ISNUMBER(SEARCH("Type",O52))),ROUND(U52*LEFT(INDEX(CMLIGHTBASE[Measure Subgroup 2], MATCH(E52,CMLIGHTBASE[Base Desc 1],0)),2)*M52/LEFT(INDEX(CMLIGHTBASE[Measure Subgroup 2], MATCH(E52,CMLIGHTBASE[Base Desc 1],0)),2),0),IF(AND(K52&lt;U52,ISNUMBER(SEARCH("Type",O52))),ROUND(K52*LEFT(INDEX(CMLIGHTBASE[Measure Subgroup 2], MATCH(E52,CMLIGHTBASE[Base Desc 1],0)),2)*M52/LEFT(INDEX(CMLIGHTBASE[Measure Subgroup 2], MATCH(E52,CMLIGHTBASE[Base Desc 1],0)),2),0),IF(AND(OR(ISNUMBER(SEARCH("Fixture",O52)),ISNUMBER(SEARCH("Kit",O52))),K52&gt;=U52),U52*M52,K52*M52))))</f>
        <v/>
      </c>
      <c r="AZ52" s="802"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00" t="str">
        <f>CONCATENATE(C52,"-","LED","-",O52)</f>
        <v>-LED-</v>
      </c>
      <c r="BB52" s="808" t="str">
        <f>IF(OR(C52="",E52="",M52="",K52="",O52="",Y52="",R52="",AA52="",AH52="",AJ52="",AD52="", U52="",W52=""),"",IF(AND(ISNUMBER(SEARCH("Other",E52)),OR(H52="",ISBLANK(H52),ISNUMBER(SEARCH("Description",H52)))),"",INDEX(PMELIGHTLIN[Measure '#],MATCH(BA52,PMELIGHTLIN[Measure Validator],0))))</f>
        <v/>
      </c>
      <c r="BC52" s="809" t="str">
        <f ca="1">IFERROR(IF(OR(C52="",AJ52=""),"",IF(BB52="","",IF(AND(AND(SUBLIGHTDATE1&lt;&gt;"No",SUBLIGHTDATE2&lt;&gt;"No",SUBLIGHTDATE3&lt;&gt;"No"),OR(M02S02F43&lt;=DATEVALUE("12/31/2021"),M02S02F43=""),OR(TODAY()&lt;=LIGHTING2021,ACTLIGHT&lt;&gt;"")),LIGHTRATE21*(INDEX(PMELIGHTLIN[Inc Rate Unit PA],MATCH(BA52,PMELIGHTLIN[Measure Validator],0))),INDEX(PMELIGHTLIN[Inc Rate Unit PA],MATCH(BA52,PMELIGHTLIN[Measure Validator],0))))),"")</f>
        <v/>
      </c>
      <c r="BD52" s="808">
        <f>IFERROR(IF(ISNUMBER(SEARCH("Type",O52)),(AY52-AZ52)*BC52,0),0)</f>
        <v>0</v>
      </c>
      <c r="BE52" s="796">
        <f ca="1">IFERROR((IF(ISNUMBER(SEARCH("Type",O52)),0,IF(K52&gt;=U52,((U52*M52)-(U52*Y52)),((K52*M52)-(U52*Y52)))))*BC52,0)</f>
        <v>0</v>
      </c>
      <c r="BF52" s="800" t="str">
        <f>IF(M02S02F44="Yes","Not Eligible",IF(OR(C52="",E52="",M52="",K52="",O52="",Y52="",R52="",AA52="",AH52="",AJ52="",AD52="",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Savings",IF((AY52-AZ52)&lt;0,"No Incentive",IF(AF52&lt;50000,"Lamp Life Too Short",""))))),"ERROR"))))</f>
        <v/>
      </c>
      <c r="BG52" s="802" t="str">
        <f>IF(AND(ISBLANK(AH52),ISBLANK(AJ52)),"",IF(AND(ISNUMBER(SEARCH("Type",O52)),BD52&gt;AU52),"Yes",IF(AND(OR(ISNUMBER(SEARCH("Fixture",O52)),ISNUMBER(SEARCH("Kit",O52))),BE52&gt;AU52),"Yes","No")))</f>
        <v/>
      </c>
      <c r="BH52" s="796">
        <f>IF(M02S02F32&lt;&gt;"",INDEX(SPACEHEAT[HIF],MATCH(M02S02F32,SHEAT,0)),1)</f>
        <v>1</v>
      </c>
      <c r="BI52" s="1044">
        <f t="shared" ref="BI52" si="39">IFERROR(ROUND(BK52*1.1,2),0)</f>
        <v>0</v>
      </c>
      <c r="BJ52" s="1044" t="str">
        <f>IF(M02S02F44="","Update Install Status",IF(M02S02F49="Yes","Use New Load",IF(OR(C52="",E52="",M52="",K52="",O52="",Y52="",R52="",AA52="",AF52="",AH52="",AD52="",U52="",W52="",AJ52=""),"",IF(BF52&lt;&gt;"",BF52,ROUND(BI52*BONUSADJ,2)))))</f>
        <v>Update Install Status</v>
      </c>
      <c r="BK52" s="1044" t="str">
        <f>IF(M02S02F44="","Update Install Status",IF(M02S02F44="Yes","Submit as Fast Track",IF(M02S02F49="Yes","Use New Load",IF(OR(C52="",E52="",M52="",K52="",O52="",Y52="",R52="",AA52="",AF52="",AH52="",AD52="",U52="",W52="",AJ52=""),"",IF(BF52&lt;&gt;"",BF52,IF(ISNUMBER(SEARCH("Type",O52)),MIN(BD52,AU52),MIN(BE52,AU52)))))))</f>
        <v>Update Install Status</v>
      </c>
    </row>
    <row r="53" spans="2:63" ht="15.95" customHeight="1" x14ac:dyDescent="0.25">
      <c r="B53" s="873"/>
      <c r="C53" s="813"/>
      <c r="D53" s="814"/>
      <c r="E53" s="818"/>
      <c r="F53" s="819"/>
      <c r="G53" s="820"/>
      <c r="H53" s="824"/>
      <c r="I53" s="825"/>
      <c r="J53" s="826"/>
      <c r="K53" s="829"/>
      <c r="L53" s="830"/>
      <c r="M53" s="833"/>
      <c r="N53" s="834"/>
      <c r="O53" s="838"/>
      <c r="P53" s="839"/>
      <c r="Q53" s="840"/>
      <c r="R53" s="824"/>
      <c r="S53" s="825"/>
      <c r="T53" s="826"/>
      <c r="U53" s="824"/>
      <c r="V53" s="825"/>
      <c r="W53" s="845"/>
      <c r="X53" s="846"/>
      <c r="Y53" s="849"/>
      <c r="Z53" s="850"/>
      <c r="AA53" s="852"/>
      <c r="AB53" s="852"/>
      <c r="AC53" s="852"/>
      <c r="AD53" s="853"/>
      <c r="AE53" s="853"/>
      <c r="AF53" s="854"/>
      <c r="AG53" s="855"/>
      <c r="AH53" s="856"/>
      <c r="AI53" s="857"/>
      <c r="AJ53" s="857"/>
      <c r="AK53" s="867"/>
      <c r="AL53" s="869"/>
      <c r="AM53" s="870"/>
      <c r="AN53" s="870"/>
      <c r="AO53" s="872"/>
      <c r="AP53" s="872"/>
      <c r="AQ53" s="872"/>
      <c r="AS53" s="69"/>
      <c r="AT53" s="69"/>
      <c r="AU53" s="805"/>
      <c r="AV53" s="807"/>
      <c r="AW53" s="803"/>
      <c r="AX53" s="803"/>
      <c r="AY53" s="803"/>
      <c r="AZ53" s="803"/>
      <c r="BA53" s="801"/>
      <c r="BB53" s="797"/>
      <c r="BC53" s="810"/>
      <c r="BD53" s="797"/>
      <c r="BE53" s="797"/>
      <c r="BF53" s="801"/>
      <c r="BG53" s="803"/>
      <c r="BH53" s="797"/>
      <c r="BI53" s="1045"/>
      <c r="BJ53" s="1045"/>
      <c r="BK53" s="1045"/>
    </row>
    <row r="54" spans="2:63" ht="15.95" customHeight="1" x14ac:dyDescent="0.25">
      <c r="B54" s="873">
        <v>15</v>
      </c>
      <c r="C54" s="811"/>
      <c r="D54" s="812"/>
      <c r="E54" s="815"/>
      <c r="F54" s="816"/>
      <c r="G54" s="817"/>
      <c r="H54" s="821"/>
      <c r="I54" s="822"/>
      <c r="J54" s="823"/>
      <c r="K54" s="827"/>
      <c r="L54" s="828"/>
      <c r="M54" s="831" t="str">
        <f>IF(OR($E54="",ISNUMBER(SEARCH("Other",$E54))),"",INDEX(CMLIGHTBASE[Base Watt 1],MATCH($E54,CMLIGHTBASE[Base Desc 1],0)))</f>
        <v/>
      </c>
      <c r="N54" s="832"/>
      <c r="O54" s="835"/>
      <c r="P54" s="836"/>
      <c r="Q54" s="837"/>
      <c r="R54" s="841"/>
      <c r="S54" s="822"/>
      <c r="T54" s="823"/>
      <c r="U54" s="842"/>
      <c r="V54" s="822"/>
      <c r="W54" s="843" t="str">
        <f t="shared" ref="W54" si="40">IF(O54="","",IF(ISNUMBER(SEARCH("Type",O54)),"","N/A"))</f>
        <v/>
      </c>
      <c r="X54" s="844"/>
      <c r="Y54" s="847"/>
      <c r="Z54" s="848"/>
      <c r="AA54" s="851"/>
      <c r="AB54" s="852"/>
      <c r="AC54" s="852"/>
      <c r="AD54" s="853"/>
      <c r="AE54" s="853"/>
      <c r="AF54" s="854"/>
      <c r="AG54" s="855"/>
      <c r="AH54" s="856"/>
      <c r="AI54" s="857"/>
      <c r="AJ54" s="857"/>
      <c r="AK54" s="867"/>
      <c r="AL54" s="869" t="str">
        <f t="shared" ref="AL54" si="41">IF(OR(C54="",E54="",M54="",K54="",O54="",Y54="",R54="",AA54="",AH54="",AJ54="",AD54="",U54="",W54=""),"",IFERROR(ROUND(IF((AW54-AX54)&lt;=0,0,BH54*(AW54-AX54)),0),""))</f>
        <v/>
      </c>
      <c r="AM54" s="870"/>
      <c r="AN54" s="870"/>
      <c r="AO54" s="871" t="str">
        <f>IF(M02S02F44="","Update Install Status",IF(M02S02F44="Yes","Submit as Fast Track",IF(M02S02F49="Yes","Use New Load",IF(OR(C54="",E54="",M54="",K54="",O54="",Y54="",R54="",AA54="",AF54="",AH54="",AD54="",U54="",W54="",AJ54=""),"",IF(BF54&lt;&gt;"",BF54,IF(ISNUMBER(SEARCH("Type",O54)),MIN(BD54,AU54),MIN(BE54,AU54)))))))</f>
        <v>Update Install Status</v>
      </c>
      <c r="AP54" s="871"/>
      <c r="AQ54" s="871"/>
      <c r="AS54" s="69"/>
      <c r="AT54" s="69"/>
      <c r="AU54" s="804" t="str">
        <f>IF(OR(C54="",E54="",M54="",K54="",O54="",Y54="",R54="",AA54="",AH54="",AJ54="",AD54="", U54="",W54=""),"",IF(AND(ISNUMBER(SEARCH("Other",E54)),OR(H54="",ISBLANK(H54),ISNUMBER(SEARCH("Description",H54)))),"",(ROUND((AH54+AJ54)*U54,2))))</f>
        <v/>
      </c>
      <c r="AV54" s="806" t="str">
        <f>IF(OR(C54="",E54="",M54="",K54="",O54="",Y54="",R54="",AA54="",AH54="",AJ54="",AD54="", U54="",W54=""),"",IF(AND(ISNUMBER(SEARCH("Other",E54)),OR(H54="",ISBLANK(H54),ISNUMBER(SEARCH("Description",H54)))),"",ROUND(AL54*INDEX(ENDUSEALL[Factor],MATCH(IF(ISNUMBER(SEARCH("24/7",AA54)),"Miscellaneous","Lighting"),ENDUSEALL[End Use to Coincident Peak Demand Factors],0)),4)))</f>
        <v/>
      </c>
      <c r="AW54" s="802" t="str">
        <f>IF(OR(C54="",E54="",M54="",K54="",O54="",Y54="",R54="",AA54="",AH54="",AJ54="",AD54="", U54="",W54=""),"",IF(AND(ISNUMBER(SEARCH("Other",E54)),OR(H54="",ISBLANK(H54),ISNUMBER(SEARCH("Description",H54)))),"",ROUND(M54*AD54*K54/1000,0)))</f>
        <v/>
      </c>
      <c r="AX54" s="802" t="str">
        <f>IF(OR(C54="",E54="",M54="",K54="",O54="",Y54="",R54="",AA54="",AH54="",AJ54="",AD54="", U54="",W54=""),"",IF(AND(ISNUMBER(SEARCH("Other",E54)),OR(H54="",ISBLANK(H54),ISNUMBER(SEARCH("Description",H54)))),"",IF(ISNUMBER(SEARCH("Network",O54)),ROUND(0.76 *Y54*AD54*U54/1000,0),ROUND(Y54*AD54*U54/1000,0))))</f>
        <v/>
      </c>
      <c r="AY54" s="802" t="str">
        <f>IF(OR(C54="",E54="",M54="",K54="",O54="",Y54="",R54="",AA54="",AH54="",AJ54="",AD54="", U54="",W54=""),"",IF(AND(K54&gt;=U54,ISNUMBER(SEARCH("Type",O54))),ROUND(U54*LEFT(INDEX(CMLIGHTBASE[Measure Subgroup 2], MATCH(E54,CMLIGHTBASE[Base Desc 1],0)),2)*M54/LEFT(INDEX(CMLIGHTBASE[Measure Subgroup 2], MATCH(E54,CMLIGHTBASE[Base Desc 1],0)),2),0),IF(AND(K54&lt;U54,ISNUMBER(SEARCH("Type",O54))),ROUND(K54*LEFT(INDEX(CMLIGHTBASE[Measure Subgroup 2], MATCH(E54,CMLIGHTBASE[Base Desc 1],0)),2)*M54/LEFT(INDEX(CMLIGHTBASE[Measure Subgroup 2], MATCH(E54,CMLIGHTBASE[Base Desc 1],0)),2),0),IF(AND(OR(ISNUMBER(SEARCH("Fixture",O54)),ISNUMBER(SEARCH("Kit",O54))),K54&gt;=U54),U54*M54,K54*M54))))</f>
        <v/>
      </c>
      <c r="AZ54" s="802"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00" t="str">
        <f>CONCATENATE(C54,"-","LED","-",O54)</f>
        <v>-LED-</v>
      </c>
      <c r="BB54" s="808" t="str">
        <f>IF(OR(C54="",E54="",M54="",K54="",O54="",Y54="",R54="",AA54="",AH54="",AJ54="",AD54="", U54="",W54=""),"",IF(AND(ISNUMBER(SEARCH("Other",E54)),OR(H54="",ISBLANK(H54),ISNUMBER(SEARCH("Description",H54)))),"",INDEX(PMELIGHTLIN[Measure '#],MATCH(BA54,PMELIGHTLIN[Measure Validator],0))))</f>
        <v/>
      </c>
      <c r="BC54" s="809" t="str">
        <f ca="1">IFERROR(IF(OR(C54="",AJ54=""),"",IF(BB54="","",IF(AND(AND(SUBLIGHTDATE1&lt;&gt;"No",SUBLIGHTDATE2&lt;&gt;"No",SUBLIGHTDATE3&lt;&gt;"No"),OR(M02S02F43&lt;=DATEVALUE("12/31/2021"),M02S02F43=""),OR(TODAY()&lt;=LIGHTING2021,ACTLIGHT&lt;&gt;"")),LIGHTRATE21*(INDEX(PMELIGHTLIN[Inc Rate Unit PA],MATCH(BA54,PMELIGHTLIN[Measure Validator],0))),INDEX(PMELIGHTLIN[Inc Rate Unit PA],MATCH(BA54,PMELIGHTLIN[Measure Validator],0))))),"")</f>
        <v/>
      </c>
      <c r="BD54" s="808">
        <f>IFERROR(IF(ISNUMBER(SEARCH("Type",O54)),(AY54-AZ54)*BC54,0),0)</f>
        <v>0</v>
      </c>
      <c r="BE54" s="796">
        <f ca="1">IFERROR((IF(ISNUMBER(SEARCH("Type",O54)),0,IF(K54&gt;=U54,((U54*M54)-(U54*Y54)),((K54*M54)-(U54*Y54)))))*BC54,0)</f>
        <v>0</v>
      </c>
      <c r="BF54" s="800" t="str">
        <f>IF(M02S02F44="Yes","Not Eligible",IF(OR(C54="",E54="",M54="",K54="",O54="",Y54="",R54="",AA54="",AH54="",AJ54="",AD54="",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Savings",IF((AY54-AZ54)&lt;0,"No Incentive",IF(AF54&lt;50000,"Lamp Life Too Short",""))))),"ERROR"))))</f>
        <v/>
      </c>
      <c r="BG54" s="802" t="str">
        <f>IF(AND(ISBLANK(AH54),ISBLANK(AJ54)),"",IF(AND(ISNUMBER(SEARCH("Type",O54)),BD54&gt;AU54),"Yes",IF(AND(OR(ISNUMBER(SEARCH("Fixture",O54)),ISNUMBER(SEARCH("Kit",O54))),BE54&gt;AU54),"Yes","No")))</f>
        <v/>
      </c>
      <c r="BH54" s="796">
        <f>IF(M02S02F32&lt;&gt;"",INDEX(SPACEHEAT[HIF],MATCH(M02S02F32,SHEAT,0)),1)</f>
        <v>1</v>
      </c>
      <c r="BI54" s="1044">
        <f t="shared" ref="BI54" si="42">IFERROR(ROUND(BK54*1.1,2),0)</f>
        <v>0</v>
      </c>
      <c r="BJ54" s="1044" t="str">
        <f>IF(M02S02F44="","Update Install Status",IF(M02S02F49="Yes","Use New Load",IF(OR(C54="",E54="",M54="",K54="",O54="",Y54="",R54="",AA54="",AF54="",AH54="",AD54="",U54="",W54="",AJ54=""),"",IF(BF54&lt;&gt;"",BF54,ROUND(BI54*BONUSADJ,2)))))</f>
        <v>Update Install Status</v>
      </c>
      <c r="BK54" s="1044" t="str">
        <f>IF(M02S02F44="","Update Install Status",IF(M02S02F44="Yes","Submit as Fast Track",IF(M02S02F49="Yes","Use New Load",IF(OR(C54="",E54="",M54="",K54="",O54="",Y54="",R54="",AA54="",AF54="",AH54="",AD54="",U54="",W54="",AJ54=""),"",IF(BF54&lt;&gt;"",BF54,IF(ISNUMBER(SEARCH("Type",O54)),MIN(BD54,AU54),MIN(BE54,AU54)))))))</f>
        <v>Update Install Status</v>
      </c>
    </row>
    <row r="55" spans="2:63" ht="15.95" customHeight="1" x14ac:dyDescent="0.25">
      <c r="B55" s="873"/>
      <c r="C55" s="813"/>
      <c r="D55" s="814"/>
      <c r="E55" s="818"/>
      <c r="F55" s="819"/>
      <c r="G55" s="820"/>
      <c r="H55" s="824"/>
      <c r="I55" s="825"/>
      <c r="J55" s="826"/>
      <c r="K55" s="829"/>
      <c r="L55" s="830"/>
      <c r="M55" s="833"/>
      <c r="N55" s="834"/>
      <c r="O55" s="838"/>
      <c r="P55" s="839"/>
      <c r="Q55" s="840"/>
      <c r="R55" s="824"/>
      <c r="S55" s="825"/>
      <c r="T55" s="826"/>
      <c r="U55" s="824"/>
      <c r="V55" s="825"/>
      <c r="W55" s="845"/>
      <c r="X55" s="846"/>
      <c r="Y55" s="849"/>
      <c r="Z55" s="850"/>
      <c r="AA55" s="852"/>
      <c r="AB55" s="852"/>
      <c r="AC55" s="852"/>
      <c r="AD55" s="853"/>
      <c r="AE55" s="853"/>
      <c r="AF55" s="854"/>
      <c r="AG55" s="855"/>
      <c r="AH55" s="856"/>
      <c r="AI55" s="857"/>
      <c r="AJ55" s="857"/>
      <c r="AK55" s="867"/>
      <c r="AL55" s="869"/>
      <c r="AM55" s="870"/>
      <c r="AN55" s="870"/>
      <c r="AO55" s="872"/>
      <c r="AP55" s="872"/>
      <c r="AQ55" s="872"/>
      <c r="AS55" s="69"/>
      <c r="AT55" s="69"/>
      <c r="AU55" s="805"/>
      <c r="AV55" s="807"/>
      <c r="AW55" s="803"/>
      <c r="AX55" s="803"/>
      <c r="AY55" s="803"/>
      <c r="AZ55" s="803"/>
      <c r="BA55" s="801"/>
      <c r="BB55" s="797"/>
      <c r="BC55" s="810"/>
      <c r="BD55" s="797"/>
      <c r="BE55" s="797"/>
      <c r="BF55" s="801"/>
      <c r="BG55" s="803"/>
      <c r="BH55" s="797"/>
      <c r="BI55" s="1045"/>
      <c r="BJ55" s="1045"/>
      <c r="BK55" s="1045"/>
    </row>
    <row r="56" spans="2:63" ht="15.95" customHeight="1" x14ac:dyDescent="0.25">
      <c r="B56" s="873">
        <v>16</v>
      </c>
      <c r="C56" s="811"/>
      <c r="D56" s="812"/>
      <c r="E56" s="815"/>
      <c r="F56" s="816"/>
      <c r="G56" s="817"/>
      <c r="H56" s="879"/>
      <c r="I56" s="822"/>
      <c r="J56" s="823"/>
      <c r="K56" s="827"/>
      <c r="L56" s="828"/>
      <c r="M56" s="831" t="str">
        <f>IF(OR($E56="",ISNUMBER(SEARCH("Other",$E56))),"",INDEX(CMLIGHTBASE[Base Watt 1],MATCH($E56,CMLIGHTBASE[Base Desc 1],0)))</f>
        <v/>
      </c>
      <c r="N56" s="832"/>
      <c r="O56" s="835"/>
      <c r="P56" s="836"/>
      <c r="Q56" s="837"/>
      <c r="R56" s="879"/>
      <c r="S56" s="822"/>
      <c r="T56" s="823"/>
      <c r="U56" s="842"/>
      <c r="V56" s="822"/>
      <c r="W56" s="843" t="str">
        <f t="shared" ref="W56" si="43">IF(O56="","",IF(ISNUMBER(SEARCH("Type",O56)),"","N/A"))</f>
        <v/>
      </c>
      <c r="X56" s="844"/>
      <c r="Y56" s="847"/>
      <c r="Z56" s="848"/>
      <c r="AA56" s="862"/>
      <c r="AB56" s="852"/>
      <c r="AC56" s="852"/>
      <c r="AD56" s="853"/>
      <c r="AE56" s="853"/>
      <c r="AF56" s="854"/>
      <c r="AG56" s="855"/>
      <c r="AH56" s="856"/>
      <c r="AI56" s="857"/>
      <c r="AJ56" s="857"/>
      <c r="AK56" s="867"/>
      <c r="AL56" s="869" t="str">
        <f t="shared" ref="AL56" si="44">IF(OR(C56="",E56="",M56="",K56="",O56="",Y56="",R56="",AA56="",AH56="",AJ56="",AD56="",U56="",W56=""),"",IFERROR(ROUND(IF((AW56-AX56)&lt;=0,0,BH56*(AW56-AX56)),0),""))</f>
        <v/>
      </c>
      <c r="AM56" s="870"/>
      <c r="AN56" s="870"/>
      <c r="AO56" s="871" t="str">
        <f>IF(M02S02F44="","Update Install Status",IF(M02S02F44="Yes","Submit as Fast Track",IF(M02S02F49="Yes","Use New Load",IF(OR(C56="",E56="",M56="",K56="",O56="",Y56="",R56="",AA56="",AF56="",AH56="",AD56="",U56="",W56="",AJ56=""),"",IF(BF56&lt;&gt;"",BF56,IF(ISNUMBER(SEARCH("Type",O56)),MIN(BD56,AU56),MIN(BE56,AU56)))))))</f>
        <v>Update Install Status</v>
      </c>
      <c r="AP56" s="871"/>
      <c r="AQ56" s="871"/>
      <c r="AS56" s="69"/>
      <c r="AT56" s="69"/>
      <c r="AU56" s="804" t="str">
        <f>IF(OR(C56="",E56="",M56="",K56="",O56="",Y56="",R56="",AA56="",AH56="",AJ56="",AD56="", U56="",W56=""),"",IF(AND(ISNUMBER(SEARCH("Other",E56)),OR(H56="",ISBLANK(H56),ISNUMBER(SEARCH("Description",H56)))),"",(ROUND((AH56+AJ56)*U56,2))))</f>
        <v/>
      </c>
      <c r="AV56" s="806" t="str">
        <f>IF(OR(C56="",E56="",M56="",K56="",O56="",Y56="",R56="",AA56="",AH56="",AJ56="",AD56="", U56="",W56=""),"",IF(AND(ISNUMBER(SEARCH("Other",E56)),OR(H56="",ISBLANK(H56),ISNUMBER(SEARCH("Description",H56)))),"",ROUND(AL56*INDEX(ENDUSEALL[Factor],MATCH(IF(ISNUMBER(SEARCH("24/7",AA56)),"Miscellaneous","Lighting"),ENDUSEALL[End Use to Coincident Peak Demand Factors],0)),4)))</f>
        <v/>
      </c>
      <c r="AW56" s="802" t="str">
        <f>IF(OR(C56="",E56="",M56="",K56="",O56="",Y56="",R56="",AA56="",AH56="",AJ56="",AD56="", U56="",W56=""),"",IF(AND(ISNUMBER(SEARCH("Other",E56)),OR(H56="",ISBLANK(H56),ISNUMBER(SEARCH("Description",H56)))),"",ROUND(M56*AD56*K56/1000,0)))</f>
        <v/>
      </c>
      <c r="AX56" s="802" t="str">
        <f>IF(OR(C56="",E56="",M56="",K56="",O56="",Y56="",R56="",AA56="",AH56="",AJ56="",AD56="", U56="",W56=""),"",IF(AND(ISNUMBER(SEARCH("Other",E56)),OR(H56="",ISBLANK(H56),ISNUMBER(SEARCH("Description",H56)))),"",IF(ISNUMBER(SEARCH("Network",O56)),ROUND(0.76 *Y56*AD56*U56/1000,0),ROUND(Y56*AD56*U56/1000,0))))</f>
        <v/>
      </c>
      <c r="AY56" s="802" t="str">
        <f>IF(OR(C56="",E56="",M56="",K56="",O56="",Y56="",R56="",AA56="",AH56="",AJ56="",AD56="", U56="",W56=""),"",IF(AND(K56&gt;=U56,ISNUMBER(SEARCH("Type",O56))),ROUND(U56*LEFT(INDEX(CMLIGHTBASE[Measure Subgroup 2], MATCH(E56,CMLIGHTBASE[Base Desc 1],0)),2)*M56/LEFT(INDEX(CMLIGHTBASE[Measure Subgroup 2], MATCH(E56,CMLIGHTBASE[Base Desc 1],0)),2),0),IF(AND(K56&lt;U56,ISNUMBER(SEARCH("Type",O56))),ROUND(K56*LEFT(INDEX(CMLIGHTBASE[Measure Subgroup 2], MATCH(E56,CMLIGHTBASE[Base Desc 1],0)),2)*M56/LEFT(INDEX(CMLIGHTBASE[Measure Subgroup 2], MATCH(E56,CMLIGHTBASE[Base Desc 1],0)),2),0),IF(AND(OR(ISNUMBER(SEARCH("Fixture",O56)),ISNUMBER(SEARCH("Kit",O56))),K56&gt;=U56),U56*M56,K56*M56))))</f>
        <v/>
      </c>
      <c r="AZ56" s="802"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00" t="str">
        <f>CONCATENATE(C56,"-","LED","-",O56)</f>
        <v>-LED-</v>
      </c>
      <c r="BB56" s="808" t="str">
        <f>IF(OR(C56="",E56="",M56="",K56="",O56="",Y56="",R56="",AA56="",AH56="",AJ56="",AD56="", U56="",W56=""),"",IF(AND(ISNUMBER(SEARCH("Other",E56)),OR(H56="",ISBLANK(H56),ISNUMBER(SEARCH("Description",H56)))),"",INDEX(PMELIGHTLIN[Measure '#],MATCH(BA56,PMELIGHTLIN[Measure Validator],0))))</f>
        <v/>
      </c>
      <c r="BC56" s="809" t="str">
        <f ca="1">IFERROR(IF(OR(C56="",AJ56=""),"",IF(BB56="","",IF(AND(AND(SUBLIGHTDATE1&lt;&gt;"No",SUBLIGHTDATE2&lt;&gt;"No",SUBLIGHTDATE3&lt;&gt;"No"),OR(M02S02F43&lt;=DATEVALUE("12/31/2021"),M02S02F43=""),OR(TODAY()&lt;=LIGHTING2021,ACTLIGHT&lt;&gt;"")),LIGHTRATE21*(INDEX(PMELIGHTLIN[Inc Rate Unit PA],MATCH(BA56,PMELIGHTLIN[Measure Validator],0))),INDEX(PMELIGHTLIN[Inc Rate Unit PA],MATCH(BA56,PMELIGHTLIN[Measure Validator],0))))),"")</f>
        <v/>
      </c>
      <c r="BD56" s="808">
        <f>IFERROR(IF(ISNUMBER(SEARCH("Type",O56)),(AY56-AZ56)*BC56,0),0)</f>
        <v>0</v>
      </c>
      <c r="BE56" s="796">
        <f ca="1">IFERROR((IF(ISNUMBER(SEARCH("Type",O56)),0,IF(K56&gt;=U56,((U56*M56)-(U56*Y56)),((K56*M56)-(U56*Y56)))))*BC56,0)</f>
        <v>0</v>
      </c>
      <c r="BF56" s="800" t="str">
        <f>IF(M02S02F44="Yes","Not Eligible",IF(OR(C56="",E56="",M56="",K56="",O56="",Y56="",R56="",AA56="",AH56="",AJ56="",AD56="",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Savings",IF((AY56-AZ56)&lt;0,"No Incentive",IF(AF56&lt;50000,"Lamp Life Too Short",""))))),"ERROR"))))</f>
        <v/>
      </c>
      <c r="BG56" s="802" t="str">
        <f>IF(AND(ISBLANK(AH56),ISBLANK(AJ56)),"",IF(AND(ISNUMBER(SEARCH("Type",O56)),BD56&gt;AU56),"Yes",IF(AND(OR(ISNUMBER(SEARCH("Fixture",O56)),ISNUMBER(SEARCH("Kit",O56))),BE56&gt;AU56),"Yes","No")))</f>
        <v/>
      </c>
      <c r="BH56" s="796">
        <f>IF(M02S02F32&lt;&gt;"",INDEX(SPACEHEAT[HIF],MATCH(M02S02F32,SHEAT,0)),1)</f>
        <v>1</v>
      </c>
      <c r="BI56" s="1044">
        <f t="shared" ref="BI56" si="45">IFERROR(ROUND(BK56*1.1,2),0)</f>
        <v>0</v>
      </c>
      <c r="BJ56" s="1044" t="str">
        <f>IF(M02S02F44="","Update Install Status",IF(M02S02F49="Yes","Use New Load",IF(OR(C56="",E56="",M56="",K56="",O56="",Y56="",R56="",AA56="",AF56="",AH56="",AD56="",U56="",W56="",AJ56=""),"",IF(BF56&lt;&gt;"",BF56,ROUND(BI56*BONUSADJ,2)))))</f>
        <v>Update Install Status</v>
      </c>
      <c r="BK56" s="1044" t="str">
        <f>IF(M02S02F44="","Update Install Status",IF(M02S02F44="Yes","Submit as Fast Track",IF(M02S02F49="Yes","Use New Load",IF(OR(C56="",E56="",M56="",K56="",O56="",Y56="",R56="",AA56="",AF56="",AH56="",AD56="",U56="",W56="",AJ56=""),"",IF(BF56&lt;&gt;"",BF56,IF(ISNUMBER(SEARCH("Type",O56)),MIN(BD56,AU56),MIN(BE56,AU56)))))))</f>
        <v>Update Install Status</v>
      </c>
    </row>
    <row r="57" spans="2:63" ht="15.95" customHeight="1" x14ac:dyDescent="0.25">
      <c r="B57" s="873"/>
      <c r="C57" s="813"/>
      <c r="D57" s="814"/>
      <c r="E57" s="818"/>
      <c r="F57" s="819"/>
      <c r="G57" s="820"/>
      <c r="H57" s="824"/>
      <c r="I57" s="825"/>
      <c r="J57" s="826"/>
      <c r="K57" s="829"/>
      <c r="L57" s="830"/>
      <c r="M57" s="833"/>
      <c r="N57" s="834"/>
      <c r="O57" s="838"/>
      <c r="P57" s="839"/>
      <c r="Q57" s="840"/>
      <c r="R57" s="824"/>
      <c r="S57" s="825"/>
      <c r="T57" s="826"/>
      <c r="U57" s="824"/>
      <c r="V57" s="825"/>
      <c r="W57" s="845"/>
      <c r="X57" s="846"/>
      <c r="Y57" s="849"/>
      <c r="Z57" s="850"/>
      <c r="AA57" s="852"/>
      <c r="AB57" s="852"/>
      <c r="AC57" s="852"/>
      <c r="AD57" s="853"/>
      <c r="AE57" s="853"/>
      <c r="AF57" s="854"/>
      <c r="AG57" s="855"/>
      <c r="AH57" s="856"/>
      <c r="AI57" s="857"/>
      <c r="AJ57" s="857"/>
      <c r="AK57" s="867"/>
      <c r="AL57" s="869"/>
      <c r="AM57" s="870"/>
      <c r="AN57" s="870"/>
      <c r="AO57" s="872"/>
      <c r="AP57" s="872"/>
      <c r="AQ57" s="872"/>
      <c r="AS57" s="69"/>
      <c r="AT57" s="69"/>
      <c r="AU57" s="805"/>
      <c r="AV57" s="807"/>
      <c r="AW57" s="803"/>
      <c r="AX57" s="803"/>
      <c r="AY57" s="803"/>
      <c r="AZ57" s="803"/>
      <c r="BA57" s="801"/>
      <c r="BB57" s="797"/>
      <c r="BC57" s="810"/>
      <c r="BD57" s="797"/>
      <c r="BE57" s="797"/>
      <c r="BF57" s="801"/>
      <c r="BG57" s="803"/>
      <c r="BH57" s="797"/>
      <c r="BI57" s="1045"/>
      <c r="BJ57" s="1045"/>
      <c r="BK57" s="1045"/>
    </row>
    <row r="58" spans="2:63" ht="15.95" customHeight="1" x14ac:dyDescent="0.25">
      <c r="B58" s="873">
        <v>17</v>
      </c>
      <c r="C58" s="811"/>
      <c r="D58" s="812"/>
      <c r="E58" s="815"/>
      <c r="F58" s="816"/>
      <c r="G58" s="817"/>
      <c r="H58" s="821"/>
      <c r="I58" s="822"/>
      <c r="J58" s="823"/>
      <c r="K58" s="827"/>
      <c r="L58" s="828"/>
      <c r="M58" s="831" t="str">
        <f>IF(OR($E58="",ISNUMBER(SEARCH("Other",$E58))),"",INDEX(CMLIGHTBASE[Base Watt 1],MATCH($E58,CMLIGHTBASE[Base Desc 1],0)))</f>
        <v/>
      </c>
      <c r="N58" s="832"/>
      <c r="O58" s="835"/>
      <c r="P58" s="836"/>
      <c r="Q58" s="837"/>
      <c r="R58" s="841"/>
      <c r="S58" s="822"/>
      <c r="T58" s="823"/>
      <c r="U58" s="842"/>
      <c r="V58" s="822"/>
      <c r="W58" s="843" t="str">
        <f t="shared" ref="W58" si="46">IF(O58="","",IF(ISNUMBER(SEARCH("Type",O58)),"","N/A"))</f>
        <v/>
      </c>
      <c r="X58" s="844"/>
      <c r="Y58" s="847"/>
      <c r="Z58" s="848"/>
      <c r="AA58" s="851"/>
      <c r="AB58" s="852"/>
      <c r="AC58" s="852"/>
      <c r="AD58" s="853"/>
      <c r="AE58" s="853"/>
      <c r="AF58" s="854"/>
      <c r="AG58" s="855"/>
      <c r="AH58" s="856"/>
      <c r="AI58" s="857"/>
      <c r="AJ58" s="857"/>
      <c r="AK58" s="867"/>
      <c r="AL58" s="869" t="str">
        <f t="shared" ref="AL58" si="47">IF(OR(C58="",E58="",M58="",K58="",O58="",Y58="",R58="",AA58="",AH58="",AJ58="",AD58="",U58="",W58=""),"",IFERROR(ROUND(IF((AW58-AX58)&lt;=0,0,BH58*(AW58-AX58)),0),""))</f>
        <v/>
      </c>
      <c r="AM58" s="870"/>
      <c r="AN58" s="870"/>
      <c r="AO58" s="871" t="str">
        <f>IF(M02S02F44="","Update Install Status",IF(M02S02F44="Yes","Submit as Fast Track",IF(M02S02F49="Yes","Use New Load",IF(OR(C58="",E58="",M58="",K58="",O58="",Y58="",R58="",AA58="",AF58="",AH58="",AD58="",U58="",W58="",AJ58=""),"",IF(BF58&lt;&gt;"",BF58,IF(ISNUMBER(SEARCH("Type",O58)),MIN(BD58,AU58),MIN(BE58,AU58)))))))</f>
        <v>Update Install Status</v>
      </c>
      <c r="AP58" s="871"/>
      <c r="AQ58" s="871"/>
      <c r="AS58" s="69"/>
      <c r="AT58" s="69"/>
      <c r="AU58" s="804" t="str">
        <f>IF(OR(C58="",E58="",M58="",K58="",O58="",Y58="",R58="",AA58="",AH58="",AJ58="",AD58="", U58="",W58=""),"",IF(AND(ISNUMBER(SEARCH("Other",E58)),OR(H58="",ISBLANK(H58),ISNUMBER(SEARCH("Description",H58)))),"",(ROUND((AH58+AJ58)*U58,2))))</f>
        <v/>
      </c>
      <c r="AV58" s="806" t="str">
        <f>IF(OR(C58="",E58="",M58="",K58="",O58="",Y58="",R58="",AA58="",AH58="",AJ58="",AD58="", U58="",W58=""),"",IF(AND(ISNUMBER(SEARCH("Other",E58)),OR(H58="",ISBLANK(H58),ISNUMBER(SEARCH("Description",H58)))),"",ROUND(AL58*INDEX(ENDUSEALL[Factor],MATCH(IF(ISNUMBER(SEARCH("24/7",AA58)),"Miscellaneous","Lighting"),ENDUSEALL[End Use to Coincident Peak Demand Factors],0)),4)))</f>
        <v/>
      </c>
      <c r="AW58" s="802" t="str">
        <f>IF(OR(C58="",E58="",M58="",K58="",O58="",Y58="",R58="",AA58="",AH58="",AJ58="",AD58="", U58="",W58=""),"",IF(AND(ISNUMBER(SEARCH("Other",E58)),OR(H58="",ISBLANK(H58),ISNUMBER(SEARCH("Description",H58)))),"",ROUND(M58*AD58*K58/1000,0)))</f>
        <v/>
      </c>
      <c r="AX58" s="802" t="str">
        <f>IF(OR(C58="",E58="",M58="",K58="",O58="",Y58="",R58="",AA58="",AH58="",AJ58="",AD58="", U58="",W58=""),"",IF(AND(ISNUMBER(SEARCH("Other",E58)),OR(H58="",ISBLANK(H58),ISNUMBER(SEARCH("Description",H58)))),"",IF(ISNUMBER(SEARCH("Network",O58)),ROUND(0.76 *Y58*AD58*U58/1000,0),ROUND(Y58*AD58*U58/1000,0))))</f>
        <v/>
      </c>
      <c r="AY58" s="802" t="str">
        <f>IF(OR(C58="",E58="",M58="",K58="",O58="",Y58="",R58="",AA58="",AH58="",AJ58="",AD58="", U58="",W58=""),"",IF(AND(K58&gt;=U58,ISNUMBER(SEARCH("Type",O58))),ROUND(U58*LEFT(INDEX(CMLIGHTBASE[Measure Subgroup 2], MATCH(E58,CMLIGHTBASE[Base Desc 1],0)),2)*M58/LEFT(INDEX(CMLIGHTBASE[Measure Subgroup 2], MATCH(E58,CMLIGHTBASE[Base Desc 1],0)),2),0),IF(AND(K58&lt;U58,ISNUMBER(SEARCH("Type",O58))),ROUND(K58*LEFT(INDEX(CMLIGHTBASE[Measure Subgroup 2], MATCH(E58,CMLIGHTBASE[Base Desc 1],0)),2)*M58/LEFT(INDEX(CMLIGHTBASE[Measure Subgroup 2], MATCH(E58,CMLIGHTBASE[Base Desc 1],0)),2),0),IF(AND(OR(ISNUMBER(SEARCH("Fixture",O58)),ISNUMBER(SEARCH("Kit",O58))),K58&gt;=U58),U58*M58,K58*M58))))</f>
        <v/>
      </c>
      <c r="AZ58" s="802"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00" t="str">
        <f>CONCATENATE(C58,"-","LED","-",O58)</f>
        <v>-LED-</v>
      </c>
      <c r="BB58" s="808" t="str">
        <f>IF(OR(C58="",E58="",M58="",K58="",O58="",Y58="",R58="",AA58="",AH58="",AJ58="",AD58="", U58="",W58=""),"",IF(AND(ISNUMBER(SEARCH("Other",E58)),OR(H58="",ISBLANK(H58),ISNUMBER(SEARCH("Description",H58)))),"",INDEX(PMELIGHTLIN[Measure '#],MATCH(BA58,PMELIGHTLIN[Measure Validator],0))))</f>
        <v/>
      </c>
      <c r="BC58" s="809" t="str">
        <f ca="1">IFERROR(IF(OR(C58="",AJ58=""),"",IF(BB58="","",IF(AND(AND(SUBLIGHTDATE1&lt;&gt;"No",SUBLIGHTDATE2&lt;&gt;"No",SUBLIGHTDATE3&lt;&gt;"No"),OR(M02S02F43&lt;=DATEVALUE("12/31/2021"),M02S02F43=""),OR(TODAY()&lt;=LIGHTING2021,ACTLIGHT&lt;&gt;"")),LIGHTRATE21*(INDEX(PMELIGHTLIN[Inc Rate Unit PA],MATCH(BA58,PMELIGHTLIN[Measure Validator],0))),INDEX(PMELIGHTLIN[Inc Rate Unit PA],MATCH(BA58,PMELIGHTLIN[Measure Validator],0))))),"")</f>
        <v/>
      </c>
      <c r="BD58" s="808">
        <f>IFERROR(IF(ISNUMBER(SEARCH("Type",O58)),(AY58-AZ58)*BC58,0),0)</f>
        <v>0</v>
      </c>
      <c r="BE58" s="796">
        <f ca="1">IFERROR((IF(ISNUMBER(SEARCH("Type",O58)),0,IF(K58&gt;=U58,((U58*M58)-(U58*Y58)),((K58*M58)-(U58*Y58)))))*BC58,0)</f>
        <v>0</v>
      </c>
      <c r="BF58" s="800" t="str">
        <f>IF(M02S02F44="Yes","Not Eligible",IF(OR(C58="",E58="",M58="",K58="",O58="",Y58="",R58="",AA58="",AH58="",AJ58="",AD58="",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Savings",IF((AY58-AZ58)&lt;0,"No Incentive",IF(AF58&lt;50000,"Lamp Life Too Short",""))))),"ERROR"))))</f>
        <v/>
      </c>
      <c r="BG58" s="802" t="str">
        <f>IF(AND(ISBLANK(AH58),ISBLANK(AJ58)),"",IF(AND(ISNUMBER(SEARCH("Type",O58)),BD58&gt;AU58),"Yes",IF(AND(OR(ISNUMBER(SEARCH("Fixture",O58)),ISNUMBER(SEARCH("Kit",O58))),BE58&gt;AU58),"Yes","No")))</f>
        <v/>
      </c>
      <c r="BH58" s="796">
        <f>IF(M02S02F32&lt;&gt;"",INDEX(SPACEHEAT[HIF],MATCH(M02S02F32,SHEAT,0)),1)</f>
        <v>1</v>
      </c>
      <c r="BI58" s="1044">
        <f t="shared" ref="BI58" si="48">IFERROR(ROUND(BK58*1.1,2),0)</f>
        <v>0</v>
      </c>
      <c r="BJ58" s="1044" t="str">
        <f>IF(M02S02F44="","Update Install Status",IF(M02S02F49="Yes","Use New Load",IF(OR(C58="",E58="",M58="",K58="",O58="",Y58="",R58="",AA58="",AF58="",AH58="",AD58="",U58="",W58="",AJ58=""),"",IF(BF58&lt;&gt;"",BF58,ROUND(BI58*BONUSADJ,2)))))</f>
        <v>Update Install Status</v>
      </c>
      <c r="BK58" s="1044" t="str">
        <f>IF(M02S02F44="","Update Install Status",IF(M02S02F44="Yes","Submit as Fast Track",IF(M02S02F49="Yes","Use New Load",IF(OR(C58="",E58="",M58="",K58="",O58="",Y58="",R58="",AA58="",AF58="",AH58="",AD58="",U58="",W58="",AJ58=""),"",IF(BF58&lt;&gt;"",BF58,IF(ISNUMBER(SEARCH("Type",O58)),MIN(BD58,AU58),MIN(BE58,AU58)))))))</f>
        <v>Update Install Status</v>
      </c>
    </row>
    <row r="59" spans="2:63" ht="15.95" customHeight="1" x14ac:dyDescent="0.25">
      <c r="B59" s="873"/>
      <c r="C59" s="813"/>
      <c r="D59" s="814"/>
      <c r="E59" s="818"/>
      <c r="F59" s="819"/>
      <c r="G59" s="820"/>
      <c r="H59" s="824"/>
      <c r="I59" s="825"/>
      <c r="J59" s="826"/>
      <c r="K59" s="829"/>
      <c r="L59" s="830"/>
      <c r="M59" s="833"/>
      <c r="N59" s="834"/>
      <c r="O59" s="838"/>
      <c r="P59" s="839"/>
      <c r="Q59" s="840"/>
      <c r="R59" s="824"/>
      <c r="S59" s="825"/>
      <c r="T59" s="826"/>
      <c r="U59" s="824"/>
      <c r="V59" s="825"/>
      <c r="W59" s="845"/>
      <c r="X59" s="846"/>
      <c r="Y59" s="849"/>
      <c r="Z59" s="850"/>
      <c r="AA59" s="852"/>
      <c r="AB59" s="852"/>
      <c r="AC59" s="852"/>
      <c r="AD59" s="853"/>
      <c r="AE59" s="853"/>
      <c r="AF59" s="854"/>
      <c r="AG59" s="855"/>
      <c r="AH59" s="856"/>
      <c r="AI59" s="857"/>
      <c r="AJ59" s="857"/>
      <c r="AK59" s="867"/>
      <c r="AL59" s="869"/>
      <c r="AM59" s="870"/>
      <c r="AN59" s="870"/>
      <c r="AO59" s="872"/>
      <c r="AP59" s="872"/>
      <c r="AQ59" s="872"/>
      <c r="AS59" s="69"/>
      <c r="AT59" s="69"/>
      <c r="AU59" s="805"/>
      <c r="AV59" s="807"/>
      <c r="AW59" s="803"/>
      <c r="AX59" s="803"/>
      <c r="AY59" s="803"/>
      <c r="AZ59" s="803"/>
      <c r="BA59" s="801"/>
      <c r="BB59" s="797"/>
      <c r="BC59" s="810"/>
      <c r="BD59" s="797"/>
      <c r="BE59" s="797"/>
      <c r="BF59" s="801"/>
      <c r="BG59" s="803"/>
      <c r="BH59" s="797"/>
      <c r="BI59" s="1045"/>
      <c r="BJ59" s="1045"/>
      <c r="BK59" s="1045"/>
    </row>
    <row r="60" spans="2:63" ht="15.95" customHeight="1" x14ac:dyDescent="0.25">
      <c r="B60" s="873">
        <v>18</v>
      </c>
      <c r="C60" s="811"/>
      <c r="D60" s="812"/>
      <c r="E60" s="815"/>
      <c r="F60" s="816"/>
      <c r="G60" s="817"/>
      <c r="H60" s="821"/>
      <c r="I60" s="822"/>
      <c r="J60" s="823"/>
      <c r="K60" s="827"/>
      <c r="L60" s="828"/>
      <c r="M60" s="831" t="str">
        <f>IF(OR($E60="",ISNUMBER(SEARCH("Other",$E60))),"",INDEX(CMLIGHTBASE[Base Watt 1],MATCH($E60,CMLIGHTBASE[Base Desc 1],0)))</f>
        <v/>
      </c>
      <c r="N60" s="832"/>
      <c r="O60" s="835"/>
      <c r="P60" s="836"/>
      <c r="Q60" s="837"/>
      <c r="R60" s="841"/>
      <c r="S60" s="822"/>
      <c r="T60" s="823"/>
      <c r="U60" s="842"/>
      <c r="V60" s="822"/>
      <c r="W60" s="843" t="str">
        <f t="shared" ref="W60" si="49">IF(O60="","",IF(ISNUMBER(SEARCH("Type",O60)),"","N/A"))</f>
        <v/>
      </c>
      <c r="X60" s="844"/>
      <c r="Y60" s="847"/>
      <c r="Z60" s="848"/>
      <c r="AA60" s="851"/>
      <c r="AB60" s="852"/>
      <c r="AC60" s="852"/>
      <c r="AD60" s="853"/>
      <c r="AE60" s="853"/>
      <c r="AF60" s="854"/>
      <c r="AG60" s="855"/>
      <c r="AH60" s="856"/>
      <c r="AI60" s="857"/>
      <c r="AJ60" s="857"/>
      <c r="AK60" s="867"/>
      <c r="AL60" s="869" t="str">
        <f t="shared" ref="AL60" si="50">IF(OR(C60="",E60="",M60="",K60="",O60="",Y60="",R60="",AA60="",AH60="",AJ60="",AD60="",U60="",W60=""),"",IFERROR(ROUND(IF((AW60-AX60)&lt;=0,0,BH60*(AW60-AX60)),0),""))</f>
        <v/>
      </c>
      <c r="AM60" s="870"/>
      <c r="AN60" s="870"/>
      <c r="AO60" s="871" t="str">
        <f>IF(M02S02F44="","Update Install Status",IF(M02S02F44="Yes","Submit as Fast Track",IF(M02S02F49="Yes","Use New Load",IF(OR(C60="",E60="",M60="",K60="",O60="",Y60="",R60="",AA60="",AF60="",AH60="",AD60="",U60="",W60="",AJ60=""),"",IF(BF60&lt;&gt;"",BF60,IF(ISNUMBER(SEARCH("Type",O60)),MIN(BD60,AU60),MIN(BE60,AU60)))))))</f>
        <v>Update Install Status</v>
      </c>
      <c r="AP60" s="871"/>
      <c r="AQ60" s="871"/>
      <c r="AS60" s="69"/>
      <c r="AT60" s="69"/>
      <c r="AU60" s="804" t="str">
        <f>IF(OR(C60="",E60="",M60="",K60="",O60="",Y60="",R60="",AA60="",AH60="",AJ60="",AD60="", U60="",W60=""),"",IF(AND(ISNUMBER(SEARCH("Other",E60)),OR(H60="",ISBLANK(H60),ISNUMBER(SEARCH("Description",H60)))),"",(ROUND((AH60+AJ60)*U60,2))))</f>
        <v/>
      </c>
      <c r="AV60" s="806" t="str">
        <f>IF(OR(C60="",E60="",M60="",K60="",O60="",Y60="",R60="",AA60="",AH60="",AJ60="",AD60="", U60="",W60=""),"",IF(AND(ISNUMBER(SEARCH("Other",E60)),OR(H60="",ISBLANK(H60),ISNUMBER(SEARCH("Description",H60)))),"",ROUND(AL60*INDEX(ENDUSEALL[Factor],MATCH(IF(ISNUMBER(SEARCH("24/7",AA60)),"Miscellaneous","Lighting"),ENDUSEALL[End Use to Coincident Peak Demand Factors],0)),4)))</f>
        <v/>
      </c>
      <c r="AW60" s="802" t="str">
        <f>IF(OR(C60="",E60="",M60="",K60="",O60="",Y60="",R60="",AA60="",AH60="",AJ60="",AD60="", U60="",W60=""),"",IF(AND(ISNUMBER(SEARCH("Other",E60)),OR(H60="",ISBLANK(H60),ISNUMBER(SEARCH("Description",H60)))),"",ROUND(M60*AD60*K60/1000,0)))</f>
        <v/>
      </c>
      <c r="AX60" s="802" t="str">
        <f>IF(OR(C60="",E60="",M60="",K60="",O60="",Y60="",R60="",AA60="",AH60="",AJ60="",AD60="", U60="",W60=""),"",IF(AND(ISNUMBER(SEARCH("Other",E60)),OR(H60="",ISBLANK(H60),ISNUMBER(SEARCH("Description",H60)))),"",IF(ISNUMBER(SEARCH("Network",O60)),ROUND(0.76 *Y60*AD60*U60/1000,0),ROUND(Y60*AD60*U60/1000,0))))</f>
        <v/>
      </c>
      <c r="AY60" s="802" t="str">
        <f>IF(OR(C60="",E60="",M60="",K60="",O60="",Y60="",R60="",AA60="",AH60="",AJ60="",AD60="", U60="",W60=""),"",IF(AND(K60&gt;=U60,ISNUMBER(SEARCH("Type",O60))),ROUND(U60*LEFT(INDEX(CMLIGHTBASE[Measure Subgroup 2], MATCH(E60,CMLIGHTBASE[Base Desc 1],0)),2)*M60/LEFT(INDEX(CMLIGHTBASE[Measure Subgroup 2], MATCH(E60,CMLIGHTBASE[Base Desc 1],0)),2),0),IF(AND(K60&lt;U60,ISNUMBER(SEARCH("Type",O60))),ROUND(K60*LEFT(INDEX(CMLIGHTBASE[Measure Subgroup 2], MATCH(E60,CMLIGHTBASE[Base Desc 1],0)),2)*M60/LEFT(INDEX(CMLIGHTBASE[Measure Subgroup 2], MATCH(E60,CMLIGHTBASE[Base Desc 1],0)),2),0),IF(AND(OR(ISNUMBER(SEARCH("Fixture",O60)),ISNUMBER(SEARCH("Kit",O60))),K60&gt;=U60),U60*M60,K60*M60))))</f>
        <v/>
      </c>
      <c r="AZ60" s="802"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00" t="str">
        <f>CONCATENATE(C60,"-","LED","-",O60)</f>
        <v>-LED-</v>
      </c>
      <c r="BB60" s="808" t="str">
        <f>IF(OR(C60="",E60="",M60="",K60="",O60="",Y60="",R60="",AA60="",AH60="",AJ60="",AD60="", U60="",W60=""),"",IF(AND(ISNUMBER(SEARCH("Other",E60)),OR(H60="",ISBLANK(H60),ISNUMBER(SEARCH("Description",H60)))),"",INDEX(PMELIGHTLIN[Measure '#],MATCH(BA60,PMELIGHTLIN[Measure Validator],0))))</f>
        <v/>
      </c>
      <c r="BC60" s="809" t="str">
        <f ca="1">IFERROR(IF(OR(C60="",AJ60=""),"",IF(BB60="","",IF(AND(AND(SUBLIGHTDATE1&lt;&gt;"No",SUBLIGHTDATE2&lt;&gt;"No",SUBLIGHTDATE3&lt;&gt;"No"),OR(M02S02F43&lt;=DATEVALUE("12/31/2021"),M02S02F43=""),OR(TODAY()&lt;=LIGHTING2021,ACTLIGHT&lt;&gt;"")),LIGHTRATE21*(INDEX(PMELIGHTLIN[Inc Rate Unit PA],MATCH(BA60,PMELIGHTLIN[Measure Validator],0))),INDEX(PMELIGHTLIN[Inc Rate Unit PA],MATCH(BA60,PMELIGHTLIN[Measure Validator],0))))),"")</f>
        <v/>
      </c>
      <c r="BD60" s="808">
        <f>IFERROR(IF(ISNUMBER(SEARCH("Type",O60)),(AY60-AZ60)*BC60,0),0)</f>
        <v>0</v>
      </c>
      <c r="BE60" s="796">
        <f ca="1">IFERROR((IF(ISNUMBER(SEARCH("Type",O60)),0,IF(K60&gt;=U60,((U60*M60)-(U60*Y60)),((K60*M60)-(U60*Y60)))))*BC60,0)</f>
        <v>0</v>
      </c>
      <c r="BF60" s="800" t="str">
        <f>IF(M02S02F44="Yes","Not Eligible",IF(OR(C60="",E60="",M60="",K60="",O60="",Y60="",R60="",AA60="",AH60="",AJ60="",AD60="",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Savings",IF((AY60-AZ60)&lt;0,"No Incentive",IF(AF60&lt;50000,"Lamp Life Too Short",""))))),"ERROR"))))</f>
        <v/>
      </c>
      <c r="BG60" s="802" t="str">
        <f>IF(AND(ISBLANK(AH60),ISBLANK(AJ60)),"",IF(AND(ISNUMBER(SEARCH("Type",O60)),BD60&gt;AU60),"Yes",IF(AND(OR(ISNUMBER(SEARCH("Fixture",O60)),ISNUMBER(SEARCH("Kit",O60))),BE60&gt;AU60),"Yes","No")))</f>
        <v/>
      </c>
      <c r="BH60" s="796">
        <f>IF(M02S02F32&lt;&gt;"",INDEX(SPACEHEAT[HIF],MATCH(M02S02F32,SHEAT,0)),1)</f>
        <v>1</v>
      </c>
      <c r="BI60" s="1044">
        <f t="shared" ref="BI60" si="51">IFERROR(ROUND(BK60*1.1,2),0)</f>
        <v>0</v>
      </c>
      <c r="BJ60" s="1044" t="str">
        <f>IF(M02S02F44="","Update Install Status",IF(M02S02F49="Yes","Use New Load",IF(OR(C60="",E60="",M60="",K60="",O60="",Y60="",R60="",AA60="",AF60="",AH60="",AD60="",U60="",W60="",AJ60=""),"",IF(BF60&lt;&gt;"",BF60,ROUND(BI60*BONUSADJ,2)))))</f>
        <v>Update Install Status</v>
      </c>
      <c r="BK60" s="1044" t="str">
        <f>IF(M02S02F44="","Update Install Status",IF(M02S02F44="Yes","Submit as Fast Track",IF(M02S02F49="Yes","Use New Load",IF(OR(C60="",E60="",M60="",K60="",O60="",Y60="",R60="",AA60="",AF60="",AH60="",AD60="",U60="",W60="",AJ60=""),"",IF(BF60&lt;&gt;"",BF60,IF(ISNUMBER(SEARCH("Type",O60)),MIN(BD60,AU60),MIN(BE60,AU60)))))))</f>
        <v>Update Install Status</v>
      </c>
    </row>
    <row r="61" spans="2:63" ht="15.95" customHeight="1" x14ac:dyDescent="0.25">
      <c r="B61" s="873"/>
      <c r="C61" s="813"/>
      <c r="D61" s="814"/>
      <c r="E61" s="818"/>
      <c r="F61" s="819"/>
      <c r="G61" s="820"/>
      <c r="H61" s="824"/>
      <c r="I61" s="825"/>
      <c r="J61" s="826"/>
      <c r="K61" s="829"/>
      <c r="L61" s="830"/>
      <c r="M61" s="833"/>
      <c r="N61" s="834"/>
      <c r="O61" s="838"/>
      <c r="P61" s="839"/>
      <c r="Q61" s="840"/>
      <c r="R61" s="824"/>
      <c r="S61" s="825"/>
      <c r="T61" s="826"/>
      <c r="U61" s="824"/>
      <c r="V61" s="825"/>
      <c r="W61" s="845"/>
      <c r="X61" s="846"/>
      <c r="Y61" s="849"/>
      <c r="Z61" s="850"/>
      <c r="AA61" s="852"/>
      <c r="AB61" s="852"/>
      <c r="AC61" s="852"/>
      <c r="AD61" s="853"/>
      <c r="AE61" s="853"/>
      <c r="AF61" s="854"/>
      <c r="AG61" s="855"/>
      <c r="AH61" s="856"/>
      <c r="AI61" s="857"/>
      <c r="AJ61" s="857"/>
      <c r="AK61" s="867"/>
      <c r="AL61" s="869"/>
      <c r="AM61" s="870"/>
      <c r="AN61" s="870"/>
      <c r="AO61" s="872"/>
      <c r="AP61" s="872"/>
      <c r="AQ61" s="872"/>
      <c r="AS61" s="69"/>
      <c r="AT61" s="69"/>
      <c r="AU61" s="805"/>
      <c r="AV61" s="807"/>
      <c r="AW61" s="803"/>
      <c r="AX61" s="803"/>
      <c r="AY61" s="803"/>
      <c r="AZ61" s="803"/>
      <c r="BA61" s="801"/>
      <c r="BB61" s="797"/>
      <c r="BC61" s="810"/>
      <c r="BD61" s="797"/>
      <c r="BE61" s="797"/>
      <c r="BF61" s="801"/>
      <c r="BG61" s="803"/>
      <c r="BH61" s="797"/>
      <c r="BI61" s="1045"/>
      <c r="BJ61" s="1045"/>
      <c r="BK61" s="1045"/>
    </row>
    <row r="62" spans="2:63" ht="15.95" customHeight="1" x14ac:dyDescent="0.25">
      <c r="B62" s="873">
        <v>19</v>
      </c>
      <c r="C62" s="811"/>
      <c r="D62" s="812"/>
      <c r="E62" s="815"/>
      <c r="F62" s="816"/>
      <c r="G62" s="817"/>
      <c r="H62" s="821"/>
      <c r="I62" s="822"/>
      <c r="J62" s="823"/>
      <c r="K62" s="827"/>
      <c r="L62" s="828"/>
      <c r="M62" s="831" t="str">
        <f>IF(OR($E62="",ISNUMBER(SEARCH("Other",$E62))),"",INDEX(CMLIGHTBASE[Base Watt 1],MATCH($E62,CMLIGHTBASE[Base Desc 1],0)))</f>
        <v/>
      </c>
      <c r="N62" s="832"/>
      <c r="O62" s="835"/>
      <c r="P62" s="836"/>
      <c r="Q62" s="837"/>
      <c r="R62" s="841"/>
      <c r="S62" s="822"/>
      <c r="T62" s="823"/>
      <c r="U62" s="842"/>
      <c r="V62" s="822"/>
      <c r="W62" s="843" t="str">
        <f t="shared" ref="W62" si="52">IF(O62="","",IF(ISNUMBER(SEARCH("Type",O62)),"","N/A"))</f>
        <v/>
      </c>
      <c r="X62" s="844"/>
      <c r="Y62" s="847"/>
      <c r="Z62" s="848"/>
      <c r="AA62" s="851"/>
      <c r="AB62" s="852"/>
      <c r="AC62" s="852"/>
      <c r="AD62" s="853"/>
      <c r="AE62" s="853"/>
      <c r="AF62" s="854"/>
      <c r="AG62" s="855"/>
      <c r="AH62" s="856"/>
      <c r="AI62" s="857"/>
      <c r="AJ62" s="857"/>
      <c r="AK62" s="867"/>
      <c r="AL62" s="869" t="str">
        <f t="shared" ref="AL62" si="53">IF(OR(C62="",E62="",M62="",K62="",O62="",Y62="",R62="",AA62="",AH62="",AJ62="",AD62="",U62="",W62=""),"",IFERROR(ROUND(IF((AW62-AX62)&lt;=0,0,BH62*(AW62-AX62)),0),""))</f>
        <v/>
      </c>
      <c r="AM62" s="870"/>
      <c r="AN62" s="870"/>
      <c r="AO62" s="871" t="str">
        <f>IF(M02S02F44="","Update Install Status",IF(M02S02F44="Yes","Submit as Fast Track",IF(M02S02F49="Yes","Use New Load",IF(OR(C62="",E62="",M62="",K62="",O62="",Y62="",R62="",AA62="",AF62="",AH62="",AD62="",U62="",W62="",AJ62=""),"",IF(BF62&lt;&gt;"",BF62,IF(ISNUMBER(SEARCH("Type",O62)),MIN(BD62,AU62),MIN(BE62,AU62)))))))</f>
        <v>Update Install Status</v>
      </c>
      <c r="AP62" s="871"/>
      <c r="AQ62" s="871"/>
      <c r="AS62" s="69"/>
      <c r="AT62" s="69"/>
      <c r="AU62" s="804" t="str">
        <f>IF(OR(C62="",E62="",M62="",K62="",O62="",Y62="",R62="",AA62="",AH62="",AJ62="",AD62="", U62="",W62=""),"",IF(AND(ISNUMBER(SEARCH("Other",E62)),OR(H62="",ISBLANK(H62),ISNUMBER(SEARCH("Description",H62)))),"",(ROUND((AH62+AJ62)*U62,2))))</f>
        <v/>
      </c>
      <c r="AV62" s="806" t="str">
        <f>IF(OR(C62="",E62="",M62="",K62="",O62="",Y62="",R62="",AA62="",AH62="",AJ62="",AD62="", U62="",W62=""),"",IF(AND(ISNUMBER(SEARCH("Other",E62)),OR(H62="",ISBLANK(H62),ISNUMBER(SEARCH("Description",H62)))),"",ROUND(AL62*INDEX(ENDUSEALL[Factor],MATCH(IF(ISNUMBER(SEARCH("24/7",AA62)),"Miscellaneous","Lighting"),ENDUSEALL[End Use to Coincident Peak Demand Factors],0)),4)))</f>
        <v/>
      </c>
      <c r="AW62" s="802" t="str">
        <f>IF(OR(C62="",E62="",M62="",K62="",O62="",Y62="",R62="",AA62="",AH62="",AJ62="",AD62="", U62="",W62=""),"",IF(AND(ISNUMBER(SEARCH("Other",E62)),OR(H62="",ISBLANK(H62),ISNUMBER(SEARCH("Description",H62)))),"",ROUND(M62*AD62*K62/1000,0)))</f>
        <v/>
      </c>
      <c r="AX62" s="802" t="str">
        <f>IF(OR(C62="",E62="",M62="",K62="",O62="",Y62="",R62="",AA62="",AH62="",AJ62="",AD62="", U62="",W62=""),"",IF(AND(ISNUMBER(SEARCH("Other",E62)),OR(H62="",ISBLANK(H62),ISNUMBER(SEARCH("Description",H62)))),"",IF(ISNUMBER(SEARCH("Network",O62)),ROUND(0.76 *Y62*AD62*U62/1000,0),ROUND(Y62*AD62*U62/1000,0))))</f>
        <v/>
      </c>
      <c r="AY62" s="802" t="str">
        <f>IF(OR(C62="",E62="",M62="",K62="",O62="",Y62="",R62="",AA62="",AH62="",AJ62="",AD62="", U62="",W62=""),"",IF(AND(K62&gt;=U62,ISNUMBER(SEARCH("Type",O62))),ROUND(U62*LEFT(INDEX(CMLIGHTBASE[Measure Subgroup 2], MATCH(E62,CMLIGHTBASE[Base Desc 1],0)),2)*M62/LEFT(INDEX(CMLIGHTBASE[Measure Subgroup 2], MATCH(E62,CMLIGHTBASE[Base Desc 1],0)),2),0),IF(AND(K62&lt;U62,ISNUMBER(SEARCH("Type",O62))),ROUND(K62*LEFT(INDEX(CMLIGHTBASE[Measure Subgroup 2], MATCH(E62,CMLIGHTBASE[Base Desc 1],0)),2)*M62/LEFT(INDEX(CMLIGHTBASE[Measure Subgroup 2], MATCH(E62,CMLIGHTBASE[Base Desc 1],0)),2),0),IF(AND(OR(ISNUMBER(SEARCH("Fixture",O62)),ISNUMBER(SEARCH("Kit",O62))),K62&gt;=U62),U62*M62,K62*M62))))</f>
        <v/>
      </c>
      <c r="AZ62" s="802"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00" t="str">
        <f>CONCATENATE(C62,"-","LED","-",O62)</f>
        <v>-LED-</v>
      </c>
      <c r="BB62" s="808" t="str">
        <f>IF(OR(C62="",E62="",M62="",K62="",O62="",Y62="",R62="",AA62="",AH62="",AJ62="",AD62="", U62="",W62=""),"",IF(AND(ISNUMBER(SEARCH("Other",E62)),OR(H62="",ISBLANK(H62),ISNUMBER(SEARCH("Description",H62)))),"",INDEX(PMELIGHTLIN[Measure '#],MATCH(BA62,PMELIGHTLIN[Measure Validator],0))))</f>
        <v/>
      </c>
      <c r="BC62" s="809" t="str">
        <f ca="1">IFERROR(IF(OR(C62="",AJ62=""),"",IF(BB62="","",IF(AND(AND(SUBLIGHTDATE1&lt;&gt;"No",SUBLIGHTDATE2&lt;&gt;"No",SUBLIGHTDATE3&lt;&gt;"No"),OR(M02S02F43&lt;=DATEVALUE("12/31/2021"),M02S02F43=""),OR(TODAY()&lt;=LIGHTING2021,ACTLIGHT&lt;&gt;"")),LIGHTRATE21*(INDEX(PMELIGHTLIN[Inc Rate Unit PA],MATCH(BA62,PMELIGHTLIN[Measure Validator],0))),INDEX(PMELIGHTLIN[Inc Rate Unit PA],MATCH(BA62,PMELIGHTLIN[Measure Validator],0))))),"")</f>
        <v/>
      </c>
      <c r="BD62" s="808">
        <f>IFERROR(IF(ISNUMBER(SEARCH("Type",O62)),(AY62-AZ62)*BC62,0),0)</f>
        <v>0</v>
      </c>
      <c r="BE62" s="796">
        <f ca="1">IFERROR((IF(ISNUMBER(SEARCH("Type",O62)),0,IF(K62&gt;=U62,((U62*M62)-(U62*Y62)),((K62*M62)-(U62*Y62)))))*BC62,0)</f>
        <v>0</v>
      </c>
      <c r="BF62" s="800" t="str">
        <f>IF(M02S02F44="Yes","Not Eligible",IF(OR(C62="",E62="",M62="",K62="",O62="",Y62="",R62="",AA62="",AH62="",AJ62="",AD62="",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Savings",IF((AY62-AZ62)&lt;0,"No Incentive",IF(AF62&lt;50000,"Lamp Life Too Short",""))))),"ERROR"))))</f>
        <v/>
      </c>
      <c r="BG62" s="802" t="str">
        <f>IF(AND(ISBLANK(AH62),ISBLANK(AJ62)),"",IF(AND(ISNUMBER(SEARCH("Type",O62)),BD62&gt;AU62),"Yes",IF(AND(OR(ISNUMBER(SEARCH("Fixture",O62)),ISNUMBER(SEARCH("Kit",O62))),BE62&gt;AU62),"Yes","No")))</f>
        <v/>
      </c>
      <c r="BH62" s="796">
        <f>IF(M02S02F32&lt;&gt;"",INDEX(SPACEHEAT[HIF],MATCH(M02S02F32,SHEAT,0)),1)</f>
        <v>1</v>
      </c>
      <c r="BI62" s="1044">
        <f t="shared" ref="BI62" si="54">IFERROR(ROUND(BK62*1.1,2),0)</f>
        <v>0</v>
      </c>
      <c r="BJ62" s="1044" t="str">
        <f>IF(M02S02F44="","Update Install Status",IF(M02S02F49="Yes","Use New Load",IF(OR(C62="",E62="",M62="",K62="",O62="",Y62="",R62="",AA62="",AF62="",AH62="",AD62="",U62="",W62="",AJ62=""),"",IF(BF62&lt;&gt;"",BF62,ROUND(BI62*BONUSADJ,2)))))</f>
        <v>Update Install Status</v>
      </c>
      <c r="BK62" s="1044" t="str">
        <f>IF(M02S02F44="","Update Install Status",IF(M02S02F44="Yes","Submit as Fast Track",IF(M02S02F49="Yes","Use New Load",IF(OR(C62="",E62="",M62="",K62="",O62="",Y62="",R62="",AA62="",AF62="",AH62="",AD62="",U62="",W62="",AJ62=""),"",IF(BF62&lt;&gt;"",BF62,IF(ISNUMBER(SEARCH("Type",O62)),MIN(BD62,AU62),MIN(BE62,AU62)))))))</f>
        <v>Update Install Status</v>
      </c>
    </row>
    <row r="63" spans="2:63" ht="15.95" customHeight="1" x14ac:dyDescent="0.25">
      <c r="B63" s="873"/>
      <c r="C63" s="813"/>
      <c r="D63" s="814"/>
      <c r="E63" s="818"/>
      <c r="F63" s="819"/>
      <c r="G63" s="820"/>
      <c r="H63" s="824"/>
      <c r="I63" s="825"/>
      <c r="J63" s="826"/>
      <c r="K63" s="829"/>
      <c r="L63" s="830"/>
      <c r="M63" s="833"/>
      <c r="N63" s="834"/>
      <c r="O63" s="838"/>
      <c r="P63" s="839"/>
      <c r="Q63" s="840"/>
      <c r="R63" s="824"/>
      <c r="S63" s="825"/>
      <c r="T63" s="826"/>
      <c r="U63" s="824"/>
      <c r="V63" s="825"/>
      <c r="W63" s="845"/>
      <c r="X63" s="846"/>
      <c r="Y63" s="849"/>
      <c r="Z63" s="850"/>
      <c r="AA63" s="852"/>
      <c r="AB63" s="852"/>
      <c r="AC63" s="852"/>
      <c r="AD63" s="853"/>
      <c r="AE63" s="853"/>
      <c r="AF63" s="854"/>
      <c r="AG63" s="855"/>
      <c r="AH63" s="856"/>
      <c r="AI63" s="857"/>
      <c r="AJ63" s="857"/>
      <c r="AK63" s="867"/>
      <c r="AL63" s="869"/>
      <c r="AM63" s="870"/>
      <c r="AN63" s="870"/>
      <c r="AO63" s="872"/>
      <c r="AP63" s="872"/>
      <c r="AQ63" s="872"/>
      <c r="AS63" s="69"/>
      <c r="AT63" s="69"/>
      <c r="AU63" s="805"/>
      <c r="AV63" s="807"/>
      <c r="AW63" s="803"/>
      <c r="AX63" s="803"/>
      <c r="AY63" s="803"/>
      <c r="AZ63" s="803"/>
      <c r="BA63" s="801"/>
      <c r="BB63" s="797"/>
      <c r="BC63" s="810"/>
      <c r="BD63" s="797"/>
      <c r="BE63" s="797"/>
      <c r="BF63" s="801"/>
      <c r="BG63" s="803"/>
      <c r="BH63" s="797"/>
      <c r="BI63" s="1045"/>
      <c r="BJ63" s="1045"/>
      <c r="BK63" s="1045"/>
    </row>
    <row r="64" spans="2:63" ht="15.95" customHeight="1" x14ac:dyDescent="0.25">
      <c r="B64" s="873">
        <v>20</v>
      </c>
      <c r="C64" s="811"/>
      <c r="D64" s="812"/>
      <c r="E64" s="815"/>
      <c r="F64" s="816"/>
      <c r="G64" s="817"/>
      <c r="H64" s="879"/>
      <c r="I64" s="822"/>
      <c r="J64" s="823"/>
      <c r="K64" s="827"/>
      <c r="L64" s="828"/>
      <c r="M64" s="831" t="str">
        <f>IF(OR($E64="",ISNUMBER(SEARCH("Other",$E64))),"",INDEX(CMLIGHTBASE[Base Watt 1],MATCH($E64,CMLIGHTBASE[Base Desc 1],0)))</f>
        <v/>
      </c>
      <c r="N64" s="832"/>
      <c r="O64" s="835"/>
      <c r="P64" s="836"/>
      <c r="Q64" s="837"/>
      <c r="R64" s="879"/>
      <c r="S64" s="822"/>
      <c r="T64" s="823"/>
      <c r="U64" s="842"/>
      <c r="V64" s="822"/>
      <c r="W64" s="843" t="str">
        <f t="shared" ref="W64" si="55">IF(O64="","",IF(ISNUMBER(SEARCH("Type",O64)),"","N/A"))</f>
        <v/>
      </c>
      <c r="X64" s="844"/>
      <c r="Y64" s="847"/>
      <c r="Z64" s="848"/>
      <c r="AA64" s="851"/>
      <c r="AB64" s="852"/>
      <c r="AC64" s="852"/>
      <c r="AD64" s="853"/>
      <c r="AE64" s="853"/>
      <c r="AF64" s="854"/>
      <c r="AG64" s="855"/>
      <c r="AH64" s="856"/>
      <c r="AI64" s="857"/>
      <c r="AJ64" s="857"/>
      <c r="AK64" s="867"/>
      <c r="AL64" s="869" t="str">
        <f t="shared" ref="AL64" si="56">IF(OR(C64="",E64="",M64="",K64="",O64="",Y64="",R64="",AA64="",AH64="",AJ64="",AD64="",U64="",W64=""),"",IFERROR(ROUND(IF((AW64-AX64)&lt;=0,0,BH64*(AW64-AX64)),0),""))</f>
        <v/>
      </c>
      <c r="AM64" s="870"/>
      <c r="AN64" s="870"/>
      <c r="AO64" s="871" t="str">
        <f>IF(M02S02F44="","Update Install Status",IF(M02S02F44="Yes","Submit as Fast Track",IF(M02S02F49="Yes","Use New Load",IF(OR(C64="",E64="",M64="",K64="",O64="",Y64="",R64="",AA64="",AF64="",AH64="",AD64="",U64="",W64="",AJ64=""),"",IF(BF64&lt;&gt;"",BF64,IF(ISNUMBER(SEARCH("Type",O64)),MIN(BD64,AU64),MIN(BE64,AU64)))))))</f>
        <v>Update Install Status</v>
      </c>
      <c r="AP64" s="871"/>
      <c r="AQ64" s="871"/>
      <c r="AS64" s="69"/>
      <c r="AT64" s="69"/>
      <c r="AU64" s="804" t="str">
        <f>IF(OR(C64="",E64="",M64="",K64="",O64="",Y64="",R64="",AA64="",AH64="",AJ64="",AD64="", U64="",W64=""),"",IF(AND(ISNUMBER(SEARCH("Other",E64)),OR(H64="",ISBLANK(H64),ISNUMBER(SEARCH("Description",H64)))),"",(ROUND((AH64+AJ64)*U64,2))))</f>
        <v/>
      </c>
      <c r="AV64" s="806" t="str">
        <f>IF(OR(C64="",E64="",M64="",K64="",O64="",Y64="",R64="",AA64="",AH64="",AJ64="",AD64="", U64="",W64=""),"",IF(AND(ISNUMBER(SEARCH("Other",E64)),OR(H64="",ISBLANK(H64),ISNUMBER(SEARCH("Description",H64)))),"",ROUND(AL64*INDEX(ENDUSEALL[Factor],MATCH(IF(ISNUMBER(SEARCH("24/7",AA64)),"Miscellaneous","Lighting"),ENDUSEALL[End Use to Coincident Peak Demand Factors],0)),4)))</f>
        <v/>
      </c>
      <c r="AW64" s="802" t="str">
        <f>IF(OR(C64="",E64="",M64="",K64="",O64="",Y64="",R64="",AA64="",AH64="",AJ64="",AD64="", U64="",W64=""),"",IF(AND(ISNUMBER(SEARCH("Other",E64)),OR(H64="",ISBLANK(H64),ISNUMBER(SEARCH("Description",H64)))),"",ROUND(M64*AD64*K64/1000,0)))</f>
        <v/>
      </c>
      <c r="AX64" s="802" t="str">
        <f>IF(OR(C64="",E64="",M64="",K64="",O64="",Y64="",R64="",AA64="",AH64="",AJ64="",AD64="", U64="",W64=""),"",IF(AND(ISNUMBER(SEARCH("Other",E64)),OR(H64="",ISBLANK(H64),ISNUMBER(SEARCH("Description",H64)))),"",IF(ISNUMBER(SEARCH("Network",O64)),ROUND(0.76 *Y64*AD64*U64/1000,0),ROUND(Y64*AD64*U64/1000,0))))</f>
        <v/>
      </c>
      <c r="AY64" s="802" t="str">
        <f>IF(OR(C64="",E64="",M64="",K64="",O64="",Y64="",R64="",AA64="",AH64="",AJ64="",AD64="", U64="",W64=""),"",IF(AND(K64&gt;=U64,ISNUMBER(SEARCH("Type",O64))),ROUND(U64*LEFT(INDEX(CMLIGHTBASE[Measure Subgroup 2], MATCH(E64,CMLIGHTBASE[Base Desc 1],0)),2)*M64/LEFT(INDEX(CMLIGHTBASE[Measure Subgroup 2], MATCH(E64,CMLIGHTBASE[Base Desc 1],0)),2),0),IF(AND(K64&lt;U64,ISNUMBER(SEARCH("Type",O64))),ROUND(K64*LEFT(INDEX(CMLIGHTBASE[Measure Subgroup 2], MATCH(E64,CMLIGHTBASE[Base Desc 1],0)),2)*M64/LEFT(INDEX(CMLIGHTBASE[Measure Subgroup 2], MATCH(E64,CMLIGHTBASE[Base Desc 1],0)),2),0),IF(AND(OR(ISNUMBER(SEARCH("Fixture",O64)),ISNUMBER(SEARCH("Kit",O64))),K64&gt;=U64),U64*M64,K64*M64))))</f>
        <v/>
      </c>
      <c r="AZ64" s="802"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00" t="str">
        <f>CONCATENATE(C64,"-","LED","-",O64)</f>
        <v>-LED-</v>
      </c>
      <c r="BB64" s="808" t="str">
        <f>IF(OR(C64="",E64="",M64="",K64="",O64="",Y64="",R64="",AA64="",AH64="",AJ64="",AD64="", U64="",W64=""),"",IF(AND(ISNUMBER(SEARCH("Other",E64)),OR(H64="",ISBLANK(H64),ISNUMBER(SEARCH("Description",H64)))),"",INDEX(PMELIGHTLIN[Measure '#],MATCH(BA64,PMELIGHTLIN[Measure Validator],0))))</f>
        <v/>
      </c>
      <c r="BC64" s="809" t="str">
        <f ca="1">IFERROR(IF(OR(C64="",AJ64=""),"",IF(BB64="","",IF(AND(AND(SUBLIGHTDATE1&lt;&gt;"No",SUBLIGHTDATE2&lt;&gt;"No",SUBLIGHTDATE3&lt;&gt;"No"),OR(M02S02F43&lt;=DATEVALUE("12/31/2021"),M02S02F43=""),OR(TODAY()&lt;=LIGHTING2021,ACTLIGHT&lt;&gt;"")),LIGHTRATE21*(INDEX(PMELIGHTLIN[Inc Rate Unit PA],MATCH(BA64,PMELIGHTLIN[Measure Validator],0))),INDEX(PMELIGHTLIN[Inc Rate Unit PA],MATCH(BA64,PMELIGHTLIN[Measure Validator],0))))),"")</f>
        <v/>
      </c>
      <c r="BD64" s="808">
        <f>IFERROR(IF(ISNUMBER(SEARCH("Type",O64)),(AY64-AZ64)*BC64,0),0)</f>
        <v>0</v>
      </c>
      <c r="BE64" s="796">
        <f ca="1">IFERROR((IF(ISNUMBER(SEARCH("Type",O64)),0,IF(K64&gt;=U64,((U64*M64)-(U64*Y64)),((K64*M64)-(U64*Y64)))))*BC64,0)</f>
        <v>0</v>
      </c>
      <c r="BF64" s="800" t="str">
        <f>IF(M02S02F44="Yes","Not Eligible",IF(OR(C64="",E64="",M64="",K64="",O64="",Y64="",R64="",AA64="",AH64="",AJ64="",AD64="",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Savings",IF((AY64-AZ64)&lt;0,"No Incentive",IF(AF64&lt;50000,"Lamp Life Too Short",""))))),"ERROR"))))</f>
        <v/>
      </c>
      <c r="BG64" s="802" t="str">
        <f>IF(AND(ISBLANK(AH64),ISBLANK(AJ64)),"",IF(AND(ISNUMBER(SEARCH("Type",O64)),BD64&gt;AU64),"Yes",IF(AND(OR(ISNUMBER(SEARCH("Fixture",O64)),ISNUMBER(SEARCH("Kit",O64))),BE64&gt;AU64),"Yes","No")))</f>
        <v/>
      </c>
      <c r="BH64" s="796">
        <f>IF(M02S02F32&lt;&gt;"",INDEX(SPACEHEAT[HIF],MATCH(M02S02F32,SHEAT,0)),1)</f>
        <v>1</v>
      </c>
      <c r="BI64" s="1044">
        <f t="shared" ref="BI64" si="57">IFERROR(ROUND(BK64*1.1,2),0)</f>
        <v>0</v>
      </c>
      <c r="BJ64" s="1044" t="str">
        <f>IF(M02S02F44="","Update Install Status",IF(M02S02F49="Yes","Use New Load",IF(OR(C64="",E64="",M64="",K64="",O64="",Y64="",R64="",AA64="",AF64="",AH64="",AD64="",U64="",W64="",AJ64=""),"",IF(BF64&lt;&gt;"",BF64,ROUND(BI64*BONUSADJ,2)))))</f>
        <v>Update Install Status</v>
      </c>
      <c r="BK64" s="1044" t="str">
        <f>IF(M02S02F44="","Update Install Status",IF(M02S02F44="Yes","Submit as Fast Track",IF(M02S02F49="Yes","Use New Load",IF(OR(C64="",E64="",M64="",K64="",O64="",Y64="",R64="",AA64="",AF64="",AH64="",AD64="",U64="",W64="",AJ64=""),"",IF(BF64&lt;&gt;"",BF64,IF(ISNUMBER(SEARCH("Type",O64)),MIN(BD64,AU64),MIN(BE64,AU64)))))))</f>
        <v>Update Install Status</v>
      </c>
    </row>
    <row r="65" spans="2:63" ht="15.95" customHeight="1" x14ac:dyDescent="0.25">
      <c r="B65" s="873"/>
      <c r="C65" s="813"/>
      <c r="D65" s="814"/>
      <c r="E65" s="818"/>
      <c r="F65" s="819"/>
      <c r="G65" s="820"/>
      <c r="H65" s="824"/>
      <c r="I65" s="825"/>
      <c r="J65" s="826"/>
      <c r="K65" s="829"/>
      <c r="L65" s="830"/>
      <c r="M65" s="833"/>
      <c r="N65" s="834"/>
      <c r="O65" s="838"/>
      <c r="P65" s="839"/>
      <c r="Q65" s="840"/>
      <c r="R65" s="824"/>
      <c r="S65" s="825"/>
      <c r="T65" s="826"/>
      <c r="U65" s="824"/>
      <c r="V65" s="825"/>
      <c r="W65" s="845"/>
      <c r="X65" s="846"/>
      <c r="Y65" s="849"/>
      <c r="Z65" s="850"/>
      <c r="AA65" s="852"/>
      <c r="AB65" s="852"/>
      <c r="AC65" s="852"/>
      <c r="AD65" s="853"/>
      <c r="AE65" s="853"/>
      <c r="AF65" s="854"/>
      <c r="AG65" s="855"/>
      <c r="AH65" s="856"/>
      <c r="AI65" s="857"/>
      <c r="AJ65" s="857"/>
      <c r="AK65" s="867"/>
      <c r="AL65" s="869"/>
      <c r="AM65" s="870"/>
      <c r="AN65" s="870"/>
      <c r="AO65" s="872"/>
      <c r="AP65" s="872"/>
      <c r="AQ65" s="872"/>
      <c r="AS65" s="69"/>
      <c r="AT65" s="69"/>
      <c r="AU65" s="805"/>
      <c r="AV65" s="807"/>
      <c r="AW65" s="803"/>
      <c r="AX65" s="803"/>
      <c r="AY65" s="803"/>
      <c r="AZ65" s="803"/>
      <c r="BA65" s="801"/>
      <c r="BB65" s="797"/>
      <c r="BC65" s="810"/>
      <c r="BD65" s="797"/>
      <c r="BE65" s="797"/>
      <c r="BF65" s="801"/>
      <c r="BG65" s="803"/>
      <c r="BH65" s="797"/>
      <c r="BI65" s="1045"/>
      <c r="BJ65" s="1045"/>
      <c r="BK65" s="1045"/>
    </row>
    <row r="66" spans="2:63" ht="15.95" customHeight="1" x14ac:dyDescent="0.25">
      <c r="B66" s="873">
        <v>21</v>
      </c>
      <c r="C66" s="811"/>
      <c r="D66" s="812"/>
      <c r="E66" s="815"/>
      <c r="F66" s="816"/>
      <c r="G66" s="817"/>
      <c r="H66" s="821"/>
      <c r="I66" s="822"/>
      <c r="J66" s="823"/>
      <c r="K66" s="827"/>
      <c r="L66" s="828"/>
      <c r="M66" s="831" t="str">
        <f>IF(OR($E66="",ISNUMBER(SEARCH("Other",$E66))),"",INDEX(CMLIGHTBASE[Base Watt 1],MATCH($E66,CMLIGHTBASE[Base Desc 1],0)))</f>
        <v/>
      </c>
      <c r="N66" s="832"/>
      <c r="O66" s="835"/>
      <c r="P66" s="836"/>
      <c r="Q66" s="837"/>
      <c r="R66" s="841"/>
      <c r="S66" s="822"/>
      <c r="T66" s="823"/>
      <c r="U66" s="842"/>
      <c r="V66" s="822"/>
      <c r="W66" s="843" t="str">
        <f t="shared" ref="W66" si="58">IF(O66="","",IF(ISNUMBER(SEARCH("Type",O66)),"","N/A"))</f>
        <v/>
      </c>
      <c r="X66" s="844"/>
      <c r="Y66" s="847"/>
      <c r="Z66" s="848"/>
      <c r="AA66" s="851"/>
      <c r="AB66" s="852"/>
      <c r="AC66" s="852"/>
      <c r="AD66" s="853"/>
      <c r="AE66" s="853"/>
      <c r="AF66" s="854"/>
      <c r="AG66" s="855"/>
      <c r="AH66" s="856"/>
      <c r="AI66" s="857"/>
      <c r="AJ66" s="857"/>
      <c r="AK66" s="867"/>
      <c r="AL66" s="869" t="str">
        <f t="shared" ref="AL66" si="59">IF(OR(C66="",E66="",M66="",K66="",O66="",Y66="",R66="",AA66="",AH66="",AJ66="",AD66="",U66="",W66=""),"",IFERROR(ROUND(IF((AW66-AX66)&lt;=0,0,BH66*(AW66-AX66)),0),""))</f>
        <v/>
      </c>
      <c r="AM66" s="870"/>
      <c r="AN66" s="870"/>
      <c r="AO66" s="871" t="str">
        <f>IF(M02S02F44="","Update Install Status",IF(M02S02F44="Yes","Submit as Fast Track",IF(M02S02F49="Yes","Use New Load",IF(OR(C66="",E66="",M66="",K66="",O66="",Y66="",R66="",AA66="",AF66="",AH66="",AD66="",U66="",W66="",AJ66=""),"",IF(BF66&lt;&gt;"",BF66,IF(ISNUMBER(SEARCH("Type",O66)),MIN(BD66,AU66),MIN(BE66,AU66)))))))</f>
        <v>Update Install Status</v>
      </c>
      <c r="AP66" s="871"/>
      <c r="AQ66" s="871"/>
      <c r="AS66" s="69"/>
      <c r="AT66" s="69"/>
      <c r="AU66" s="804" t="str">
        <f>IF(OR(C66="",E66="",M66="",K66="",O66="",Y66="",R66="",AA66="",AH66="",AJ66="",AD66="", U66="",W66=""),"",IF(AND(ISNUMBER(SEARCH("Other",E66)),OR(H66="",ISBLANK(H66),ISNUMBER(SEARCH("Description",H66)))),"",(ROUND((AH66+AJ66)*U66,2))))</f>
        <v/>
      </c>
      <c r="AV66" s="806" t="str">
        <f>IF(OR(C66="",E66="",M66="",K66="",O66="",Y66="",R66="",AA66="",AH66="",AJ66="",AD66="", U66="",W66=""),"",IF(AND(ISNUMBER(SEARCH("Other",E66)),OR(H66="",ISBLANK(H66),ISNUMBER(SEARCH("Description",H66)))),"",ROUND(AL66*INDEX(ENDUSEALL[Factor],MATCH(IF(ISNUMBER(SEARCH("24/7",AA66)),"Miscellaneous","Lighting"),ENDUSEALL[End Use to Coincident Peak Demand Factors],0)),4)))</f>
        <v/>
      </c>
      <c r="AW66" s="802" t="str">
        <f>IF(OR(C66="",E66="",M66="",K66="",O66="",Y66="",R66="",AA66="",AH66="",AJ66="",AD66="", U66="",W66=""),"",IF(AND(ISNUMBER(SEARCH("Other",E66)),OR(H66="",ISBLANK(H66),ISNUMBER(SEARCH("Description",H66)))),"",ROUND(M66*AD66*K66/1000,0)))</f>
        <v/>
      </c>
      <c r="AX66" s="802" t="str">
        <f>IF(OR(C66="",E66="",M66="",K66="",O66="",Y66="",R66="",AA66="",AH66="",AJ66="",AD66="", U66="",W66=""),"",IF(AND(ISNUMBER(SEARCH("Other",E66)),OR(H66="",ISBLANK(H66),ISNUMBER(SEARCH("Description",H66)))),"",IF(ISNUMBER(SEARCH("Network",O66)),ROUND(0.76 *Y66*AD66*U66/1000,0),ROUND(Y66*AD66*U66/1000,0))))</f>
        <v/>
      </c>
      <c r="AY66" s="802" t="str">
        <f>IF(OR(C66="",E66="",M66="",K66="",O66="",Y66="",R66="",AA66="",AH66="",AJ66="",AD66="", U66="",W66=""),"",IF(AND(K66&gt;=U66,ISNUMBER(SEARCH("Type",O66))),ROUND(U66*LEFT(INDEX(CMLIGHTBASE[Measure Subgroup 2], MATCH(E66,CMLIGHTBASE[Base Desc 1],0)),2)*M66/LEFT(INDEX(CMLIGHTBASE[Measure Subgroup 2], MATCH(E66,CMLIGHTBASE[Base Desc 1],0)),2),0),IF(AND(K66&lt;U66,ISNUMBER(SEARCH("Type",O66))),ROUND(K66*LEFT(INDEX(CMLIGHTBASE[Measure Subgroup 2], MATCH(E66,CMLIGHTBASE[Base Desc 1],0)),2)*M66/LEFT(INDEX(CMLIGHTBASE[Measure Subgroup 2], MATCH(E66,CMLIGHTBASE[Base Desc 1],0)),2),0),IF(AND(OR(ISNUMBER(SEARCH("Fixture",O66)),ISNUMBER(SEARCH("Kit",O66))),K66&gt;=U66),U66*M66,K66*M66))))</f>
        <v/>
      </c>
      <c r="AZ66" s="802"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00" t="str">
        <f>CONCATENATE(C66,"-","LED","-",O66)</f>
        <v>-LED-</v>
      </c>
      <c r="BB66" s="808" t="str">
        <f>IF(OR(C66="",E66="",M66="",K66="",O66="",Y66="",R66="",AA66="",AH66="",AJ66="",AD66="", U66="",W66=""),"",IF(AND(ISNUMBER(SEARCH("Other",E66)),OR(H66="",ISBLANK(H66),ISNUMBER(SEARCH("Description",H66)))),"",INDEX(PMELIGHTLIN[Measure '#],MATCH(BA66,PMELIGHTLIN[Measure Validator],0))))</f>
        <v/>
      </c>
      <c r="BC66" s="809" t="str">
        <f ca="1">IFERROR(IF(OR(C66="",AJ66=""),"",IF(BB66="","",IF(AND(AND(SUBLIGHTDATE1&lt;&gt;"No",SUBLIGHTDATE2&lt;&gt;"No",SUBLIGHTDATE3&lt;&gt;"No"),OR(M02S02F43&lt;=DATEVALUE("12/31/2021"),M02S02F43=""),OR(TODAY()&lt;=LIGHTING2021,ACTLIGHT&lt;&gt;"")),LIGHTRATE21*(INDEX(PMELIGHTLIN[Inc Rate Unit PA],MATCH(BA66,PMELIGHTLIN[Measure Validator],0))),INDEX(PMELIGHTLIN[Inc Rate Unit PA],MATCH(BA66,PMELIGHTLIN[Measure Validator],0))))),"")</f>
        <v/>
      </c>
      <c r="BD66" s="808">
        <f>IFERROR(IF(ISNUMBER(SEARCH("Type",O66)),(AY66-AZ66)*BC66,0),0)</f>
        <v>0</v>
      </c>
      <c r="BE66" s="796">
        <f ca="1">IFERROR((IF(ISNUMBER(SEARCH("Type",O66)),0,IF(K66&gt;=U66,((U66*M66)-(U66*Y66)),((K66*M66)-(U66*Y66)))))*BC66,0)</f>
        <v>0</v>
      </c>
      <c r="BF66" s="800" t="str">
        <f>IF(M02S02F44="Yes","Not Eligible",IF(OR(C66="",E66="",M66="",K66="",O66="",Y66="",R66="",AA66="",AH66="",AJ66="",AD66="",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Savings",IF((AY66-AZ66)&lt;0,"No Incentive",IF(AF66&lt;50000,"Lamp Life Too Short",""))))),"ERROR"))))</f>
        <v/>
      </c>
      <c r="BG66" s="802" t="str">
        <f>IF(AND(ISBLANK(AH66),ISBLANK(AJ66)),"",IF(AND(ISNUMBER(SEARCH("Type",O66)),BD66&gt;AU66),"Yes",IF(AND(OR(ISNUMBER(SEARCH("Fixture",O66)),ISNUMBER(SEARCH("Kit",O66))),BE66&gt;AU66),"Yes","No")))</f>
        <v/>
      </c>
      <c r="BH66" s="796">
        <f>IF(M02S02F32&lt;&gt;"",INDEX(SPACEHEAT[HIF],MATCH(M02S02F32,SHEAT,0)),1)</f>
        <v>1</v>
      </c>
      <c r="BI66" s="1044">
        <f t="shared" ref="BI66" si="60">IFERROR(ROUND(BK66*1.1,2),0)</f>
        <v>0</v>
      </c>
      <c r="BJ66" s="1044" t="str">
        <f>IF(M02S02F44="","Update Install Status",IF(M02S02F49="Yes","Use New Load",IF(OR(C66="",E66="",M66="",K66="",O66="",Y66="",R66="",AA66="",AF66="",AH66="",AD66="",U66="",W66="",AJ66=""),"",IF(BF66&lt;&gt;"",BF66,ROUND(BI66*BONUSADJ,2)))))</f>
        <v>Update Install Status</v>
      </c>
      <c r="BK66" s="1044" t="str">
        <f>IF(M02S02F44="","Update Install Status",IF(M02S02F44="Yes","Submit as Fast Track",IF(M02S02F49="Yes","Use New Load",IF(OR(C66="",E66="",M66="",K66="",O66="",Y66="",R66="",AA66="",AF66="",AH66="",AD66="",U66="",W66="",AJ66=""),"",IF(BF66&lt;&gt;"",BF66,IF(ISNUMBER(SEARCH("Type",O66)),MIN(BD66,AU66),MIN(BE66,AU66)))))))</f>
        <v>Update Install Status</v>
      </c>
    </row>
    <row r="67" spans="2:63" ht="15.95" customHeight="1" x14ac:dyDescent="0.25">
      <c r="B67" s="873"/>
      <c r="C67" s="813"/>
      <c r="D67" s="814"/>
      <c r="E67" s="818"/>
      <c r="F67" s="819"/>
      <c r="G67" s="820"/>
      <c r="H67" s="824"/>
      <c r="I67" s="825"/>
      <c r="J67" s="826"/>
      <c r="K67" s="829"/>
      <c r="L67" s="830"/>
      <c r="M67" s="833"/>
      <c r="N67" s="834"/>
      <c r="O67" s="838"/>
      <c r="P67" s="839"/>
      <c r="Q67" s="840"/>
      <c r="R67" s="824"/>
      <c r="S67" s="825"/>
      <c r="T67" s="826"/>
      <c r="U67" s="824"/>
      <c r="V67" s="825"/>
      <c r="W67" s="845"/>
      <c r="X67" s="846"/>
      <c r="Y67" s="849"/>
      <c r="Z67" s="850"/>
      <c r="AA67" s="852"/>
      <c r="AB67" s="852"/>
      <c r="AC67" s="852"/>
      <c r="AD67" s="853"/>
      <c r="AE67" s="853"/>
      <c r="AF67" s="854"/>
      <c r="AG67" s="855"/>
      <c r="AH67" s="856"/>
      <c r="AI67" s="857"/>
      <c r="AJ67" s="857"/>
      <c r="AK67" s="867"/>
      <c r="AL67" s="869"/>
      <c r="AM67" s="870"/>
      <c r="AN67" s="870"/>
      <c r="AO67" s="872"/>
      <c r="AP67" s="872"/>
      <c r="AQ67" s="872"/>
      <c r="AS67" s="69"/>
      <c r="AT67" s="69"/>
      <c r="AU67" s="805"/>
      <c r="AV67" s="807"/>
      <c r="AW67" s="803"/>
      <c r="AX67" s="803"/>
      <c r="AY67" s="803"/>
      <c r="AZ67" s="803"/>
      <c r="BA67" s="801"/>
      <c r="BB67" s="797"/>
      <c r="BC67" s="810"/>
      <c r="BD67" s="797"/>
      <c r="BE67" s="797"/>
      <c r="BF67" s="801"/>
      <c r="BG67" s="803"/>
      <c r="BH67" s="797"/>
      <c r="BI67" s="1045"/>
      <c r="BJ67" s="1045"/>
      <c r="BK67" s="1045"/>
    </row>
    <row r="68" spans="2:63" ht="15.95" customHeight="1" x14ac:dyDescent="0.25">
      <c r="B68" s="873">
        <v>22</v>
      </c>
      <c r="C68" s="811"/>
      <c r="D68" s="812"/>
      <c r="E68" s="815"/>
      <c r="F68" s="816"/>
      <c r="G68" s="817"/>
      <c r="H68" s="821"/>
      <c r="I68" s="822"/>
      <c r="J68" s="823"/>
      <c r="K68" s="827"/>
      <c r="L68" s="828"/>
      <c r="M68" s="831" t="str">
        <f>IF(OR($E68="",ISNUMBER(SEARCH("Other",$E68))),"",INDEX(CMLIGHTBASE[Base Watt 1],MATCH($E68,CMLIGHTBASE[Base Desc 1],0)))</f>
        <v/>
      </c>
      <c r="N68" s="832"/>
      <c r="O68" s="835"/>
      <c r="P68" s="836"/>
      <c r="Q68" s="837"/>
      <c r="R68" s="841"/>
      <c r="S68" s="822"/>
      <c r="T68" s="823"/>
      <c r="U68" s="842"/>
      <c r="V68" s="822"/>
      <c r="W68" s="843" t="str">
        <f t="shared" ref="W68" si="61">IF(O68="","",IF(ISNUMBER(SEARCH("Type",O68)),"","N/A"))</f>
        <v/>
      </c>
      <c r="X68" s="844"/>
      <c r="Y68" s="847"/>
      <c r="Z68" s="848"/>
      <c r="AA68" s="851"/>
      <c r="AB68" s="852"/>
      <c r="AC68" s="852"/>
      <c r="AD68" s="853"/>
      <c r="AE68" s="853"/>
      <c r="AF68" s="854"/>
      <c r="AG68" s="855"/>
      <c r="AH68" s="856"/>
      <c r="AI68" s="857"/>
      <c r="AJ68" s="857"/>
      <c r="AK68" s="867"/>
      <c r="AL68" s="869" t="str">
        <f t="shared" ref="AL68" si="62">IF(OR(C68="",E68="",M68="",K68="",O68="",Y68="",R68="",AA68="",AH68="",AJ68="",AD68="",U68="",W68=""),"",IFERROR(ROUND(IF((AW68-AX68)&lt;=0,0,BH68*(AW68-AX68)),0),""))</f>
        <v/>
      </c>
      <c r="AM68" s="870"/>
      <c r="AN68" s="870"/>
      <c r="AO68" s="871" t="str">
        <f>IF(M02S02F44="","Update Install Status",IF(M02S02F44="Yes","Submit as Fast Track",IF(M02S02F49="Yes","Use New Load",IF(OR(C68="",E68="",M68="",K68="",O68="",Y68="",R68="",AA68="",AF68="",AH68="",AD68="",U68="",W68="",AJ68=""),"",IF(BF68&lt;&gt;"",BF68,IF(ISNUMBER(SEARCH("Type",O68)),MIN(BD68,AU68),MIN(BE68,AU68)))))))</f>
        <v>Update Install Status</v>
      </c>
      <c r="AP68" s="871"/>
      <c r="AQ68" s="871"/>
      <c r="AS68" s="69"/>
      <c r="AT68" s="69"/>
      <c r="AU68" s="804" t="str">
        <f>IF(OR(C68="",E68="",M68="",K68="",O68="",Y68="",R68="",AA68="",AH68="",AJ68="",AD68="", U68="",W68=""),"",IF(AND(ISNUMBER(SEARCH("Other",E68)),OR(H68="",ISBLANK(H68),ISNUMBER(SEARCH("Description",H68)))),"",(ROUND((AH68+AJ68)*U68,2))))</f>
        <v/>
      </c>
      <c r="AV68" s="806" t="str">
        <f>IF(OR(C68="",E68="",M68="",K68="",O68="",Y68="",R68="",AA68="",AH68="",AJ68="",AD68="", U68="",W68=""),"",IF(AND(ISNUMBER(SEARCH("Other",E68)),OR(H68="",ISBLANK(H68),ISNUMBER(SEARCH("Description",H68)))),"",ROUND(AL68*INDEX(ENDUSEALL[Factor],MATCH(IF(ISNUMBER(SEARCH("24/7",AA68)),"Miscellaneous","Lighting"),ENDUSEALL[End Use to Coincident Peak Demand Factors],0)),4)))</f>
        <v/>
      </c>
      <c r="AW68" s="802" t="str">
        <f>IF(OR(C68="",E68="",M68="",K68="",O68="",Y68="",R68="",AA68="",AH68="",AJ68="",AD68="", U68="",W68=""),"",IF(AND(ISNUMBER(SEARCH("Other",E68)),OR(H68="",ISBLANK(H68),ISNUMBER(SEARCH("Description",H68)))),"",ROUND(M68*AD68*K68/1000,0)))</f>
        <v/>
      </c>
      <c r="AX68" s="802" t="str">
        <f>IF(OR(C68="",E68="",M68="",K68="",O68="",Y68="",R68="",AA68="",AH68="",AJ68="",AD68="", U68="",W68=""),"",IF(AND(ISNUMBER(SEARCH("Other",E68)),OR(H68="",ISBLANK(H68),ISNUMBER(SEARCH("Description",H68)))),"",IF(ISNUMBER(SEARCH("Network",O68)),ROUND(0.76 *Y68*AD68*U68/1000,0),ROUND(Y68*AD68*U68/1000,0))))</f>
        <v/>
      </c>
      <c r="AY68" s="802" t="str">
        <f>IF(OR(C68="",E68="",M68="",K68="",O68="",Y68="",R68="",AA68="",AH68="",AJ68="",AD68="", U68="",W68=""),"",IF(AND(K68&gt;=U68,ISNUMBER(SEARCH("Type",O68))),ROUND(U68*LEFT(INDEX(CMLIGHTBASE[Measure Subgroup 2], MATCH(E68,CMLIGHTBASE[Base Desc 1],0)),2)*M68/LEFT(INDEX(CMLIGHTBASE[Measure Subgroup 2], MATCH(E68,CMLIGHTBASE[Base Desc 1],0)),2),0),IF(AND(K68&lt;U68,ISNUMBER(SEARCH("Type",O68))),ROUND(K68*LEFT(INDEX(CMLIGHTBASE[Measure Subgroup 2], MATCH(E68,CMLIGHTBASE[Base Desc 1],0)),2)*M68/LEFT(INDEX(CMLIGHTBASE[Measure Subgroup 2], MATCH(E68,CMLIGHTBASE[Base Desc 1],0)),2),0),IF(AND(OR(ISNUMBER(SEARCH("Fixture",O68)),ISNUMBER(SEARCH("Kit",O68))),K68&gt;=U68),U68*M68,K68*M68))))</f>
        <v/>
      </c>
      <c r="AZ68" s="802"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00" t="str">
        <f>CONCATENATE(C68,"-","LED","-",O68)</f>
        <v>-LED-</v>
      </c>
      <c r="BB68" s="808" t="str">
        <f>IF(OR(C68="",E68="",M68="",K68="",O68="",Y68="",R68="",AA68="",AH68="",AJ68="",AD68="", U68="",W68=""),"",IF(AND(ISNUMBER(SEARCH("Other",E68)),OR(H68="",ISBLANK(H68),ISNUMBER(SEARCH("Description",H68)))),"",INDEX(PMELIGHTLIN[Measure '#],MATCH(BA68,PMELIGHTLIN[Measure Validator],0))))</f>
        <v/>
      </c>
      <c r="BC68" s="809" t="str">
        <f ca="1">IFERROR(IF(OR(C68="",AJ68=""),"",IF(BB68="","",IF(AND(AND(SUBLIGHTDATE1&lt;&gt;"No",SUBLIGHTDATE2&lt;&gt;"No",SUBLIGHTDATE3&lt;&gt;"No"),OR(M02S02F43&lt;=DATEVALUE("12/31/2021"),M02S02F43=""),OR(TODAY()&lt;=LIGHTING2021,ACTLIGHT&lt;&gt;"")),LIGHTRATE21*(INDEX(PMELIGHTLIN[Inc Rate Unit PA],MATCH(BA68,PMELIGHTLIN[Measure Validator],0))),INDEX(PMELIGHTLIN[Inc Rate Unit PA],MATCH(BA68,PMELIGHTLIN[Measure Validator],0))))),"")</f>
        <v/>
      </c>
      <c r="BD68" s="808">
        <f>IFERROR(IF(ISNUMBER(SEARCH("Type",O68)),(AY68-AZ68)*BC68,0),0)</f>
        <v>0</v>
      </c>
      <c r="BE68" s="796">
        <f ca="1">IFERROR((IF(ISNUMBER(SEARCH("Type",O68)),0,IF(K68&gt;=U68,((U68*M68)-(U68*Y68)),((K68*M68)-(U68*Y68)))))*BC68,0)</f>
        <v>0</v>
      </c>
      <c r="BF68" s="800" t="str">
        <f>IF(M02S02F44="Yes","Not Eligible",IF(OR(C68="",E68="",M68="",K68="",O68="",Y68="",R68="",AA68="",AH68="",AJ68="",AD68="",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Savings",IF((AY68-AZ68)&lt;0,"No Incentive",IF(AF68&lt;50000,"Lamp Life Too Short",""))))),"ERROR"))))</f>
        <v/>
      </c>
      <c r="BG68" s="802" t="str">
        <f>IF(AND(ISBLANK(AH68),ISBLANK(AJ68)),"",IF(AND(ISNUMBER(SEARCH("Type",O68)),BD68&gt;AU68),"Yes",IF(AND(OR(ISNUMBER(SEARCH("Fixture",O68)),ISNUMBER(SEARCH("Kit",O68))),BE68&gt;AU68),"Yes","No")))</f>
        <v/>
      </c>
      <c r="BH68" s="796">
        <f>IF(M02S02F32&lt;&gt;"",INDEX(SPACEHEAT[HIF],MATCH(M02S02F32,SHEAT,0)),1)</f>
        <v>1</v>
      </c>
      <c r="BI68" s="1044">
        <f t="shared" ref="BI68" si="63">IFERROR(ROUND(BK68*1.1,2),0)</f>
        <v>0</v>
      </c>
      <c r="BJ68" s="1044" t="str">
        <f>IF(M02S02F44="","Update Install Status",IF(M02S02F49="Yes","Use New Load",IF(OR(C68="",E68="",M68="",K68="",O68="",Y68="",R68="",AA68="",AF68="",AH68="",AD68="",U68="",W68="",AJ68=""),"",IF(BF68&lt;&gt;"",BF68,ROUND(BI68*BONUSADJ,2)))))</f>
        <v>Update Install Status</v>
      </c>
      <c r="BK68" s="1044" t="str">
        <f>IF(M02S02F44="","Update Install Status",IF(M02S02F44="Yes","Submit as Fast Track",IF(M02S02F49="Yes","Use New Load",IF(OR(C68="",E68="",M68="",K68="",O68="",Y68="",R68="",AA68="",AF68="",AH68="",AD68="",U68="",W68="",AJ68=""),"",IF(BF68&lt;&gt;"",BF68,IF(ISNUMBER(SEARCH("Type",O68)),MIN(BD68,AU68),MIN(BE68,AU68)))))))</f>
        <v>Update Install Status</v>
      </c>
    </row>
    <row r="69" spans="2:63" ht="15.95" customHeight="1" x14ac:dyDescent="0.25">
      <c r="B69" s="873"/>
      <c r="C69" s="813"/>
      <c r="D69" s="814"/>
      <c r="E69" s="818"/>
      <c r="F69" s="819"/>
      <c r="G69" s="820"/>
      <c r="H69" s="824"/>
      <c r="I69" s="825"/>
      <c r="J69" s="826"/>
      <c r="K69" s="829"/>
      <c r="L69" s="830"/>
      <c r="M69" s="833"/>
      <c r="N69" s="834"/>
      <c r="O69" s="838"/>
      <c r="P69" s="839"/>
      <c r="Q69" s="840"/>
      <c r="R69" s="824"/>
      <c r="S69" s="825"/>
      <c r="T69" s="826"/>
      <c r="U69" s="824"/>
      <c r="V69" s="825"/>
      <c r="W69" s="845"/>
      <c r="X69" s="846"/>
      <c r="Y69" s="849"/>
      <c r="Z69" s="850"/>
      <c r="AA69" s="852"/>
      <c r="AB69" s="852"/>
      <c r="AC69" s="852"/>
      <c r="AD69" s="853"/>
      <c r="AE69" s="853"/>
      <c r="AF69" s="854"/>
      <c r="AG69" s="855"/>
      <c r="AH69" s="856"/>
      <c r="AI69" s="857"/>
      <c r="AJ69" s="857"/>
      <c r="AK69" s="867"/>
      <c r="AL69" s="869"/>
      <c r="AM69" s="870"/>
      <c r="AN69" s="870"/>
      <c r="AO69" s="872"/>
      <c r="AP69" s="872"/>
      <c r="AQ69" s="872"/>
      <c r="AS69" s="69"/>
      <c r="AT69" s="69"/>
      <c r="AU69" s="805"/>
      <c r="AV69" s="807"/>
      <c r="AW69" s="803"/>
      <c r="AX69" s="803"/>
      <c r="AY69" s="803"/>
      <c r="AZ69" s="803"/>
      <c r="BA69" s="801"/>
      <c r="BB69" s="797"/>
      <c r="BC69" s="810"/>
      <c r="BD69" s="797"/>
      <c r="BE69" s="797"/>
      <c r="BF69" s="801"/>
      <c r="BG69" s="803"/>
      <c r="BH69" s="797"/>
      <c r="BI69" s="1045"/>
      <c r="BJ69" s="1045"/>
      <c r="BK69" s="1045"/>
    </row>
    <row r="70" spans="2:63" ht="15.95" customHeight="1" x14ac:dyDescent="0.25">
      <c r="B70" s="873">
        <v>23</v>
      </c>
      <c r="C70" s="811"/>
      <c r="D70" s="812"/>
      <c r="E70" s="815"/>
      <c r="F70" s="816"/>
      <c r="G70" s="817"/>
      <c r="H70" s="821"/>
      <c r="I70" s="822"/>
      <c r="J70" s="823"/>
      <c r="K70" s="827"/>
      <c r="L70" s="828"/>
      <c r="M70" s="831" t="str">
        <f>IF(OR($E70="",ISNUMBER(SEARCH("Other",$E70))),"",INDEX(CMLIGHTBASE[Base Watt 1],MATCH($E70,CMLIGHTBASE[Base Desc 1],0)))</f>
        <v/>
      </c>
      <c r="N70" s="832"/>
      <c r="O70" s="835"/>
      <c r="P70" s="836"/>
      <c r="Q70" s="837"/>
      <c r="R70" s="841"/>
      <c r="S70" s="822"/>
      <c r="T70" s="823"/>
      <c r="U70" s="842"/>
      <c r="V70" s="822"/>
      <c r="W70" s="843" t="str">
        <f t="shared" ref="W70" si="64">IF(O70="","",IF(ISNUMBER(SEARCH("Type",O70)),"","N/A"))</f>
        <v/>
      </c>
      <c r="X70" s="844"/>
      <c r="Y70" s="847"/>
      <c r="Z70" s="848"/>
      <c r="AA70" s="851"/>
      <c r="AB70" s="852"/>
      <c r="AC70" s="852"/>
      <c r="AD70" s="853"/>
      <c r="AE70" s="853"/>
      <c r="AF70" s="854"/>
      <c r="AG70" s="855"/>
      <c r="AH70" s="856"/>
      <c r="AI70" s="857"/>
      <c r="AJ70" s="857"/>
      <c r="AK70" s="867"/>
      <c r="AL70" s="869" t="str">
        <f t="shared" ref="AL70" si="65">IF(OR(C70="",E70="",M70="",K70="",O70="",Y70="",R70="",AA70="",AH70="",AJ70="",AD70="",U70="",W70=""),"",IFERROR(ROUND(IF((AW70-AX70)&lt;=0,0,BH70*(AW70-AX70)),0),""))</f>
        <v/>
      </c>
      <c r="AM70" s="870"/>
      <c r="AN70" s="870"/>
      <c r="AO70" s="871" t="str">
        <f>IF(M02S02F44="","Update Install Status",IF(M02S02F44="Yes","Submit as Fast Track",IF(M02S02F49="Yes","Use New Load",IF(OR(C70="",E70="",M70="",K70="",O70="",Y70="",R70="",AA70="",AF70="",AH70="",AD70="",U70="",W70="",AJ70=""),"",IF(BF70&lt;&gt;"",BF70,IF(ISNUMBER(SEARCH("Type",O70)),MIN(BD70,AU70),MIN(BE70,AU70)))))))</f>
        <v>Update Install Status</v>
      </c>
      <c r="AP70" s="871"/>
      <c r="AQ70" s="871"/>
      <c r="AS70" s="69"/>
      <c r="AT70" s="69"/>
      <c r="AU70" s="804" t="str">
        <f>IF(OR(C70="",E70="",M70="",K70="",O70="",Y70="",R70="",AA70="",AH70="",AJ70="",AD70="", U70="",W70=""),"",IF(AND(ISNUMBER(SEARCH("Other",E70)),OR(H70="",ISBLANK(H70),ISNUMBER(SEARCH("Description",H70)))),"",(ROUND((AH70+AJ70)*U70,2))))</f>
        <v/>
      </c>
      <c r="AV70" s="806" t="str">
        <f>IF(OR(C70="",E70="",M70="",K70="",O70="",Y70="",R70="",AA70="",AH70="",AJ70="",AD70="", U70="",W70=""),"",IF(AND(ISNUMBER(SEARCH("Other",E70)),OR(H70="",ISBLANK(H70),ISNUMBER(SEARCH("Description",H70)))),"",ROUND(AL70*INDEX(ENDUSEALL[Factor],MATCH(IF(ISNUMBER(SEARCH("24/7",AA70)),"Miscellaneous","Lighting"),ENDUSEALL[End Use to Coincident Peak Demand Factors],0)),4)))</f>
        <v/>
      </c>
      <c r="AW70" s="802" t="str">
        <f>IF(OR(C70="",E70="",M70="",K70="",O70="",Y70="",R70="",AA70="",AH70="",AJ70="",AD70="", U70="",W70=""),"",IF(AND(ISNUMBER(SEARCH("Other",E70)),OR(H70="",ISBLANK(H70),ISNUMBER(SEARCH("Description",H70)))),"",ROUND(M70*AD70*K70/1000,0)))</f>
        <v/>
      </c>
      <c r="AX70" s="802" t="str">
        <f>IF(OR(C70="",E70="",M70="",K70="",O70="",Y70="",R70="",AA70="",AH70="",AJ70="",AD70="", U70="",W70=""),"",IF(AND(ISNUMBER(SEARCH("Other",E70)),OR(H70="",ISBLANK(H70),ISNUMBER(SEARCH("Description",H70)))),"",IF(ISNUMBER(SEARCH("Network",O70)),ROUND(0.76 *Y70*AD70*U70/1000,0),ROUND(Y70*AD70*U70/1000,0))))</f>
        <v/>
      </c>
      <c r="AY70" s="802" t="str">
        <f>IF(OR(C70="",E70="",M70="",K70="",O70="",Y70="",R70="",AA70="",AH70="",AJ70="",AD70="", U70="",W70=""),"",IF(AND(K70&gt;=U70,ISNUMBER(SEARCH("Type",O70))),ROUND(U70*LEFT(INDEX(CMLIGHTBASE[Measure Subgroup 2], MATCH(E70,CMLIGHTBASE[Base Desc 1],0)),2)*M70/LEFT(INDEX(CMLIGHTBASE[Measure Subgroup 2], MATCH(E70,CMLIGHTBASE[Base Desc 1],0)),2),0),IF(AND(K70&lt;U70,ISNUMBER(SEARCH("Type",O70))),ROUND(K70*LEFT(INDEX(CMLIGHTBASE[Measure Subgroup 2], MATCH(E70,CMLIGHTBASE[Base Desc 1],0)),2)*M70/LEFT(INDEX(CMLIGHTBASE[Measure Subgroup 2], MATCH(E70,CMLIGHTBASE[Base Desc 1],0)),2),0),IF(AND(OR(ISNUMBER(SEARCH("Fixture",O70)),ISNUMBER(SEARCH("Kit",O70))),K70&gt;=U70),U70*M70,K70*M70))))</f>
        <v/>
      </c>
      <c r="AZ70" s="802"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00" t="str">
        <f>CONCATENATE(C70,"-","LED","-",O70)</f>
        <v>-LED-</v>
      </c>
      <c r="BB70" s="808" t="str">
        <f>IF(OR(C70="",E70="",M70="",K70="",O70="",Y70="",R70="",AA70="",AH70="",AJ70="",AD70="", U70="",W70=""),"",IF(AND(ISNUMBER(SEARCH("Other",E70)),OR(H70="",ISBLANK(H70),ISNUMBER(SEARCH("Description",H70)))),"",INDEX(PMELIGHTLIN[Measure '#],MATCH(BA70,PMELIGHTLIN[Measure Validator],0))))</f>
        <v/>
      </c>
      <c r="BC70" s="809" t="str">
        <f ca="1">IFERROR(IF(OR(C70="",AJ70=""),"",IF(BB70="","",IF(AND(AND(SUBLIGHTDATE1&lt;&gt;"No",SUBLIGHTDATE2&lt;&gt;"No",SUBLIGHTDATE3&lt;&gt;"No"),OR(M02S02F43&lt;=DATEVALUE("12/31/2021"),M02S02F43=""),OR(TODAY()&lt;=LIGHTING2021,ACTLIGHT&lt;&gt;"")),LIGHTRATE21*(INDEX(PMELIGHTLIN[Inc Rate Unit PA],MATCH(BA70,PMELIGHTLIN[Measure Validator],0))),INDEX(PMELIGHTLIN[Inc Rate Unit PA],MATCH(BA70,PMELIGHTLIN[Measure Validator],0))))),"")</f>
        <v/>
      </c>
      <c r="BD70" s="808">
        <f>IFERROR(IF(ISNUMBER(SEARCH("Type",O70)),(AY70-AZ70)*BC70,0),0)</f>
        <v>0</v>
      </c>
      <c r="BE70" s="796">
        <f ca="1">IFERROR((IF(ISNUMBER(SEARCH("Type",O70)),0,IF(K70&gt;=U70,((U70*M70)-(U70*Y70)),((K70*M70)-(U70*Y70)))))*BC70,0)</f>
        <v>0</v>
      </c>
      <c r="BF70" s="800" t="str">
        <f>IF(M02S02F44="Yes","Not Eligible",IF(OR(C70="",E70="",M70="",K70="",O70="",Y70="",R70="",AA70="",AH70="",AJ70="",AD70="",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Savings",IF((AY70-AZ70)&lt;0,"No Incentive",IF(AF70&lt;50000,"Lamp Life Too Short",""))))),"ERROR"))))</f>
        <v/>
      </c>
      <c r="BG70" s="802" t="str">
        <f>IF(AND(ISBLANK(AH70),ISBLANK(AJ70)),"",IF(AND(ISNUMBER(SEARCH("Type",O70)),BD70&gt;AU70),"Yes",IF(AND(OR(ISNUMBER(SEARCH("Fixture",O70)),ISNUMBER(SEARCH("Kit",O70))),BE70&gt;AU70),"Yes","No")))</f>
        <v/>
      </c>
      <c r="BH70" s="796">
        <f>IF(M02S02F32&lt;&gt;"",INDEX(SPACEHEAT[HIF],MATCH(M02S02F32,SHEAT,0)),1)</f>
        <v>1</v>
      </c>
      <c r="BI70" s="1044">
        <f t="shared" ref="BI70" si="66">IFERROR(ROUND(BK70*1.1,2),0)</f>
        <v>0</v>
      </c>
      <c r="BJ70" s="1044" t="str">
        <f>IF(M02S02F44="","Update Install Status",IF(M02S02F49="Yes","Use New Load",IF(OR(C70="",E70="",M70="",K70="",O70="",Y70="",R70="",AA70="",AF70="",AH70="",AD70="",U70="",W70="",AJ70=""),"",IF(BF70&lt;&gt;"",BF70,ROUND(BI70*BONUSADJ,2)))))</f>
        <v>Update Install Status</v>
      </c>
      <c r="BK70" s="1044" t="str">
        <f>IF(M02S02F44="","Update Install Status",IF(M02S02F44="Yes","Submit as Fast Track",IF(M02S02F49="Yes","Use New Load",IF(OR(C70="",E70="",M70="",K70="",O70="",Y70="",R70="",AA70="",AF70="",AH70="",AD70="",U70="",W70="",AJ70=""),"",IF(BF70&lt;&gt;"",BF70,IF(ISNUMBER(SEARCH("Type",O70)),MIN(BD70,AU70),MIN(BE70,AU70)))))))</f>
        <v>Update Install Status</v>
      </c>
    </row>
    <row r="71" spans="2:63" ht="15.95" customHeight="1" x14ac:dyDescent="0.25">
      <c r="B71" s="873"/>
      <c r="C71" s="813"/>
      <c r="D71" s="814"/>
      <c r="E71" s="818"/>
      <c r="F71" s="819"/>
      <c r="G71" s="820"/>
      <c r="H71" s="824"/>
      <c r="I71" s="825"/>
      <c r="J71" s="826"/>
      <c r="K71" s="829"/>
      <c r="L71" s="830"/>
      <c r="M71" s="833"/>
      <c r="N71" s="834"/>
      <c r="O71" s="838"/>
      <c r="P71" s="839"/>
      <c r="Q71" s="840"/>
      <c r="R71" s="824"/>
      <c r="S71" s="825"/>
      <c r="T71" s="826"/>
      <c r="U71" s="824"/>
      <c r="V71" s="825"/>
      <c r="W71" s="845"/>
      <c r="X71" s="846"/>
      <c r="Y71" s="849"/>
      <c r="Z71" s="850"/>
      <c r="AA71" s="852"/>
      <c r="AB71" s="852"/>
      <c r="AC71" s="852"/>
      <c r="AD71" s="853"/>
      <c r="AE71" s="853"/>
      <c r="AF71" s="854"/>
      <c r="AG71" s="855"/>
      <c r="AH71" s="856"/>
      <c r="AI71" s="857"/>
      <c r="AJ71" s="857"/>
      <c r="AK71" s="867"/>
      <c r="AL71" s="869"/>
      <c r="AM71" s="870"/>
      <c r="AN71" s="870"/>
      <c r="AO71" s="872"/>
      <c r="AP71" s="872"/>
      <c r="AQ71" s="872"/>
      <c r="AS71" s="69"/>
      <c r="AT71" s="69"/>
      <c r="AU71" s="805"/>
      <c r="AV71" s="807"/>
      <c r="AW71" s="803"/>
      <c r="AX71" s="803"/>
      <c r="AY71" s="803"/>
      <c r="AZ71" s="803"/>
      <c r="BA71" s="801"/>
      <c r="BB71" s="797"/>
      <c r="BC71" s="810"/>
      <c r="BD71" s="797"/>
      <c r="BE71" s="797"/>
      <c r="BF71" s="801"/>
      <c r="BG71" s="803"/>
      <c r="BH71" s="797"/>
      <c r="BI71" s="1045"/>
      <c r="BJ71" s="1045"/>
      <c r="BK71" s="1045"/>
    </row>
    <row r="72" spans="2:63" ht="15.95" customHeight="1" x14ac:dyDescent="0.25">
      <c r="B72" s="873">
        <v>24</v>
      </c>
      <c r="C72" s="811"/>
      <c r="D72" s="812"/>
      <c r="E72" s="815"/>
      <c r="F72" s="816"/>
      <c r="G72" s="817"/>
      <c r="H72" s="821"/>
      <c r="I72" s="822"/>
      <c r="J72" s="823"/>
      <c r="K72" s="827"/>
      <c r="L72" s="828"/>
      <c r="M72" s="831" t="str">
        <f>IF(OR($E72="",ISNUMBER(SEARCH("Other",$E72))),"",INDEX(CMLIGHTBASE[Base Watt 1],MATCH($E72,CMLIGHTBASE[Base Desc 1],0)))</f>
        <v/>
      </c>
      <c r="N72" s="832"/>
      <c r="O72" s="835"/>
      <c r="P72" s="836"/>
      <c r="Q72" s="837"/>
      <c r="R72" s="841"/>
      <c r="S72" s="822"/>
      <c r="T72" s="823"/>
      <c r="U72" s="842"/>
      <c r="V72" s="822"/>
      <c r="W72" s="843" t="str">
        <f t="shared" ref="W72" si="67">IF(O72="","",IF(ISNUMBER(SEARCH("Type",O72)),"","N/A"))</f>
        <v/>
      </c>
      <c r="X72" s="844"/>
      <c r="Y72" s="847"/>
      <c r="Z72" s="848"/>
      <c r="AA72" s="851"/>
      <c r="AB72" s="852"/>
      <c r="AC72" s="852"/>
      <c r="AD72" s="853"/>
      <c r="AE72" s="853"/>
      <c r="AF72" s="854"/>
      <c r="AG72" s="855"/>
      <c r="AH72" s="856"/>
      <c r="AI72" s="857"/>
      <c r="AJ72" s="857"/>
      <c r="AK72" s="867"/>
      <c r="AL72" s="869" t="str">
        <f t="shared" ref="AL72" si="68">IF(OR(C72="",E72="",M72="",K72="",O72="",Y72="",R72="",AA72="",AH72="",AJ72="",AD72="",U72="",W72=""),"",IFERROR(ROUND(IF((AW72-AX72)&lt;=0,0,BH72*(AW72-AX72)),0),""))</f>
        <v/>
      </c>
      <c r="AM72" s="870"/>
      <c r="AN72" s="870"/>
      <c r="AO72" s="871" t="str">
        <f>IF(M02S02F44="","Update Install Status",IF(M02S02F44="Yes","Submit as Fast Track",IF(M02S02F49="Yes","Use New Load",IF(OR(C72="",E72="",M72="",K72="",O72="",Y72="",R72="",AA72="",AF72="",AH72="",AD72="",U72="",W72="",AJ72=""),"",IF(BF72&lt;&gt;"",BF72,IF(ISNUMBER(SEARCH("Type",O72)),MIN(BD72,AU72),MIN(BE72,AU72)))))))</f>
        <v>Update Install Status</v>
      </c>
      <c r="AP72" s="871"/>
      <c r="AQ72" s="871"/>
      <c r="AS72" s="69"/>
      <c r="AT72" s="69"/>
      <c r="AU72" s="804" t="str">
        <f>IF(OR(C72="",E72="",M72="",K72="",O72="",Y72="",R72="",AA72="",AH72="",AJ72="",AD72="", U72="",W72=""),"",IF(AND(ISNUMBER(SEARCH("Other",E72)),OR(H72="",ISBLANK(H72),ISNUMBER(SEARCH("Description",H72)))),"",(ROUND((AH72+AJ72)*U72,2))))</f>
        <v/>
      </c>
      <c r="AV72" s="806" t="str">
        <f>IF(OR(C72="",E72="",M72="",K72="",O72="",Y72="",R72="",AA72="",AH72="",AJ72="",AD72="", U72="",W72=""),"",IF(AND(ISNUMBER(SEARCH("Other",E72)),OR(H72="",ISBLANK(H72),ISNUMBER(SEARCH("Description",H72)))),"",ROUND(AL72*INDEX(ENDUSEALL[Factor],MATCH(IF(ISNUMBER(SEARCH("24/7",AA72)),"Miscellaneous","Lighting"),ENDUSEALL[End Use to Coincident Peak Demand Factors],0)),4)))</f>
        <v/>
      </c>
      <c r="AW72" s="802" t="str">
        <f>IF(OR(C72="",E72="",M72="",K72="",O72="",Y72="",R72="",AA72="",AH72="",AJ72="",AD72="", U72="",W72=""),"",IF(AND(ISNUMBER(SEARCH("Other",E72)),OR(H72="",ISBLANK(H72),ISNUMBER(SEARCH("Description",H72)))),"",ROUND(M72*AD72*K72/1000,0)))</f>
        <v/>
      </c>
      <c r="AX72" s="802" t="str">
        <f>IF(OR(C72="",E72="",M72="",K72="",O72="",Y72="",R72="",AA72="",AH72="",AJ72="",AD72="", U72="",W72=""),"",IF(AND(ISNUMBER(SEARCH("Other",E72)),OR(H72="",ISBLANK(H72),ISNUMBER(SEARCH("Description",H72)))),"",IF(ISNUMBER(SEARCH("Network",O72)),ROUND(0.76 *Y72*AD72*U72/1000,0),ROUND(Y72*AD72*U72/1000,0))))</f>
        <v/>
      </c>
      <c r="AY72" s="802" t="str">
        <f>IF(OR(C72="",E72="",M72="",K72="",O72="",Y72="",R72="",AA72="",AH72="",AJ72="",AD72="", U72="",W72=""),"",IF(AND(K72&gt;=U72,ISNUMBER(SEARCH("Type",O72))),ROUND(U72*LEFT(INDEX(CMLIGHTBASE[Measure Subgroup 2], MATCH(E72,CMLIGHTBASE[Base Desc 1],0)),2)*M72/LEFT(INDEX(CMLIGHTBASE[Measure Subgroup 2], MATCH(E72,CMLIGHTBASE[Base Desc 1],0)),2),0),IF(AND(K72&lt;U72,ISNUMBER(SEARCH("Type",O72))),ROUND(K72*LEFT(INDEX(CMLIGHTBASE[Measure Subgroup 2], MATCH(E72,CMLIGHTBASE[Base Desc 1],0)),2)*M72/LEFT(INDEX(CMLIGHTBASE[Measure Subgroup 2], MATCH(E72,CMLIGHTBASE[Base Desc 1],0)),2),0),IF(AND(OR(ISNUMBER(SEARCH("Fixture",O72)),ISNUMBER(SEARCH("Kit",O72))),K72&gt;=U72),U72*M72,K72*M72))))</f>
        <v/>
      </c>
      <c r="AZ72" s="802"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00" t="str">
        <f>CONCATENATE(C72,"-","LED","-",O72)</f>
        <v>-LED-</v>
      </c>
      <c r="BB72" s="808" t="str">
        <f>IF(OR(C72="",E72="",M72="",K72="",O72="",Y72="",R72="",AA72="",AH72="",AJ72="",AD72="", U72="",W72=""),"",IF(AND(ISNUMBER(SEARCH("Other",E72)),OR(H72="",ISBLANK(H72),ISNUMBER(SEARCH("Description",H72)))),"",INDEX(PMELIGHTLIN[Measure '#],MATCH(BA72,PMELIGHTLIN[Measure Validator],0))))</f>
        <v/>
      </c>
      <c r="BC72" s="809" t="str">
        <f ca="1">IFERROR(IF(OR(C72="",AJ72=""),"",IF(BB72="","",IF(AND(AND(SUBLIGHTDATE1&lt;&gt;"No",SUBLIGHTDATE2&lt;&gt;"No",SUBLIGHTDATE3&lt;&gt;"No"),OR(M02S02F43&lt;=DATEVALUE("12/31/2021"),M02S02F43=""),OR(TODAY()&lt;=LIGHTING2021,ACTLIGHT&lt;&gt;"")),LIGHTRATE21*(INDEX(PMELIGHTLIN[Inc Rate Unit PA],MATCH(BA72,PMELIGHTLIN[Measure Validator],0))),INDEX(PMELIGHTLIN[Inc Rate Unit PA],MATCH(BA72,PMELIGHTLIN[Measure Validator],0))))),"")</f>
        <v/>
      </c>
      <c r="BD72" s="808">
        <f>IFERROR(IF(ISNUMBER(SEARCH("Type",O72)),(AY72-AZ72)*BC72,0),0)</f>
        <v>0</v>
      </c>
      <c r="BE72" s="796">
        <f ca="1">IFERROR((IF(ISNUMBER(SEARCH("Type",O72)),0,IF(K72&gt;=U72,((U72*M72)-(U72*Y72)),((K72*M72)-(U72*Y72)))))*BC72,0)</f>
        <v>0</v>
      </c>
      <c r="BF72" s="800" t="str">
        <f>IF(M02S02F44="Yes","Not Eligible",IF(OR(C72="",E72="",M72="",K72="",O72="",Y72="",R72="",AA72="",AH72="",AJ72="",AD72="",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Savings",IF((AY72-AZ72)&lt;0,"No Incentive",IF(AF72&lt;50000,"Lamp Life Too Short",""))))),"ERROR"))))</f>
        <v/>
      </c>
      <c r="BG72" s="802" t="str">
        <f>IF(AND(ISBLANK(AH72),ISBLANK(AJ72)),"",IF(AND(ISNUMBER(SEARCH("Type",O72)),BD72&gt;AU72),"Yes",IF(AND(OR(ISNUMBER(SEARCH("Fixture",O72)),ISNUMBER(SEARCH("Kit",O72))),BE72&gt;AU72),"Yes","No")))</f>
        <v/>
      </c>
      <c r="BH72" s="796">
        <f>IF(M02S02F32&lt;&gt;"",INDEX(SPACEHEAT[HIF],MATCH(M02S02F32,SHEAT,0)),1)</f>
        <v>1</v>
      </c>
      <c r="BI72" s="1044">
        <f t="shared" ref="BI72" si="69">IFERROR(ROUND(BK72*1.1,2),0)</f>
        <v>0</v>
      </c>
      <c r="BJ72" s="1044" t="str">
        <f>IF(M02S02F44="","Update Install Status",IF(M02S02F49="Yes","Use New Load",IF(OR(C72="",E72="",M72="",K72="",O72="",Y72="",R72="",AA72="",AF72="",AH72="",AD72="",U72="",W72="",AJ72=""),"",IF(BF72&lt;&gt;"",BF72,ROUND(BI72*BONUSADJ,2)))))</f>
        <v>Update Install Status</v>
      </c>
      <c r="BK72" s="1044" t="str">
        <f>IF(M02S02F44="","Update Install Status",IF(M02S02F44="Yes","Submit as Fast Track",IF(M02S02F49="Yes","Use New Load",IF(OR(C72="",E72="",M72="",K72="",O72="",Y72="",R72="",AA72="",AF72="",AH72="",AD72="",U72="",W72="",AJ72=""),"",IF(BF72&lt;&gt;"",BF72,IF(ISNUMBER(SEARCH("Type",O72)),MIN(BD72,AU72),MIN(BE72,AU72)))))))</f>
        <v>Update Install Status</v>
      </c>
    </row>
    <row r="73" spans="2:63" ht="15.95" customHeight="1" x14ac:dyDescent="0.25">
      <c r="B73" s="873"/>
      <c r="C73" s="813"/>
      <c r="D73" s="814"/>
      <c r="E73" s="818"/>
      <c r="F73" s="819"/>
      <c r="G73" s="820"/>
      <c r="H73" s="824"/>
      <c r="I73" s="825"/>
      <c r="J73" s="826"/>
      <c r="K73" s="829"/>
      <c r="L73" s="830"/>
      <c r="M73" s="833"/>
      <c r="N73" s="834"/>
      <c r="O73" s="838"/>
      <c r="P73" s="839"/>
      <c r="Q73" s="840"/>
      <c r="R73" s="824"/>
      <c r="S73" s="825"/>
      <c r="T73" s="826"/>
      <c r="U73" s="824"/>
      <c r="V73" s="825"/>
      <c r="W73" s="845"/>
      <c r="X73" s="846"/>
      <c r="Y73" s="849"/>
      <c r="Z73" s="850"/>
      <c r="AA73" s="852"/>
      <c r="AB73" s="852"/>
      <c r="AC73" s="852"/>
      <c r="AD73" s="853"/>
      <c r="AE73" s="853"/>
      <c r="AF73" s="854"/>
      <c r="AG73" s="855"/>
      <c r="AH73" s="856"/>
      <c r="AI73" s="857"/>
      <c r="AJ73" s="857"/>
      <c r="AK73" s="867"/>
      <c r="AL73" s="869"/>
      <c r="AM73" s="870"/>
      <c r="AN73" s="870"/>
      <c r="AO73" s="872"/>
      <c r="AP73" s="872"/>
      <c r="AQ73" s="872"/>
      <c r="AS73" s="69"/>
      <c r="AT73" s="69"/>
      <c r="AU73" s="805"/>
      <c r="AV73" s="807"/>
      <c r="AW73" s="803"/>
      <c r="AX73" s="803"/>
      <c r="AY73" s="803"/>
      <c r="AZ73" s="803"/>
      <c r="BA73" s="801"/>
      <c r="BB73" s="797"/>
      <c r="BC73" s="810"/>
      <c r="BD73" s="797"/>
      <c r="BE73" s="797"/>
      <c r="BF73" s="801"/>
      <c r="BG73" s="803"/>
      <c r="BH73" s="797"/>
      <c r="BI73" s="1045"/>
      <c r="BJ73" s="1045"/>
      <c r="BK73" s="1045"/>
    </row>
    <row r="74" spans="2:63" ht="15.95" customHeight="1" x14ac:dyDescent="0.25">
      <c r="B74" s="873">
        <v>25</v>
      </c>
      <c r="C74" s="811"/>
      <c r="D74" s="812"/>
      <c r="E74" s="815"/>
      <c r="F74" s="816"/>
      <c r="G74" s="817"/>
      <c r="H74" s="821"/>
      <c r="I74" s="822"/>
      <c r="J74" s="823"/>
      <c r="K74" s="827"/>
      <c r="L74" s="828"/>
      <c r="M74" s="831" t="str">
        <f>IF(OR($E74="",ISNUMBER(SEARCH("Other",$E74))),"",INDEX(CMLIGHTBASE[Base Watt 1],MATCH($E74,CMLIGHTBASE[Base Desc 1],0)))</f>
        <v/>
      </c>
      <c r="N74" s="832"/>
      <c r="O74" s="835"/>
      <c r="P74" s="836"/>
      <c r="Q74" s="837"/>
      <c r="R74" s="841"/>
      <c r="S74" s="822"/>
      <c r="T74" s="823"/>
      <c r="U74" s="842"/>
      <c r="V74" s="822"/>
      <c r="W74" s="843" t="str">
        <f t="shared" ref="W74" si="70">IF(O74="","",IF(ISNUMBER(SEARCH("Type",O74)),"","N/A"))</f>
        <v/>
      </c>
      <c r="X74" s="844"/>
      <c r="Y74" s="847"/>
      <c r="Z74" s="848"/>
      <c r="AA74" s="851"/>
      <c r="AB74" s="852"/>
      <c r="AC74" s="852"/>
      <c r="AD74" s="853"/>
      <c r="AE74" s="853"/>
      <c r="AF74" s="854"/>
      <c r="AG74" s="855"/>
      <c r="AH74" s="856"/>
      <c r="AI74" s="857"/>
      <c r="AJ74" s="857"/>
      <c r="AK74" s="867"/>
      <c r="AL74" s="869" t="str">
        <f t="shared" ref="AL74" si="71">IF(OR(C74="",E74="",M74="",K74="",O74="",Y74="",R74="",AA74="",AH74="",AJ74="",AD74="",U74="",W74=""),"",IFERROR(ROUND(IF((AW74-AX74)&lt;=0,0,BH74*(AW74-AX74)),0),""))</f>
        <v/>
      </c>
      <c r="AM74" s="870"/>
      <c r="AN74" s="870"/>
      <c r="AO74" s="871" t="str">
        <f>IF(M02S02F44="","Update Install Status",IF(M02S02F44="Yes","Submit as Fast Track",IF(M02S02F49="Yes","Use New Load",IF(OR(C74="",E74="",M74="",K74="",O74="",Y74="",R74="",AA74="",AF74="",AH74="",AD74="",U74="",W74="",AJ74=""),"",IF(BF74&lt;&gt;"",BF74,IF(ISNUMBER(SEARCH("Type",O74)),MIN(BD74,AU74),MIN(BE74,AU74)))))))</f>
        <v>Update Install Status</v>
      </c>
      <c r="AP74" s="871"/>
      <c r="AQ74" s="871"/>
      <c r="AS74" s="69"/>
      <c r="AT74" s="69"/>
      <c r="AU74" s="804" t="str">
        <f>IF(OR(C74="",E74="",M74="",K74="",O74="",Y74="",R74="",AA74="",AH74="",AJ74="",AD74="", U74="",W74=""),"",IF(AND(ISNUMBER(SEARCH("Other",E74)),OR(H74="",ISBLANK(H74),ISNUMBER(SEARCH("Description",H74)))),"",(ROUND((AH74+AJ74)*U74,2))))</f>
        <v/>
      </c>
      <c r="AV74" s="806" t="str">
        <f>IF(OR(C74="",E74="",M74="",K74="",O74="",Y74="",R74="",AA74="",AH74="",AJ74="",AD74="", U74="",W74=""),"",IF(AND(ISNUMBER(SEARCH("Other",E74)),OR(H74="",ISBLANK(H74),ISNUMBER(SEARCH("Description",H74)))),"",ROUND(AL74*INDEX(ENDUSEALL[Factor],MATCH(IF(ISNUMBER(SEARCH("24/7",AA74)),"Miscellaneous","Lighting"),ENDUSEALL[End Use to Coincident Peak Demand Factors],0)),4)))</f>
        <v/>
      </c>
      <c r="AW74" s="802" t="str">
        <f>IF(OR(C74="",E74="",M74="",K74="",O74="",Y74="",R74="",AA74="",AH74="",AJ74="",AD74="", U74="",W74=""),"",IF(AND(ISNUMBER(SEARCH("Other",E74)),OR(H74="",ISBLANK(H74),ISNUMBER(SEARCH("Description",H74)))),"",ROUND(M74*AD74*K74/1000,0)))</f>
        <v/>
      </c>
      <c r="AX74" s="802" t="str">
        <f>IF(OR(C74="",E74="",M74="",K74="",O74="",Y74="",R74="",AA74="",AH74="",AJ74="",AD74="", U74="",W74=""),"",IF(AND(ISNUMBER(SEARCH("Other",E74)),OR(H74="",ISBLANK(H74),ISNUMBER(SEARCH("Description",H74)))),"",IF(ISNUMBER(SEARCH("Network",O74)),ROUND(0.76 *Y74*AD74*U74/1000,0),ROUND(Y74*AD74*U74/1000,0))))</f>
        <v/>
      </c>
      <c r="AY74" s="802" t="str">
        <f>IF(OR(C74="",E74="",M74="",K74="",O74="",Y74="",R74="",AA74="",AH74="",AJ74="",AD74="", U74="",W74=""),"",IF(AND(K74&gt;=U74,ISNUMBER(SEARCH("Type",O74))),ROUND(U74*LEFT(INDEX(CMLIGHTBASE[Measure Subgroup 2], MATCH(E74,CMLIGHTBASE[Base Desc 1],0)),2)*M74/LEFT(INDEX(CMLIGHTBASE[Measure Subgroup 2], MATCH(E74,CMLIGHTBASE[Base Desc 1],0)),2),0),IF(AND(K74&lt;U74,ISNUMBER(SEARCH("Type",O74))),ROUND(K74*LEFT(INDEX(CMLIGHTBASE[Measure Subgroup 2], MATCH(E74,CMLIGHTBASE[Base Desc 1],0)),2)*M74/LEFT(INDEX(CMLIGHTBASE[Measure Subgroup 2], MATCH(E74,CMLIGHTBASE[Base Desc 1],0)),2),0),IF(AND(OR(ISNUMBER(SEARCH("Fixture",O74)),ISNUMBER(SEARCH("Kit",O74))),K74&gt;=U74),U74*M74,K74*M74))))</f>
        <v/>
      </c>
      <c r="AZ74" s="802"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00" t="str">
        <f>CONCATENATE(C74,"-","LED","-",O74)</f>
        <v>-LED-</v>
      </c>
      <c r="BB74" s="808" t="str">
        <f>IF(OR(C74="",E74="",M74="",K74="",O74="",Y74="",R74="",AA74="",AH74="",AJ74="",AD74="", U74="",W74=""),"",IF(AND(ISNUMBER(SEARCH("Other",E74)),OR(H74="",ISBLANK(H74),ISNUMBER(SEARCH("Description",H74)))),"",INDEX(PMELIGHTLIN[Measure '#],MATCH(BA74,PMELIGHTLIN[Measure Validator],0))))</f>
        <v/>
      </c>
      <c r="BC74" s="809" t="str">
        <f ca="1">IFERROR(IF(OR(C74="",AJ74=""),"",IF(BB74="","",IF(AND(AND(SUBLIGHTDATE1&lt;&gt;"No",SUBLIGHTDATE2&lt;&gt;"No",SUBLIGHTDATE3&lt;&gt;"No"),OR(M02S02F43&lt;=DATEVALUE("12/31/2021"),M02S02F43=""),OR(TODAY()&lt;=LIGHTING2021,ACTLIGHT&lt;&gt;"")),LIGHTRATE21*(INDEX(PMELIGHTLIN[Inc Rate Unit PA],MATCH(BA74,PMELIGHTLIN[Measure Validator],0))),INDEX(PMELIGHTLIN[Inc Rate Unit PA],MATCH(BA74,PMELIGHTLIN[Measure Validator],0))))),"")</f>
        <v/>
      </c>
      <c r="BD74" s="808">
        <f>IFERROR(IF(ISNUMBER(SEARCH("Type",O74)),(AY74-AZ74)*BC74,0),0)</f>
        <v>0</v>
      </c>
      <c r="BE74" s="796">
        <f ca="1">IFERROR((IF(ISNUMBER(SEARCH("Type",O74)),0,IF(K74&gt;=U74,((U74*M74)-(U74*Y74)),((K74*M74)-(U74*Y74)))))*BC74,0)</f>
        <v>0</v>
      </c>
      <c r="BF74" s="800" t="str">
        <f>IF(M02S02F44="Yes","Not Eligible",IF(OR(C74="",E74="",M74="",K74="",O74="",Y74="",R74="",AA74="",AH74="",AJ74="",AD74="",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Savings",IF((AY74-AZ74)&lt;0,"No Incentive",IF(AF74&lt;50000,"Lamp Life Too Short",""))))),"ERROR"))))</f>
        <v/>
      </c>
      <c r="BG74" s="802" t="str">
        <f>IF(AND(ISBLANK(AH74),ISBLANK(AJ74)),"",IF(AND(ISNUMBER(SEARCH("Type",O74)),BD74&gt;AU74),"Yes",IF(AND(OR(ISNUMBER(SEARCH("Fixture",O74)),ISNUMBER(SEARCH("Kit",O74))),BE74&gt;AU74),"Yes","No")))</f>
        <v/>
      </c>
      <c r="BH74" s="796">
        <f>IF(M02S02F32&lt;&gt;"",INDEX(SPACEHEAT[HIF],MATCH(M02S02F32,SHEAT,0)),1)</f>
        <v>1</v>
      </c>
      <c r="BI74" s="1044">
        <f t="shared" ref="BI74" si="72">IFERROR(ROUND(BK74*1.1,2),0)</f>
        <v>0</v>
      </c>
      <c r="BJ74" s="1044" t="str">
        <f>IF(M02S02F44="","Update Install Status",IF(M02S02F49="Yes","Use New Load",IF(OR(C74="",E74="",M74="",K74="",O74="",Y74="",R74="",AA74="",AF74="",AH74="",AD74="",U74="",W74="",AJ74=""),"",IF(BF74&lt;&gt;"",BF74,ROUND(BI74*BONUSADJ,2)))))</f>
        <v>Update Install Status</v>
      </c>
      <c r="BK74" s="1044" t="str">
        <f>IF(M02S02F44="","Update Install Status",IF(M02S02F44="Yes","Submit as Fast Track",IF(M02S02F49="Yes","Use New Load",IF(OR(C74="",E74="",M74="",K74="",O74="",Y74="",R74="",AA74="",AF74="",AH74="",AD74="",U74="",W74="",AJ74=""),"",IF(BF74&lt;&gt;"",BF74,IF(ISNUMBER(SEARCH("Type",O74)),MIN(BD74,AU74),MIN(BE74,AU74)))))))</f>
        <v>Update Install Status</v>
      </c>
    </row>
    <row r="75" spans="2:63" ht="15.95" customHeight="1" x14ac:dyDescent="0.25">
      <c r="B75" s="873"/>
      <c r="C75" s="813"/>
      <c r="D75" s="814"/>
      <c r="E75" s="818"/>
      <c r="F75" s="819"/>
      <c r="G75" s="820"/>
      <c r="H75" s="824"/>
      <c r="I75" s="825"/>
      <c r="J75" s="826"/>
      <c r="K75" s="829"/>
      <c r="L75" s="830"/>
      <c r="M75" s="833"/>
      <c r="N75" s="834"/>
      <c r="O75" s="838"/>
      <c r="P75" s="839"/>
      <c r="Q75" s="840"/>
      <c r="R75" s="824"/>
      <c r="S75" s="825"/>
      <c r="T75" s="826"/>
      <c r="U75" s="824"/>
      <c r="V75" s="825"/>
      <c r="W75" s="845"/>
      <c r="X75" s="846"/>
      <c r="Y75" s="849"/>
      <c r="Z75" s="850"/>
      <c r="AA75" s="852"/>
      <c r="AB75" s="852"/>
      <c r="AC75" s="852"/>
      <c r="AD75" s="853"/>
      <c r="AE75" s="853"/>
      <c r="AF75" s="854"/>
      <c r="AG75" s="855"/>
      <c r="AH75" s="856"/>
      <c r="AI75" s="857"/>
      <c r="AJ75" s="857"/>
      <c r="AK75" s="867"/>
      <c r="AL75" s="869"/>
      <c r="AM75" s="870"/>
      <c r="AN75" s="870"/>
      <c r="AO75" s="872"/>
      <c r="AP75" s="872"/>
      <c r="AQ75" s="872"/>
      <c r="AS75" s="69"/>
      <c r="AT75" s="69"/>
      <c r="AU75" s="805"/>
      <c r="AV75" s="807"/>
      <c r="AW75" s="803"/>
      <c r="AX75" s="803"/>
      <c r="AY75" s="803"/>
      <c r="AZ75" s="803"/>
      <c r="BA75" s="801"/>
      <c r="BB75" s="797"/>
      <c r="BC75" s="810"/>
      <c r="BD75" s="797"/>
      <c r="BE75" s="797"/>
      <c r="BF75" s="801"/>
      <c r="BG75" s="803"/>
      <c r="BH75" s="797"/>
      <c r="BI75" s="1045"/>
      <c r="BJ75" s="1045"/>
      <c r="BK75" s="1045"/>
    </row>
    <row r="76" spans="2:63" ht="15.95" customHeight="1" x14ac:dyDescent="0.25">
      <c r="B76" s="873">
        <v>26</v>
      </c>
      <c r="C76" s="811"/>
      <c r="D76" s="812"/>
      <c r="E76" s="815"/>
      <c r="F76" s="816"/>
      <c r="G76" s="817"/>
      <c r="H76" s="879"/>
      <c r="I76" s="822"/>
      <c r="J76" s="823"/>
      <c r="K76" s="827"/>
      <c r="L76" s="828"/>
      <c r="M76" s="831" t="str">
        <f>IF(OR($E76="",ISNUMBER(SEARCH("Other",$E76))),"",INDEX(CMLIGHTBASE[Base Watt 1],MATCH($E76,CMLIGHTBASE[Base Desc 1],0)))</f>
        <v/>
      </c>
      <c r="N76" s="832"/>
      <c r="O76" s="835"/>
      <c r="P76" s="836"/>
      <c r="Q76" s="837"/>
      <c r="R76" s="879"/>
      <c r="S76" s="822"/>
      <c r="T76" s="823"/>
      <c r="U76" s="842"/>
      <c r="V76" s="822"/>
      <c r="W76" s="843" t="str">
        <f t="shared" ref="W76" si="73">IF(O76="","",IF(ISNUMBER(SEARCH("Type",O76)),"","N/A"))</f>
        <v/>
      </c>
      <c r="X76" s="844"/>
      <c r="Y76" s="847"/>
      <c r="Z76" s="848"/>
      <c r="AA76" s="851"/>
      <c r="AB76" s="852"/>
      <c r="AC76" s="852"/>
      <c r="AD76" s="853"/>
      <c r="AE76" s="853"/>
      <c r="AF76" s="854"/>
      <c r="AG76" s="855"/>
      <c r="AH76" s="856"/>
      <c r="AI76" s="857"/>
      <c r="AJ76" s="857"/>
      <c r="AK76" s="867"/>
      <c r="AL76" s="869" t="str">
        <f t="shared" ref="AL76" si="74">IF(OR(C76="",E76="",M76="",K76="",O76="",Y76="",R76="",AA76="",AH76="",AJ76="",AD76="",U76="",W76=""),"",IFERROR(ROUND(IF((AW76-AX76)&lt;=0,0,BH76*(AW76-AX76)),0),""))</f>
        <v/>
      </c>
      <c r="AM76" s="870"/>
      <c r="AN76" s="870"/>
      <c r="AO76" s="871" t="str">
        <f>IF(M02S02F44="","Update Install Status",IF(M02S02F44="Yes","Submit as Fast Track",IF(M02S02F49="Yes","Use New Load",IF(OR(C76="",E76="",M76="",K76="",O76="",Y76="",R76="",AA76="",AF76="",AH76="",AD76="",U76="",W76="",AJ76=""),"",IF(BF76&lt;&gt;"",BF76,IF(ISNUMBER(SEARCH("Type",O76)),MIN(BD76,AU76),MIN(BE76,AU76)))))))</f>
        <v>Update Install Status</v>
      </c>
      <c r="AP76" s="871"/>
      <c r="AQ76" s="871"/>
      <c r="AS76" s="69"/>
      <c r="AT76" s="69"/>
      <c r="AU76" s="804" t="str">
        <f>IF(OR(C76="",E76="",M76="",K76="",O76="",Y76="",R76="",AA76="",AH76="",AJ76="",AD76="", U76="",W76=""),"",IF(AND(ISNUMBER(SEARCH("Other",E76)),OR(H76="",ISBLANK(H76),ISNUMBER(SEARCH("Description",H76)))),"",(ROUND((AH76+AJ76)*U76,2))))</f>
        <v/>
      </c>
      <c r="AV76" s="806" t="str">
        <f>IF(OR(C76="",E76="",M76="",K76="",O76="",Y76="",R76="",AA76="",AH76="",AJ76="",AD76="", U76="",W76=""),"",IF(AND(ISNUMBER(SEARCH("Other",E76)),OR(H76="",ISBLANK(H76),ISNUMBER(SEARCH("Description",H76)))),"",ROUND(AL76*INDEX(ENDUSEALL[Factor],MATCH(IF(ISNUMBER(SEARCH("24/7",AA76)),"Miscellaneous","Lighting"),ENDUSEALL[End Use to Coincident Peak Demand Factors],0)),4)))</f>
        <v/>
      </c>
      <c r="AW76" s="802" t="str">
        <f>IF(OR(C76="",E76="",M76="",K76="",O76="",Y76="",R76="",AA76="",AH76="",AJ76="",AD76="", U76="",W76=""),"",IF(AND(ISNUMBER(SEARCH("Other",E76)),OR(H76="",ISBLANK(H76),ISNUMBER(SEARCH("Description",H76)))),"",ROUND(M76*AD76*K76/1000,0)))</f>
        <v/>
      </c>
      <c r="AX76" s="802" t="str">
        <f>IF(OR(C76="",E76="",M76="",K76="",O76="",Y76="",R76="",AA76="",AH76="",AJ76="",AD76="", U76="",W76=""),"",IF(AND(ISNUMBER(SEARCH("Other",E76)),OR(H76="",ISBLANK(H76),ISNUMBER(SEARCH("Description",H76)))),"",IF(ISNUMBER(SEARCH("Network",O76)),ROUND(0.76 *Y76*AD76*U76/1000,0),ROUND(Y76*AD76*U76/1000,0))))</f>
        <v/>
      </c>
      <c r="AY76" s="802" t="str">
        <f>IF(OR(C76="",E76="",M76="",K76="",O76="",Y76="",R76="",AA76="",AH76="",AJ76="",AD76="", U76="",W76=""),"",IF(AND(K76&gt;=U76,ISNUMBER(SEARCH("Type",O76))),ROUND(U76*LEFT(INDEX(CMLIGHTBASE[Measure Subgroup 2], MATCH(E76,CMLIGHTBASE[Base Desc 1],0)),2)*M76/LEFT(INDEX(CMLIGHTBASE[Measure Subgroup 2], MATCH(E76,CMLIGHTBASE[Base Desc 1],0)),2),0),IF(AND(K76&lt;U76,ISNUMBER(SEARCH("Type",O76))),ROUND(K76*LEFT(INDEX(CMLIGHTBASE[Measure Subgroup 2], MATCH(E76,CMLIGHTBASE[Base Desc 1],0)),2)*M76/LEFT(INDEX(CMLIGHTBASE[Measure Subgroup 2], MATCH(E76,CMLIGHTBASE[Base Desc 1],0)),2),0),IF(AND(OR(ISNUMBER(SEARCH("Fixture",O76)),ISNUMBER(SEARCH("Kit",O76))),K76&gt;=U76),U76*M76,K76*M76))))</f>
        <v/>
      </c>
      <c r="AZ76" s="802"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00" t="str">
        <f>CONCATENATE(C76,"-","LED","-",O76)</f>
        <v>-LED-</v>
      </c>
      <c r="BB76" s="808" t="str">
        <f>IF(OR(C76="",E76="",M76="",K76="",O76="",Y76="",R76="",AA76="",AH76="",AJ76="",AD76="", U76="",W76=""),"",IF(AND(ISNUMBER(SEARCH("Other",E76)),OR(H76="",ISBLANK(H76),ISNUMBER(SEARCH("Description",H76)))),"",INDEX(PMELIGHTLIN[Measure '#],MATCH(BA76,PMELIGHTLIN[Measure Validator],0))))</f>
        <v/>
      </c>
      <c r="BC76" s="809" t="str">
        <f ca="1">IFERROR(IF(OR(C76="",AJ76=""),"",IF(BB76="","",IF(AND(AND(SUBLIGHTDATE1&lt;&gt;"No",SUBLIGHTDATE2&lt;&gt;"No",SUBLIGHTDATE3&lt;&gt;"No"),OR(M02S02F43&lt;=DATEVALUE("12/31/2021"),M02S02F43=""),OR(TODAY()&lt;=LIGHTING2021,ACTLIGHT&lt;&gt;"")),LIGHTRATE21*(INDEX(PMELIGHTLIN[Inc Rate Unit PA],MATCH(BA76,PMELIGHTLIN[Measure Validator],0))),INDEX(PMELIGHTLIN[Inc Rate Unit PA],MATCH(BA76,PMELIGHTLIN[Measure Validator],0))))),"")</f>
        <v/>
      </c>
      <c r="BD76" s="808">
        <f>IFERROR(IF(ISNUMBER(SEARCH("Type",O76)),(AY76-AZ76)*BC76,0),0)</f>
        <v>0</v>
      </c>
      <c r="BE76" s="796">
        <f ca="1">IFERROR((IF(ISNUMBER(SEARCH("Type",O76)),0,IF(K76&gt;=U76,((U76*M76)-(U76*Y76)),((K76*M76)-(U76*Y76)))))*BC76,0)</f>
        <v>0</v>
      </c>
      <c r="BF76" s="800" t="str">
        <f>IF(M02S02F44="Yes","Not Eligible",IF(OR(C76="",E76="",M76="",K76="",O76="",Y76="",R76="",AA76="",AH76="",AJ76="",AD76="",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Savings",IF((AY76-AZ76)&lt;0,"No Incentive",IF(AF76&lt;50000,"Lamp Life Too Short",""))))),"ERROR"))))</f>
        <v/>
      </c>
      <c r="BG76" s="802" t="str">
        <f>IF(AND(ISBLANK(AH76),ISBLANK(AJ76)),"",IF(AND(ISNUMBER(SEARCH("Type",O76)),BD76&gt;AU76),"Yes",IF(AND(OR(ISNUMBER(SEARCH("Fixture",O76)),ISNUMBER(SEARCH("Kit",O76))),BE76&gt;AU76),"Yes","No")))</f>
        <v/>
      </c>
      <c r="BH76" s="796">
        <f>IF(M02S02F32&lt;&gt;"",INDEX(SPACEHEAT[HIF],MATCH(M02S02F32,SHEAT,0)),1)</f>
        <v>1</v>
      </c>
      <c r="BI76" s="1044">
        <f t="shared" ref="BI76" si="75">IFERROR(ROUND(BK76*1.1,2),0)</f>
        <v>0</v>
      </c>
      <c r="BJ76" s="1044" t="str">
        <f>IF(M02S02F44="","Update Install Status",IF(M02S02F49="Yes","Use New Load",IF(OR(C76="",E76="",M76="",K76="",O76="",Y76="",R76="",AA76="",AF76="",AH76="",AD76="",U76="",W76="",AJ76=""),"",IF(BF76&lt;&gt;"",BF76,ROUND(BI76*BONUSADJ,2)))))</f>
        <v>Update Install Status</v>
      </c>
      <c r="BK76" s="1044" t="str">
        <f>IF(M02S02F44="","Update Install Status",IF(M02S02F44="Yes","Submit as Fast Track",IF(M02S02F49="Yes","Use New Load",IF(OR(C76="",E76="",M76="",K76="",O76="",Y76="",R76="",AA76="",AF76="",AH76="",AD76="",U76="",W76="",AJ76=""),"",IF(BF76&lt;&gt;"",BF76,IF(ISNUMBER(SEARCH("Type",O76)),MIN(BD76,AU76),MIN(BE76,AU76)))))))</f>
        <v>Update Install Status</v>
      </c>
    </row>
    <row r="77" spans="2:63" ht="15.95" customHeight="1" x14ac:dyDescent="0.25">
      <c r="B77" s="873"/>
      <c r="C77" s="813"/>
      <c r="D77" s="814"/>
      <c r="E77" s="818"/>
      <c r="F77" s="819"/>
      <c r="G77" s="820"/>
      <c r="H77" s="824"/>
      <c r="I77" s="825"/>
      <c r="J77" s="826"/>
      <c r="K77" s="829"/>
      <c r="L77" s="830"/>
      <c r="M77" s="833"/>
      <c r="N77" s="834"/>
      <c r="O77" s="838"/>
      <c r="P77" s="839"/>
      <c r="Q77" s="840"/>
      <c r="R77" s="824"/>
      <c r="S77" s="825"/>
      <c r="T77" s="826"/>
      <c r="U77" s="824"/>
      <c r="V77" s="825"/>
      <c r="W77" s="845"/>
      <c r="X77" s="846"/>
      <c r="Y77" s="849"/>
      <c r="Z77" s="850"/>
      <c r="AA77" s="852"/>
      <c r="AB77" s="852"/>
      <c r="AC77" s="852"/>
      <c r="AD77" s="853"/>
      <c r="AE77" s="853"/>
      <c r="AF77" s="854"/>
      <c r="AG77" s="855"/>
      <c r="AH77" s="856"/>
      <c r="AI77" s="857"/>
      <c r="AJ77" s="857"/>
      <c r="AK77" s="867"/>
      <c r="AL77" s="869"/>
      <c r="AM77" s="870"/>
      <c r="AN77" s="870"/>
      <c r="AO77" s="872"/>
      <c r="AP77" s="872"/>
      <c r="AQ77" s="872"/>
      <c r="AS77" s="69"/>
      <c r="AT77" s="69"/>
      <c r="AU77" s="805"/>
      <c r="AV77" s="807"/>
      <c r="AW77" s="803"/>
      <c r="AX77" s="803"/>
      <c r="AY77" s="803"/>
      <c r="AZ77" s="803"/>
      <c r="BA77" s="801"/>
      <c r="BB77" s="797"/>
      <c r="BC77" s="810"/>
      <c r="BD77" s="797"/>
      <c r="BE77" s="797"/>
      <c r="BF77" s="801"/>
      <c r="BG77" s="803"/>
      <c r="BH77" s="797"/>
      <c r="BI77" s="1045"/>
      <c r="BJ77" s="1045"/>
      <c r="BK77" s="1045"/>
    </row>
    <row r="78" spans="2:63" ht="15.95" customHeight="1" x14ac:dyDescent="0.25">
      <c r="B78" s="873">
        <v>27</v>
      </c>
      <c r="C78" s="811"/>
      <c r="D78" s="812"/>
      <c r="E78" s="815"/>
      <c r="F78" s="816"/>
      <c r="G78" s="817"/>
      <c r="H78" s="821"/>
      <c r="I78" s="822"/>
      <c r="J78" s="823"/>
      <c r="K78" s="827"/>
      <c r="L78" s="828"/>
      <c r="M78" s="831" t="str">
        <f>IF(OR($E78="",ISNUMBER(SEARCH("Other",$E78))),"",INDEX(CMLIGHTBASE[Base Watt 1],MATCH($E78,CMLIGHTBASE[Base Desc 1],0)))</f>
        <v/>
      </c>
      <c r="N78" s="832"/>
      <c r="O78" s="835"/>
      <c r="P78" s="836"/>
      <c r="Q78" s="837"/>
      <c r="R78" s="841"/>
      <c r="S78" s="822"/>
      <c r="T78" s="823"/>
      <c r="U78" s="842"/>
      <c r="V78" s="822"/>
      <c r="W78" s="843" t="str">
        <f t="shared" ref="W78" si="76">IF(O78="","",IF(ISNUMBER(SEARCH("Type",O78)),"","N/A"))</f>
        <v/>
      </c>
      <c r="X78" s="844"/>
      <c r="Y78" s="847"/>
      <c r="Z78" s="848"/>
      <c r="AA78" s="851"/>
      <c r="AB78" s="852"/>
      <c r="AC78" s="852"/>
      <c r="AD78" s="853"/>
      <c r="AE78" s="853"/>
      <c r="AF78" s="854"/>
      <c r="AG78" s="855"/>
      <c r="AH78" s="856"/>
      <c r="AI78" s="857"/>
      <c r="AJ78" s="857"/>
      <c r="AK78" s="867"/>
      <c r="AL78" s="869" t="str">
        <f t="shared" ref="AL78" si="77">IF(OR(C78="",E78="",M78="",K78="",O78="",Y78="",R78="",AA78="",AH78="",AJ78="",AD78="",U78="",W78=""),"",IFERROR(ROUND(IF((AW78-AX78)&lt;=0,0,BH78*(AW78-AX78)),0),""))</f>
        <v/>
      </c>
      <c r="AM78" s="870"/>
      <c r="AN78" s="870"/>
      <c r="AO78" s="871" t="str">
        <f>IF(M02S02F44="","Update Install Status",IF(M02S02F44="Yes","Submit as Fast Track",IF(M02S02F49="Yes","Use New Load",IF(OR(C78="",E78="",M78="",K78="",O78="",Y78="",R78="",AA78="",AF78="",AH78="",AD78="",U78="",W78="",AJ78=""),"",IF(BF78&lt;&gt;"",BF78,IF(ISNUMBER(SEARCH("Type",O78)),MIN(BD78,AU78),MIN(BE78,AU78)))))))</f>
        <v>Update Install Status</v>
      </c>
      <c r="AP78" s="871"/>
      <c r="AQ78" s="871"/>
      <c r="AS78" s="69"/>
      <c r="AT78" s="69"/>
      <c r="AU78" s="804" t="str">
        <f>IF(OR(C78="",E78="",M78="",K78="",O78="",Y78="",R78="",AA78="",AH78="",AJ78="",AD78="", U78="",W78=""),"",IF(AND(ISNUMBER(SEARCH("Other",E78)),OR(H78="",ISBLANK(H78),ISNUMBER(SEARCH("Description",H78)))),"",(ROUND((AH78+AJ78)*U78,2))))</f>
        <v/>
      </c>
      <c r="AV78" s="806" t="str">
        <f>IF(OR(C78="",E78="",M78="",K78="",O78="",Y78="",R78="",AA78="",AH78="",AJ78="",AD78="", U78="",W78=""),"",IF(AND(ISNUMBER(SEARCH("Other",E78)),OR(H78="",ISBLANK(H78),ISNUMBER(SEARCH("Description",H78)))),"",ROUND(AL78*INDEX(ENDUSEALL[Factor],MATCH(IF(ISNUMBER(SEARCH("24/7",AA78)),"Miscellaneous","Lighting"),ENDUSEALL[End Use to Coincident Peak Demand Factors],0)),4)))</f>
        <v/>
      </c>
      <c r="AW78" s="802" t="str">
        <f>IF(OR(C78="",E78="",M78="",K78="",O78="",Y78="",R78="",AA78="",AH78="",AJ78="",AD78="", U78="",W78=""),"",IF(AND(ISNUMBER(SEARCH("Other",E78)),OR(H78="",ISBLANK(H78),ISNUMBER(SEARCH("Description",H78)))),"",ROUND(M78*AD78*K78/1000,0)))</f>
        <v/>
      </c>
      <c r="AX78" s="802" t="str">
        <f>IF(OR(C78="",E78="",M78="",K78="",O78="",Y78="",R78="",AA78="",AH78="",AJ78="",AD78="", U78="",W78=""),"",IF(AND(ISNUMBER(SEARCH("Other",E78)),OR(H78="",ISBLANK(H78),ISNUMBER(SEARCH("Description",H78)))),"",IF(ISNUMBER(SEARCH("Network",O78)),ROUND(0.76 *Y78*AD78*U78/1000,0),ROUND(Y78*AD78*U78/1000,0))))</f>
        <v/>
      </c>
      <c r="AY78" s="802" t="str">
        <f>IF(OR(C78="",E78="",M78="",K78="",O78="",Y78="",R78="",AA78="",AH78="",AJ78="",AD78="", U78="",W78=""),"",IF(AND(K78&gt;=U78,ISNUMBER(SEARCH("Type",O78))),ROUND(U78*LEFT(INDEX(CMLIGHTBASE[Measure Subgroup 2], MATCH(E78,CMLIGHTBASE[Base Desc 1],0)),2)*M78/LEFT(INDEX(CMLIGHTBASE[Measure Subgroup 2], MATCH(E78,CMLIGHTBASE[Base Desc 1],0)),2),0),IF(AND(K78&lt;U78,ISNUMBER(SEARCH("Type",O78))),ROUND(K78*LEFT(INDEX(CMLIGHTBASE[Measure Subgroup 2], MATCH(E78,CMLIGHTBASE[Base Desc 1],0)),2)*M78/LEFT(INDEX(CMLIGHTBASE[Measure Subgroup 2], MATCH(E78,CMLIGHTBASE[Base Desc 1],0)),2),0),IF(AND(OR(ISNUMBER(SEARCH("Fixture",O78)),ISNUMBER(SEARCH("Kit",O78))),K78&gt;=U78),U78*M78,K78*M78))))</f>
        <v/>
      </c>
      <c r="AZ78" s="802" t="str">
        <f>IF(OR(C78="",E78="",M78="",K78="",O78="",Y78="",R78="",AA78="",AH78="",AJ78="",AD78="", U78="",W78=""),"",IF(AND(K78&gt;=U78,ISNUMBER(SEARCH("Type",O78))),ROUND(U78*LEFT(INDEX(CMLIGHTBASE[Measure Subgroup 2], MATCH(E78,CMLIGHTBASE[Base Desc 1],0)),2)*Y78/W78,0),IF(AND(K78&lt;U78,ISNUMBER(SEARCH("Type",O78))),ROUND(K78*LEFT(INDEX(CMLIGHTBASE[Measure Subgroup 2], MATCH(E78,CMLIGHTBASE[Base Desc 1],0)),2)*Y78/W78,0),IF(OR(ISNUMBER(SEARCH("Fixture",O78)),ISNUMBER(SEARCH("Kit",O78))),U78*Y78))))</f>
        <v/>
      </c>
      <c r="BA78" s="800" t="str">
        <f>CONCATENATE(C78,"-","LED","-",O78)</f>
        <v>-LED-</v>
      </c>
      <c r="BB78" s="808" t="str">
        <f>IF(OR(C78="",E78="",M78="",K78="",O78="",Y78="",R78="",AA78="",AH78="",AJ78="",AD78="", U78="",W78=""),"",IF(AND(ISNUMBER(SEARCH("Other",E78)),OR(H78="",ISBLANK(H78),ISNUMBER(SEARCH("Description",H78)))),"",INDEX(PMELIGHTLIN[Measure '#],MATCH(BA78,PMELIGHTLIN[Measure Validator],0))))</f>
        <v/>
      </c>
      <c r="BC78" s="809" t="str">
        <f ca="1">IFERROR(IF(OR(C78="",AJ78=""),"",IF(BB78="","",IF(AND(AND(SUBLIGHTDATE1&lt;&gt;"No",SUBLIGHTDATE2&lt;&gt;"No",SUBLIGHTDATE3&lt;&gt;"No"),OR(M02S02F43&lt;=DATEVALUE("12/31/2021"),M02S02F43=""),OR(TODAY()&lt;=LIGHTING2021,ACTLIGHT&lt;&gt;"")),LIGHTRATE21*(INDEX(PMELIGHTLIN[Inc Rate Unit PA],MATCH(BA78,PMELIGHTLIN[Measure Validator],0))),INDEX(PMELIGHTLIN[Inc Rate Unit PA],MATCH(BA78,PMELIGHTLIN[Measure Validator],0))))),"")</f>
        <v/>
      </c>
      <c r="BD78" s="808">
        <f>IFERROR(IF(ISNUMBER(SEARCH("Type",O78)),(AY78-AZ78)*BC78,0),0)</f>
        <v>0</v>
      </c>
      <c r="BE78" s="796">
        <f ca="1">IFERROR((IF(ISNUMBER(SEARCH("Type",O78)),0,IF(K78&gt;=U78,((U78*M78)-(U78*Y78)),((K78*M78)-(U78*Y78)))))*BC78,0)</f>
        <v>0</v>
      </c>
      <c r="BF78" s="800" t="str">
        <f>IF(M02S02F44="Yes","Not Eligible",IF(OR(C78="",E78="",M78="",K78="",O78="",Y78="",R78="",AA78="",AH78="",AJ78="",AD78="", U78="",W78=""),"",IF(AND(ISNUMBER(SEARCH("Other",E78)),OR(H78="",ISBLANK(H78),ISNUMBER(SEARCH("Description",H78)))),"",IFERROR(IF(AD78&lt;INDEX(PMELIGHTLIN[Eff Watt 2],MATCH(BA78,PMELIGHTLIN[Measure Validator],0)),"Operating Hours Invalid",IF(ISNUMBER(SEARCH("SPILLOVER",AA78)),PROJSTATELI,IF((AW78-AX78)&lt;0,"No Savings",IF((AY78-AZ78)&lt;0,"No Incentive",IF(AF78&lt;50000,"Lamp Life Too Short",""))))),"ERROR"))))</f>
        <v/>
      </c>
      <c r="BG78" s="802" t="str">
        <f>IF(AND(ISBLANK(AH78),ISBLANK(AJ78)),"",IF(AND(ISNUMBER(SEARCH("Type",O78)),BD78&gt;AU78),"Yes",IF(AND(OR(ISNUMBER(SEARCH("Fixture",O78)),ISNUMBER(SEARCH("Kit",O78))),BE78&gt;AU78),"Yes","No")))</f>
        <v/>
      </c>
      <c r="BH78" s="796">
        <f>IF(M02S02F32&lt;&gt;"",INDEX(SPACEHEAT[HIF],MATCH(M02S02F32,SHEAT,0)),1)</f>
        <v>1</v>
      </c>
      <c r="BI78" s="1044">
        <f t="shared" ref="BI78" si="78">IFERROR(ROUND(BK78*1.1,2),0)</f>
        <v>0</v>
      </c>
      <c r="BJ78" s="1044" t="str">
        <f>IF(M02S02F44="","Update Install Status",IF(M02S02F49="Yes","Use New Load",IF(OR(C78="",E78="",M78="",K78="",O78="",Y78="",R78="",AA78="",AF78="",AH78="",AD78="",U78="",W78="",AJ78=""),"",IF(BF78&lt;&gt;"",BF78,ROUND(BI78*BONUSADJ,2)))))</f>
        <v>Update Install Status</v>
      </c>
      <c r="BK78" s="1044" t="str">
        <f>IF(M02S02F44="","Update Install Status",IF(M02S02F44="Yes","Submit as Fast Track",IF(M02S02F49="Yes","Use New Load",IF(OR(C78="",E78="",M78="",K78="",O78="",Y78="",R78="",AA78="",AF78="",AH78="",AD78="",U78="",W78="",AJ78=""),"",IF(BF78&lt;&gt;"",BF78,IF(ISNUMBER(SEARCH("Type",O78)),MIN(BD78,AU78),MIN(BE78,AU78)))))))</f>
        <v>Update Install Status</v>
      </c>
    </row>
    <row r="79" spans="2:63" ht="15.95" customHeight="1" x14ac:dyDescent="0.25">
      <c r="B79" s="873"/>
      <c r="C79" s="813"/>
      <c r="D79" s="814"/>
      <c r="E79" s="818"/>
      <c r="F79" s="819"/>
      <c r="G79" s="820"/>
      <c r="H79" s="824"/>
      <c r="I79" s="825"/>
      <c r="J79" s="826"/>
      <c r="K79" s="829"/>
      <c r="L79" s="830"/>
      <c r="M79" s="833"/>
      <c r="N79" s="834"/>
      <c r="O79" s="838"/>
      <c r="P79" s="839"/>
      <c r="Q79" s="840"/>
      <c r="R79" s="824"/>
      <c r="S79" s="825"/>
      <c r="T79" s="826"/>
      <c r="U79" s="824"/>
      <c r="V79" s="825"/>
      <c r="W79" s="845"/>
      <c r="X79" s="846"/>
      <c r="Y79" s="849"/>
      <c r="Z79" s="850"/>
      <c r="AA79" s="852"/>
      <c r="AB79" s="852"/>
      <c r="AC79" s="852"/>
      <c r="AD79" s="853"/>
      <c r="AE79" s="853"/>
      <c r="AF79" s="854"/>
      <c r="AG79" s="855"/>
      <c r="AH79" s="856"/>
      <c r="AI79" s="857"/>
      <c r="AJ79" s="857"/>
      <c r="AK79" s="867"/>
      <c r="AL79" s="869"/>
      <c r="AM79" s="870"/>
      <c r="AN79" s="870"/>
      <c r="AO79" s="872"/>
      <c r="AP79" s="872"/>
      <c r="AQ79" s="872"/>
      <c r="AS79" s="69"/>
      <c r="AT79" s="69"/>
      <c r="AU79" s="805"/>
      <c r="AV79" s="807"/>
      <c r="AW79" s="803"/>
      <c r="AX79" s="803"/>
      <c r="AY79" s="803"/>
      <c r="AZ79" s="803"/>
      <c r="BA79" s="801"/>
      <c r="BB79" s="797"/>
      <c r="BC79" s="810"/>
      <c r="BD79" s="797"/>
      <c r="BE79" s="797"/>
      <c r="BF79" s="801"/>
      <c r="BG79" s="803"/>
      <c r="BH79" s="797"/>
      <c r="BI79" s="1045"/>
      <c r="BJ79" s="1045"/>
      <c r="BK79" s="1045"/>
    </row>
    <row r="80" spans="2:63" ht="15.95" customHeight="1" x14ac:dyDescent="0.25">
      <c r="B80" s="873">
        <v>28</v>
      </c>
      <c r="C80" s="811"/>
      <c r="D80" s="812"/>
      <c r="E80" s="815"/>
      <c r="F80" s="816"/>
      <c r="G80" s="817"/>
      <c r="H80" s="861"/>
      <c r="I80" s="822"/>
      <c r="J80" s="823"/>
      <c r="K80" s="827"/>
      <c r="L80" s="828"/>
      <c r="M80" s="831" t="str">
        <f>IF(OR($E80="",ISNUMBER(SEARCH("Other",$E80))),"",INDEX(CMLIGHTBASE[Base Watt 1],MATCH($E80,CMLIGHTBASE[Base Desc 1],0)))</f>
        <v/>
      </c>
      <c r="N80" s="832"/>
      <c r="O80" s="835"/>
      <c r="P80" s="836"/>
      <c r="Q80" s="837"/>
      <c r="R80" s="861"/>
      <c r="S80" s="822"/>
      <c r="T80" s="823"/>
      <c r="U80" s="842"/>
      <c r="V80" s="822"/>
      <c r="W80" s="843" t="str">
        <f t="shared" ref="W80" si="79">IF(O80="","",IF(ISNUMBER(SEARCH("Type",O80)),"","N/A"))</f>
        <v/>
      </c>
      <c r="X80" s="844"/>
      <c r="Y80" s="847"/>
      <c r="Z80" s="848"/>
      <c r="AA80" s="862"/>
      <c r="AB80" s="852"/>
      <c r="AC80" s="852"/>
      <c r="AD80" s="853"/>
      <c r="AE80" s="853"/>
      <c r="AF80" s="854"/>
      <c r="AG80" s="855"/>
      <c r="AH80" s="856"/>
      <c r="AI80" s="857"/>
      <c r="AJ80" s="857"/>
      <c r="AK80" s="867"/>
      <c r="AL80" s="869" t="str">
        <f t="shared" ref="AL80" si="80">IF(OR(C80="",E80="",M80="",K80="",O80="",Y80="",R80="",AA80="",AH80="",AJ80="",AD80="",U80="",W80=""),"",IFERROR(ROUND(IF((AW80-AX80)&lt;=0,0,BH80*(AW80-AX80)),0),""))</f>
        <v/>
      </c>
      <c r="AM80" s="870"/>
      <c r="AN80" s="870"/>
      <c r="AO80" s="871" t="str">
        <f>IF(M02S02F44="","Update Install Status",IF(M02S02F44="Yes","Submit as Fast Track",IF(M02S02F49="Yes","Use New Load",IF(OR(C80="",E80="",M80="",K80="",O80="",Y80="",R80="",AA80="",AF80="",AH80="",AD80="",U80="",W80="",AJ80=""),"",IF(BF80&lt;&gt;"",BF80,IF(ISNUMBER(SEARCH("Type",O80)),MIN(BD80,AU80),MIN(BE80,AU80)))))))</f>
        <v>Update Install Status</v>
      </c>
      <c r="AP80" s="871"/>
      <c r="AQ80" s="871"/>
      <c r="AU80" s="804" t="str">
        <f>IF(OR(C80="",E80="",M80="",K80="",O80="",Y80="",R80="",AA80="",AH80="",AJ80="",AD80="", U80="",W80=""),"",IF(AND(ISNUMBER(SEARCH("Other",E80)),OR(H80="",ISBLANK(H80),ISNUMBER(SEARCH("Description",H80)))),"",(ROUND((AH80+AJ80)*U80,2))))</f>
        <v/>
      </c>
      <c r="AV80" s="806" t="str">
        <f>IF(OR(C80="",E80="",M80="",K80="",O80="",Y80="",R80="",AA80="",AH80="",AJ80="",AD80="", U80="",W80=""),"",IF(AND(ISNUMBER(SEARCH("Other",E80)),OR(H80="",ISBLANK(H80),ISNUMBER(SEARCH("Description",H80)))),"",ROUND(AL80*INDEX(ENDUSEALL[Factor],MATCH(IF(ISNUMBER(SEARCH("24/7",AA80)),"Miscellaneous","Lighting"),ENDUSEALL[End Use to Coincident Peak Demand Factors],0)),4)))</f>
        <v/>
      </c>
      <c r="AW80" s="802" t="str">
        <f>IF(OR(C80="",E80="",M80="",K80="",O80="",Y80="",R80="",AA80="",AH80="",AJ80="",AD80="", U80="",W80=""),"",IF(AND(ISNUMBER(SEARCH("Other",E80)),OR(H80="",ISBLANK(H80),ISNUMBER(SEARCH("Description",H80)))),"",ROUND(M80*AD80*K80/1000,0)))</f>
        <v/>
      </c>
      <c r="AX80" s="802" t="str">
        <f>IF(OR(C80="",E80="",M80="",K80="",O80="",Y80="",R80="",AA80="",AH80="",AJ80="",AD80="", U80="",W80=""),"",IF(AND(ISNUMBER(SEARCH("Other",E80)),OR(H80="",ISBLANK(H80),ISNUMBER(SEARCH("Description",H80)))),"",IF(ISNUMBER(SEARCH("Network",O80)),ROUND(0.76 *Y80*AD80*U80/1000,0),ROUND(Y80*AD80*U80/1000,0))))</f>
        <v/>
      </c>
      <c r="AY80" s="802" t="str">
        <f>IF(OR(C80="",E80="",M80="",K80="",O80="",Y80="",R80="",AA80="",AH80="",AJ80="",AD80="", U80="",W80=""),"",IF(AND(K80&gt;=U80,ISNUMBER(SEARCH("Type",O80))),ROUND(U80*LEFT(INDEX(CMLIGHTBASE[Measure Subgroup 2], MATCH(E80,CMLIGHTBASE[Base Desc 1],0)),2)*M80/LEFT(INDEX(CMLIGHTBASE[Measure Subgroup 2], MATCH(E80,CMLIGHTBASE[Base Desc 1],0)),2),0),IF(AND(K80&lt;U80,ISNUMBER(SEARCH("Type",O80))),ROUND(K80*LEFT(INDEX(CMLIGHTBASE[Measure Subgroup 2], MATCH(E80,CMLIGHTBASE[Base Desc 1],0)),2)*M80/LEFT(INDEX(CMLIGHTBASE[Measure Subgroup 2], MATCH(E80,CMLIGHTBASE[Base Desc 1],0)),2),0),IF(AND(OR(ISNUMBER(SEARCH("Fixture",O80)),ISNUMBER(SEARCH("Kit",O80))),K80&gt;=U80),U80*M80,K80*M80))))</f>
        <v/>
      </c>
      <c r="AZ80" s="802" t="str">
        <f>IF(OR(C80="",E80="",M80="",K80="",O80="",Y80="",R80="",AA80="",AH80="",AJ80="",AD80="", U80="",W80=""),"",IF(AND(K80&gt;=U80,ISNUMBER(SEARCH("Type",O80))),ROUND(U80*LEFT(INDEX(CMLIGHTBASE[Measure Subgroup 2], MATCH(E80,CMLIGHTBASE[Base Desc 1],0)),2)*Y80/W80,0),IF(AND(K80&lt;U80,ISNUMBER(SEARCH("Type",O80))),ROUND(K80*LEFT(INDEX(CMLIGHTBASE[Measure Subgroup 2], MATCH(E80,CMLIGHTBASE[Base Desc 1],0)),2)*Y80/W80,0),IF(OR(ISNUMBER(SEARCH("Fixture",O80)),ISNUMBER(SEARCH("Kit",O80))),U80*Y80))))</f>
        <v/>
      </c>
      <c r="BA80" s="800" t="str">
        <f>CONCATENATE(C80,"-","LED","-",O80)</f>
        <v>-LED-</v>
      </c>
      <c r="BB80" s="808" t="str">
        <f>IF(OR(C80="",E80="",M80="",K80="",O80="",Y80="",R80="",AA80="",AH80="",AJ80="",AD80="", U80="",W80=""),"",IF(AND(ISNUMBER(SEARCH("Other",E80)),OR(H80="",ISBLANK(H80),ISNUMBER(SEARCH("Description",H80)))),"",INDEX(PMELIGHTLIN[Measure '#],MATCH(BA80,PMELIGHTLIN[Measure Validator],0))))</f>
        <v/>
      </c>
      <c r="BC80" s="809" t="str">
        <f ca="1">IFERROR(IF(OR(C80="",AJ80=""),"",IF(BB80="","",IF(AND(AND(SUBLIGHTDATE1&lt;&gt;"No",SUBLIGHTDATE2&lt;&gt;"No",SUBLIGHTDATE3&lt;&gt;"No"),OR(M02S02F43&lt;=DATEVALUE("12/31/2021"),M02S02F43=""),OR(TODAY()&lt;=LIGHTING2021,ACTLIGHT&lt;&gt;"")),LIGHTRATE21*(INDEX(PMELIGHTLIN[Inc Rate Unit PA],MATCH(BA80,PMELIGHTLIN[Measure Validator],0))),INDEX(PMELIGHTLIN[Inc Rate Unit PA],MATCH(BA80,PMELIGHTLIN[Measure Validator],0))))),"")</f>
        <v/>
      </c>
      <c r="BD80" s="808">
        <f>IFERROR(IF(ISNUMBER(SEARCH("Type",O80)),(AY80-AZ80)*BC80,0),0)</f>
        <v>0</v>
      </c>
      <c r="BE80" s="796">
        <f ca="1">IFERROR((IF(ISNUMBER(SEARCH("Type",O80)),0,IF(K80&gt;=U80,((U80*M80)-(U80*Y80)),((K80*M80)-(U80*Y80)))))*BC80,0)</f>
        <v>0</v>
      </c>
      <c r="BF80" s="800" t="str">
        <f>IF(M02S02F44="Yes","Not Eligible",IF(OR(C80="",E80="",M80="",K80="",O80="",Y80="",R80="",AA80="",AH80="",AJ80="",AD80="", U80="",W80=""),"",IF(AND(ISNUMBER(SEARCH("Other",E80)),OR(H80="",ISBLANK(H80),ISNUMBER(SEARCH("Description",H80)))),"",IFERROR(IF(AD80&lt;INDEX(PMELIGHTLIN[Eff Watt 2],MATCH(BA80,PMELIGHTLIN[Measure Validator],0)),"Operating Hours Invalid",IF(ISNUMBER(SEARCH("SPILLOVER",AA80)),PROJSTATELI,IF((AW80-AX80)&lt;0,"No Savings",IF((AY80-AZ80)&lt;0,"No Incentive",IF(AF80&lt;50000,"Lamp Life Too Short",""))))),"ERROR"))))</f>
        <v/>
      </c>
      <c r="BG80" s="802" t="str">
        <f>IF(AND(ISBLANK(AH80),ISBLANK(AJ80)),"",IF(AND(ISNUMBER(SEARCH("Type",O80)),BD80&gt;AU80),"Yes",IF(AND(OR(ISNUMBER(SEARCH("Fixture",O80)),ISNUMBER(SEARCH("Kit",O80))),BE80&gt;AU80),"Yes","No")))</f>
        <v/>
      </c>
      <c r="BH80" s="796">
        <f>IF(M02S02F32&lt;&gt;"",INDEX(SPACEHEAT[HIF],MATCH(M02S02F32,SHEAT,0)),1)</f>
        <v>1</v>
      </c>
      <c r="BI80" s="1044">
        <f t="shared" ref="BI80" si="81">IFERROR(ROUND(BK80*1.1,2),0)</f>
        <v>0</v>
      </c>
      <c r="BJ80" s="1044" t="str">
        <f>IF(M02S02F44="","Update Install Status",IF(M02S02F49="Yes","Use New Load",IF(OR(C80="",E80="",M80="",K80="",O80="",Y80="",R80="",AA80="",AF80="",AH80="",AD80="",U80="",W80="",AJ80=""),"",IF(BF80&lt;&gt;"",BF80,ROUND(BI80*BONUSADJ,2)))))</f>
        <v>Update Install Status</v>
      </c>
      <c r="BK80" s="1044" t="str">
        <f>IF(M02S02F44="","Update Install Status",IF(M02S02F44="Yes","Submit as Fast Track",IF(M02S02F49="Yes","Use New Load",IF(OR(C80="",E80="",M80="",K80="",O80="",Y80="",R80="",AA80="",AF80="",AH80="",AD80="",U80="",W80="",AJ80=""),"",IF(BF80&lt;&gt;"",BF80,IF(ISNUMBER(SEARCH("Type",O80)),MIN(BD80,AU80),MIN(BE80,AU80)))))))</f>
        <v>Update Install Status</v>
      </c>
    </row>
    <row r="81" spans="2:63" ht="15.95" customHeight="1" thickBot="1" x14ac:dyDescent="0.3">
      <c r="B81" s="873"/>
      <c r="C81" s="813"/>
      <c r="D81" s="814"/>
      <c r="E81" s="818"/>
      <c r="F81" s="819"/>
      <c r="G81" s="820"/>
      <c r="H81" s="824"/>
      <c r="I81" s="825"/>
      <c r="J81" s="826"/>
      <c r="K81" s="829"/>
      <c r="L81" s="830"/>
      <c r="M81" s="833"/>
      <c r="N81" s="834"/>
      <c r="O81" s="838"/>
      <c r="P81" s="839"/>
      <c r="Q81" s="840"/>
      <c r="R81" s="824"/>
      <c r="S81" s="825"/>
      <c r="T81" s="826"/>
      <c r="U81" s="824"/>
      <c r="V81" s="825"/>
      <c r="W81" s="845"/>
      <c r="X81" s="846"/>
      <c r="Y81" s="849"/>
      <c r="Z81" s="850"/>
      <c r="AA81" s="852"/>
      <c r="AB81" s="852"/>
      <c r="AC81" s="852"/>
      <c r="AD81" s="853"/>
      <c r="AE81" s="853"/>
      <c r="AF81" s="863"/>
      <c r="AG81" s="864"/>
      <c r="AH81" s="865"/>
      <c r="AI81" s="866"/>
      <c r="AJ81" s="866"/>
      <c r="AK81" s="868"/>
      <c r="AL81" s="869"/>
      <c r="AM81" s="870"/>
      <c r="AN81" s="870"/>
      <c r="AO81" s="872"/>
      <c r="AP81" s="872"/>
      <c r="AQ81" s="872"/>
      <c r="AU81" s="805"/>
      <c r="AV81" s="807"/>
      <c r="AW81" s="803"/>
      <c r="AX81" s="803"/>
      <c r="AY81" s="803"/>
      <c r="AZ81" s="803"/>
      <c r="BA81" s="801"/>
      <c r="BB81" s="797"/>
      <c r="BC81" s="810"/>
      <c r="BD81" s="797"/>
      <c r="BE81" s="797"/>
      <c r="BF81" s="801"/>
      <c r="BG81" s="803"/>
      <c r="BH81" s="797"/>
      <c r="BI81" s="1045"/>
      <c r="BJ81" s="1045"/>
      <c r="BK81" s="1045"/>
    </row>
    <row r="82" spans="2:63" ht="15.95" customHeight="1" x14ac:dyDescent="0.25">
      <c r="B82" s="873"/>
      <c r="C82" s="874" t="s">
        <v>1392</v>
      </c>
      <c r="D82" s="874"/>
      <c r="E82" s="874" t="s">
        <v>1393</v>
      </c>
      <c r="F82" s="874"/>
      <c r="G82" s="874"/>
      <c r="H82" s="874" t="s">
        <v>1395</v>
      </c>
      <c r="I82" s="874"/>
      <c r="J82" s="874"/>
      <c r="K82" s="874" t="s">
        <v>1492</v>
      </c>
      <c r="L82" s="874"/>
      <c r="M82" s="874" t="s">
        <v>1365</v>
      </c>
      <c r="N82" s="874"/>
      <c r="O82" s="874" t="s">
        <v>1394</v>
      </c>
      <c r="P82" s="874"/>
      <c r="Q82" s="874"/>
      <c r="R82" s="874" t="s">
        <v>1364</v>
      </c>
      <c r="S82" s="874"/>
      <c r="T82" s="874"/>
      <c r="U82" s="874" t="s">
        <v>1489</v>
      </c>
      <c r="V82" s="874"/>
      <c r="W82" s="874" t="s">
        <v>1410</v>
      </c>
      <c r="X82" s="874"/>
      <c r="Y82" s="874" t="s">
        <v>1365</v>
      </c>
      <c r="Z82" s="874"/>
      <c r="AA82" s="874" t="s">
        <v>1357</v>
      </c>
      <c r="AB82" s="874"/>
      <c r="AC82" s="874"/>
      <c r="AD82" s="874" t="s">
        <v>1147</v>
      </c>
      <c r="AE82" s="874"/>
      <c r="AF82" s="878" t="s">
        <v>1927</v>
      </c>
      <c r="AG82" s="874"/>
      <c r="AH82" s="874" t="s">
        <v>1225</v>
      </c>
      <c r="AI82" s="874"/>
      <c r="AJ82" s="874" t="s">
        <v>1145</v>
      </c>
      <c r="AK82" s="874"/>
      <c r="AL82" s="874" t="s">
        <v>88</v>
      </c>
      <c r="AM82" s="874"/>
      <c r="AN82" s="874"/>
      <c r="AO82" s="874" t="s">
        <v>448</v>
      </c>
      <c r="AP82" s="874"/>
      <c r="AQ82" s="874"/>
      <c r="AU82" s="798" t="s">
        <v>191</v>
      </c>
      <c r="AV82" s="798" t="s">
        <v>192</v>
      </c>
      <c r="AW82" s="798" t="s">
        <v>207</v>
      </c>
      <c r="AX82" s="798" t="s">
        <v>193</v>
      </c>
      <c r="AY82" s="798" t="s">
        <v>1361</v>
      </c>
      <c r="AZ82" s="798" t="s">
        <v>1362</v>
      </c>
      <c r="BA82" s="798" t="s">
        <v>1228</v>
      </c>
      <c r="BB82" s="798" t="s">
        <v>125</v>
      </c>
      <c r="BC82" s="798" t="s">
        <v>1363</v>
      </c>
      <c r="BD82" s="874" t="s">
        <v>1655</v>
      </c>
      <c r="BE82" s="874" t="s">
        <v>1656</v>
      </c>
      <c r="BF82" s="798" t="s">
        <v>473</v>
      </c>
      <c r="BG82" s="798" t="s">
        <v>1352</v>
      </c>
      <c r="BH82" s="798" t="s">
        <v>2251</v>
      </c>
      <c r="BI82" s="1049" t="s">
        <v>2006</v>
      </c>
      <c r="BJ82" s="1049" t="s">
        <v>2007</v>
      </c>
      <c r="BK82" s="1049" t="s">
        <v>2008</v>
      </c>
    </row>
    <row r="83" spans="2:63" ht="15.95" customHeight="1" thickBot="1" x14ac:dyDescent="0.3">
      <c r="B83" s="873"/>
      <c r="C83" s="877"/>
      <c r="D83" s="877"/>
      <c r="E83" s="877"/>
      <c r="F83" s="877"/>
      <c r="G83" s="877"/>
      <c r="H83" s="877"/>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877"/>
      <c r="AK83" s="877"/>
      <c r="AL83" s="877"/>
      <c r="AM83" s="877"/>
      <c r="AN83" s="877"/>
      <c r="AO83" s="877"/>
      <c r="AP83" s="877"/>
      <c r="AQ83" s="877"/>
      <c r="AU83" s="799"/>
      <c r="AV83" s="799"/>
      <c r="AW83" s="799"/>
      <c r="AX83" s="799"/>
      <c r="AY83" s="799" t="s">
        <v>1360</v>
      </c>
      <c r="AZ83" s="799"/>
      <c r="BA83" s="799"/>
      <c r="BB83" s="799"/>
      <c r="BC83" s="799"/>
      <c r="BD83" s="875"/>
      <c r="BE83" s="875"/>
      <c r="BF83" s="799"/>
      <c r="BG83" s="799"/>
      <c r="BH83" s="799"/>
      <c r="BI83" s="1047"/>
      <c r="BJ83" s="1047"/>
      <c r="BK83" s="1047"/>
    </row>
    <row r="84" spans="2:63" ht="15.95" hidden="1" customHeight="1" x14ac:dyDescent="0.25">
      <c r="B84" s="873">
        <v>36</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6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63" ht="15.95" hidden="1" customHeight="1" x14ac:dyDescent="0.25">
      <c r="B86" s="873">
        <v>37</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6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63" ht="15.95" hidden="1" customHeight="1" x14ac:dyDescent="0.25">
      <c r="B88" s="873">
        <v>38</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6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63" ht="15.95" hidden="1" customHeight="1" x14ac:dyDescent="0.25">
      <c r="B90" s="873">
        <v>39</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6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63" ht="15.95" hidden="1" customHeight="1" x14ac:dyDescent="0.25">
      <c r="B92" s="873">
        <v>40</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6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63" ht="15.95" hidden="1" customHeight="1" x14ac:dyDescent="0.25">
      <c r="B94" s="873">
        <v>41</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6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63" ht="15.95" hidden="1" customHeight="1" x14ac:dyDescent="0.25">
      <c r="B96" s="873">
        <v>42</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43</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44</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45</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46</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47</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48</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49</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50</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51</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52</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53</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54</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55</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56</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57</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58</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59</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60</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61</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62</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63</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64</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65</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66</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67</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68</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69</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70</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71</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72</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73</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74</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75</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76</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77</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78</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79</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80</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v>81</v>
      </c>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v>82</v>
      </c>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v>83</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v>84</v>
      </c>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v>85</v>
      </c>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3" ht="15.95" hidden="1" customHeight="1" x14ac:dyDescent="0.25">
      <c r="B193" s="873">
        <v>86</v>
      </c>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3" ht="15.95" hidden="1" customHeight="1" x14ac:dyDescent="0.25">
      <c r="B194" s="87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3" ht="15.95" hidden="1" customHeight="1" x14ac:dyDescent="0.25">
      <c r="B195" s="873">
        <v>87</v>
      </c>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3" ht="15.95" hidden="1" customHeight="1" x14ac:dyDescent="0.25">
      <c r="B196" s="87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3" ht="15.95" hidden="1" customHeight="1" x14ac:dyDescent="0.25">
      <c r="B197" s="873">
        <v>88</v>
      </c>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3" ht="15.95" hidden="1" customHeight="1" x14ac:dyDescent="0.25">
      <c r="B198" s="87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3" ht="15.95" hidden="1" customHeight="1" x14ac:dyDescent="0.25">
      <c r="B199" s="304">
        <v>89</v>
      </c>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3"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SUM(AU20:AU199)</f>
        <v>0</v>
      </c>
      <c r="AV200" s="750">
        <f>SUM(AV20:AV199)</f>
        <v>0</v>
      </c>
      <c r="BI200" s="804">
        <f>SUM(BI20:BI199)</f>
        <v>0</v>
      </c>
      <c r="BJ200" s="804">
        <f>SUM(BJ20:BJ199)</f>
        <v>0</v>
      </c>
      <c r="BK200" s="804">
        <f>SUM(BK20:BK199)</f>
        <v>0</v>
      </c>
    </row>
    <row r="201" spans="2:63"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c r="BI201" s="805"/>
      <c r="BJ201" s="805"/>
      <c r="BK201" s="805"/>
    </row>
    <row r="202" spans="2:63"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3" ht="15.95" hidden="1" customHeight="1" x14ac:dyDescent="0.25"/>
    <row r="204" spans="2:63" ht="15.95" hidden="1" customHeight="1" x14ac:dyDescent="0.25"/>
    <row r="205" spans="2:63" ht="15.95" hidden="1" customHeight="1" x14ac:dyDescent="0.25"/>
    <row r="206" spans="2:63" ht="15.95" hidden="1" customHeight="1" x14ac:dyDescent="0.25"/>
    <row r="207" spans="2:63" ht="15.95" hidden="1" customHeight="1" x14ac:dyDescent="0.25"/>
    <row r="208" spans="2:63" ht="15.95" hidden="1" customHeight="1" x14ac:dyDescent="0.25"/>
    <row r="209" ht="15.95" hidden="1" customHeight="1" x14ac:dyDescent="0.25"/>
    <row r="210" ht="15.95" hidden="1" customHeight="1" x14ac:dyDescent="0.25"/>
    <row r="211" ht="15.95" hidden="1" customHeight="1" x14ac:dyDescent="0.25"/>
  </sheetData>
  <sheetProtection algorithmName="SHA-512" hashValue="ikwgGGbLykapM0ObVJig5qkBPo0T8AZpPfDORyRWFFC2wFbFhPeuSKjRDgQx67xXPoq5csGqxyXpKY1gwG/CbQ==" saltValue="ypZyazOkRZ2ZeCa4vPpswQ==" spinCount="100000" sheet="1" objects="1" scenarios="1" selectLockedCells="1"/>
  <mergeCells count="1199">
    <mergeCell ref="BK20:BK21"/>
    <mergeCell ref="BK22:BK23"/>
    <mergeCell ref="BK24:BK25"/>
    <mergeCell ref="BK26:BK27"/>
    <mergeCell ref="BK28:BK29"/>
    <mergeCell ref="BK30:BK31"/>
    <mergeCell ref="BK32:BK33"/>
    <mergeCell ref="BK34:BK35"/>
    <mergeCell ref="BK36:BK37"/>
    <mergeCell ref="BK38:BK39"/>
    <mergeCell ref="AH6:AI6"/>
    <mergeCell ref="BK72:BK73"/>
    <mergeCell ref="BK74:BK75"/>
    <mergeCell ref="BK76:BK77"/>
    <mergeCell ref="BK78:BK79"/>
    <mergeCell ref="BK40:BK41"/>
    <mergeCell ref="BK42:BK43"/>
    <mergeCell ref="BK44:BK45"/>
    <mergeCell ref="BK46:BK47"/>
    <mergeCell ref="BK48:BK49"/>
    <mergeCell ref="BK50:BK51"/>
    <mergeCell ref="BK52:BK53"/>
    <mergeCell ref="BK54:BK55"/>
    <mergeCell ref="BK56:BK57"/>
    <mergeCell ref="BI56:BI57"/>
    <mergeCell ref="BJ56:BJ57"/>
    <mergeCell ref="BI58:BI59"/>
    <mergeCell ref="BJ58:BJ59"/>
    <mergeCell ref="BI60:BI61"/>
    <mergeCell ref="BJ60:BJ61"/>
    <mergeCell ref="BI62:BI63"/>
    <mergeCell ref="BJ62:BJ63"/>
    <mergeCell ref="BK80:BK81"/>
    <mergeCell ref="BK82:BK83"/>
    <mergeCell ref="BK200:BK201"/>
    <mergeCell ref="BI74:BI75"/>
    <mergeCell ref="BJ74:BJ75"/>
    <mergeCell ref="BI76:BI77"/>
    <mergeCell ref="BJ76:BJ77"/>
    <mergeCell ref="BI78:BI79"/>
    <mergeCell ref="BJ78:BJ79"/>
    <mergeCell ref="BI80:BI81"/>
    <mergeCell ref="BJ80:BJ81"/>
    <mergeCell ref="BI82:BI83"/>
    <mergeCell ref="BJ82:BJ83"/>
    <mergeCell ref="BI200:BI201"/>
    <mergeCell ref="BJ200:BJ201"/>
    <mergeCell ref="BI72:BI73"/>
    <mergeCell ref="BJ72:BJ73"/>
    <mergeCell ref="BI64:BI65"/>
    <mergeCell ref="BJ64:BJ65"/>
    <mergeCell ref="BI66:BI67"/>
    <mergeCell ref="BJ66:BJ67"/>
    <mergeCell ref="BI68:BI69"/>
    <mergeCell ref="BJ68:BJ69"/>
    <mergeCell ref="BI70:BI71"/>
    <mergeCell ref="BJ70:BJ71"/>
    <mergeCell ref="BK58:BK59"/>
    <mergeCell ref="BK60:BK61"/>
    <mergeCell ref="BK62:BK63"/>
    <mergeCell ref="BK64:BK65"/>
    <mergeCell ref="BK66:BK67"/>
    <mergeCell ref="BK68:BK69"/>
    <mergeCell ref="BK70:BK71"/>
    <mergeCell ref="BI38:BI39"/>
    <mergeCell ref="BJ38:BJ39"/>
    <mergeCell ref="BI40:BI41"/>
    <mergeCell ref="BJ40:BJ41"/>
    <mergeCell ref="BI42:BI43"/>
    <mergeCell ref="BJ42:BJ43"/>
    <mergeCell ref="BI44:BI45"/>
    <mergeCell ref="BJ44:BJ45"/>
    <mergeCell ref="BI46:BI47"/>
    <mergeCell ref="BJ46:BJ47"/>
    <mergeCell ref="BI48:BI49"/>
    <mergeCell ref="BJ48:BJ49"/>
    <mergeCell ref="BI50:BI51"/>
    <mergeCell ref="BJ50:BJ51"/>
    <mergeCell ref="BI52:BI53"/>
    <mergeCell ref="BJ52:BJ53"/>
    <mergeCell ref="BI54:BI55"/>
    <mergeCell ref="BI20:BI21"/>
    <mergeCell ref="BJ20:BJ21"/>
    <mergeCell ref="BI22:BI23"/>
    <mergeCell ref="BJ22:BJ23"/>
    <mergeCell ref="BI24:BI25"/>
    <mergeCell ref="BJ24:BJ25"/>
    <mergeCell ref="BI26:BI27"/>
    <mergeCell ref="BJ26:BJ27"/>
    <mergeCell ref="BI28:BI29"/>
    <mergeCell ref="BJ28:BJ29"/>
    <mergeCell ref="BI30:BI31"/>
    <mergeCell ref="BJ30:BJ31"/>
    <mergeCell ref="BI32:BI33"/>
    <mergeCell ref="BJ32:BJ33"/>
    <mergeCell ref="BI34:BI35"/>
    <mergeCell ref="BJ34:BJ35"/>
    <mergeCell ref="BI36:BI37"/>
    <mergeCell ref="BJ36:BJ37"/>
    <mergeCell ref="BJ54:BJ55"/>
    <mergeCell ref="AW22:AW23"/>
    <mergeCell ref="B126:B127"/>
    <mergeCell ref="BE66:BE67"/>
    <mergeCell ref="BE68:BE69"/>
    <mergeCell ref="BE70:BE71"/>
    <mergeCell ref="BE72:BE73"/>
    <mergeCell ref="BE74:BE75"/>
    <mergeCell ref="BE76:BE77"/>
    <mergeCell ref="BE78:BE79"/>
    <mergeCell ref="BE80:BE81"/>
    <mergeCell ref="BE82:BE83"/>
    <mergeCell ref="AH19:AK19"/>
    <mergeCell ref="AL19:AQ19"/>
    <mergeCell ref="BE32:BE33"/>
    <mergeCell ref="BE34:BE35"/>
    <mergeCell ref="BE36:BE37"/>
    <mergeCell ref="BE38:BE39"/>
    <mergeCell ref="BE40:BE41"/>
    <mergeCell ref="BE42:BE43"/>
    <mergeCell ref="BE44:BE45"/>
    <mergeCell ref="BE46:BE47"/>
    <mergeCell ref="BE48:BE49"/>
    <mergeCell ref="BE50:BE51"/>
    <mergeCell ref="BE52:BE53"/>
    <mergeCell ref="BE54:BE55"/>
    <mergeCell ref="BE56:BE57"/>
    <mergeCell ref="BE58:BE59"/>
    <mergeCell ref="BE60:BE61"/>
    <mergeCell ref="BE62:BE63"/>
    <mergeCell ref="BE64:BE65"/>
    <mergeCell ref="AY20:AY21"/>
    <mergeCell ref="AY19:AZ19"/>
    <mergeCell ref="B102:B103"/>
    <mergeCell ref="AU200:AU201"/>
    <mergeCell ref="AV200:AV201"/>
    <mergeCell ref="Q1:R1"/>
    <mergeCell ref="U1:V1"/>
    <mergeCell ref="Y1:Z1"/>
    <mergeCell ref="M200:AG201"/>
    <mergeCell ref="B168:B169"/>
    <mergeCell ref="B170:B171"/>
    <mergeCell ref="B148:B149"/>
    <mergeCell ref="B150:B151"/>
    <mergeCell ref="B152:B153"/>
    <mergeCell ref="B154:B155"/>
    <mergeCell ref="B156:B157"/>
    <mergeCell ref="B158:B159"/>
    <mergeCell ref="B160:B161"/>
    <mergeCell ref="B162:B163"/>
    <mergeCell ref="B164:B165"/>
    <mergeCell ref="B166:B167"/>
    <mergeCell ref="B94:B95"/>
    <mergeCell ref="B96:B97"/>
    <mergeCell ref="B144:B145"/>
    <mergeCell ref="B146:B147"/>
    <mergeCell ref="B193:B194"/>
    <mergeCell ref="B195:B196"/>
    <mergeCell ref="B197:B198"/>
    <mergeCell ref="B172:B182"/>
    <mergeCell ref="B183:B184"/>
    <mergeCell ref="B185:B186"/>
    <mergeCell ref="B187:B188"/>
    <mergeCell ref="B189:B190"/>
    <mergeCell ref="B191:B192"/>
    <mergeCell ref="C38:D39"/>
    <mergeCell ref="B128:B129"/>
    <mergeCell ref="B130:B131"/>
    <mergeCell ref="B132:B133"/>
    <mergeCell ref="B134:B135"/>
    <mergeCell ref="B136:B137"/>
    <mergeCell ref="B138:B139"/>
    <mergeCell ref="B140:B141"/>
    <mergeCell ref="B142:B143"/>
    <mergeCell ref="B124:B125"/>
    <mergeCell ref="AH1:AK1"/>
    <mergeCell ref="AL1:AP1"/>
    <mergeCell ref="AH2:AK3"/>
    <mergeCell ref="AL2:AP3"/>
    <mergeCell ref="AO34:AQ35"/>
    <mergeCell ref="AO38:AQ39"/>
    <mergeCell ref="R12:U13"/>
    <mergeCell ref="V12:Y13"/>
    <mergeCell ref="Z12:AC13"/>
    <mergeCell ref="AO20:AQ21"/>
    <mergeCell ref="AQ1:AR1"/>
    <mergeCell ref="AQ2:AR3"/>
    <mergeCell ref="R11:U11"/>
    <mergeCell ref="V11:Y11"/>
    <mergeCell ref="Z11:AC11"/>
    <mergeCell ref="B76:B77"/>
    <mergeCell ref="B114:B115"/>
    <mergeCell ref="B116:B117"/>
    <mergeCell ref="B118:B119"/>
    <mergeCell ref="B120:B121"/>
    <mergeCell ref="B122:B123"/>
    <mergeCell ref="B100:B101"/>
    <mergeCell ref="AH30:AI31"/>
    <mergeCell ref="B104:B105"/>
    <mergeCell ref="B106:B107"/>
    <mergeCell ref="B108:B109"/>
    <mergeCell ref="B110:B111"/>
    <mergeCell ref="B98:B99"/>
    <mergeCell ref="B78:B79"/>
    <mergeCell ref="B80:B81"/>
    <mergeCell ref="B82:B83"/>
    <mergeCell ref="B84:B85"/>
    <mergeCell ref="B86:B87"/>
    <mergeCell ref="B112:B113"/>
    <mergeCell ref="B88:B89"/>
    <mergeCell ref="B90:B91"/>
    <mergeCell ref="B92:B93"/>
    <mergeCell ref="C19:L19"/>
    <mergeCell ref="O19:AD19"/>
    <mergeCell ref="C20:D21"/>
    <mergeCell ref="E20:G21"/>
    <mergeCell ref="H20:J21"/>
    <mergeCell ref="K20:L21"/>
    <mergeCell ref="M20:N21"/>
    <mergeCell ref="O20:Q21"/>
    <mergeCell ref="R20:T21"/>
    <mergeCell ref="U20:V21"/>
    <mergeCell ref="W20:X21"/>
    <mergeCell ref="Y20:Z21"/>
    <mergeCell ref="AA20:AC21"/>
    <mergeCell ref="AD20:AE21"/>
    <mergeCell ref="C30:D31"/>
    <mergeCell ref="E30:G31"/>
    <mergeCell ref="H30:J31"/>
    <mergeCell ref="W32:X33"/>
    <mergeCell ref="Y32:Z33"/>
    <mergeCell ref="AA32:AC33"/>
    <mergeCell ref="AD32:AE33"/>
    <mergeCell ref="AF32:AG33"/>
    <mergeCell ref="M22:N23"/>
    <mergeCell ref="O22:Q23"/>
    <mergeCell ref="R22:T23"/>
    <mergeCell ref="U22:V23"/>
    <mergeCell ref="W22:X23"/>
    <mergeCell ref="Y22:Z23"/>
    <mergeCell ref="AA22:AC23"/>
    <mergeCell ref="AD22:AE23"/>
    <mergeCell ref="AF22:AG23"/>
    <mergeCell ref="K30:L31"/>
    <mergeCell ref="M30:N31"/>
    <mergeCell ref="O30:Q31"/>
    <mergeCell ref="R30:T31"/>
    <mergeCell ref="U30:V31"/>
    <mergeCell ref="W30:X31"/>
    <mergeCell ref="Y30:Z31"/>
    <mergeCell ref="AA30:AC31"/>
    <mergeCell ref="AD30:AE31"/>
    <mergeCell ref="AF30:AG31"/>
    <mergeCell ref="AZ20:AZ21"/>
    <mergeCell ref="BA20:BA21"/>
    <mergeCell ref="BB20:BB21"/>
    <mergeCell ref="BD22:BD23"/>
    <mergeCell ref="BF22:BF23"/>
    <mergeCell ref="BG22:BG23"/>
    <mergeCell ref="C24:D25"/>
    <mergeCell ref="E24:G25"/>
    <mergeCell ref="H24:J25"/>
    <mergeCell ref="K24:L25"/>
    <mergeCell ref="M24:N25"/>
    <mergeCell ref="O24:Q25"/>
    <mergeCell ref="R24:T25"/>
    <mergeCell ref="U24:V25"/>
    <mergeCell ref="W24:X25"/>
    <mergeCell ref="Y24:Z25"/>
    <mergeCell ref="AA24:AC25"/>
    <mergeCell ref="AD24:AE25"/>
    <mergeCell ref="AF24:AG25"/>
    <mergeCell ref="AH24:AI25"/>
    <mergeCell ref="AJ24:AK25"/>
    <mergeCell ref="AL24:AN25"/>
    <mergeCell ref="AJ20:AK21"/>
    <mergeCell ref="AL20:AN21"/>
    <mergeCell ref="BC20:BC21"/>
    <mergeCell ref="AU20:AU21"/>
    <mergeCell ref="AV20:AV21"/>
    <mergeCell ref="AW20:AW21"/>
    <mergeCell ref="AX20:AX21"/>
    <mergeCell ref="AF20:AG21"/>
    <mergeCell ref="AH20:AI21"/>
    <mergeCell ref="AV22:AV23"/>
    <mergeCell ref="BE26:BE27"/>
    <mergeCell ref="BC24:BC25"/>
    <mergeCell ref="BD24:BD25"/>
    <mergeCell ref="BF24:BF25"/>
    <mergeCell ref="BG24:BG25"/>
    <mergeCell ref="BF20:BF21"/>
    <mergeCell ref="BG20:BG21"/>
    <mergeCell ref="C22:D23"/>
    <mergeCell ref="E22:G23"/>
    <mergeCell ref="H22:J23"/>
    <mergeCell ref="K22:L23"/>
    <mergeCell ref="AO24:AQ25"/>
    <mergeCell ref="AU24:AU25"/>
    <mergeCell ref="AV24:AV25"/>
    <mergeCell ref="AW24:AW25"/>
    <mergeCell ref="AX24:AX25"/>
    <mergeCell ref="AY24:AY25"/>
    <mergeCell ref="AZ24:AZ25"/>
    <mergeCell ref="BA24:BA25"/>
    <mergeCell ref="BB24:BB25"/>
    <mergeCell ref="AY22:AY23"/>
    <mergeCell ref="AZ22:AZ23"/>
    <mergeCell ref="BA22:BA23"/>
    <mergeCell ref="BB22:BB23"/>
    <mergeCell ref="BC22:BC23"/>
    <mergeCell ref="BE20:BE21"/>
    <mergeCell ref="AH22:AI23"/>
    <mergeCell ref="AJ22:AK23"/>
    <mergeCell ref="AL22:AN23"/>
    <mergeCell ref="AO22:AQ23"/>
    <mergeCell ref="AU22:AU23"/>
    <mergeCell ref="AX22:AX23"/>
    <mergeCell ref="BD26:BD27"/>
    <mergeCell ref="C26:D27"/>
    <mergeCell ref="E26:G27"/>
    <mergeCell ref="H26:J27"/>
    <mergeCell ref="K26:L27"/>
    <mergeCell ref="M26:N27"/>
    <mergeCell ref="O26:Q27"/>
    <mergeCell ref="R26:T27"/>
    <mergeCell ref="U26:V27"/>
    <mergeCell ref="W26:X27"/>
    <mergeCell ref="Y26:Z27"/>
    <mergeCell ref="AA26:AC27"/>
    <mergeCell ref="AD26:AE27"/>
    <mergeCell ref="AF26:AG27"/>
    <mergeCell ref="AH26:AI27"/>
    <mergeCell ref="AJ26:AK27"/>
    <mergeCell ref="AL26:AN27"/>
    <mergeCell ref="AO26:AQ27"/>
    <mergeCell ref="AU26:AU27"/>
    <mergeCell ref="BF26:BF27"/>
    <mergeCell ref="BG26:BG27"/>
    <mergeCell ref="C28:D29"/>
    <mergeCell ref="E28:G29"/>
    <mergeCell ref="H28:J29"/>
    <mergeCell ref="K28:L29"/>
    <mergeCell ref="M28:N29"/>
    <mergeCell ref="O28:Q29"/>
    <mergeCell ref="R28:T29"/>
    <mergeCell ref="U28:V29"/>
    <mergeCell ref="W28:X29"/>
    <mergeCell ref="Y28:Z29"/>
    <mergeCell ref="AA28:AC29"/>
    <mergeCell ref="AD28:AE29"/>
    <mergeCell ref="AF28:AG29"/>
    <mergeCell ref="AH28:AI29"/>
    <mergeCell ref="AJ28:AK29"/>
    <mergeCell ref="AL28:AN29"/>
    <mergeCell ref="AO28:AQ29"/>
    <mergeCell ref="AU28:AU29"/>
    <mergeCell ref="AV28:AV29"/>
    <mergeCell ref="AW28:AW29"/>
    <mergeCell ref="AX28:AX29"/>
    <mergeCell ref="AY28:AY29"/>
    <mergeCell ref="AV26:AV27"/>
    <mergeCell ref="AW26:AW27"/>
    <mergeCell ref="AX26:AX27"/>
    <mergeCell ref="AY26:AY27"/>
    <mergeCell ref="AZ26:AZ27"/>
    <mergeCell ref="BA26:BA27"/>
    <mergeCell ref="BB26:BB27"/>
    <mergeCell ref="BC26:BC27"/>
    <mergeCell ref="AJ30:AK31"/>
    <mergeCell ref="AL30:AN31"/>
    <mergeCell ref="AO30:AQ31"/>
    <mergeCell ref="BD30:BD31"/>
    <mergeCell ref="BF30:BF31"/>
    <mergeCell ref="BG30:BG31"/>
    <mergeCell ref="AU30:AU31"/>
    <mergeCell ref="AV30:AV31"/>
    <mergeCell ref="AW30:AW31"/>
    <mergeCell ref="AX30:AX31"/>
    <mergeCell ref="AY30:AY31"/>
    <mergeCell ref="AZ30:AZ31"/>
    <mergeCell ref="BA30:BA31"/>
    <mergeCell ref="BB30:BB31"/>
    <mergeCell ref="BC30:BC31"/>
    <mergeCell ref="AZ28:AZ29"/>
    <mergeCell ref="BA28:BA29"/>
    <mergeCell ref="BB28:BB29"/>
    <mergeCell ref="BC28:BC29"/>
    <mergeCell ref="BD28:BD29"/>
    <mergeCell ref="BF28:BF29"/>
    <mergeCell ref="BG28:BG29"/>
    <mergeCell ref="BE28:BE29"/>
    <mergeCell ref="BE30:BE31"/>
    <mergeCell ref="BD32:BD33"/>
    <mergeCell ref="BF32:BF33"/>
    <mergeCell ref="BG32:BG33"/>
    <mergeCell ref="C34:D35"/>
    <mergeCell ref="E34:G35"/>
    <mergeCell ref="H34:J35"/>
    <mergeCell ref="K34:L35"/>
    <mergeCell ref="M34:N35"/>
    <mergeCell ref="O34:Q35"/>
    <mergeCell ref="R34:T35"/>
    <mergeCell ref="U34:V35"/>
    <mergeCell ref="W34:X35"/>
    <mergeCell ref="Y34:Z35"/>
    <mergeCell ref="AA34:AC35"/>
    <mergeCell ref="AD34:AE35"/>
    <mergeCell ref="AF34:AG35"/>
    <mergeCell ref="AH34:AI35"/>
    <mergeCell ref="AJ34:AK35"/>
    <mergeCell ref="AL34:AN35"/>
    <mergeCell ref="BD34:BD35"/>
    <mergeCell ref="BF34:BF35"/>
    <mergeCell ref="BA32:BA33"/>
    <mergeCell ref="BB32:BB33"/>
    <mergeCell ref="BC32:BC33"/>
    <mergeCell ref="C32:D33"/>
    <mergeCell ref="E32:G33"/>
    <mergeCell ref="H32:J33"/>
    <mergeCell ref="K32:L33"/>
    <mergeCell ref="M32:N33"/>
    <mergeCell ref="O32:Q33"/>
    <mergeCell ref="R32:T33"/>
    <mergeCell ref="U32:V33"/>
    <mergeCell ref="E38:G39"/>
    <mergeCell ref="H38:J39"/>
    <mergeCell ref="K38:L39"/>
    <mergeCell ref="M38:N39"/>
    <mergeCell ref="O38:Q39"/>
    <mergeCell ref="R38:T39"/>
    <mergeCell ref="U38:V39"/>
    <mergeCell ref="W38:X39"/>
    <mergeCell ref="BG34:BG35"/>
    <mergeCell ref="AH32:AI33"/>
    <mergeCell ref="AJ32:AK33"/>
    <mergeCell ref="AL32:AN33"/>
    <mergeCell ref="AO32:AQ33"/>
    <mergeCell ref="AU32:AU33"/>
    <mergeCell ref="AV32:AV33"/>
    <mergeCell ref="AW32:AW33"/>
    <mergeCell ref="AX32:AX33"/>
    <mergeCell ref="AU34:AU35"/>
    <mergeCell ref="AV34:AV35"/>
    <mergeCell ref="AW34:AW35"/>
    <mergeCell ref="AX34:AX35"/>
    <mergeCell ref="AY34:AY35"/>
    <mergeCell ref="AZ34:AZ35"/>
    <mergeCell ref="BA34:BA35"/>
    <mergeCell ref="BB34:BB35"/>
    <mergeCell ref="BC34:BC35"/>
    <mergeCell ref="AY32:AY33"/>
    <mergeCell ref="AZ32:AZ33"/>
    <mergeCell ref="Y38:Z39"/>
    <mergeCell ref="AA38:AC39"/>
    <mergeCell ref="AD38:AE39"/>
    <mergeCell ref="AF38:AG39"/>
    <mergeCell ref="C36:D37"/>
    <mergeCell ref="E36:G37"/>
    <mergeCell ref="H36:J37"/>
    <mergeCell ref="K36:L37"/>
    <mergeCell ref="M36:N37"/>
    <mergeCell ref="O36:Q37"/>
    <mergeCell ref="R36:T37"/>
    <mergeCell ref="U36:V37"/>
    <mergeCell ref="W36:X37"/>
    <mergeCell ref="Y36:Z37"/>
    <mergeCell ref="AA36:AC37"/>
    <mergeCell ref="AD36:AE37"/>
    <mergeCell ref="AF36:AG37"/>
    <mergeCell ref="AH36:AI37"/>
    <mergeCell ref="AJ36:AK37"/>
    <mergeCell ref="AL36:AN37"/>
    <mergeCell ref="AO36:AQ37"/>
    <mergeCell ref="AH38:AI39"/>
    <mergeCell ref="AJ38:AK39"/>
    <mergeCell ref="AL38:AN39"/>
    <mergeCell ref="BD38:BD39"/>
    <mergeCell ref="K40:L41"/>
    <mergeCell ref="M40:N41"/>
    <mergeCell ref="O40:Q41"/>
    <mergeCell ref="R40:T41"/>
    <mergeCell ref="U40:V41"/>
    <mergeCell ref="W40:X41"/>
    <mergeCell ref="Y40:Z41"/>
    <mergeCell ref="AA40:AC41"/>
    <mergeCell ref="AD40:AE41"/>
    <mergeCell ref="AF40:AG41"/>
    <mergeCell ref="AH40:AI41"/>
    <mergeCell ref="AJ40:AK41"/>
    <mergeCell ref="AL40:AN41"/>
    <mergeCell ref="AO40:AQ41"/>
    <mergeCell ref="BC38:BC39"/>
    <mergeCell ref="BD36:BD37"/>
    <mergeCell ref="BF36:BF37"/>
    <mergeCell ref="BG36:BG37"/>
    <mergeCell ref="BF38:BF39"/>
    <mergeCell ref="BG38:BG39"/>
    <mergeCell ref="AU36:AU37"/>
    <mergeCell ref="AV36:AV37"/>
    <mergeCell ref="AW36:AW37"/>
    <mergeCell ref="AX36:AX37"/>
    <mergeCell ref="AU40:AU41"/>
    <mergeCell ref="AV40:AV41"/>
    <mergeCell ref="AW40:AW41"/>
    <mergeCell ref="AX40:AX41"/>
    <mergeCell ref="AU38:AU39"/>
    <mergeCell ref="AV38:AV39"/>
    <mergeCell ref="AW38:AW39"/>
    <mergeCell ref="AX38:AX39"/>
    <mergeCell ref="AY38:AY39"/>
    <mergeCell ref="AZ38:AZ39"/>
    <mergeCell ref="BA38:BA39"/>
    <mergeCell ref="BB38:BB39"/>
    <mergeCell ref="BG40:BG41"/>
    <mergeCell ref="AY36:AY37"/>
    <mergeCell ref="AZ36:AZ37"/>
    <mergeCell ref="BA36:BA37"/>
    <mergeCell ref="BB36:BB37"/>
    <mergeCell ref="BC36:BC37"/>
    <mergeCell ref="C42:D43"/>
    <mergeCell ref="E42:G43"/>
    <mergeCell ref="H42:J43"/>
    <mergeCell ref="K42:L43"/>
    <mergeCell ref="M42:N43"/>
    <mergeCell ref="O42:Q43"/>
    <mergeCell ref="R42:T43"/>
    <mergeCell ref="U42:V43"/>
    <mergeCell ref="W42:X43"/>
    <mergeCell ref="Y42:Z43"/>
    <mergeCell ref="AA42:AC43"/>
    <mergeCell ref="AD42:AE43"/>
    <mergeCell ref="AF42:AG43"/>
    <mergeCell ref="AH42:AI43"/>
    <mergeCell ref="AJ42:AK43"/>
    <mergeCell ref="AL42:AN43"/>
    <mergeCell ref="C40:D41"/>
    <mergeCell ref="E40:G41"/>
    <mergeCell ref="H40:J41"/>
    <mergeCell ref="BA42:BA43"/>
    <mergeCell ref="BB42:BB43"/>
    <mergeCell ref="AY40:AY41"/>
    <mergeCell ref="AZ40:AZ41"/>
    <mergeCell ref="BA40:BA41"/>
    <mergeCell ref="BB40:BB41"/>
    <mergeCell ref="BC40:BC41"/>
    <mergeCell ref="BD40:BD41"/>
    <mergeCell ref="BF40:BF41"/>
    <mergeCell ref="AX44:AX45"/>
    <mergeCell ref="AY44:AY45"/>
    <mergeCell ref="AZ44:AZ45"/>
    <mergeCell ref="BA44:BA45"/>
    <mergeCell ref="BB44:BB45"/>
    <mergeCell ref="BC44:BC45"/>
    <mergeCell ref="BD44:BD45"/>
    <mergeCell ref="BF44:BF45"/>
    <mergeCell ref="BG44:BG45"/>
    <mergeCell ref="BC42:BC43"/>
    <mergeCell ref="BD42:BD43"/>
    <mergeCell ref="BF42:BF43"/>
    <mergeCell ref="BG42:BG43"/>
    <mergeCell ref="C44:D45"/>
    <mergeCell ref="E44:G45"/>
    <mergeCell ref="H44:J45"/>
    <mergeCell ref="K44:L45"/>
    <mergeCell ref="M44:N45"/>
    <mergeCell ref="O44:Q45"/>
    <mergeCell ref="R44:T45"/>
    <mergeCell ref="U44:V45"/>
    <mergeCell ref="W44:X45"/>
    <mergeCell ref="Y44:Z45"/>
    <mergeCell ref="AA44:AC45"/>
    <mergeCell ref="AD44:AE45"/>
    <mergeCell ref="AF44:AG45"/>
    <mergeCell ref="AH44:AI45"/>
    <mergeCell ref="AJ44:AK45"/>
    <mergeCell ref="AL44:AN45"/>
    <mergeCell ref="AO44:AQ45"/>
    <mergeCell ref="AU44:AU45"/>
    <mergeCell ref="AV44:AV45"/>
    <mergeCell ref="AW44:AW45"/>
    <mergeCell ref="AO42:AQ43"/>
    <mergeCell ref="AU42:AU43"/>
    <mergeCell ref="AV42:AV43"/>
    <mergeCell ref="AW42:AW43"/>
    <mergeCell ref="AX42:AX43"/>
    <mergeCell ref="AY42:AY43"/>
    <mergeCell ref="AZ42:AZ43"/>
    <mergeCell ref="BD46:BD47"/>
    <mergeCell ref="Y46:Z47"/>
    <mergeCell ref="AA46:AC47"/>
    <mergeCell ref="AD46:AE47"/>
    <mergeCell ref="AF46:AG47"/>
    <mergeCell ref="AH46:AI47"/>
    <mergeCell ref="AJ46:AK47"/>
    <mergeCell ref="AL46:AN47"/>
    <mergeCell ref="AO46:AQ47"/>
    <mergeCell ref="AU46:AU47"/>
    <mergeCell ref="C46:D47"/>
    <mergeCell ref="E46:G47"/>
    <mergeCell ref="H46:J47"/>
    <mergeCell ref="K46:L47"/>
    <mergeCell ref="M46:N47"/>
    <mergeCell ref="O46:Q47"/>
    <mergeCell ref="R46:T47"/>
    <mergeCell ref="U46:V47"/>
    <mergeCell ref="W46:X47"/>
    <mergeCell ref="BF46:BF47"/>
    <mergeCell ref="BG46:BG47"/>
    <mergeCell ref="C48:D49"/>
    <mergeCell ref="E48:G49"/>
    <mergeCell ref="H48:J49"/>
    <mergeCell ref="K48:L49"/>
    <mergeCell ref="M48:N49"/>
    <mergeCell ref="O48:Q49"/>
    <mergeCell ref="R48:T49"/>
    <mergeCell ref="U48:V49"/>
    <mergeCell ref="W48:X49"/>
    <mergeCell ref="Y48:Z49"/>
    <mergeCell ref="AA48:AC49"/>
    <mergeCell ref="AD48:AE49"/>
    <mergeCell ref="AF48:AG49"/>
    <mergeCell ref="AH48:AI49"/>
    <mergeCell ref="AJ48:AK49"/>
    <mergeCell ref="AL48:AN49"/>
    <mergeCell ref="AO48:AQ49"/>
    <mergeCell ref="AU48:AU49"/>
    <mergeCell ref="AV48:AV49"/>
    <mergeCell ref="AW48:AW49"/>
    <mergeCell ref="AX48:AX49"/>
    <mergeCell ref="AY48:AY49"/>
    <mergeCell ref="AV46:AV47"/>
    <mergeCell ref="AW46:AW47"/>
    <mergeCell ref="AX46:AX47"/>
    <mergeCell ref="AY46:AY47"/>
    <mergeCell ref="AZ46:AZ47"/>
    <mergeCell ref="BA46:BA47"/>
    <mergeCell ref="BB46:BB47"/>
    <mergeCell ref="BC46:BC47"/>
    <mergeCell ref="BD48:BD49"/>
    <mergeCell ref="BF48:BF49"/>
    <mergeCell ref="BG48:BG49"/>
    <mergeCell ref="C50:D51"/>
    <mergeCell ref="E50:G51"/>
    <mergeCell ref="H50:J51"/>
    <mergeCell ref="K50:L51"/>
    <mergeCell ref="M50:N51"/>
    <mergeCell ref="O50:Q51"/>
    <mergeCell ref="R50:T51"/>
    <mergeCell ref="U50:V51"/>
    <mergeCell ref="W50:X51"/>
    <mergeCell ref="Y50:Z51"/>
    <mergeCell ref="AA50:AC51"/>
    <mergeCell ref="AD50:AE51"/>
    <mergeCell ref="AF50:AG51"/>
    <mergeCell ref="AH50:AI51"/>
    <mergeCell ref="AJ50:AK51"/>
    <mergeCell ref="AL50:AN51"/>
    <mergeCell ref="AO50:AQ51"/>
    <mergeCell ref="BD50:BD51"/>
    <mergeCell ref="BF50:BF51"/>
    <mergeCell ref="BG50:BG51"/>
    <mergeCell ref="R52:T53"/>
    <mergeCell ref="U52:V53"/>
    <mergeCell ref="W52:X53"/>
    <mergeCell ref="Y52:Z53"/>
    <mergeCell ref="AA52:AC53"/>
    <mergeCell ref="AD52:AE53"/>
    <mergeCell ref="AF52:AG53"/>
    <mergeCell ref="AH52:AI53"/>
    <mergeCell ref="AJ52:AK53"/>
    <mergeCell ref="AL52:AN53"/>
    <mergeCell ref="AO52:AQ53"/>
    <mergeCell ref="BC50:BC51"/>
    <mergeCell ref="AZ48:AZ49"/>
    <mergeCell ref="BA48:BA49"/>
    <mergeCell ref="BB48:BB49"/>
    <mergeCell ref="BC48:BC49"/>
    <mergeCell ref="AU52:AU53"/>
    <mergeCell ref="AV52:AV53"/>
    <mergeCell ref="AW52:AW53"/>
    <mergeCell ref="AX52:AX53"/>
    <mergeCell ref="AU50:AU51"/>
    <mergeCell ref="AV50:AV51"/>
    <mergeCell ref="AW50:AW51"/>
    <mergeCell ref="AX50:AX51"/>
    <mergeCell ref="AY50:AY51"/>
    <mergeCell ref="AZ50:AZ51"/>
    <mergeCell ref="BA50:BA51"/>
    <mergeCell ref="BB50:BB51"/>
    <mergeCell ref="BG52:BG53"/>
    <mergeCell ref="C54:D55"/>
    <mergeCell ref="E54:G55"/>
    <mergeCell ref="H54:J55"/>
    <mergeCell ref="K54:L55"/>
    <mergeCell ref="M54:N55"/>
    <mergeCell ref="O54:Q55"/>
    <mergeCell ref="R54:T55"/>
    <mergeCell ref="U54:V55"/>
    <mergeCell ref="W54:X55"/>
    <mergeCell ref="Y54:Z55"/>
    <mergeCell ref="AA54:AC55"/>
    <mergeCell ref="AD54:AE55"/>
    <mergeCell ref="AF54:AG55"/>
    <mergeCell ref="AH54:AI55"/>
    <mergeCell ref="AJ54:AK55"/>
    <mergeCell ref="AL54:AN55"/>
    <mergeCell ref="C52:D53"/>
    <mergeCell ref="E52:G53"/>
    <mergeCell ref="H52:J53"/>
    <mergeCell ref="BA54:BA55"/>
    <mergeCell ref="BB54:BB55"/>
    <mergeCell ref="AY52:AY53"/>
    <mergeCell ref="AZ52:AZ53"/>
    <mergeCell ref="BA52:BA53"/>
    <mergeCell ref="BB52:BB53"/>
    <mergeCell ref="BC52:BC53"/>
    <mergeCell ref="BD52:BD53"/>
    <mergeCell ref="BF52:BF53"/>
    <mergeCell ref="K52:L53"/>
    <mergeCell ref="M52:N53"/>
    <mergeCell ref="O52:Q53"/>
    <mergeCell ref="BF56:BF57"/>
    <mergeCell ref="BG56:BG57"/>
    <mergeCell ref="BC54:BC55"/>
    <mergeCell ref="BD54:BD55"/>
    <mergeCell ref="BF54:BF55"/>
    <mergeCell ref="BG54:BG55"/>
    <mergeCell ref="C56:D57"/>
    <mergeCell ref="E56:G57"/>
    <mergeCell ref="H56:J57"/>
    <mergeCell ref="K56:L57"/>
    <mergeCell ref="M56:N57"/>
    <mergeCell ref="O56:Q57"/>
    <mergeCell ref="R56:T57"/>
    <mergeCell ref="U56:V57"/>
    <mergeCell ref="W56:X57"/>
    <mergeCell ref="Y56:Z57"/>
    <mergeCell ref="AA56:AC57"/>
    <mergeCell ref="AD56:AE57"/>
    <mergeCell ref="AF56:AG57"/>
    <mergeCell ref="AH56:AI57"/>
    <mergeCell ref="AJ56:AK57"/>
    <mergeCell ref="AL56:AN57"/>
    <mergeCell ref="AO56:AQ57"/>
    <mergeCell ref="AU56:AU57"/>
    <mergeCell ref="AV56:AV57"/>
    <mergeCell ref="AW56:AW57"/>
    <mergeCell ref="AO54:AQ55"/>
    <mergeCell ref="AU54:AU55"/>
    <mergeCell ref="AV54:AV55"/>
    <mergeCell ref="AW54:AW55"/>
    <mergeCell ref="AX54:AX55"/>
    <mergeCell ref="AY54:AY55"/>
    <mergeCell ref="AZ54:AZ55"/>
    <mergeCell ref="BD58:BD59"/>
    <mergeCell ref="Y58:Z59"/>
    <mergeCell ref="AA58:AC59"/>
    <mergeCell ref="AD58:AE59"/>
    <mergeCell ref="AF58:AG59"/>
    <mergeCell ref="AH58:AI59"/>
    <mergeCell ref="AJ58:AK59"/>
    <mergeCell ref="AL58:AN59"/>
    <mergeCell ref="AO58:AQ59"/>
    <mergeCell ref="AU58:AU59"/>
    <mergeCell ref="AX56:AX57"/>
    <mergeCell ref="AY56:AY57"/>
    <mergeCell ref="AZ56:AZ57"/>
    <mergeCell ref="BA56:BA57"/>
    <mergeCell ref="BB56:BB57"/>
    <mergeCell ref="BC56:BC57"/>
    <mergeCell ref="BD56:BD57"/>
    <mergeCell ref="AW58:AW59"/>
    <mergeCell ref="AX58:AX59"/>
    <mergeCell ref="AY58:AY59"/>
    <mergeCell ref="AZ58:AZ59"/>
    <mergeCell ref="BA58:BA59"/>
    <mergeCell ref="BB58:BB59"/>
    <mergeCell ref="BC58:BC59"/>
    <mergeCell ref="K58:L59"/>
    <mergeCell ref="M58:N59"/>
    <mergeCell ref="O58:Q59"/>
    <mergeCell ref="R58:T59"/>
    <mergeCell ref="U58:V59"/>
    <mergeCell ref="W58:X59"/>
    <mergeCell ref="BF58:BF59"/>
    <mergeCell ref="BG58:BG59"/>
    <mergeCell ref="C60:D61"/>
    <mergeCell ref="E60:G61"/>
    <mergeCell ref="H60:J61"/>
    <mergeCell ref="K60:L61"/>
    <mergeCell ref="M60:N61"/>
    <mergeCell ref="O60:Q61"/>
    <mergeCell ref="R60:T61"/>
    <mergeCell ref="U60:V61"/>
    <mergeCell ref="W60:X61"/>
    <mergeCell ref="Y60:Z61"/>
    <mergeCell ref="AA60:AC61"/>
    <mergeCell ref="AD60:AE61"/>
    <mergeCell ref="AF60:AG61"/>
    <mergeCell ref="AH60:AI61"/>
    <mergeCell ref="AJ60:AK61"/>
    <mergeCell ref="AL60:AN61"/>
    <mergeCell ref="AO60:AQ61"/>
    <mergeCell ref="AU60:AU61"/>
    <mergeCell ref="AV60:AV61"/>
    <mergeCell ref="AW60:AW61"/>
    <mergeCell ref="AX60:AX61"/>
    <mergeCell ref="AV58:AV59"/>
    <mergeCell ref="BD60:BD61"/>
    <mergeCell ref="BF60:BF61"/>
    <mergeCell ref="BG60:BG61"/>
    <mergeCell ref="C62:D63"/>
    <mergeCell ref="E62:G63"/>
    <mergeCell ref="H62:J63"/>
    <mergeCell ref="K62:L63"/>
    <mergeCell ref="M62:N63"/>
    <mergeCell ref="O62:Q63"/>
    <mergeCell ref="R62:T63"/>
    <mergeCell ref="U62:V63"/>
    <mergeCell ref="W62:X63"/>
    <mergeCell ref="Y62:Z63"/>
    <mergeCell ref="AA62:AC63"/>
    <mergeCell ref="AD62:AE63"/>
    <mergeCell ref="AF62:AG63"/>
    <mergeCell ref="AH62:AI63"/>
    <mergeCell ref="AJ62:AK63"/>
    <mergeCell ref="AL62:AN63"/>
    <mergeCell ref="AO62:AQ63"/>
    <mergeCell ref="BD62:BD63"/>
    <mergeCell ref="BF62:BF63"/>
    <mergeCell ref="BG62:BG63"/>
    <mergeCell ref="C58:D59"/>
    <mergeCell ref="R64:T65"/>
    <mergeCell ref="U64:V65"/>
    <mergeCell ref="W64:X65"/>
    <mergeCell ref="Y64:Z65"/>
    <mergeCell ref="AA64:AC65"/>
    <mergeCell ref="AD64:AE65"/>
    <mergeCell ref="AF64:AG65"/>
    <mergeCell ref="AH64:AI65"/>
    <mergeCell ref="AJ64:AK65"/>
    <mergeCell ref="AL64:AN65"/>
    <mergeCell ref="AO64:AQ65"/>
    <mergeCell ref="BC62:BC63"/>
    <mergeCell ref="AZ60:AZ61"/>
    <mergeCell ref="BA60:BA61"/>
    <mergeCell ref="BB60:BB61"/>
    <mergeCell ref="BC60:BC61"/>
    <mergeCell ref="AU64:AU65"/>
    <mergeCell ref="AV64:AV65"/>
    <mergeCell ref="AW64:AW65"/>
    <mergeCell ref="AX64:AX65"/>
    <mergeCell ref="AU62:AU63"/>
    <mergeCell ref="AV62:AV63"/>
    <mergeCell ref="AW62:AW63"/>
    <mergeCell ref="AX62:AX63"/>
    <mergeCell ref="AY62:AY63"/>
    <mergeCell ref="AZ62:AZ63"/>
    <mergeCell ref="BA62:BA63"/>
    <mergeCell ref="BB62:BB63"/>
    <mergeCell ref="AY60:AY61"/>
    <mergeCell ref="E58:G59"/>
    <mergeCell ref="H58:J59"/>
    <mergeCell ref="BG64:BG65"/>
    <mergeCell ref="C66:D67"/>
    <mergeCell ref="E66:G67"/>
    <mergeCell ref="H66:J67"/>
    <mergeCell ref="K66:L67"/>
    <mergeCell ref="M66:N67"/>
    <mergeCell ref="O66:Q67"/>
    <mergeCell ref="R66:T67"/>
    <mergeCell ref="U66:V67"/>
    <mergeCell ref="W66:X67"/>
    <mergeCell ref="Y66:Z67"/>
    <mergeCell ref="AA66:AC67"/>
    <mergeCell ref="AD66:AE67"/>
    <mergeCell ref="AF66:AG67"/>
    <mergeCell ref="AH66:AI67"/>
    <mergeCell ref="AJ66:AK67"/>
    <mergeCell ref="AL66:AN67"/>
    <mergeCell ref="C64:D65"/>
    <mergeCell ref="E64:G65"/>
    <mergeCell ref="H64:J65"/>
    <mergeCell ref="BA66:BA67"/>
    <mergeCell ref="BB66:BB67"/>
    <mergeCell ref="AY64:AY65"/>
    <mergeCell ref="AZ64:AZ65"/>
    <mergeCell ref="BA64:BA65"/>
    <mergeCell ref="BB64:BB65"/>
    <mergeCell ref="BC64:BC65"/>
    <mergeCell ref="BD64:BD65"/>
    <mergeCell ref="BF64:BF65"/>
    <mergeCell ref="K64:L65"/>
    <mergeCell ref="M64:N65"/>
    <mergeCell ref="O64:Q65"/>
    <mergeCell ref="BF68:BF69"/>
    <mergeCell ref="BG68:BG69"/>
    <mergeCell ref="BC66:BC67"/>
    <mergeCell ref="BD66:BD67"/>
    <mergeCell ref="BF66:BF67"/>
    <mergeCell ref="BG66:BG67"/>
    <mergeCell ref="C68:D69"/>
    <mergeCell ref="E68:G69"/>
    <mergeCell ref="H68:J69"/>
    <mergeCell ref="K68:L69"/>
    <mergeCell ref="M68:N69"/>
    <mergeCell ref="O68:Q69"/>
    <mergeCell ref="R68:T69"/>
    <mergeCell ref="U68:V69"/>
    <mergeCell ref="W68:X69"/>
    <mergeCell ref="Y68:Z69"/>
    <mergeCell ref="AA68:AC69"/>
    <mergeCell ref="AD68:AE69"/>
    <mergeCell ref="AF68:AG69"/>
    <mergeCell ref="AH68:AI69"/>
    <mergeCell ref="AJ68:AK69"/>
    <mergeCell ref="AL68:AN69"/>
    <mergeCell ref="AO68:AQ69"/>
    <mergeCell ref="AU68:AU69"/>
    <mergeCell ref="AV68:AV69"/>
    <mergeCell ref="AW68:AW69"/>
    <mergeCell ref="AO66:AQ67"/>
    <mergeCell ref="AU66:AU67"/>
    <mergeCell ref="AV66:AV67"/>
    <mergeCell ref="AW66:AW67"/>
    <mergeCell ref="AX66:AX67"/>
    <mergeCell ref="AY66:AY67"/>
    <mergeCell ref="AY70:AY71"/>
    <mergeCell ref="AZ70:AZ71"/>
    <mergeCell ref="BA70:BA71"/>
    <mergeCell ref="BB70:BB71"/>
    <mergeCell ref="AZ66:AZ67"/>
    <mergeCell ref="BC70:BC71"/>
    <mergeCell ref="BD70:BD71"/>
    <mergeCell ref="Y70:Z71"/>
    <mergeCell ref="AA70:AC71"/>
    <mergeCell ref="AD70:AE71"/>
    <mergeCell ref="AF70:AG71"/>
    <mergeCell ref="AH70:AI71"/>
    <mergeCell ref="AJ70:AK71"/>
    <mergeCell ref="AL70:AN71"/>
    <mergeCell ref="AO70:AQ71"/>
    <mergeCell ref="AU70:AU71"/>
    <mergeCell ref="AX68:AX69"/>
    <mergeCell ref="AY68:AY69"/>
    <mergeCell ref="AZ68:AZ69"/>
    <mergeCell ref="BA68:BA69"/>
    <mergeCell ref="BB68:BB69"/>
    <mergeCell ref="BC68:BC69"/>
    <mergeCell ref="BD68:BD69"/>
    <mergeCell ref="AL74:AN75"/>
    <mergeCell ref="M70:N71"/>
    <mergeCell ref="O70:Q71"/>
    <mergeCell ref="R70:T71"/>
    <mergeCell ref="U70:V71"/>
    <mergeCell ref="W70:X71"/>
    <mergeCell ref="AO74:AQ75"/>
    <mergeCell ref="BF70:BF71"/>
    <mergeCell ref="BG70:BG71"/>
    <mergeCell ref="C72:D73"/>
    <mergeCell ref="E72:G73"/>
    <mergeCell ref="H72:J73"/>
    <mergeCell ref="K72:L73"/>
    <mergeCell ref="M72:N73"/>
    <mergeCell ref="O72:Q73"/>
    <mergeCell ref="R72:T73"/>
    <mergeCell ref="U72:V73"/>
    <mergeCell ref="W72:X73"/>
    <mergeCell ref="Y72:Z73"/>
    <mergeCell ref="AA72:AC73"/>
    <mergeCell ref="AD72:AE73"/>
    <mergeCell ref="AF72:AG73"/>
    <mergeCell ref="AH72:AI73"/>
    <mergeCell ref="AJ72:AK73"/>
    <mergeCell ref="AL72:AN73"/>
    <mergeCell ref="AO72:AQ73"/>
    <mergeCell ref="AU72:AU73"/>
    <mergeCell ref="AV72:AV73"/>
    <mergeCell ref="AW72:AW73"/>
    <mergeCell ref="AV70:AV71"/>
    <mergeCell ref="AW70:AW71"/>
    <mergeCell ref="AX70:AX71"/>
    <mergeCell ref="W76:X77"/>
    <mergeCell ref="Y76:Z77"/>
    <mergeCell ref="AA76:AC77"/>
    <mergeCell ref="AD76:AE77"/>
    <mergeCell ref="AF76:AG77"/>
    <mergeCell ref="AH76:AI77"/>
    <mergeCell ref="AJ76:AK77"/>
    <mergeCell ref="C74:D75"/>
    <mergeCell ref="E74:G75"/>
    <mergeCell ref="H74:J75"/>
    <mergeCell ref="K74:L75"/>
    <mergeCell ref="M74:N75"/>
    <mergeCell ref="O74:Q75"/>
    <mergeCell ref="R74:T75"/>
    <mergeCell ref="U74:V75"/>
    <mergeCell ref="W74:X75"/>
    <mergeCell ref="Y74:Z75"/>
    <mergeCell ref="AA74:AC75"/>
    <mergeCell ref="AD74:AE75"/>
    <mergeCell ref="AF74:AG75"/>
    <mergeCell ref="AH74:AI75"/>
    <mergeCell ref="AJ74:AK75"/>
    <mergeCell ref="C82:D83"/>
    <mergeCell ref="E82:G83"/>
    <mergeCell ref="H82:J83"/>
    <mergeCell ref="K82:L83"/>
    <mergeCell ref="M82:N83"/>
    <mergeCell ref="O82:Q83"/>
    <mergeCell ref="R82:T83"/>
    <mergeCell ref="U82:V83"/>
    <mergeCell ref="W82:X83"/>
    <mergeCell ref="Y82:Z83"/>
    <mergeCell ref="AA82:AC83"/>
    <mergeCell ref="AD82:AE83"/>
    <mergeCell ref="AF82:AG83"/>
    <mergeCell ref="AH82:AI83"/>
    <mergeCell ref="AJ82:AK83"/>
    <mergeCell ref="AL82:AN83"/>
    <mergeCell ref="AX72:AX73"/>
    <mergeCell ref="AU74:AU75"/>
    <mergeCell ref="AV74:AV75"/>
    <mergeCell ref="AW74:AW75"/>
    <mergeCell ref="AX74:AX75"/>
    <mergeCell ref="AJ78:AK79"/>
    <mergeCell ref="AL78:AN79"/>
    <mergeCell ref="AO78:AQ79"/>
    <mergeCell ref="C76:D77"/>
    <mergeCell ref="E76:G77"/>
    <mergeCell ref="H76:J77"/>
    <mergeCell ref="K76:L77"/>
    <mergeCell ref="M76:N77"/>
    <mergeCell ref="O76:Q77"/>
    <mergeCell ref="R76:T77"/>
    <mergeCell ref="U76:V77"/>
    <mergeCell ref="C70:D71"/>
    <mergeCell ref="E70:G71"/>
    <mergeCell ref="H70:J71"/>
    <mergeCell ref="K70:L71"/>
    <mergeCell ref="BC82:BC83"/>
    <mergeCell ref="BD82:BD83"/>
    <mergeCell ref="BF82:BF83"/>
    <mergeCell ref="BG82:BG83"/>
    <mergeCell ref="J11:Q13"/>
    <mergeCell ref="AO82:AQ83"/>
    <mergeCell ref="AU82:AU83"/>
    <mergeCell ref="AV82:AV83"/>
    <mergeCell ref="AW82:AW83"/>
    <mergeCell ref="AX82:AX83"/>
    <mergeCell ref="AY82:AY83"/>
    <mergeCell ref="AZ82:AZ83"/>
    <mergeCell ref="BA82:BA83"/>
    <mergeCell ref="BB82:BB83"/>
    <mergeCell ref="AY76:AY77"/>
    <mergeCell ref="AZ76:AZ77"/>
    <mergeCell ref="BA76:BA77"/>
    <mergeCell ref="BB76:BB77"/>
    <mergeCell ref="BC76:BC77"/>
    <mergeCell ref="BD76:BD77"/>
    <mergeCell ref="BF76:BF77"/>
    <mergeCell ref="BG76:BG77"/>
    <mergeCell ref="BF74:BF75"/>
    <mergeCell ref="BG74:BG75"/>
    <mergeCell ref="AL76:AN77"/>
    <mergeCell ref="AO76:AQ77"/>
    <mergeCell ref="AU76:AU77"/>
    <mergeCell ref="AV76:AV77"/>
    <mergeCell ref="B50:B51"/>
    <mergeCell ref="B52:B53"/>
    <mergeCell ref="B54:B55"/>
    <mergeCell ref="B56:B57"/>
    <mergeCell ref="B58:B59"/>
    <mergeCell ref="B60:B61"/>
    <mergeCell ref="B62:B63"/>
    <mergeCell ref="B64:B65"/>
    <mergeCell ref="B66:B67"/>
    <mergeCell ref="B68:B69"/>
    <mergeCell ref="B70:B71"/>
    <mergeCell ref="B72:B73"/>
    <mergeCell ref="B74:B75"/>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C80:D81"/>
    <mergeCell ref="E80:G81"/>
    <mergeCell ref="H80:J81"/>
    <mergeCell ref="K80:L81"/>
    <mergeCell ref="M80:N81"/>
    <mergeCell ref="O80:Q81"/>
    <mergeCell ref="R80:T81"/>
    <mergeCell ref="U80:V81"/>
    <mergeCell ref="W80:X81"/>
    <mergeCell ref="Y80:Z81"/>
    <mergeCell ref="AA80:AC81"/>
    <mergeCell ref="AD80:AE81"/>
    <mergeCell ref="AF80:AG81"/>
    <mergeCell ref="AH80:AI81"/>
    <mergeCell ref="AJ80:AK81"/>
    <mergeCell ref="AL80:AN81"/>
    <mergeCell ref="AO80:AQ81"/>
    <mergeCell ref="C78:D79"/>
    <mergeCell ref="E78:G79"/>
    <mergeCell ref="H78:J79"/>
    <mergeCell ref="K78:L79"/>
    <mergeCell ref="M78:N79"/>
    <mergeCell ref="O78:Q79"/>
    <mergeCell ref="R78:T79"/>
    <mergeCell ref="U78:V79"/>
    <mergeCell ref="W78:X79"/>
    <mergeCell ref="Y78:Z79"/>
    <mergeCell ref="AA78:AC79"/>
    <mergeCell ref="AD78:AE79"/>
    <mergeCell ref="AF78:AG79"/>
    <mergeCell ref="AH78:AI79"/>
    <mergeCell ref="AD11:AK14"/>
    <mergeCell ref="BD19:BD21"/>
    <mergeCell ref="AU78:AU79"/>
    <mergeCell ref="AV78:AV79"/>
    <mergeCell ref="AW78:AW79"/>
    <mergeCell ref="AX78:AX79"/>
    <mergeCell ref="AY78:AY79"/>
    <mergeCell ref="AZ78:AZ79"/>
    <mergeCell ref="BA78:BA79"/>
    <mergeCell ref="BB78:BB79"/>
    <mergeCell ref="BC78:BC79"/>
    <mergeCell ref="BD78:BD79"/>
    <mergeCell ref="AY74:AY75"/>
    <mergeCell ref="AZ74:AZ75"/>
    <mergeCell ref="BA74:BA75"/>
    <mergeCell ref="BB74:BB75"/>
    <mergeCell ref="AY72:AY73"/>
    <mergeCell ref="BD74:BD75"/>
    <mergeCell ref="BF78:BF79"/>
    <mergeCell ref="BG78:BG79"/>
    <mergeCell ref="AU80:AU81"/>
    <mergeCell ref="AV80:AV81"/>
    <mergeCell ref="AW80:AW81"/>
    <mergeCell ref="AX80:AX81"/>
    <mergeCell ref="AY80:AY81"/>
    <mergeCell ref="AZ80:AZ81"/>
    <mergeCell ref="BA80:BA81"/>
    <mergeCell ref="BB80:BB81"/>
    <mergeCell ref="BC80:BC81"/>
    <mergeCell ref="BD80:BD81"/>
    <mergeCell ref="BF80:BF81"/>
    <mergeCell ref="BG80:BG81"/>
    <mergeCell ref="BA72:BA73"/>
    <mergeCell ref="BB72:BB73"/>
    <mergeCell ref="BC72:BC73"/>
    <mergeCell ref="BD72:BD73"/>
    <mergeCell ref="BF72:BF73"/>
    <mergeCell ref="BG72:BG73"/>
    <mergeCell ref="AW76:AW77"/>
    <mergeCell ref="AX76:AX77"/>
    <mergeCell ref="BC74:BC75"/>
    <mergeCell ref="AZ72:AZ73"/>
    <mergeCell ref="O9:AF10"/>
    <mergeCell ref="F15:Q17"/>
    <mergeCell ref="BH60:BH61"/>
    <mergeCell ref="BH62:BH63"/>
    <mergeCell ref="BH64:BH65"/>
    <mergeCell ref="BH66:BH67"/>
    <mergeCell ref="BH68:BH69"/>
    <mergeCell ref="BH70:BH71"/>
    <mergeCell ref="BH72:BH73"/>
    <mergeCell ref="BH74:BH75"/>
    <mergeCell ref="BH76:BH77"/>
    <mergeCell ref="BH78:BH79"/>
    <mergeCell ref="BH80:BH81"/>
    <mergeCell ref="BH82:BH83"/>
    <mergeCell ref="BH20:BH21"/>
    <mergeCell ref="BH26:BH27"/>
    <mergeCell ref="BH28:BH29"/>
    <mergeCell ref="BH30:BH31"/>
    <mergeCell ref="BH32:BH33"/>
    <mergeCell ref="BH34:BH35"/>
    <mergeCell ref="BH36:BH37"/>
    <mergeCell ref="BH38:BH39"/>
    <mergeCell ref="BH40:BH41"/>
    <mergeCell ref="BH42:BH43"/>
    <mergeCell ref="BH44:BH45"/>
    <mergeCell ref="BH46:BH47"/>
    <mergeCell ref="BH48:BH49"/>
    <mergeCell ref="BH50:BH51"/>
    <mergeCell ref="BH52:BH53"/>
    <mergeCell ref="BH54:BH55"/>
    <mergeCell ref="BH56:BH57"/>
    <mergeCell ref="BH58:BH59"/>
  </mergeCells>
  <conditionalFormatting sqref="AQ2:AR3">
    <cfRule type="cellIs" dxfId="768" priority="179" operator="equal">
      <formula>1</formula>
    </cfRule>
    <cfRule type="cellIs" dxfId="767" priority="180" operator="between">
      <formula>0.51</formula>
      <formula>0.99</formula>
    </cfRule>
    <cfRule type="cellIs" dxfId="766" priority="181" operator="lessThanOrEqual">
      <formula>0.5</formula>
    </cfRule>
  </conditionalFormatting>
  <conditionalFormatting sqref="AO22 AO24 AO26 AO28 AO30 AO32 AO34 AO36 AO38 AO40 AO42 AO44 AO46 AO48 AO50 AO52 AO54 AO56 AO58 AO60 AO62 AO64 AO66 AO68 AO70 AO72 AO74 AO76 AO78 AO80">
    <cfRule type="expression" dxfId="765" priority="160" stopIfTrue="1">
      <formula>NOT(ISNUMBER(AO22))</formula>
    </cfRule>
  </conditionalFormatting>
  <conditionalFormatting sqref="H26 H42 H44 H46 H48 H50 H52 H54 H56 H58 H60 H62 H64 H66 H68 H70 H72 H74 H76 H78 H80">
    <cfRule type="expression" dxfId="764" priority="172">
      <formula>AND(ISBLANK($C26)=FALSE,OR(ISBLANK(H26)=TRUE,H26=""))</formula>
    </cfRule>
  </conditionalFormatting>
  <conditionalFormatting sqref="K26 K42 K44 K46 K48 K50 K52 K54 K56 K58 K60 K62 K64 K66 K68 K70 K72 K74 K76 K78 K80">
    <cfRule type="expression" dxfId="763" priority="171">
      <formula>AND(ISBLANK($C26)=FALSE,OR(ISBLANK(K26)=TRUE,K26=""))</formula>
    </cfRule>
  </conditionalFormatting>
  <conditionalFormatting sqref="O26 O42 O44 O46 O48 O50 O52 O54 O56 O58 O60 O62 O64 O66 O68 O70 O72 O74 O76 O78 O80">
    <cfRule type="expression" dxfId="762" priority="170">
      <formula>AND(ISBLANK($C26)=FALSE,OR(ISBLANK(O26)=TRUE,O26=""))</formula>
    </cfRule>
  </conditionalFormatting>
  <conditionalFormatting sqref="Y26 Y42 Y44 Y46 Y48 Y50 Y52 Y54 Y56 Y58 Y60 Y62 Y64 Y66 Y68 Y70 Y72 Y74 Y76 Y78 Y80">
    <cfRule type="expression" dxfId="761" priority="167">
      <formula>AND(ISBLANK($C26)=FALSE,OR(ISBLANK(Y26)=TRUE,Y26=""))</formula>
    </cfRule>
  </conditionalFormatting>
  <conditionalFormatting sqref="R26 R42 R44 R46 R48 R50 R52 R54 R56 R58 R60 R62 R64 R66 R68 R70 R72 R74 R76 R78 R80">
    <cfRule type="expression" dxfId="760" priority="166">
      <formula>AND(ISBLANK($C26)=FALSE,OR(ISBLANK(R26)=TRUE,R26=""))</formula>
    </cfRule>
  </conditionalFormatting>
  <conditionalFormatting sqref="Y26 AD26 Y42 Y44 Y46 Y48 Y50 Y52 Y54 Y56 Y58 Y60 Y62 Y64 Y66 Y68 Y70 Y72 Y74 Y76 Y78 Y80 AD42 AD44 AD46 AD48 AD50 AD52 AD54 AD56 AD58 AD60 AD62 AD64 AD66 AD68 AD70 AD72 AD74 AD76 AD78 AD80">
    <cfRule type="expression" dxfId="759" priority="169">
      <formula>AND(ISBLANK($O26)=FALSE,OR(ISBLANK(Y26)=TRUE,Y26=""))</formula>
    </cfRule>
  </conditionalFormatting>
  <conditionalFormatting sqref="R26 R42 R44 R46 R48 R50 R52 R54 R56 R58 R60 R62 R64 R66 R68 R70 R72 R74 R76 R78 R80">
    <cfRule type="expression" dxfId="758" priority="168">
      <formula>AND(ISBLANK($O26)=FALSE,OR(ISBLANK(R26)=TRUE,R26=""))</formula>
    </cfRule>
  </conditionalFormatting>
  <conditionalFormatting sqref="AA26 AA42 AA44 AA46 AA48 AA50 AA52 AA54 AA56 AA58 AA60 AA62 AA64 AA66 AA68 AA70 AA72 AA74 AA76 AA78 AA80">
    <cfRule type="expression" dxfId="757" priority="163">
      <formula>AND(ISBLANK($C26)=FALSE,OR(ISBLANK(AA26)=TRUE,AA26=""))</formula>
    </cfRule>
    <cfRule type="expression" dxfId="756" priority="164">
      <formula>AND(ISBLANK($O26)=FALSE,OR(ISBLANK(AA26)=TRUE,AA26=""))</formula>
    </cfRule>
  </conditionalFormatting>
  <conditionalFormatting sqref="M26 M28 M30 M32 M34 M36 M38 M40 M42 M44 M46 M48 M50 M52 M54 M56 M58 M60 M62 M64 M66 M68 M70 M72 M74 M76 M78 M80">
    <cfRule type="expression" dxfId="755" priority="175">
      <formula>M26&lt;&gt;INDEX(CMELIGHTBASEW,MATCH(E26,CMELIGHTBASE1,0))</formula>
    </cfRule>
  </conditionalFormatting>
  <conditionalFormatting sqref="M26 M28 M30 M32 M34 M36 M38 M40 M42 M44 M46 M48 M50 M52 M54 M56 M58 M60 M62 M64 M66 M68 M70 M72 M74 M76 M78 M80">
    <cfRule type="expression" dxfId="754" priority="176">
      <formula>AND(M26&lt;&gt;"",ISNUMBER(SEARCH("Other",E26)))</formula>
    </cfRule>
  </conditionalFormatting>
  <conditionalFormatting sqref="U26 U42 U44 U46 U48 U50 U52 U54 U56 U58 U60 U62 U64 U66 U68 U70 U72 U74 U76 U78 U80">
    <cfRule type="expression" dxfId="753" priority="161">
      <formula>AND(ISBLANK($C26)=FALSE,OR(ISBLANK(U26)=TRUE,U26=""))</formula>
    </cfRule>
    <cfRule type="expression" dxfId="752" priority="162">
      <formula>AND(ISBLANK($O26)=FALSE,OR(ISBLANK(U26)=TRUE,U26=""))</formula>
    </cfRule>
  </conditionalFormatting>
  <conditionalFormatting sqref="AO22:AQ81">
    <cfRule type="expression" dxfId="751" priority="174">
      <formula>$BG22="Yes"</formula>
    </cfRule>
  </conditionalFormatting>
  <conditionalFormatting sqref="W26:X81">
    <cfRule type="expression" dxfId="750" priority="158">
      <formula>AND(ISBLANK($O26)=FALSE,OR(ISBLANK(W26)=TRUE,W26=""))</formula>
    </cfRule>
    <cfRule type="expression" dxfId="749" priority="159">
      <formula>AND(ISBLANK($C26)=FALSE,OR(ISBLANK(W26)=TRUE,W26=""))</formula>
    </cfRule>
  </conditionalFormatting>
  <conditionalFormatting sqref="AH2 AL2">
    <cfRule type="expression" dxfId="748" priority="153">
      <formula>PROJSTATUS=PROJSTATELI</formula>
    </cfRule>
    <cfRule type="expression" dxfId="747" priority="154">
      <formula>PROJSTATUS=PROJSTATREVIEW</formula>
    </cfRule>
    <cfRule type="expression" dxfId="746" priority="155">
      <formula>PROJSTATUS=PROJSTATPREAPPROVE</formula>
    </cfRule>
    <cfRule type="expression" dxfId="745" priority="156">
      <formula>PROJSTATUS=PROJSTATSTANDARD</formula>
    </cfRule>
    <cfRule type="expression" dxfId="744" priority="157">
      <formula>PROJSTATUS=PROJSTATEXP</formula>
    </cfRule>
  </conditionalFormatting>
  <conditionalFormatting sqref="E26:G27">
    <cfRule type="expression" dxfId="743" priority="151">
      <formula>AND(ISBLANK($C26)=FALSE,OR(ISBLANK(E26)=TRUE,E26=""))</formula>
    </cfRule>
  </conditionalFormatting>
  <conditionalFormatting sqref="AD26:AE27 AD42:AE81">
    <cfRule type="expression" dxfId="742" priority="150">
      <formula>AND(ISBLANK($C26)=FALSE,OR(ISBLANK(AD26)=TRUE,AD26=""))</formula>
    </cfRule>
  </conditionalFormatting>
  <conditionalFormatting sqref="AF26:AG27 AF42:AG81">
    <cfRule type="expression" dxfId="741" priority="148">
      <formula>AND(ISBLANK($O26)=FALSE,OR(ISBLANK(AF26)=TRUE,AF26=""))</formula>
    </cfRule>
    <cfRule type="expression" dxfId="740" priority="149">
      <formula>AND(ISBLANK($C26)=FALSE,OR(ISBLANK(AF26)=TRUE,AF26=""))</formula>
    </cfRule>
  </conditionalFormatting>
  <conditionalFormatting sqref="AH26:AI27 AH42:AI81">
    <cfRule type="expression" dxfId="739" priority="146">
      <formula>AND(ISBLANK($C26)=FALSE,OR(ISBLANK(AH26)=TRUE,AH26=""))</formula>
    </cfRule>
    <cfRule type="expression" dxfId="738" priority="147">
      <formula>AND(ISBLANK($O26)=FALSE,OR(ISBLANK(AH26)=TRUE,AH26=""))</formula>
    </cfRule>
  </conditionalFormatting>
  <conditionalFormatting sqref="AJ26:AK27 AJ42:AK81">
    <cfRule type="expression" dxfId="737" priority="144">
      <formula>AND(ISBLANK($C26)=FALSE,OR(ISBLANK(AJ26)=TRUE,AJ26=""))</formula>
    </cfRule>
    <cfRule type="expression" dxfId="736" priority="145">
      <formula>AND(ISBLANK($O26)=FALSE,OR(ISBLANK(AJ26)=TRUE,AJ26=""))</formula>
    </cfRule>
  </conditionalFormatting>
  <conditionalFormatting sqref="AH6:AI6">
    <cfRule type="expression" dxfId="735" priority="111">
      <formula>M02S02F43&gt;DATEVALUE("12/31/2021")</formula>
    </cfRule>
    <cfRule type="expression" dxfId="734" priority="113">
      <formula>M02S02F44&lt;&gt;"No"</formula>
    </cfRule>
    <cfRule type="expression" dxfId="733" priority="115">
      <formula>TODAY()&gt;=LIGHTING2021</formula>
    </cfRule>
    <cfRule type="expression" dxfId="732" priority="119">
      <formula>OR(SUBLIGHTDATE2&lt;&gt;"",SUBLIGHTDATE3&lt;&gt;"")</formula>
    </cfRule>
  </conditionalFormatting>
  <conditionalFormatting sqref="AJ6">
    <cfRule type="expression" dxfId="731" priority="116">
      <formula>TODAY()&gt;LIGHTING2021</formula>
    </cfRule>
  </conditionalFormatting>
  <conditionalFormatting sqref="AJ6:AP7">
    <cfRule type="expression" dxfId="730" priority="112">
      <formula>M02S02F43&gt;DATEVALUE("12/31/2021")</formula>
    </cfRule>
    <cfRule type="expression" dxfId="729" priority="114">
      <formula>M02S02F44&lt;&gt;"No"</formula>
    </cfRule>
  </conditionalFormatting>
  <conditionalFormatting sqref="O9">
    <cfRule type="expression" dxfId="728" priority="425">
      <formula>ISNUMBER(SEARCH("Inspection",$O$9))</formula>
    </cfRule>
  </conditionalFormatting>
  <conditionalFormatting sqref="H40">
    <cfRule type="expression" dxfId="727" priority="109">
      <formula>AND(ISBLANK($C40)=FALSE,OR(ISBLANK(H40)=TRUE,H40=""))</formula>
    </cfRule>
  </conditionalFormatting>
  <conditionalFormatting sqref="K40">
    <cfRule type="expression" dxfId="726" priority="108">
      <formula>AND(ISBLANK($C40)=FALSE,OR(ISBLANK(K40)=TRUE,K40=""))</formula>
    </cfRule>
  </conditionalFormatting>
  <conditionalFormatting sqref="O40">
    <cfRule type="expression" dxfId="725" priority="104">
      <formula>AND(ISBLANK($C40)=FALSE,OR(ISBLANK(O40)=TRUE,O40=""))</formula>
    </cfRule>
  </conditionalFormatting>
  <conditionalFormatting sqref="Y40">
    <cfRule type="expression" dxfId="724" priority="101">
      <formula>AND(ISBLANK($C40)=FALSE,OR(ISBLANK(Y40)=TRUE,Y40=""))</formula>
    </cfRule>
  </conditionalFormatting>
  <conditionalFormatting sqref="R40">
    <cfRule type="expression" dxfId="723" priority="100">
      <formula>AND(ISBLANK($C40)=FALSE,OR(ISBLANK(R40)=TRUE,R40=""))</formula>
    </cfRule>
  </conditionalFormatting>
  <conditionalFormatting sqref="Y40 AD40">
    <cfRule type="expression" dxfId="722" priority="103">
      <formula>AND(ISBLANK($O40)=FALSE,OR(ISBLANK(Y40)=TRUE,Y40=""))</formula>
    </cfRule>
  </conditionalFormatting>
  <conditionalFormatting sqref="R40">
    <cfRule type="expression" dxfId="721" priority="102">
      <formula>AND(ISBLANK($O40)=FALSE,OR(ISBLANK(R40)=TRUE,R40=""))</formula>
    </cfRule>
  </conditionalFormatting>
  <conditionalFormatting sqref="AA40">
    <cfRule type="expression" dxfId="720" priority="98">
      <formula>AND(ISBLANK($C40)=FALSE,OR(ISBLANK(AA40)=TRUE,AA40=""))</formula>
    </cfRule>
    <cfRule type="expression" dxfId="719" priority="99">
      <formula>AND(ISBLANK($O40)=FALSE,OR(ISBLANK(AA40)=TRUE,AA40=""))</formula>
    </cfRule>
  </conditionalFormatting>
  <conditionalFormatting sqref="U40">
    <cfRule type="expression" dxfId="718" priority="96">
      <formula>AND(ISBLANK($C40)=FALSE,OR(ISBLANK(U40)=TRUE,U40=""))</formula>
    </cfRule>
    <cfRule type="expression" dxfId="717" priority="97">
      <formula>AND(ISBLANK($O40)=FALSE,OR(ISBLANK(U40)=TRUE,U40=""))</formula>
    </cfRule>
  </conditionalFormatting>
  <conditionalFormatting sqref="AD40:AE41">
    <cfRule type="expression" dxfId="716" priority="93">
      <formula>AND(ISBLANK($C40)=FALSE,OR(ISBLANK(AD40)=TRUE,AD40=""))</formula>
    </cfRule>
  </conditionalFormatting>
  <conditionalFormatting sqref="AF40:AG41">
    <cfRule type="expression" dxfId="715" priority="91">
      <formula>AND(ISBLANK($O40)=FALSE,OR(ISBLANK(AF40)=TRUE,AF40=""))</formula>
    </cfRule>
    <cfRule type="expression" dxfId="714" priority="92">
      <formula>AND(ISBLANK($C40)=FALSE,OR(ISBLANK(AF40)=TRUE,AF40=""))</formula>
    </cfRule>
  </conditionalFormatting>
  <conditionalFormatting sqref="AH40:AI41">
    <cfRule type="expression" dxfId="713" priority="89">
      <formula>AND(ISBLANK($C40)=FALSE,OR(ISBLANK(AH40)=TRUE,AH40=""))</formula>
    </cfRule>
    <cfRule type="expression" dxfId="712" priority="90">
      <formula>AND(ISBLANK($O40)=FALSE,OR(ISBLANK(AH40)=TRUE,AH40=""))</formula>
    </cfRule>
  </conditionalFormatting>
  <conditionalFormatting sqref="AJ40:AK41">
    <cfRule type="expression" dxfId="711" priority="87">
      <formula>AND(ISBLANK($C40)=FALSE,OR(ISBLANK(AJ40)=TRUE,AJ40=""))</formula>
    </cfRule>
    <cfRule type="expression" dxfId="710" priority="88">
      <formula>AND(ISBLANK($O40)=FALSE,OR(ISBLANK(AJ40)=TRUE,AJ40=""))</formula>
    </cfRule>
  </conditionalFormatting>
  <conditionalFormatting sqref="H30 H32 H34">
    <cfRule type="expression" dxfId="709" priority="72">
      <formula>AND(ISBLANK($C30)=FALSE,OR(ISBLANK(H30)=TRUE,H30=""))</formula>
    </cfRule>
  </conditionalFormatting>
  <conditionalFormatting sqref="K30 K32 K34">
    <cfRule type="expression" dxfId="708" priority="71">
      <formula>AND(ISBLANK($C30)=FALSE,OR(ISBLANK(K30)=TRUE,K30=""))</formula>
    </cfRule>
  </conditionalFormatting>
  <conditionalFormatting sqref="H28">
    <cfRule type="expression" dxfId="707" priority="70">
      <formula>AND(ISBLANK($C28)=FALSE,OR(ISBLANK(H28)=TRUE,H28=""))</formula>
    </cfRule>
  </conditionalFormatting>
  <conditionalFormatting sqref="K28">
    <cfRule type="expression" dxfId="706" priority="69">
      <formula>AND(ISBLANK($C28)=FALSE,OR(ISBLANK(K28)=TRUE,K28=""))</formula>
    </cfRule>
  </conditionalFormatting>
  <conditionalFormatting sqref="E28:G29">
    <cfRule type="expression" dxfId="705" priority="68">
      <formula>AND(ISBLANK($C28)=FALSE,OR(ISBLANK(E28)=TRUE,E28=""))</formula>
    </cfRule>
  </conditionalFormatting>
  <conditionalFormatting sqref="H38">
    <cfRule type="expression" dxfId="704" priority="67">
      <formula>AND(ISBLANK($C38)=FALSE,OR(ISBLANK(H38)=TRUE,H38=""))</formula>
    </cfRule>
  </conditionalFormatting>
  <conditionalFormatting sqref="K38">
    <cfRule type="expression" dxfId="703" priority="66">
      <formula>AND(ISBLANK($C38)=FALSE,OR(ISBLANK(K38)=TRUE,K38=""))</formula>
    </cfRule>
  </conditionalFormatting>
  <conditionalFormatting sqref="H36">
    <cfRule type="expression" dxfId="702" priority="65">
      <formula>AND(ISBLANK($C36)=FALSE,OR(ISBLANK(H36)=TRUE,H36=""))</formula>
    </cfRule>
  </conditionalFormatting>
  <conditionalFormatting sqref="K36">
    <cfRule type="expression" dxfId="701" priority="64">
      <formula>AND(ISBLANK($C36)=FALSE,OR(ISBLANK(K36)=TRUE,K36=""))</formula>
    </cfRule>
  </conditionalFormatting>
  <conditionalFormatting sqref="E36:G37">
    <cfRule type="expression" dxfId="700" priority="63">
      <formula>AND(ISBLANK($C36)=FALSE,OR(ISBLANK(E36)=TRUE,E36=""))</formula>
    </cfRule>
  </conditionalFormatting>
  <conditionalFormatting sqref="O30 O32 O34">
    <cfRule type="expression" dxfId="699" priority="62">
      <formula>AND(ISBLANK($C30)=FALSE,OR(ISBLANK(O30)=TRUE,O30=""))</formula>
    </cfRule>
  </conditionalFormatting>
  <conditionalFormatting sqref="Y30 Y32 Y34">
    <cfRule type="expression" dxfId="698" priority="59">
      <formula>AND(ISBLANK($C30)=FALSE,OR(ISBLANK(Y30)=TRUE,Y30=""))</formula>
    </cfRule>
  </conditionalFormatting>
  <conditionalFormatting sqref="R30 R32 R34">
    <cfRule type="expression" dxfId="697" priority="58">
      <formula>AND(ISBLANK($C30)=FALSE,OR(ISBLANK(R30)=TRUE,R30=""))</formula>
    </cfRule>
  </conditionalFormatting>
  <conditionalFormatting sqref="Y30 Y32 Y34 AD30 AD32 AD34">
    <cfRule type="expression" dxfId="696" priority="61">
      <formula>AND(ISBLANK($O30)=FALSE,OR(ISBLANK(Y30)=TRUE,Y30=""))</formula>
    </cfRule>
  </conditionalFormatting>
  <conditionalFormatting sqref="R30 R32 R34">
    <cfRule type="expression" dxfId="695" priority="60">
      <formula>AND(ISBLANK($O30)=FALSE,OR(ISBLANK(R30)=TRUE,R30=""))</formula>
    </cfRule>
  </conditionalFormatting>
  <conditionalFormatting sqref="AA30 AA32 AA34">
    <cfRule type="expression" dxfId="694" priority="56">
      <formula>AND(ISBLANK($C30)=FALSE,OR(ISBLANK(AA30)=TRUE,AA30=""))</formula>
    </cfRule>
    <cfRule type="expression" dxfId="693" priority="57">
      <formula>AND(ISBLANK($O30)=FALSE,OR(ISBLANK(AA30)=TRUE,AA30=""))</formula>
    </cfRule>
  </conditionalFormatting>
  <conditionalFormatting sqref="U30 U32 U34">
    <cfRule type="expression" dxfId="692" priority="54">
      <formula>AND(ISBLANK($C30)=FALSE,OR(ISBLANK(U30)=TRUE,U30=""))</formula>
    </cfRule>
    <cfRule type="expression" dxfId="691" priority="55">
      <formula>AND(ISBLANK($O30)=FALSE,OR(ISBLANK(U30)=TRUE,U30=""))</formula>
    </cfRule>
  </conditionalFormatting>
  <conditionalFormatting sqref="AD30:AE35">
    <cfRule type="expression" dxfId="690" priority="51">
      <formula>AND(ISBLANK($C30)=FALSE,OR(ISBLANK(AD30)=TRUE,AD30=""))</formula>
    </cfRule>
  </conditionalFormatting>
  <conditionalFormatting sqref="AF28:AG35">
    <cfRule type="expression" dxfId="689" priority="49">
      <formula>AND(ISBLANK($O28)=FALSE,OR(ISBLANK(AF28)=TRUE,AF28=""))</formula>
    </cfRule>
    <cfRule type="expression" dxfId="688" priority="50">
      <formula>AND(ISBLANK($C28)=FALSE,OR(ISBLANK(AF28)=TRUE,AF28=""))</formula>
    </cfRule>
  </conditionalFormatting>
  <conditionalFormatting sqref="AH30:AI35">
    <cfRule type="expression" dxfId="687" priority="47">
      <formula>AND(ISBLANK($C30)=FALSE,OR(ISBLANK(AH30)=TRUE,AH30=""))</formula>
    </cfRule>
    <cfRule type="expression" dxfId="686" priority="48">
      <formula>AND(ISBLANK($O30)=FALSE,OR(ISBLANK(AH30)=TRUE,AH30=""))</formula>
    </cfRule>
  </conditionalFormatting>
  <conditionalFormatting sqref="AJ30:AK35">
    <cfRule type="expression" dxfId="685" priority="45">
      <formula>AND(ISBLANK($C30)=FALSE,OR(ISBLANK(AJ30)=TRUE,AJ30=""))</formula>
    </cfRule>
    <cfRule type="expression" dxfId="684" priority="46">
      <formula>AND(ISBLANK($O30)=FALSE,OR(ISBLANK(AJ30)=TRUE,AJ30=""))</formula>
    </cfRule>
  </conditionalFormatting>
  <conditionalFormatting sqref="O28">
    <cfRule type="expression" dxfId="683" priority="44">
      <formula>AND(ISBLANK($C28)=FALSE,OR(ISBLANK(O28)=TRUE,O28=""))</formula>
    </cfRule>
  </conditionalFormatting>
  <conditionalFormatting sqref="R28">
    <cfRule type="expression" dxfId="682" priority="42">
      <formula>AND(ISBLANK($C28)=FALSE,OR(ISBLANK(R28)=TRUE,R28=""))</formula>
    </cfRule>
  </conditionalFormatting>
  <conditionalFormatting sqref="R28">
    <cfRule type="expression" dxfId="681" priority="43">
      <formula>AND(ISBLANK($O28)=FALSE,OR(ISBLANK(R28)=TRUE,R28=""))</formula>
    </cfRule>
  </conditionalFormatting>
  <conditionalFormatting sqref="U28">
    <cfRule type="expression" dxfId="680" priority="40">
      <formula>AND(ISBLANK($C28)=FALSE,OR(ISBLANK(U28)=TRUE,U28=""))</formula>
    </cfRule>
    <cfRule type="expression" dxfId="679" priority="41">
      <formula>AND(ISBLANK($O28)=FALSE,OR(ISBLANK(U28)=TRUE,U28=""))</formula>
    </cfRule>
  </conditionalFormatting>
  <conditionalFormatting sqref="Y28">
    <cfRule type="expression" dxfId="678" priority="38">
      <formula>AND(ISBLANK($C28)=FALSE,OR(ISBLANK(Y28)=TRUE,Y28=""))</formula>
    </cfRule>
  </conditionalFormatting>
  <conditionalFormatting sqref="Y28 AD28">
    <cfRule type="expression" dxfId="677" priority="39">
      <formula>AND(ISBLANK($O28)=FALSE,OR(ISBLANK(Y28)=TRUE,Y28=""))</formula>
    </cfRule>
  </conditionalFormatting>
  <conditionalFormatting sqref="AA28">
    <cfRule type="expression" dxfId="676" priority="36">
      <formula>AND(ISBLANK($C28)=FALSE,OR(ISBLANK(AA28)=TRUE,AA28=""))</formula>
    </cfRule>
    <cfRule type="expression" dxfId="675" priority="37">
      <formula>AND(ISBLANK($O28)=FALSE,OR(ISBLANK(AA28)=TRUE,AA28=""))</formula>
    </cfRule>
  </conditionalFormatting>
  <conditionalFormatting sqref="AD28:AE29">
    <cfRule type="expression" dxfId="674" priority="35">
      <formula>AND(ISBLANK($C28)=FALSE,OR(ISBLANK(AD28)=TRUE,AD28=""))</formula>
    </cfRule>
  </conditionalFormatting>
  <conditionalFormatting sqref="AH28:AI29">
    <cfRule type="expression" dxfId="673" priority="33">
      <formula>AND(ISBLANK($C28)=FALSE,OR(ISBLANK(AH28)=TRUE,AH28=""))</formula>
    </cfRule>
    <cfRule type="expression" dxfId="672" priority="34">
      <formula>AND(ISBLANK($O28)=FALSE,OR(ISBLANK(AH28)=TRUE,AH28=""))</formula>
    </cfRule>
  </conditionalFormatting>
  <conditionalFormatting sqref="AJ28:AK29">
    <cfRule type="expression" dxfId="671" priority="31">
      <formula>AND(ISBLANK($C28)=FALSE,OR(ISBLANK(AJ28)=TRUE,AJ28=""))</formula>
    </cfRule>
    <cfRule type="expression" dxfId="670" priority="32">
      <formula>AND(ISBLANK($O28)=FALSE,OR(ISBLANK(AJ28)=TRUE,AJ28=""))</formula>
    </cfRule>
  </conditionalFormatting>
  <conditionalFormatting sqref="O38">
    <cfRule type="expression" dxfId="669" priority="30">
      <formula>AND(ISBLANK($C38)=FALSE,OR(ISBLANK(O38)=TRUE,O38=""))</formula>
    </cfRule>
  </conditionalFormatting>
  <conditionalFormatting sqref="Y38">
    <cfRule type="expression" dxfId="668" priority="27">
      <formula>AND(ISBLANK($C38)=FALSE,OR(ISBLANK(Y38)=TRUE,Y38=""))</formula>
    </cfRule>
  </conditionalFormatting>
  <conditionalFormatting sqref="R38">
    <cfRule type="expression" dxfId="667" priority="26">
      <formula>AND(ISBLANK($C38)=FALSE,OR(ISBLANK(R38)=TRUE,R38=""))</formula>
    </cfRule>
  </conditionalFormatting>
  <conditionalFormatting sqref="Y38 AD38">
    <cfRule type="expression" dxfId="666" priority="29">
      <formula>AND(ISBLANK($O38)=FALSE,OR(ISBLANK(Y38)=TRUE,Y38=""))</formula>
    </cfRule>
  </conditionalFormatting>
  <conditionalFormatting sqref="R38">
    <cfRule type="expression" dxfId="665" priority="28">
      <formula>AND(ISBLANK($O38)=FALSE,OR(ISBLANK(R38)=TRUE,R38=""))</formula>
    </cfRule>
  </conditionalFormatting>
  <conditionalFormatting sqref="AA38">
    <cfRule type="expression" dxfId="664" priority="24">
      <formula>AND(ISBLANK($C38)=FALSE,OR(ISBLANK(AA38)=TRUE,AA38=""))</formula>
    </cfRule>
    <cfRule type="expression" dxfId="663" priority="25">
      <formula>AND(ISBLANK($O38)=FALSE,OR(ISBLANK(AA38)=TRUE,AA38=""))</formula>
    </cfRule>
  </conditionalFormatting>
  <conditionalFormatting sqref="U38">
    <cfRule type="expression" dxfId="662" priority="22">
      <formula>AND(ISBLANK($C38)=FALSE,OR(ISBLANK(U38)=TRUE,U38=""))</formula>
    </cfRule>
    <cfRule type="expression" dxfId="661" priority="23">
      <formula>AND(ISBLANK($O38)=FALSE,OR(ISBLANK(U38)=TRUE,U38=""))</formula>
    </cfRule>
  </conditionalFormatting>
  <conditionalFormatting sqref="AD38:AE39">
    <cfRule type="expression" dxfId="660" priority="21">
      <formula>AND(ISBLANK($C38)=FALSE,OR(ISBLANK(AD38)=TRUE,AD38=""))</formula>
    </cfRule>
  </conditionalFormatting>
  <conditionalFormatting sqref="AF36:AG39">
    <cfRule type="expression" dxfId="659" priority="19">
      <formula>AND(ISBLANK($O36)=FALSE,OR(ISBLANK(AF36)=TRUE,AF36=""))</formula>
    </cfRule>
    <cfRule type="expression" dxfId="658" priority="20">
      <formula>AND(ISBLANK($C36)=FALSE,OR(ISBLANK(AF36)=TRUE,AF36=""))</formula>
    </cfRule>
  </conditionalFormatting>
  <conditionalFormatting sqref="AH38:AI39">
    <cfRule type="expression" dxfId="657" priority="17">
      <formula>AND(ISBLANK($C38)=FALSE,OR(ISBLANK(AH38)=TRUE,AH38=""))</formula>
    </cfRule>
    <cfRule type="expression" dxfId="656" priority="18">
      <formula>AND(ISBLANK($O38)=FALSE,OR(ISBLANK(AH38)=TRUE,AH38=""))</formula>
    </cfRule>
  </conditionalFormatting>
  <conditionalFormatting sqref="AJ38:AK39">
    <cfRule type="expression" dxfId="655" priority="15">
      <formula>AND(ISBLANK($C38)=FALSE,OR(ISBLANK(AJ38)=TRUE,AJ38=""))</formula>
    </cfRule>
    <cfRule type="expression" dxfId="654" priority="16">
      <formula>AND(ISBLANK($O38)=FALSE,OR(ISBLANK(AJ38)=TRUE,AJ38=""))</formula>
    </cfRule>
  </conditionalFormatting>
  <conditionalFormatting sqref="O36">
    <cfRule type="expression" dxfId="653" priority="14">
      <formula>AND(ISBLANK($C36)=FALSE,OR(ISBLANK(O36)=TRUE,O36=""))</formula>
    </cfRule>
  </conditionalFormatting>
  <conditionalFormatting sqref="R36">
    <cfRule type="expression" dxfId="652" priority="12">
      <formula>AND(ISBLANK($C36)=FALSE,OR(ISBLANK(R36)=TRUE,R36=""))</formula>
    </cfRule>
  </conditionalFormatting>
  <conditionalFormatting sqref="R36">
    <cfRule type="expression" dxfId="651" priority="13">
      <formula>AND(ISBLANK($O36)=FALSE,OR(ISBLANK(R36)=TRUE,R36=""))</formula>
    </cfRule>
  </conditionalFormatting>
  <conditionalFormatting sqref="U36">
    <cfRule type="expression" dxfId="650" priority="10">
      <formula>AND(ISBLANK($C36)=FALSE,OR(ISBLANK(U36)=TRUE,U36=""))</formula>
    </cfRule>
    <cfRule type="expression" dxfId="649" priority="11">
      <formula>AND(ISBLANK($O36)=FALSE,OR(ISBLANK(U36)=TRUE,U36=""))</formula>
    </cfRule>
  </conditionalFormatting>
  <conditionalFormatting sqref="Y36">
    <cfRule type="expression" dxfId="648" priority="8">
      <formula>AND(ISBLANK($C36)=FALSE,OR(ISBLANK(Y36)=TRUE,Y36=""))</formula>
    </cfRule>
  </conditionalFormatting>
  <conditionalFormatting sqref="Y36 AD36">
    <cfRule type="expression" dxfId="647" priority="9">
      <formula>AND(ISBLANK($O36)=FALSE,OR(ISBLANK(Y36)=TRUE,Y36=""))</formula>
    </cfRule>
  </conditionalFormatting>
  <conditionalFormatting sqref="AA36">
    <cfRule type="expression" dxfId="646" priority="6">
      <formula>AND(ISBLANK($C36)=FALSE,OR(ISBLANK(AA36)=TRUE,AA36=""))</formula>
    </cfRule>
    <cfRule type="expression" dxfId="645" priority="7">
      <formula>AND(ISBLANK($O36)=FALSE,OR(ISBLANK(AA36)=TRUE,AA36=""))</formula>
    </cfRule>
  </conditionalFormatting>
  <conditionalFormatting sqref="AD36:AE37">
    <cfRule type="expression" dxfId="644" priority="5">
      <formula>AND(ISBLANK($C36)=FALSE,OR(ISBLANK(AD36)=TRUE,AD36=""))</formula>
    </cfRule>
  </conditionalFormatting>
  <conditionalFormatting sqref="AH36:AI37">
    <cfRule type="expression" dxfId="643" priority="3">
      <formula>AND(ISBLANK($C36)=FALSE,OR(ISBLANK(AH36)=TRUE,AH36=""))</formula>
    </cfRule>
    <cfRule type="expression" dxfId="642" priority="4">
      <formula>AND(ISBLANK($O36)=FALSE,OR(ISBLANK(AH36)=TRUE,AH36=""))</formula>
    </cfRule>
  </conditionalFormatting>
  <conditionalFormatting sqref="AJ36:AK37">
    <cfRule type="expression" dxfId="641" priority="1">
      <formula>AND(ISBLANK($C36)=FALSE,OR(ISBLANK(AJ36)=TRUE,AJ36=""))</formula>
    </cfRule>
    <cfRule type="expression" dxfId="640" priority="2">
      <formula>AND(ISBLANK($O36)=FALSE,OR(ISBLANK(AJ36)=TRUE,AJ36=""))</formula>
    </cfRule>
  </conditionalFormatting>
  <dataValidations xWindow="154" yWindow="852" count="16">
    <dataValidation allowBlank="1" showInputMessage="1" showErrorMessage="1" prompt="Provide a brief description of where the lights are, e.g., &quot;1st Floor Hall&quot;, &quot;Office&quot;, &quot;Machine Shop&quot;, etc." sqref="AA26 AA80 AA70 AA72 AA74 AA76 AA78 AA40 AA42 AA44 AA46 AA48 AA50 AA52 AA54 AA56 AA58 AA60 AA62 AA64 AA66 AA68 AA30 AA32 AA34 AA36 AA38 AA28" xr:uid="{AB8D49D7-7854-49A8-AB88-DE2BD03AF3F6}"/>
    <dataValidation type="whole" allowBlank="1" showInputMessage="1" showErrorMessage="1" sqref="AD26 AD80 AD70 AD72 AD74 AD76 AD78 AD40 AD42 AD44 AD46 AD48 AD50 AD52 AD54 AD56 AD58 AD60 AD62 AD64 AD66 AD68 AD30 AD32 AD34 AD36 AD38 AD28" xr:uid="{843E0684-F2E9-4557-BA70-674A43933535}">
      <formula1>1</formula1>
      <formula2>8760</formula2>
    </dataValidation>
    <dataValidation type="list" showInputMessage="1" showErrorMessage="1" sqref="C26 C80 C70 C72 C74 C76 C78 C40 C42 C44 C46 C48 C50 C52 C54 C56 C58 C60 C62 C64 C66 C68 C30 C32 C34 C36 C38 C28" xr:uid="{4D23FFCF-8850-4753-AB63-B941CBD2E47B}">
      <formula1>IF(ISBLANK($E26),LINFIXTTYPE)</formula1>
    </dataValidation>
    <dataValidation allowBlank="1" showInputMessage="1" showErrorMessage="1" prompt="Provide a brief description of the new LED's brand, model, and part number, if applicable" sqref="R70 R64 R66 R68 R26 R80 R62 R72 R74 R76 R78 R40 R42 R44 R46 R48 R50 R52 R54 R56 R58 R60 R30 R32 R34 R36 R38 R28" xr:uid="{952830D6-95F1-4788-892C-39F9A5983550}"/>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26:Z81" xr:uid="{5EBF2FDE-FDC2-4035-899E-3D1AC0F0FC89}">
      <formula1>1</formula1>
    </dataValidation>
    <dataValidation type="list" allowBlank="1" showInputMessage="1" showErrorMessage="1" prompt="Choose from existing fixture type options." sqref="E26:G81" xr:uid="{4F92210A-F6CF-4828-85A4-41FC9A4D27DA}">
      <formula1>LINFIXTDETPA</formula1>
    </dataValidation>
    <dataValidation operator="greaterThanOrEqual" allowBlank="1" showInputMessage="1" showErrorMessage="1" sqref="M26:N81" xr:uid="{D2ED77E0-8BCF-4D67-9EAC-DE9CEF538C2F}"/>
    <dataValidation type="decimal" operator="greaterThanOrEqual" allowBlank="1" showInputMessage="1" showErrorMessage="1" prompt="Enter material or labor cost per NEW FIXTURE._x000a__x000a_For in house installs estimate labor cost." sqref="AJ26 AJ80 AJ70 AJ72 AJ74 AJ76 AJ78 AJ40 AJ42 AJ44 AJ46 AJ48 AJ50 AJ52 AJ54 AJ56 AJ58 AJ60 AJ62 AJ64 AJ66 AJ68 AJ30 AJ32 AJ34 AJ36 AJ38 AJ28" xr:uid="{74C09171-E45A-4FAE-A16A-97DB116E79AE}">
      <formula1>0</formula1>
    </dataValidation>
    <dataValidation type="decimal" operator="greaterThanOrEqual" allowBlank="1" showInputMessage="1" showErrorMessage="1" prompt="Enter material or labor cost per NEW FIXTURE._x000a__x000a_For in house installs estimate labor cost." sqref="AH26 AH80 AH70 AH72 AH74 AH76 AH78 AH40 AH42 AH44 AH46 AH48 AH50 AH52 AH54 AH56 AH58 AH60 AH62 AH64 AH66 AH68 AH30 AH32 AH34 AH36 AH38 AH28" xr:uid="{88978847-1FD7-440C-8F8C-32CD3F46A5D9}">
      <formula1>1</formula1>
    </dataValidation>
    <dataValidation type="decimal" operator="greaterThan" allowBlank="1" showInputMessage="1" showErrorMessage="1" prompt="Enter material or labor cost per NEW FIXTURE._x000a__x000a_For in house installs estimate labor cost." sqref="AF22:AG25" xr:uid="{C2E9ED64-2C99-4310-830D-06E692EEB11C}">
      <formula1>20</formula1>
    </dataValidation>
    <dataValidation type="list" allowBlank="1" showInputMessage="1" showErrorMessage="1" prompt="Select the type of new LED lighting that is being installed or retrofitted." sqref="O26:Q81" xr:uid="{7446F82E-12D5-44EC-8FD8-599D54B22A63}">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26:X81" xr:uid="{58D9985B-3F91-4F7F-9CAB-58C327878DA6}">
      <formula1>12</formula1>
    </dataValidation>
    <dataValidation type="whole" operator="greaterThanOrEqual" allowBlank="1" showInputMessage="1" showErrorMessage="1" prompt="Enter the number of linear fluorescent fixtures currently installed." sqref="K26:L81" xr:uid="{DF886D11-ED3B-4BF3-B4D6-12BED81F3F04}">
      <formula1>1</formula1>
    </dataValidation>
    <dataValidation type="list" operator="greaterThanOrEqual" allowBlank="1" showInputMessage="1" error="A lamp life of 50,000 hours or greater is required to qualify for an incentive" prompt="A lamp life of 50,000 hours or greater is required to qualify for an incentive" sqref="AF26:AG81" xr:uid="{B219FA91-8C9A-400A-98F9-7FDE73E82C0D}">
      <formula1>"50000,60000,65000,75000,80000,100000"</formula1>
    </dataValidation>
    <dataValidation type="list" allowBlank="1" showInputMessage="1" showErrorMessage="1" sqref="AH6:AI6" xr:uid="{F207A923-A227-4288-B200-20D3AF590814}">
      <formula1>"No"</formula1>
    </dataValidation>
    <dataValidation type="list" allowBlank="1" showInputMessage="1" showErrorMessage="1" sqref="BH26:BH81" xr:uid="{DB06D8AE-2C17-48CB-8F9C-8D966E9893C3}">
      <formula1>"1.0,1.07"</formula1>
    </dataValidation>
  </dataValidations>
  <hyperlinks>
    <hyperlink ref="B202" r:id="rId1" display="NIPSCO.Savings@LMCO.com" xr:uid="{00000000-0004-0000-1400-000000000000}"/>
  </hyperlinks>
  <pageMargins left="0.25" right="0.25" top="0.25" bottom="0.25" header="0.25" footer="0.25"/>
  <pageSetup scale="52" fitToHeight="0" orientation="landscape" r:id="rId2"/>
  <drawing r:id="rId3"/>
  <extLst>
    <ext xmlns:x14="http://schemas.microsoft.com/office/spreadsheetml/2009/9/main" uri="{78C0D931-6437-407d-A8EE-F0AAD7539E65}">
      <x14:conditionalFormattings>
        <x14:conditionalFormatting xmlns:xm="http://schemas.microsoft.com/office/excel/2006/main">
          <x14:cfRule type="expression" priority="120" id="{00000000-000E-0000-1000-000001000000}">
            <xm:f>NOT(ISNUMBER('M03-S01-2'!$AO$18))</xm:f>
            <x14:dxf>
              <font>
                <color theme="0"/>
              </font>
              <fill>
                <patternFill patternType="none">
                  <bgColor auto="1"/>
                </patternFill>
              </fill>
              <border>
                <left/>
                <right/>
                <top/>
                <vertical/>
                <horizontal/>
              </border>
            </x14:dxf>
          </x14:cfRule>
          <xm:sqref>C24:AQ25</xm:sqref>
        </x14:conditionalFormatting>
        <x14:conditionalFormatting xmlns:xm="http://schemas.microsoft.com/office/excel/2006/main">
          <x14:cfRule type="expression" priority="121" id="{C3F6FCE1-014E-467E-A4E7-FB62563B95D5}">
            <xm:f>NOT(ISNUMBER('M03-S01-2'!$AO$18))</xm:f>
            <x14:dxf>
              <font>
                <color theme="0"/>
              </font>
              <fill>
                <patternFill patternType="none">
                  <bgColor auto="1"/>
                </patternFill>
              </fill>
              <border>
                <left/>
                <right/>
                <bottom/>
                <vertical/>
                <horizontal/>
              </border>
            </x14:dxf>
          </x14:cfRule>
          <xm:sqref>C22:AQ23</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B899-9512-4B40-8027-3D617937E0AE}">
  <sheetPr codeName="Sheet3">
    <pageSetUpPr fitToPage="1"/>
  </sheetPr>
  <dimension ref="A1:BS202"/>
  <sheetViews>
    <sheetView showGridLines="0" showRowColHeaders="0" zoomScale="85" zoomScaleNormal="85" workbookViewId="0">
      <selection activeCell="D27" sqref="D27:G28"/>
    </sheetView>
  </sheetViews>
  <sheetFormatPr defaultColWidth="0" defaultRowHeight="15" customHeight="1" zeroHeight="1" x14ac:dyDescent="0.25"/>
  <cols>
    <col min="1" max="45" width="4.7109375" customWidth="1"/>
    <col min="46" max="71" width="9.140625" customWidth="1"/>
    <col min="72" max="78" width="9.140625" hidden="1" customWidth="1"/>
    <col min="79" max="16384" width="9.140625" hidden="1"/>
  </cols>
  <sheetData>
    <row r="1" spans="2:59" ht="15.95" customHeight="1" x14ac:dyDescent="0.3">
      <c r="Q1" s="616" t="str">
        <f>IF(OR('M03-S01-2'!AU13&lt;&gt;0,'M03-S02'!AU13&lt;&gt;0,'M03-S03'!AU13&lt;&gt;0,'M03-S04'!AU13&lt;&gt;0,'M03-S05'!AU13&lt;&gt;0),"P","")</f>
        <v/>
      </c>
      <c r="R1" s="616"/>
      <c r="U1" s="615" t="str">
        <f>IF(OR('M04-S01'!AU13&lt;&gt;0,'M04-S02'!AU13&lt;&gt;0,'M04-S03'!AU13&lt;&gt;0,'M04-S04'!AU13&lt;&gt;0),"P","")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9" ht="15.95" customHeight="1" x14ac:dyDescent="0.25">
      <c r="AH3" s="604"/>
      <c r="AI3" s="605"/>
      <c r="AJ3" s="605"/>
      <c r="AK3" s="605"/>
      <c r="AL3" s="614"/>
      <c r="AM3" s="614"/>
      <c r="AN3" s="614"/>
      <c r="AO3" s="614"/>
      <c r="AP3" s="614"/>
      <c r="AQ3" s="610"/>
      <c r="AR3" s="611"/>
    </row>
    <row r="4" spans="2:59" ht="15.95" customHeight="1" x14ac:dyDescent="0.25"/>
    <row r="5" spans="2:59" ht="15.95" customHeight="1" x14ac:dyDescent="0.25">
      <c r="C5" s="296"/>
      <c r="D5" s="296"/>
      <c r="E5" s="297" t="str">
        <f>IF('M03-S01-2'!AU13=0,"","P")</f>
        <v/>
      </c>
      <c r="F5" s="296"/>
      <c r="G5" s="296"/>
      <c r="H5" s="296"/>
      <c r="I5" s="296"/>
      <c r="J5" s="297"/>
      <c r="K5" s="296"/>
      <c r="L5" s="296"/>
      <c r="M5" s="296"/>
      <c r="N5" s="296"/>
      <c r="O5" s="297"/>
      <c r="P5" s="296"/>
      <c r="Q5" s="296"/>
      <c r="R5" s="296"/>
      <c r="S5" s="296"/>
      <c r="T5" s="297"/>
      <c r="U5" s="296"/>
      <c r="V5" s="296"/>
      <c r="W5" s="296"/>
      <c r="X5" s="296"/>
      <c r="Y5" s="297"/>
      <c r="Z5" s="296"/>
      <c r="AA5" s="296"/>
      <c r="AB5" s="296"/>
      <c r="AC5" s="296"/>
      <c r="AD5" s="297"/>
      <c r="AE5" s="296"/>
      <c r="AF5" s="296"/>
      <c r="AG5" s="296"/>
      <c r="AH5" s="296"/>
      <c r="AI5" s="297" t="str">
        <f>IF('M03-S07'!AW13=0,"","P")</f>
        <v/>
      </c>
      <c r="AJ5" s="1185"/>
      <c r="AK5" s="1185"/>
      <c r="AL5" s="1185"/>
      <c r="AM5" s="1185"/>
      <c r="AN5" s="1185"/>
      <c r="AO5" s="1185"/>
      <c r="AP5" s="1185"/>
      <c r="AQ5" s="296"/>
    </row>
    <row r="6" spans="2:59"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1050"/>
      <c r="AI6" s="1050"/>
      <c r="AJ6" s="1186"/>
      <c r="AK6" s="1186"/>
      <c r="AL6" s="1186"/>
      <c r="AM6" s="1186"/>
      <c r="AN6" s="1186"/>
      <c r="AO6" s="1186"/>
      <c r="AP6" s="1186"/>
      <c r="AQ6" s="296"/>
    </row>
    <row r="7" spans="2:59"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1186"/>
      <c r="AK7" s="1186"/>
      <c r="AL7" s="1186"/>
      <c r="AM7" s="1186"/>
      <c r="AN7" s="1186"/>
      <c r="AO7" s="1186"/>
      <c r="AP7" s="1186"/>
      <c r="AQ7" s="296"/>
    </row>
    <row r="8" spans="2:59" ht="15.95" customHeight="1" x14ac:dyDescent="0.25">
      <c r="H8" s="296"/>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row>
    <row r="9" spans="2:59" ht="15.95" customHeight="1" x14ac:dyDescent="0.25">
      <c r="B9" s="69"/>
      <c r="C9" s="69"/>
      <c r="D9" s="69"/>
      <c r="E9" s="69"/>
      <c r="F9" s="69"/>
      <c r="G9" s="69"/>
      <c r="H9" s="69"/>
      <c r="I9" s="69"/>
      <c r="J9" s="69"/>
      <c r="K9" s="69"/>
      <c r="L9" s="69"/>
      <c r="M9" s="69"/>
      <c r="N9" s="69"/>
      <c r="O9" s="69"/>
      <c r="P9" s="1174" t="s">
        <v>2329</v>
      </c>
      <c r="Q9" s="1174"/>
      <c r="R9" s="1174"/>
      <c r="S9" s="1174"/>
      <c r="T9" s="1174"/>
      <c r="U9" s="1174"/>
      <c r="V9" s="1174"/>
      <c r="W9" s="1174"/>
      <c r="X9" s="1174"/>
      <c r="Y9" s="1174"/>
      <c r="Z9" s="1174"/>
      <c r="AA9" s="1174"/>
      <c r="AB9" s="1174"/>
      <c r="AC9" s="1174"/>
      <c r="AD9" s="1174"/>
      <c r="AE9" s="1174"/>
      <c r="AF9" s="69"/>
      <c r="AG9" s="69"/>
      <c r="AH9" s="69"/>
      <c r="AI9" s="69"/>
      <c r="AJ9" s="69"/>
      <c r="AK9" s="69"/>
      <c r="AL9" s="69"/>
      <c r="AM9" s="69"/>
      <c r="AN9" s="69"/>
      <c r="AO9" s="69"/>
      <c r="AP9" s="69"/>
      <c r="AQ9" s="69"/>
      <c r="AR9" s="69"/>
      <c r="AS9" s="69"/>
      <c r="AT9" s="69"/>
      <c r="AU9" s="69"/>
      <c r="AV9" s="69"/>
      <c r="AW9" s="69"/>
      <c r="AX9" s="69"/>
    </row>
    <row r="10" spans="2:59" ht="15.95" customHeight="1" x14ac:dyDescent="0.25">
      <c r="B10" s="69"/>
      <c r="C10" s="69"/>
      <c r="D10" s="69"/>
      <c r="E10" s="69"/>
      <c r="I10" s="876" t="str">
        <f>IF(COUNTIF(BF18:BF21,"Yes")&gt;0,"The incentives for one or more measures are being capped at total measure cost","")</f>
        <v/>
      </c>
      <c r="J10" s="876"/>
      <c r="K10" s="876"/>
      <c r="L10" s="876"/>
      <c r="M10" s="876"/>
      <c r="N10" s="876"/>
      <c r="O10" s="306"/>
      <c r="P10" s="1174"/>
      <c r="Q10" s="1174"/>
      <c r="R10" s="1174"/>
      <c r="S10" s="1174"/>
      <c r="T10" s="1174"/>
      <c r="U10" s="1174"/>
      <c r="V10" s="1174"/>
      <c r="W10" s="1174"/>
      <c r="X10" s="1174"/>
      <c r="Y10" s="1174"/>
      <c r="Z10" s="1174"/>
      <c r="AA10" s="1174"/>
      <c r="AB10" s="1174"/>
      <c r="AC10" s="1174"/>
      <c r="AD10" s="1174"/>
      <c r="AE10" s="1174"/>
      <c r="AF10" s="69"/>
      <c r="AG10" s="858" t="str">
        <f ca="1">IF(AND(AND(SUBLIGHTDATE1&lt;&gt;"No",SUBLIGHTDATE2&lt;&gt;"No",SUBLIGHTDATE3&lt;&gt;"No"),M02S02F44="No",OR(M02S02F43&lt;=DATEVALUE("12/31/2021"),M02S02F43=""),OR(TODAY()&lt;=LIGHTING2021,ACTLIGHT&lt;&gt;"")),CONCATENATE("Enhanced incentive rates are active on these measures only if submitted and completed by ",TEXT(LIGHTING2021,"M/DD/YYYY")),"")</f>
        <v/>
      </c>
      <c r="AH10" s="858"/>
      <c r="AI10" s="858"/>
      <c r="AJ10" s="858"/>
      <c r="AK10" s="858"/>
      <c r="AL10" s="858"/>
      <c r="AM10" s="858"/>
      <c r="AN10" s="858"/>
      <c r="AO10" s="69"/>
      <c r="AP10" s="69"/>
      <c r="AQ10" s="69"/>
      <c r="AR10" s="69"/>
      <c r="AS10" s="69"/>
      <c r="AT10" s="69"/>
    </row>
    <row r="11" spans="2:59" ht="15.95" customHeight="1" x14ac:dyDescent="0.25">
      <c r="B11" s="69"/>
      <c r="C11" s="69"/>
      <c r="D11" s="69"/>
      <c r="E11" s="69"/>
      <c r="I11" s="876"/>
      <c r="J11" s="876"/>
      <c r="K11" s="876"/>
      <c r="L11" s="876"/>
      <c r="M11" s="876"/>
      <c r="N11" s="876"/>
      <c r="O11" s="341"/>
      <c r="P11" s="1054" t="s">
        <v>2229</v>
      </c>
      <c r="Q11" s="1054"/>
      <c r="R11" s="1054"/>
      <c r="S11" s="1054"/>
      <c r="T11" s="1054"/>
      <c r="U11" s="1054"/>
      <c r="V11" s="1054"/>
      <c r="W11" s="1054"/>
      <c r="X11" s="1054"/>
      <c r="Y11" s="1054"/>
      <c r="Z11" s="1054"/>
      <c r="AA11" s="1054"/>
      <c r="AB11" s="1054"/>
      <c r="AC11" s="1054"/>
      <c r="AD11" s="1054"/>
      <c r="AE11" s="1054"/>
      <c r="AF11" s="69"/>
      <c r="AG11" s="858"/>
      <c r="AH11" s="858"/>
      <c r="AI11" s="858"/>
      <c r="AJ11" s="858"/>
      <c r="AK11" s="858"/>
      <c r="AL11" s="858"/>
      <c r="AM11" s="858"/>
      <c r="AN11" s="858"/>
      <c r="AO11" s="69"/>
      <c r="AP11" s="69"/>
      <c r="AQ11" s="69"/>
      <c r="AR11" s="69"/>
      <c r="AS11" s="69"/>
      <c r="AT11" s="69"/>
    </row>
    <row r="12" spans="2:59" ht="15.95" customHeight="1" x14ac:dyDescent="0.25">
      <c r="B12" s="69"/>
      <c r="D12" s="69"/>
      <c r="E12" s="69"/>
      <c r="G12" s="266"/>
      <c r="I12" s="876"/>
      <c r="J12" s="876"/>
      <c r="K12" s="876"/>
      <c r="L12" s="876"/>
      <c r="M12" s="876"/>
      <c r="N12" s="876"/>
      <c r="O12" s="341"/>
      <c r="P12" s="1054"/>
      <c r="Q12" s="1054"/>
      <c r="R12" s="1054"/>
      <c r="S12" s="1054"/>
      <c r="T12" s="1054"/>
      <c r="U12" s="1054"/>
      <c r="V12" s="1054"/>
      <c r="W12" s="1054"/>
      <c r="X12" s="1054"/>
      <c r="Y12" s="1054"/>
      <c r="Z12" s="1054"/>
      <c r="AA12" s="1054"/>
      <c r="AB12" s="1054"/>
      <c r="AC12" s="1054"/>
      <c r="AD12" s="1054"/>
      <c r="AE12" s="1054"/>
      <c r="AF12" s="69"/>
      <c r="AG12" s="858"/>
      <c r="AH12" s="858"/>
      <c r="AI12" s="858"/>
      <c r="AJ12" s="858"/>
      <c r="AK12" s="858"/>
      <c r="AL12" s="858"/>
      <c r="AM12" s="858"/>
      <c r="AN12" s="858"/>
      <c r="AO12" s="69"/>
      <c r="AP12" s="69"/>
      <c r="AQ12" s="69"/>
      <c r="AR12" s="69"/>
      <c r="AS12" s="69"/>
      <c r="AT12" s="69"/>
    </row>
    <row r="13" spans="2:59" ht="15.95" customHeight="1" x14ac:dyDescent="0.25">
      <c r="B13" s="69"/>
      <c r="D13" s="69"/>
      <c r="E13" s="69"/>
      <c r="F13" s="266"/>
      <c r="H13" s="266"/>
      <c r="I13" s="876"/>
      <c r="J13" s="876"/>
      <c r="K13" s="876"/>
      <c r="L13" s="876"/>
      <c r="M13" s="876"/>
      <c r="N13" s="876"/>
      <c r="O13" s="341"/>
      <c r="P13" s="1054"/>
      <c r="Q13" s="1054"/>
      <c r="R13" s="1054"/>
      <c r="S13" s="1054"/>
      <c r="T13" s="1054"/>
      <c r="U13" s="1054"/>
      <c r="V13" s="1054"/>
      <c r="W13" s="1054"/>
      <c r="X13" s="1054"/>
      <c r="Y13" s="1054"/>
      <c r="Z13" s="1054"/>
      <c r="AA13" s="1054"/>
      <c r="AB13" s="1054"/>
      <c r="AC13" s="1054"/>
      <c r="AD13" s="1054"/>
      <c r="AE13" s="1054"/>
      <c r="AF13" s="69"/>
      <c r="AG13" s="858"/>
      <c r="AH13" s="858"/>
      <c r="AI13" s="858"/>
      <c r="AJ13" s="858"/>
      <c r="AK13" s="858"/>
      <c r="AL13" s="858"/>
      <c r="AM13" s="858"/>
      <c r="AN13" s="858"/>
      <c r="AO13" s="69"/>
      <c r="AP13" s="69"/>
      <c r="AQ13" s="69"/>
      <c r="AR13" s="69"/>
      <c r="AS13" s="69"/>
      <c r="AT13" s="69"/>
      <c r="AU13" s="69"/>
      <c r="AV13" s="69"/>
      <c r="AW13" s="69"/>
      <c r="AX13" s="69"/>
    </row>
    <row r="14" spans="2:59" ht="15.95" customHeight="1" x14ac:dyDescent="0.25">
      <c r="D14" s="262"/>
      <c r="E14" s="262"/>
      <c r="F14" s="262"/>
      <c r="G14" s="262"/>
      <c r="H14" s="262"/>
      <c r="I14" s="262"/>
      <c r="J14" s="262"/>
      <c r="K14" s="262"/>
      <c r="L14" s="262"/>
      <c r="M14" s="253"/>
      <c r="N14" s="253"/>
      <c r="P14" s="520"/>
      <c r="Q14" s="1054" t="s">
        <v>2253</v>
      </c>
      <c r="R14" s="1054"/>
      <c r="S14" s="1054"/>
      <c r="T14" s="1054"/>
      <c r="U14" s="1054"/>
      <c r="V14" s="1054"/>
      <c r="W14" s="1054"/>
      <c r="X14" s="1054"/>
      <c r="Y14" s="1054"/>
      <c r="Z14" s="1054"/>
      <c r="AA14" s="1054"/>
      <c r="AB14" s="1054"/>
      <c r="AC14" s="1054"/>
      <c r="AD14" s="1054"/>
      <c r="AE14" s="1054"/>
      <c r="AF14" s="253"/>
      <c r="AG14" s="262"/>
      <c r="AH14" s="262"/>
      <c r="AI14" s="262"/>
      <c r="AJ14" s="262"/>
      <c r="AK14" s="262"/>
      <c r="AL14" s="262"/>
      <c r="AM14" s="262"/>
      <c r="AN14" s="262"/>
      <c r="AO14" s="262"/>
      <c r="AP14" s="262"/>
      <c r="AQ14" s="262"/>
      <c r="AR14" s="69"/>
      <c r="AS14" s="69"/>
      <c r="AT14" s="69"/>
      <c r="AU14" s="524" t="b">
        <v>0</v>
      </c>
      <c r="AV14" s="253"/>
      <c r="AW14" s="253"/>
      <c r="AX14" s="253"/>
      <c r="AY14" s="253"/>
      <c r="AZ14" s="253"/>
      <c r="BA14" s="253"/>
      <c r="BB14" s="253"/>
      <c r="BC14" s="253"/>
      <c r="BD14" s="253"/>
      <c r="BE14" s="253"/>
      <c r="BF14" s="253"/>
    </row>
    <row r="15" spans="2:59" ht="15.95" customHeight="1" thickBot="1" x14ac:dyDescent="0.3">
      <c r="C15" s="1037" t="s">
        <v>85</v>
      </c>
      <c r="D15" s="1037"/>
      <c r="E15" s="1037"/>
      <c r="F15" s="1037"/>
      <c r="G15" s="1037"/>
      <c r="H15" s="1037"/>
      <c r="I15" s="1037"/>
      <c r="J15" s="1037"/>
      <c r="K15" s="1037"/>
      <c r="L15" s="1037"/>
      <c r="M15" s="277"/>
      <c r="N15" s="264"/>
      <c r="O15" s="1038" t="s">
        <v>1380</v>
      </c>
      <c r="P15" s="1037"/>
      <c r="Q15" s="1037"/>
      <c r="R15" s="1037"/>
      <c r="S15" s="1037"/>
      <c r="T15" s="1037"/>
      <c r="U15" s="1037"/>
      <c r="V15" s="1037"/>
      <c r="W15" s="1037"/>
      <c r="X15" s="1037"/>
      <c r="Y15" s="1037"/>
      <c r="Z15" s="1037"/>
      <c r="AA15" s="1037"/>
      <c r="AB15" s="1037"/>
      <c r="AC15" s="1037"/>
      <c r="AD15" s="1037"/>
      <c r="AE15" s="12"/>
      <c r="AF15" s="1038" t="s">
        <v>97</v>
      </c>
      <c r="AG15" s="1037"/>
      <c r="AH15" s="1037"/>
      <c r="AI15" s="1046"/>
      <c r="AJ15" s="1038" t="s">
        <v>1369</v>
      </c>
      <c r="AK15" s="1037"/>
      <c r="AL15" s="1037"/>
      <c r="AM15" s="1037"/>
      <c r="AN15" s="1037"/>
      <c r="AO15" s="1037"/>
      <c r="AP15" s="1037"/>
      <c r="AQ15" s="1037"/>
      <c r="AR15" s="69"/>
      <c r="AS15" s="69"/>
      <c r="AT15" s="69"/>
      <c r="AU15" s="253"/>
      <c r="AV15" s="253"/>
      <c r="AW15" s="253"/>
      <c r="AX15" s="253"/>
      <c r="AY15" s="1043" t="s">
        <v>1657</v>
      </c>
      <c r="AZ15" s="799"/>
      <c r="BA15" s="253"/>
      <c r="BB15" s="253"/>
      <c r="BC15" s="253"/>
      <c r="BD15" s="253"/>
      <c r="BE15" s="253"/>
      <c r="BF15" s="253"/>
    </row>
    <row r="16" spans="2:59" ht="15.95" customHeight="1" x14ac:dyDescent="0.25">
      <c r="C16" s="965" t="s">
        <v>1649</v>
      </c>
      <c r="D16" s="799"/>
      <c r="E16" s="1068" t="s">
        <v>1393</v>
      </c>
      <c r="F16" s="1068"/>
      <c r="G16" s="1068"/>
      <c r="H16" s="1068" t="s">
        <v>1395</v>
      </c>
      <c r="I16" s="1068"/>
      <c r="J16" s="1068"/>
      <c r="K16" s="1068" t="s">
        <v>1492</v>
      </c>
      <c r="L16" s="1068"/>
      <c r="M16" s="1068" t="s">
        <v>1365</v>
      </c>
      <c r="N16" s="1068"/>
      <c r="O16" s="799" t="s">
        <v>1394</v>
      </c>
      <c r="P16" s="799"/>
      <c r="Q16" s="799"/>
      <c r="R16" s="799" t="s">
        <v>1364</v>
      </c>
      <c r="S16" s="799"/>
      <c r="T16" s="799"/>
      <c r="U16" s="799" t="s">
        <v>1488</v>
      </c>
      <c r="V16" s="799"/>
      <c r="W16" s="1170" t="s">
        <v>1410</v>
      </c>
      <c r="X16" s="1171"/>
      <c r="Y16" s="799" t="s">
        <v>1365</v>
      </c>
      <c r="Z16" s="799"/>
      <c r="AA16" s="799" t="s">
        <v>1357</v>
      </c>
      <c r="AB16" s="799"/>
      <c r="AC16" s="799"/>
      <c r="AD16" s="799" t="s">
        <v>1147</v>
      </c>
      <c r="AE16" s="798"/>
      <c r="AF16" s="798" t="s">
        <v>1225</v>
      </c>
      <c r="AG16" s="798"/>
      <c r="AH16" s="798" t="s">
        <v>1145</v>
      </c>
      <c r="AI16" s="798"/>
      <c r="AJ16" s="798" t="s">
        <v>1363</v>
      </c>
      <c r="AK16" s="798"/>
      <c r="AL16" s="798" t="s">
        <v>88</v>
      </c>
      <c r="AM16" s="798"/>
      <c r="AN16" s="798"/>
      <c r="AO16" s="798" t="s">
        <v>448</v>
      </c>
      <c r="AP16" s="798"/>
      <c r="AQ16" s="798"/>
      <c r="AS16" s="69"/>
      <c r="AT16" s="69"/>
      <c r="AU16" s="799" t="s">
        <v>191</v>
      </c>
      <c r="AV16" s="799" t="s">
        <v>192</v>
      </c>
      <c r="AW16" s="799" t="s">
        <v>207</v>
      </c>
      <c r="AX16" s="799" t="s">
        <v>193</v>
      </c>
      <c r="AY16" s="799" t="s">
        <v>1361</v>
      </c>
      <c r="AZ16" s="799" t="s">
        <v>1362</v>
      </c>
      <c r="BA16" s="799" t="s">
        <v>1228</v>
      </c>
      <c r="BB16" s="799" t="s">
        <v>125</v>
      </c>
      <c r="BC16" s="799" t="s">
        <v>1363</v>
      </c>
      <c r="BD16" s="799" t="s">
        <v>118</v>
      </c>
      <c r="BE16" s="799" t="s">
        <v>473</v>
      </c>
      <c r="BF16" s="799" t="s">
        <v>1352</v>
      </c>
      <c r="BG16" s="745" t="s">
        <v>2251</v>
      </c>
    </row>
    <row r="17" spans="2:59" ht="15.95" customHeight="1" thickBot="1" x14ac:dyDescent="0.3">
      <c r="C17" s="746"/>
      <c r="D17" s="746"/>
      <c r="E17" s="746"/>
      <c r="F17" s="746"/>
      <c r="G17" s="746"/>
      <c r="H17" s="746"/>
      <c r="I17" s="746"/>
      <c r="J17" s="746"/>
      <c r="K17" s="746"/>
      <c r="L17" s="746"/>
      <c r="M17" s="746"/>
      <c r="N17" s="746"/>
      <c r="O17" s="746"/>
      <c r="P17" s="746"/>
      <c r="Q17" s="746"/>
      <c r="R17" s="746"/>
      <c r="S17" s="746"/>
      <c r="T17" s="746"/>
      <c r="U17" s="746"/>
      <c r="V17" s="746"/>
      <c r="W17" s="1172"/>
      <c r="X17" s="1173"/>
      <c r="Y17" s="746"/>
      <c r="Z17" s="746"/>
      <c r="AA17" s="746"/>
      <c r="AB17" s="746"/>
      <c r="AC17" s="746"/>
      <c r="AD17" s="746"/>
      <c r="AE17" s="746"/>
      <c r="AF17" s="746"/>
      <c r="AG17" s="746"/>
      <c r="AH17" s="746"/>
      <c r="AI17" s="746"/>
      <c r="AJ17" s="746"/>
      <c r="AK17" s="746"/>
      <c r="AL17" s="746"/>
      <c r="AM17" s="746"/>
      <c r="AN17" s="746"/>
      <c r="AO17" s="746"/>
      <c r="AP17" s="746"/>
      <c r="AQ17" s="746"/>
      <c r="AS17" s="69"/>
      <c r="AT17" s="69"/>
      <c r="AU17" s="746"/>
      <c r="AV17" s="746"/>
      <c r="AW17" s="746"/>
      <c r="AX17" s="746"/>
      <c r="AY17" s="746" t="s">
        <v>1360</v>
      </c>
      <c r="AZ17" s="746"/>
      <c r="BA17" s="746"/>
      <c r="BB17" s="746"/>
      <c r="BC17" s="746"/>
      <c r="BD17" s="746"/>
      <c r="BE17" s="746"/>
      <c r="BF17" s="746"/>
      <c r="BG17" s="746" t="s">
        <v>2251</v>
      </c>
    </row>
    <row r="18" spans="2:59" ht="15.95" customHeight="1" x14ac:dyDescent="0.25">
      <c r="B18" s="1119"/>
      <c r="C18" s="945" t="s">
        <v>1641</v>
      </c>
      <c r="D18" s="946"/>
      <c r="E18" s="949" t="str">
        <f>IF(D27="","Space 1 Redesign",D27&amp;" Redesign")</f>
        <v>Space 1 Redesign</v>
      </c>
      <c r="F18" s="950"/>
      <c r="G18" s="951"/>
      <c r="H18" s="949" t="str">
        <f>IF(OR(D27="",H27="",AM27="",AO27="",W47="",AJ47=""),"Complete Worksheet","See Worksheet")</f>
        <v>Complete Worksheet</v>
      </c>
      <c r="I18" s="950"/>
      <c r="J18" s="951"/>
      <c r="K18" s="955" t="str">
        <f>IF(OR(D27="",H27="",AM27="",AO27="",W47=0,AJ47=0),"",1)</f>
        <v/>
      </c>
      <c r="L18" s="956"/>
      <c r="M18" s="831" t="str">
        <f>IF(OR(D27="",H27="",AM27="",AO27="",W47=0,AJ47=0),"",W47)</f>
        <v/>
      </c>
      <c r="N18" s="832"/>
      <c r="O18" s="989" t="s">
        <v>1651</v>
      </c>
      <c r="P18" s="990"/>
      <c r="Q18" s="991"/>
      <c r="R18" s="995" t="str">
        <f>IF(OR(D27="",H27="",AM27="",AO27="",W47=0,AJ47=0),"Complete Worksheet","See Worksheet")</f>
        <v>Complete Worksheet</v>
      </c>
      <c r="S18" s="996"/>
      <c r="T18" s="997"/>
      <c r="U18" s="1001" t="str">
        <f>IF(OR(D27="",H27="",AM27="",AO27="",W47=0,AJ47=0),"",1)</f>
        <v/>
      </c>
      <c r="V18" s="996"/>
      <c r="W18" s="1002"/>
      <c r="X18" s="1003"/>
      <c r="Y18" s="831" t="str">
        <f>IF(OR(D27="",H27="",AM27="",AO27="",W47=0,AJ47=0),"",AJ47)</f>
        <v/>
      </c>
      <c r="Z18" s="1006"/>
      <c r="AA18" s="1008" t="str">
        <f>IF(OR(D27="",H27="",AM27="",AO27="",W47=0,AJ47=0),"",D27)</f>
        <v/>
      </c>
      <c r="AB18" s="1009"/>
      <c r="AC18" s="1009"/>
      <c r="AD18" s="1011" t="str">
        <f>IF(OR(D27="",H27="",AM27="",AO27="",W47=0,AJ47=0),"",H27)</f>
        <v/>
      </c>
      <c r="AE18" s="1011"/>
      <c r="AF18" s="970" t="str">
        <f>IF(OR(D27="",H27="",AM27="",AO27="",W47=0,AJ47=0),"",AM27)</f>
        <v/>
      </c>
      <c r="AG18" s="970"/>
      <c r="AH18" s="970" t="str">
        <f>IF(OR(D27="",H27="",AM27="",AO27="",W47=0,AJ47=0),"",AO27)</f>
        <v/>
      </c>
      <c r="AI18" s="1075"/>
      <c r="AJ18" s="1071" t="str">
        <f ca="1">BC18</f>
        <v/>
      </c>
      <c r="AK18" s="1072"/>
      <c r="AL18" s="870" t="str">
        <f>IF(OR(C18="",E18="",M18="",K18="",O18="",Y18="",R18="",AA18="",AF18="",AH18="",AD18="", U18=""),"",IFERROR(ROUND(IF((AW18-AX18)&lt;=0,0,BG18*(AW18-AX18)),0),""))</f>
        <v/>
      </c>
      <c r="AM18" s="870"/>
      <c r="AN18" s="870"/>
      <c r="AO18" s="872" t="str">
        <f>IF(M02S02F44="","Update Install Status",IF(M02S02F44="Yes","Pre-Purchased Not Eligible",IF(OR(C18="",E18="",M18="",K18="",O18="",Y18="",R18="",AA18="",AF18="",AH18="",AD18="",U18=""),"",IF(AND(ISNUMBER(SEARCH("Other",E18)),OR(H18="",ISBLANK(H18),ISNUMBER(SEARCH("Description",H18)))),"",IF(BE18&lt;&gt;"",BE18,MIN(BD18,AU18))))))</f>
        <v>Update Install Status</v>
      </c>
      <c r="AP18" s="872"/>
      <c r="AQ18" s="872"/>
      <c r="AS18" s="69"/>
      <c r="AT18" s="69"/>
      <c r="AU18" s="804" t="str">
        <f>IF(OR(C18="",E18="",M18="",K18="",O18="",Y18="",R18="",AA18="",AF18="",AH18="",AD18="", U18=""),"",IF(AND(ISNUMBER(SEARCH("Other",E18)),OR(H18="",ISBLANK(H18),ISNUMBER(SEARCH("Description",H18)))),"",(ROUND((AF18+AH18)*U18,2))))</f>
        <v/>
      </c>
      <c r="AV18" s="806" t="str">
        <f>IF(OR(C18="",E18="",M18="",K18="",O18="",Y18="",R18="",AA18="",AF18="",AH18="",AD18="", U18=""),"",IF(AND(ISNUMBER(SEARCH("Other",E18)),OR(H18="",ISBLANK(H18),ISNUMBER(SEARCH("Description",H18)))),"",ROUND(AL18*INDEX(ENDUSEALL[Factor],MATCH(IF(ISNUMBER(SEARCH("24/7",AA18)),"Miscellaneous","Lighting"),ENDUSEALL[End Use to Coincident Peak Demand Factors],0)),4)))</f>
        <v/>
      </c>
      <c r="AW18" s="802" t="str">
        <f>IF(OR(C18="",E18="",M18="",K18="",O18="",Y18="",R18="",AA18="",AF18="",AH18="",AD18="", U18=""),"",IF(AND(ISNUMBER(SEARCH("Other",E18)),OR(H18="",ISBLANK(H18),ISNUMBER(SEARCH("Description",H18)))),"",ROUND(M18*AD18*K18/1000,0)))</f>
        <v/>
      </c>
      <c r="AX18" s="802" t="str">
        <f>IF(OR(C18="",E18="",M18="",K18="",O18="",Y18="",R18="",AA18="",AF18="",AH18="",AD18="", U18=""),"",IF(AND(ISNUMBER(SEARCH("Other",E18)),OR(H18="",ISBLANK(H18),ISNUMBER(SEARCH("Description",H18)))),"",IF(D32="Yes",ROUND(0.76*Y18*AD18*U18/1000,0),ROUND(Y18*AD18*U18/1000,0))))</f>
        <v/>
      </c>
      <c r="AY18" s="802" t="str">
        <f>IF(OR(C18="",E18="",M18="",K18="",O18="",Y18="",R18="",AA18="",AF18="",AH18="",AD18="", U18=""),"",IF(AND(ISNUMBER(SEARCH("Other",E18)),OR(H18="",ISBLANK(H18),ISNUMBER(SEARCH("Description",H18)))),"",ROUND(K18*M18,0)))</f>
        <v/>
      </c>
      <c r="AZ18" s="802" t="str">
        <f>IF(OR(C18="",E18="",M18="",K18="",O18="",Y18="",R18="",AA18="",AF18="",AH18="",AD18="", U18=""),"",IF(AND(ISNUMBER(SEARCH("Other",E18)),OR(H18="",ISBLANK(H18),ISNUMBER(SEARCH("Description",H18)))),"",ROUND(Y18*U18,0)))</f>
        <v/>
      </c>
      <c r="BA18" s="800" t="str">
        <f>CONCATENATE(C18,"-","LED","-",D32)</f>
        <v>Redesign-LED-</v>
      </c>
      <c r="BB18" s="808" t="str">
        <f>IF(OR(C18="",E18="",M18="",K18="",O18="",Y18="",R18="",AA18="",AF18="",AH18="",AD18="", U18=""),"",IF(AND(ISNUMBER(SEARCH("Other",E18)),OR(H18="",ISBLANK(H18),ISNUMBER(SEARCH("Description",H18)))),"",INDEX(PMELIGHTLIN[Measure '#],MATCH(BA18,PMELIGHTLIN[Measure Validator],0))))</f>
        <v/>
      </c>
      <c r="BC18" s="809" t="str">
        <f ca="1">IFERROR(IF(OR(C18="",AH18=""),"",IF(BB18="","",IF(AND(AND(SUBLIGHTDATE1&lt;&gt;"No",SUBLIGHTDATE2&lt;&gt;"No",SUBLIGHTDATE3&lt;&gt;"No"),OR(M02S02F43&lt;=DATEVALUE("12/31/2021"),M02S02F43=""),OR(TODAY()&lt;=LIGHTING2021,ACTLIGHT&lt;&gt;"")),LIGHTRATE21*(INDEX(PMELIGHTLIN[Inc Rate Unit PA],MATCH(BA18,PMELIGHTLIN[Measure Validator],0))),INDEX(PMELIGHTLIN[Inc Rate Unit PA],MATCH(BA18,PMELIGHTLIN[Measure Validator],0))))),"")</f>
        <v/>
      </c>
      <c r="BD18" s="808" t="str">
        <f>IFERROR(ROUND(IF(OR(C18="",AH18=""),"",IF(BB18="","",(AY18-AZ18)*BC18)),2),"")</f>
        <v/>
      </c>
      <c r="BE18" s="800" t="str">
        <f>IF(M02S02F44="Yes","Not Eligible",IF(OR(C18="",E18="",M18="",K18="",O18="",Y18="",R18="",AA18="",AF18="",AH18="",AD18="", U18=""),"",IF(AND(ISNUMBER(SEARCH("Other",E18)),OR(H18="",ISBLANK(H18),ISNUMBER(SEARCH("Description",H18)))),"",IFERROR(IF(AD18&lt;INDEX(PMELIGHTLIN[Eff Watt 2],MATCH(BA18,PMELIGHTLIN[Measure Validator],0)),"Operating Hours Invalid",IF(ISNUMBER(SEARCH("SPILLOVER",AA18)),PROJSTATELI,IF((AW18-AX18)&lt;0,"No Savings",""))),"ERROR"))))</f>
        <v/>
      </c>
      <c r="BF18" s="802" t="str">
        <f>IF(AND(ISBLANK(AF18),ISBLANK(AH18)),"",IF(BD18&gt;AU18,"Yes","No"))</f>
        <v>No</v>
      </c>
      <c r="BG18" s="1051">
        <f>IF(M02S02F32="",1,IF($AU$14=TRUE,1,INDEX(SPACEHEAT[HIF],MATCH(M02S02F32,SHEAT,0))))</f>
        <v>1</v>
      </c>
    </row>
    <row r="19" spans="2:59" ht="15.95" customHeight="1" x14ac:dyDescent="0.25">
      <c r="B19" s="1119"/>
      <c r="C19" s="947"/>
      <c r="D19" s="948"/>
      <c r="E19" s="952"/>
      <c r="F19" s="953"/>
      <c r="G19" s="954"/>
      <c r="H19" s="952"/>
      <c r="I19" s="953"/>
      <c r="J19" s="954"/>
      <c r="K19" s="957"/>
      <c r="L19" s="958"/>
      <c r="M19" s="833"/>
      <c r="N19" s="834"/>
      <c r="O19" s="1026"/>
      <c r="P19" s="1027"/>
      <c r="Q19" s="1028"/>
      <c r="R19" s="1029"/>
      <c r="S19" s="1030"/>
      <c r="T19" s="1031"/>
      <c r="U19" s="1029"/>
      <c r="V19" s="1030"/>
      <c r="W19" s="1002"/>
      <c r="X19" s="1003"/>
      <c r="Y19" s="833"/>
      <c r="Z19" s="1034"/>
      <c r="AA19" s="1009"/>
      <c r="AB19" s="1009"/>
      <c r="AC19" s="1009"/>
      <c r="AD19" s="1011"/>
      <c r="AE19" s="1011"/>
      <c r="AF19" s="970"/>
      <c r="AG19" s="970"/>
      <c r="AH19" s="970"/>
      <c r="AI19" s="1075"/>
      <c r="AJ19" s="1071"/>
      <c r="AK19" s="1072"/>
      <c r="AL19" s="870"/>
      <c r="AM19" s="870"/>
      <c r="AN19" s="870"/>
      <c r="AO19" s="872"/>
      <c r="AP19" s="872"/>
      <c r="AQ19" s="872"/>
      <c r="AS19" s="69"/>
      <c r="AT19" s="69"/>
      <c r="AU19" s="805"/>
      <c r="AV19" s="807"/>
      <c r="AW19" s="803"/>
      <c r="AX19" s="803"/>
      <c r="AY19" s="803"/>
      <c r="AZ19" s="803"/>
      <c r="BA19" s="801"/>
      <c r="BB19" s="797"/>
      <c r="BC19" s="810"/>
      <c r="BD19" s="797"/>
      <c r="BE19" s="801"/>
      <c r="BF19" s="803"/>
      <c r="BG19" s="1052"/>
    </row>
    <row r="20" spans="2:59" ht="15.95" customHeight="1" x14ac:dyDescent="0.25">
      <c r="B20" s="1119"/>
      <c r="C20" s="945" t="s">
        <v>1641</v>
      </c>
      <c r="D20" s="946"/>
      <c r="E20" s="949" t="str">
        <f>IF(D54="","Space 2 Redesign",D54&amp;" Redesign")</f>
        <v>Space 2 Redesign</v>
      </c>
      <c r="F20" s="950"/>
      <c r="G20" s="951"/>
      <c r="H20" s="1084" t="str">
        <f>IF(OR(D54="",H54="",AM54="",AO54="",W74="",AJ74=""),"Complete Worksheet","See Worksheet")</f>
        <v>Complete Worksheet</v>
      </c>
      <c r="I20" s="1085"/>
      <c r="J20" s="1085"/>
      <c r="K20" s="955" t="str">
        <f>IF(OR(D54="",H54="",AM54="",AO54="",W74=0,AJ74=0),"",1)</f>
        <v/>
      </c>
      <c r="L20" s="956"/>
      <c r="M20" s="831" t="str">
        <f>IF(OR(D54="",H54="",AM54="",AO54="",W74=0,AJ74=0),"",W74)</f>
        <v/>
      </c>
      <c r="N20" s="832"/>
      <c r="O20" s="989" t="s">
        <v>1651</v>
      </c>
      <c r="P20" s="990"/>
      <c r="Q20" s="991"/>
      <c r="R20" s="1169" t="str">
        <f>IF(OR(D54="",H54="",AM54="",AO54="",W74=0,AJ74=0),"Complete Worksheet","See Worksheet")</f>
        <v>Complete Worksheet</v>
      </c>
      <c r="S20" s="996"/>
      <c r="T20" s="997"/>
      <c r="U20" s="1001" t="str">
        <f>IF(OR(D54="",H54="",AM54="",AO54="",W74=0,AJ74=0),"",1)</f>
        <v/>
      </c>
      <c r="V20" s="996"/>
      <c r="W20" s="1002"/>
      <c r="X20" s="1003"/>
      <c r="Y20" s="831" t="str">
        <f>IF(OR(D54="",H54="",AM54="",AO54="",W74=0,AJ74=0),"",AJ74)</f>
        <v/>
      </c>
      <c r="Z20" s="1006"/>
      <c r="AA20" s="1061" t="str">
        <f>IF(OR(D54="",H54="",AM54="",AO54="",W74=0,AJ74=0),"",D54)</f>
        <v/>
      </c>
      <c r="AB20" s="1009"/>
      <c r="AC20" s="1009"/>
      <c r="AD20" s="1011" t="str">
        <f>IF(OR(D54="",H54="",AM54="",AO54="",W74=0,AJ74=0),"",H54)</f>
        <v/>
      </c>
      <c r="AE20" s="1011"/>
      <c r="AF20" s="970" t="str">
        <f>IF(OR(D54="",H54="",AM54="",AO54="",W74=0,AJ74=0),"",AM54)</f>
        <v/>
      </c>
      <c r="AG20" s="970"/>
      <c r="AH20" s="970" t="str">
        <f>IF(OR(D54="",H54="",AM54="",AO54="",W74=0,AJ74=0),"",AO54)</f>
        <v/>
      </c>
      <c r="AI20" s="1075"/>
      <c r="AJ20" s="1071" t="str">
        <f ca="1">BC20</f>
        <v/>
      </c>
      <c r="AK20" s="1072"/>
      <c r="AL20" s="870" t="str">
        <f>IF(OR(C20="",E20="",M20="",K20="",O20="",Y20="",R20="",AA20="",AF20="",AH20="",AD20="", U20=""),"",IFERROR(ROUND(IF((AW20-AX20)&lt;=0,0,BG20*(AW20-AX20)),0),""))</f>
        <v/>
      </c>
      <c r="AM20" s="870"/>
      <c r="AN20" s="870"/>
      <c r="AO20" s="872" t="str">
        <f>IF(M02S02F44="","Update Install Status",IF(M02S02F44="Yes","Pre-Purchased Not Eligible",IF(OR(C20="",E20="",M20="",K20="",O20="",Y20="",R20="",AA20="",AF20="",AH20="",AD20="",U20=""),"",IF(AND(ISNUMBER(SEARCH("Other",E20)),OR(H20="",ISBLANK(H20),ISNUMBER(SEARCH("Description",H20)))),"",IF(BE20&lt;&gt;"",BE20,MIN(BD20,AU20))))))</f>
        <v>Update Install Status</v>
      </c>
      <c r="AP20" s="872"/>
      <c r="AQ20" s="872"/>
      <c r="AS20" s="69"/>
      <c r="AT20" s="69"/>
      <c r="AU20" s="804" t="str">
        <f>IF(OR(C20="",E20="",M20="",K20="",O20="",Y20="",R20="",AA20="",AF20="",AH20="",AD20="", U20=""),"",IF(AND(ISNUMBER(SEARCH("Other",E20)),OR(H20="",ISBLANK(H20),ISNUMBER(SEARCH("Description",H20)))),"",(ROUND((AF20+AH20)*U20,2))))</f>
        <v/>
      </c>
      <c r="AV20" s="806" t="str">
        <f>IF(OR(C20="",E20="",M20="",K20="",O20="",Y20="",R20="",AA20="",AF20="",AH20="",AD20="", U20=""),"",IF(AND(ISNUMBER(SEARCH("Other",E20)),OR(H20="",ISBLANK(H20),ISNUMBER(SEARCH("Description",H20)))),"",ROUND(AL20*INDEX(ENDUSEALL[Factor],MATCH(IF(ISNUMBER(SEARCH("24/7",AA20)),"Miscellaneous","Lighting"),ENDUSEALL[End Use to Coincident Peak Demand Factors],0)),4)))</f>
        <v/>
      </c>
      <c r="AW20" s="802" t="str">
        <f>IF(OR(C20="",E20="",M20="",K20="",O20="",Y20="",R20="",AA20="",AF20="",AH20="",AD20="", U20=""),"",IF(AND(ISNUMBER(SEARCH("Other",E20)),OR(H20="",ISBLANK(H20),ISNUMBER(SEARCH("Description",H20)))),"",ROUND(M20*AD20*K20/1000,0)))</f>
        <v/>
      </c>
      <c r="AX20" s="802" t="str">
        <f>IF(OR(C20="",E20="",M20="",K20="",O20="",Y20="",R20="",AA20="",AF20="",AH20="",AD20="", U20=""),"",IF(AND(ISNUMBER(SEARCH("Other",E20)),OR(H20="",ISBLANK(H20),ISNUMBER(SEARCH("Description",H20)))),"",IF(D59="Yes",ROUND(0.76*Y20*AD20*U20/1000,0),ROUND(Y20*AD20*U20/1000,0))))</f>
        <v/>
      </c>
      <c r="AY20" s="802" t="str">
        <f>IF(OR(C20="",E20="",M20="",K20="",O20="",Y20="",R20="",AA20="",AF20="",AH20="",AD20="", U20=""),"",IF(AND(ISNUMBER(SEARCH("Other",E20)),OR(H20="",ISBLANK(H20),ISNUMBER(SEARCH("Description",H20)))),"",ROUND(K20*M20,0)))</f>
        <v/>
      </c>
      <c r="AZ20" s="802" t="str">
        <f>IF(OR(C20="",E20="",M20="",K20="",O20="",Y20="",R20="",AA20="",AF20="",AH20="",AD20="", U20=""),"",IF(AND(ISNUMBER(SEARCH("Other",E20)),OR(H20="",ISBLANK(H20),ISNUMBER(SEARCH("Description",H20)))),"",ROUND(Y20*U20,0)))</f>
        <v/>
      </c>
      <c r="BA20" s="800" t="str">
        <f>CONCATENATE(C20,"-","LED","-",D59)</f>
        <v>Redesign-LED-</v>
      </c>
      <c r="BB20" s="808" t="str">
        <f>IF(OR(C20="",E20="",M20="",K20="",O20="",Y20="",R20="",AA20="",AF20="",AH20="",AD20="", U20=""),"",IF(AND(ISNUMBER(SEARCH("Other",E20)),OR(H20="",ISBLANK(H20),ISNUMBER(SEARCH("Description",H20)))),"",INDEX(PMELIGHTLIN[Measure '#],MATCH(BA20,PMELIGHTLIN[Measure Validator],0))))</f>
        <v/>
      </c>
      <c r="BC20" s="1168" t="str">
        <f ca="1">IFERROR(IF(OR(C20="",AH20=""),"",IF(BB20="","",IF(AND(AND(SUBLIGHTDATE1&lt;&gt;"No",SUBLIGHTDATE2&lt;&gt;"No",SUBLIGHTDATE3&lt;&gt;"No"),OR(M02S02F43&lt;=DATEVALUE("12/31/2021"),M02S02F43=""),OR(TODAY()&lt;=LIGHTING2021,ACTLIGHT&lt;&gt;"")),LIGHTRATE21*(INDEX(PMELIGHTLIN[Inc Rate Unit PA],MATCH(BA20,PMELIGHTLIN[Measure Validator],0))),INDEX(PMELIGHTLIN[Inc Rate Unit PA],MATCH(BA20,PMELIGHTLIN[Measure Validator],0))))),"")</f>
        <v/>
      </c>
      <c r="BD20" s="808" t="str">
        <f>IFERROR(ROUND(IF(OR(C20="",AH20=""),"",IF(BB20="","",(AY20-AZ20)*BC20)),2),"")</f>
        <v/>
      </c>
      <c r="BE20" s="800" t="str">
        <f>IF(M02S02F44="Yes","Not Eligible",IF(OR(C20="",E20="",M20="",K20="",O20="",Y20="",R20="",AA20="",AF20="",AH20="",AD20="", U20=""),"",IF(AND(ISNUMBER(SEARCH("Other",E20)),OR(H20="",ISBLANK(H20),ISNUMBER(SEARCH("Description",H20)))),"",IFERROR(IF(AD20&lt;INDEX(PMELIGHTLIN[Eff Watt 2],MATCH(BA20,PMELIGHTLIN[Measure Validator],0)),"Operating Hours Invalid",IF(ISNUMBER(SEARCH("SPILLOVER",AA20)),PROJSTATELI,IF((AW20-AX20)&lt;0,"No Savings",""))),"ERROR"))))</f>
        <v/>
      </c>
      <c r="BF20" s="802" t="str">
        <f>IF(AND(ISBLANK(AF20),ISBLANK(AH20)),"",IF(BD20&gt;AU20,"Yes","No"))</f>
        <v>No</v>
      </c>
      <c r="BG20" s="1051">
        <f>IF(M02S02F32="",1,IF($AU$14=TRUE,1,INDEX(SPACEHEAT[HIF],MATCH(M02S02F32,SHEAT,0))))</f>
        <v>1</v>
      </c>
    </row>
    <row r="21" spans="2:59" ht="15.95" customHeight="1" x14ac:dyDescent="0.25">
      <c r="B21" s="1119"/>
      <c r="C21" s="947"/>
      <c r="D21" s="948"/>
      <c r="E21" s="952"/>
      <c r="F21" s="953"/>
      <c r="G21" s="954"/>
      <c r="H21" s="1085"/>
      <c r="I21" s="1085"/>
      <c r="J21" s="1085"/>
      <c r="K21" s="957"/>
      <c r="L21" s="958"/>
      <c r="M21" s="833"/>
      <c r="N21" s="834"/>
      <c r="O21" s="1026"/>
      <c r="P21" s="1027"/>
      <c r="Q21" s="1028"/>
      <c r="R21" s="1029"/>
      <c r="S21" s="1030"/>
      <c r="T21" s="1031"/>
      <c r="U21" s="1029"/>
      <c r="V21" s="1030"/>
      <c r="W21" s="1002"/>
      <c r="X21" s="1003"/>
      <c r="Y21" s="833"/>
      <c r="Z21" s="1034"/>
      <c r="AA21" s="1009"/>
      <c r="AB21" s="1009"/>
      <c r="AC21" s="1009"/>
      <c r="AD21" s="1011"/>
      <c r="AE21" s="1011"/>
      <c r="AF21" s="970"/>
      <c r="AG21" s="970"/>
      <c r="AH21" s="970"/>
      <c r="AI21" s="1075"/>
      <c r="AJ21" s="1071"/>
      <c r="AK21" s="1072"/>
      <c r="AL21" s="870"/>
      <c r="AM21" s="870"/>
      <c r="AN21" s="870"/>
      <c r="AO21" s="872"/>
      <c r="AP21" s="872"/>
      <c r="AQ21" s="872"/>
      <c r="AS21" s="69"/>
      <c r="AT21" s="69"/>
      <c r="AU21" s="805"/>
      <c r="AV21" s="807"/>
      <c r="AW21" s="803"/>
      <c r="AX21" s="803"/>
      <c r="AY21" s="803"/>
      <c r="AZ21" s="803"/>
      <c r="BA21" s="801"/>
      <c r="BB21" s="797"/>
      <c r="BC21" s="810"/>
      <c r="BD21" s="797"/>
      <c r="BE21" s="801"/>
      <c r="BF21" s="803"/>
      <c r="BG21" s="1052"/>
    </row>
    <row r="22" spans="2:59" ht="15.95" customHeight="1" thickBot="1" x14ac:dyDescent="0.3">
      <c r="B22" s="1119"/>
      <c r="C22" s="342"/>
      <c r="D22" s="342"/>
      <c r="E22" s="343"/>
      <c r="F22" s="343"/>
      <c r="G22" s="343"/>
      <c r="H22" s="343"/>
      <c r="I22" s="343"/>
      <c r="J22" s="343"/>
      <c r="K22" s="344"/>
      <c r="L22" s="344"/>
      <c r="M22" s="314"/>
      <c r="N22" s="314"/>
      <c r="O22" s="345"/>
      <c r="P22" s="346"/>
      <c r="Q22" s="346"/>
      <c r="R22" s="347"/>
      <c r="S22" s="348"/>
      <c r="T22" s="348"/>
      <c r="U22" s="348"/>
      <c r="V22" s="348"/>
      <c r="W22" s="348"/>
      <c r="X22" s="348"/>
      <c r="Y22" s="314"/>
      <c r="Z22" s="314"/>
      <c r="AA22" s="347"/>
      <c r="AB22" s="348"/>
      <c r="AC22" s="348"/>
      <c r="AD22" s="349"/>
      <c r="AE22" s="349"/>
      <c r="AF22" s="350"/>
      <c r="AG22" s="350"/>
      <c r="AH22" s="350"/>
      <c r="AI22" s="350"/>
      <c r="AJ22" s="311"/>
      <c r="AK22" s="311"/>
      <c r="AL22" s="312"/>
      <c r="AM22" s="312"/>
      <c r="AN22" s="312"/>
      <c r="AO22" s="313"/>
      <c r="AP22" s="313"/>
      <c r="AQ22" s="313"/>
      <c r="AR22" s="351"/>
      <c r="AS22" s="69"/>
      <c r="AT22" s="69"/>
      <c r="AU22" s="804"/>
      <c r="AV22" s="806"/>
      <c r="AW22" s="802"/>
      <c r="AX22" s="802"/>
      <c r="AY22" s="802"/>
      <c r="AZ22" s="802"/>
      <c r="BA22" s="800"/>
      <c r="BB22" s="808"/>
      <c r="BC22" s="808"/>
      <c r="BD22" s="808"/>
      <c r="BE22" s="800"/>
      <c r="BF22" s="802"/>
      <c r="BG22" s="1051"/>
    </row>
    <row r="23" spans="2:59" ht="15.95" customHeight="1" thickTop="1" x14ac:dyDescent="0.25">
      <c r="B23" s="1119"/>
      <c r="C23" s="342"/>
      <c r="D23" s="352"/>
      <c r="E23" s="353"/>
      <c r="F23" s="353"/>
      <c r="G23" s="353"/>
      <c r="H23" s="353"/>
      <c r="I23" s="353"/>
      <c r="J23" s="353"/>
      <c r="K23" s="354"/>
      <c r="L23" s="354"/>
      <c r="M23" s="325"/>
      <c r="N23" s="325"/>
      <c r="O23" s="355"/>
      <c r="P23" s="355"/>
      <c r="Q23" s="355"/>
      <c r="R23" s="1073" t="s">
        <v>1417</v>
      </c>
      <c r="S23" s="1073"/>
      <c r="T23" s="1073"/>
      <c r="U23" s="1073"/>
      <c r="V23" s="1073"/>
      <c r="W23" s="1073"/>
      <c r="X23" s="1073"/>
      <c r="Y23" s="1073"/>
      <c r="Z23" s="1073"/>
      <c r="AA23" s="1073"/>
      <c r="AB23" s="1073"/>
      <c r="AC23" s="1073"/>
      <c r="AD23" s="356"/>
      <c r="AE23" s="356"/>
      <c r="AF23" s="357"/>
      <c r="AG23" s="357"/>
      <c r="AH23" s="357"/>
      <c r="AI23" s="357"/>
      <c r="AJ23" s="326"/>
      <c r="AK23" s="326"/>
      <c r="AL23" s="327"/>
      <c r="AM23" s="1080" t="s">
        <v>1652</v>
      </c>
      <c r="AN23" s="1080"/>
      <c r="AO23" s="1080"/>
      <c r="AP23" s="1081"/>
      <c r="AQ23" s="313"/>
      <c r="AR23" s="351"/>
      <c r="AS23" s="69"/>
      <c r="AT23" s="69"/>
      <c r="AU23" s="805"/>
      <c r="AV23" s="807"/>
      <c r="AW23" s="803"/>
      <c r="AX23" s="803"/>
      <c r="AY23" s="803"/>
      <c r="AZ23" s="803"/>
      <c r="BA23" s="801"/>
      <c r="BB23" s="797"/>
      <c r="BC23" s="797"/>
      <c r="BD23" s="797"/>
      <c r="BE23" s="801"/>
      <c r="BF23" s="803"/>
      <c r="BG23" s="1052"/>
    </row>
    <row r="24" spans="2:59" ht="15.95" customHeight="1" thickBot="1" x14ac:dyDescent="0.3">
      <c r="B24" s="1119"/>
      <c r="C24" s="342"/>
      <c r="D24" s="358"/>
      <c r="E24" s="343"/>
      <c r="F24" s="343"/>
      <c r="G24" s="343"/>
      <c r="H24" s="343"/>
      <c r="I24" s="343"/>
      <c r="J24" s="343"/>
      <c r="K24" s="344"/>
      <c r="L24" s="344"/>
      <c r="M24" s="314"/>
      <c r="N24" s="314"/>
      <c r="O24" s="345"/>
      <c r="P24" s="346"/>
      <c r="Q24" s="346"/>
      <c r="R24" s="1074"/>
      <c r="S24" s="1074"/>
      <c r="T24" s="1074"/>
      <c r="U24" s="1074"/>
      <c r="V24" s="1074"/>
      <c r="W24" s="1074"/>
      <c r="X24" s="1074"/>
      <c r="Y24" s="1074"/>
      <c r="Z24" s="1074"/>
      <c r="AA24" s="1074"/>
      <c r="AB24" s="1074"/>
      <c r="AC24" s="1074"/>
      <c r="AD24" s="349"/>
      <c r="AE24" s="349"/>
      <c r="AF24" s="350"/>
      <c r="AG24" s="350"/>
      <c r="AH24" s="350"/>
      <c r="AI24" s="350"/>
      <c r="AJ24" s="311"/>
      <c r="AK24" s="311"/>
      <c r="AL24" s="312"/>
      <c r="AM24" s="1082"/>
      <c r="AN24" s="1082"/>
      <c r="AO24" s="1082"/>
      <c r="AP24" s="1083"/>
      <c r="AQ24" s="313"/>
      <c r="AR24" s="351"/>
      <c r="AS24" s="69"/>
      <c r="AT24" s="69"/>
      <c r="AU24" s="804"/>
      <c r="AV24" s="806"/>
      <c r="AW24" s="802"/>
      <c r="AX24" s="802"/>
      <c r="AY24" s="802"/>
      <c r="AZ24" s="802"/>
      <c r="BA24" s="800"/>
      <c r="BB24" s="808"/>
      <c r="BC24" s="808"/>
      <c r="BD24" s="808"/>
      <c r="BE24" s="800"/>
      <c r="BF24" s="802"/>
      <c r="BG24" s="1051"/>
    </row>
    <row r="25" spans="2:59" ht="15.95" customHeight="1" x14ac:dyDescent="0.25">
      <c r="B25" s="1119"/>
      <c r="C25" s="342"/>
      <c r="D25" s="1092" t="s">
        <v>1650</v>
      </c>
      <c r="E25" s="1093"/>
      <c r="F25" s="1093"/>
      <c r="G25" s="1093"/>
      <c r="H25" s="1131" t="s">
        <v>1147</v>
      </c>
      <c r="I25" s="1131"/>
      <c r="J25" s="351"/>
      <c r="K25" s="1133" t="s">
        <v>823</v>
      </c>
      <c r="L25" s="1133"/>
      <c r="M25" s="1133"/>
      <c r="N25" s="1063" t="s">
        <v>93</v>
      </c>
      <c r="O25" s="1063"/>
      <c r="P25" s="1063"/>
      <c r="Q25" s="1063"/>
      <c r="R25" s="1063" t="s">
        <v>102</v>
      </c>
      <c r="S25" s="1063"/>
      <c r="T25" s="1063"/>
      <c r="U25" s="1063" t="s">
        <v>576</v>
      </c>
      <c r="V25" s="1063"/>
      <c r="W25" s="1063" t="s">
        <v>94</v>
      </c>
      <c r="X25" s="1063"/>
      <c r="Y25" s="1159" t="s">
        <v>101</v>
      </c>
      <c r="Z25" s="1063"/>
      <c r="AA25" s="1063"/>
      <c r="AB25" s="1063"/>
      <c r="AC25" s="1135" t="s">
        <v>1675</v>
      </c>
      <c r="AD25" s="1063"/>
      <c r="AE25" s="1063" t="s">
        <v>102</v>
      </c>
      <c r="AF25" s="1063"/>
      <c r="AG25" s="1063"/>
      <c r="AH25" s="1063" t="s">
        <v>95</v>
      </c>
      <c r="AI25" s="1063"/>
      <c r="AJ25" s="1063" t="s">
        <v>94</v>
      </c>
      <c r="AK25" s="1063"/>
      <c r="AL25" s="312"/>
      <c r="AM25" s="1063" t="s">
        <v>1225</v>
      </c>
      <c r="AN25" s="1063"/>
      <c r="AO25" s="1063" t="s">
        <v>1145</v>
      </c>
      <c r="AP25" s="1157"/>
      <c r="AQ25" s="313"/>
      <c r="AR25" s="351"/>
      <c r="AS25" s="69"/>
      <c r="AT25" s="69"/>
      <c r="AU25" s="805"/>
      <c r="AV25" s="807"/>
      <c r="AW25" s="803"/>
      <c r="AX25" s="803"/>
      <c r="AY25" s="803"/>
      <c r="AZ25" s="803"/>
      <c r="BA25" s="801"/>
      <c r="BB25" s="797"/>
      <c r="BC25" s="797"/>
      <c r="BD25" s="797"/>
      <c r="BE25" s="801"/>
      <c r="BF25" s="803"/>
      <c r="BG25" s="1052"/>
    </row>
    <row r="26" spans="2:59" ht="15.95" customHeight="1" thickBot="1" x14ac:dyDescent="0.3">
      <c r="B26" s="1119"/>
      <c r="C26" s="342"/>
      <c r="D26" s="1094"/>
      <c r="E26" s="1095"/>
      <c r="F26" s="1095"/>
      <c r="G26" s="1095"/>
      <c r="H26" s="1132"/>
      <c r="I26" s="1132"/>
      <c r="J26" s="351"/>
      <c r="K26" s="1134"/>
      <c r="L26" s="1134"/>
      <c r="M26" s="1134"/>
      <c r="N26" s="1064"/>
      <c r="O26" s="1064"/>
      <c r="P26" s="1064"/>
      <c r="Q26" s="1064"/>
      <c r="R26" s="1064"/>
      <c r="S26" s="1064"/>
      <c r="T26" s="1064"/>
      <c r="U26" s="1064"/>
      <c r="V26" s="1064"/>
      <c r="W26" s="1064"/>
      <c r="X26" s="1064"/>
      <c r="Y26" s="1160"/>
      <c r="Z26" s="1064"/>
      <c r="AA26" s="1064"/>
      <c r="AB26" s="1064"/>
      <c r="AC26" s="1064"/>
      <c r="AD26" s="1064"/>
      <c r="AE26" s="1064"/>
      <c r="AF26" s="1064"/>
      <c r="AG26" s="1064"/>
      <c r="AH26" s="1064"/>
      <c r="AI26" s="1064"/>
      <c r="AJ26" s="1064"/>
      <c r="AK26" s="1064"/>
      <c r="AL26" s="312"/>
      <c r="AM26" s="1064"/>
      <c r="AN26" s="1064"/>
      <c r="AO26" s="1064"/>
      <c r="AP26" s="1158"/>
      <c r="AQ26" s="313"/>
      <c r="AR26" s="351"/>
      <c r="AS26" s="69"/>
      <c r="AT26" s="69"/>
      <c r="AU26" s="804"/>
      <c r="AV26" s="806"/>
      <c r="AW26" s="802"/>
      <c r="AX26" s="802"/>
      <c r="AY26" s="802"/>
      <c r="AZ26" s="802"/>
      <c r="BA26" s="800"/>
      <c r="BB26" s="808"/>
      <c r="BC26" s="808"/>
      <c r="BD26" s="808"/>
      <c r="BE26" s="800"/>
      <c r="BF26" s="802"/>
      <c r="BG26" s="1051"/>
    </row>
    <row r="27" spans="2:59" ht="15.95" customHeight="1" x14ac:dyDescent="0.25">
      <c r="B27" s="1119"/>
      <c r="C27" s="342"/>
      <c r="D27" s="1096"/>
      <c r="E27" s="1097"/>
      <c r="F27" s="1097"/>
      <c r="G27" s="1097"/>
      <c r="H27" s="1138"/>
      <c r="I27" s="1138"/>
      <c r="J27" s="351"/>
      <c r="K27" s="1008" t="s">
        <v>560</v>
      </c>
      <c r="L27" s="1008"/>
      <c r="M27" s="1008"/>
      <c r="N27" s="1062"/>
      <c r="O27" s="1062"/>
      <c r="P27" s="1062"/>
      <c r="Q27" s="1062"/>
      <c r="R27" s="880"/>
      <c r="S27" s="880"/>
      <c r="T27" s="880"/>
      <c r="U27" s="1065"/>
      <c r="V27" s="1065"/>
      <c r="W27" s="1066" t="str">
        <f>IF(N27="","",INDEX(CMLIGHTBASE[Base Watt 1],MATCH(N27,CMLIGHTBASE[Base Desc 1],0)))</f>
        <v/>
      </c>
      <c r="X27" s="1067"/>
      <c r="Y27" s="1055"/>
      <c r="Z27" s="1056"/>
      <c r="AA27" s="1056"/>
      <c r="AB27" s="1056"/>
      <c r="AC27" s="1059"/>
      <c r="AD27" s="1059"/>
      <c r="AE27" s="1161"/>
      <c r="AF27" s="1162"/>
      <c r="AG27" s="1163"/>
      <c r="AH27" s="1076"/>
      <c r="AI27" s="1077"/>
      <c r="AJ27" s="1153"/>
      <c r="AK27" s="1154"/>
      <c r="AL27" s="312"/>
      <c r="AM27" s="1164"/>
      <c r="AN27" s="1164"/>
      <c r="AO27" s="1164"/>
      <c r="AP27" s="1166"/>
      <c r="AQ27" s="313"/>
      <c r="AR27" s="351"/>
      <c r="AS27" s="69"/>
      <c r="AT27" s="69"/>
      <c r="AU27" s="805"/>
      <c r="AV27" s="807"/>
      <c r="AW27" s="803"/>
      <c r="AX27" s="803"/>
      <c r="AY27" s="803"/>
      <c r="AZ27" s="803"/>
      <c r="BA27" s="801"/>
      <c r="BB27" s="797"/>
      <c r="BC27" s="797"/>
      <c r="BD27" s="797"/>
      <c r="BE27" s="801"/>
      <c r="BF27" s="803"/>
      <c r="BG27" s="1052"/>
    </row>
    <row r="28" spans="2:59" ht="15.95" customHeight="1" x14ac:dyDescent="0.25">
      <c r="B28" s="1119"/>
      <c r="C28" s="342"/>
      <c r="D28" s="1098"/>
      <c r="E28" s="1099"/>
      <c r="F28" s="1099"/>
      <c r="G28" s="1099"/>
      <c r="H28" s="1139"/>
      <c r="I28" s="1139"/>
      <c r="J28" s="351"/>
      <c r="K28" s="1008"/>
      <c r="L28" s="1008"/>
      <c r="M28" s="1008"/>
      <c r="N28" s="1062"/>
      <c r="O28" s="1062"/>
      <c r="P28" s="1062"/>
      <c r="Q28" s="1062"/>
      <c r="R28" s="880"/>
      <c r="S28" s="880"/>
      <c r="T28" s="880"/>
      <c r="U28" s="1065"/>
      <c r="V28" s="1065"/>
      <c r="W28" s="1066"/>
      <c r="X28" s="1067"/>
      <c r="Y28" s="1057"/>
      <c r="Z28" s="1058"/>
      <c r="AA28" s="1058"/>
      <c r="AB28" s="1058"/>
      <c r="AC28" s="1060"/>
      <c r="AD28" s="1060"/>
      <c r="AE28" s="896"/>
      <c r="AF28" s="897"/>
      <c r="AG28" s="898"/>
      <c r="AH28" s="1078"/>
      <c r="AI28" s="1079"/>
      <c r="AJ28" s="1155"/>
      <c r="AK28" s="1156"/>
      <c r="AL28" s="312"/>
      <c r="AM28" s="1165"/>
      <c r="AN28" s="1165"/>
      <c r="AO28" s="1165"/>
      <c r="AP28" s="1167"/>
      <c r="AQ28" s="313"/>
      <c r="AR28" s="351"/>
      <c r="AS28" s="69"/>
      <c r="AT28" s="69"/>
      <c r="AU28" s="804"/>
      <c r="AV28" s="806"/>
      <c r="AW28" s="802"/>
      <c r="AX28" s="802"/>
      <c r="AY28" s="802"/>
      <c r="AZ28" s="802"/>
      <c r="BA28" s="800"/>
      <c r="BB28" s="808"/>
      <c r="BC28" s="808"/>
      <c r="BD28" s="808"/>
      <c r="BE28" s="800"/>
      <c r="BF28" s="802"/>
      <c r="BG28" s="1051"/>
    </row>
    <row r="29" spans="2:59" ht="15.95" customHeight="1" x14ac:dyDescent="0.25">
      <c r="B29" s="1119"/>
      <c r="C29" s="342"/>
      <c r="D29" s="358"/>
      <c r="E29" s="343"/>
      <c r="F29" s="343"/>
      <c r="G29" s="343"/>
      <c r="H29" s="343"/>
      <c r="I29" s="343"/>
      <c r="J29" s="343"/>
      <c r="K29" s="1008" t="s">
        <v>560</v>
      </c>
      <c r="L29" s="1008"/>
      <c r="M29" s="1008"/>
      <c r="N29" s="1062"/>
      <c r="O29" s="1062"/>
      <c r="P29" s="1062"/>
      <c r="Q29" s="1062"/>
      <c r="R29" s="880"/>
      <c r="S29" s="880"/>
      <c r="T29" s="880"/>
      <c r="U29" s="1065"/>
      <c r="V29" s="1065"/>
      <c r="W29" s="1066" t="str">
        <f>IF(N29="","",INDEX(CMLIGHTBASE[Base Watt 1],MATCH(N29,CMLIGHTBASE[Base Desc 1],0)))</f>
        <v/>
      </c>
      <c r="X29" s="1067"/>
      <c r="Y29" s="1055"/>
      <c r="Z29" s="1056"/>
      <c r="AA29" s="1056"/>
      <c r="AB29" s="1056"/>
      <c r="AC29" s="1059"/>
      <c r="AD29" s="1059"/>
      <c r="AE29" s="881"/>
      <c r="AF29" s="894"/>
      <c r="AG29" s="895"/>
      <c r="AH29" s="1151"/>
      <c r="AI29" s="1152"/>
      <c r="AJ29" s="1153"/>
      <c r="AK29" s="1154"/>
      <c r="AL29" s="312"/>
      <c r="AM29" s="312"/>
      <c r="AN29" s="312"/>
      <c r="AO29" s="313"/>
      <c r="AP29" s="328"/>
      <c r="AQ29" s="313"/>
      <c r="AR29" s="351"/>
      <c r="AS29" s="69"/>
      <c r="AT29" s="69"/>
      <c r="AU29" s="805"/>
      <c r="AV29" s="807"/>
      <c r="AW29" s="803"/>
      <c r="AX29" s="803"/>
      <c r="AY29" s="803"/>
      <c r="AZ29" s="803"/>
      <c r="BA29" s="801"/>
      <c r="BB29" s="797"/>
      <c r="BC29" s="797"/>
      <c r="BD29" s="797"/>
      <c r="BE29" s="801"/>
      <c r="BF29" s="803"/>
      <c r="BG29" s="1052"/>
    </row>
    <row r="30" spans="2:59" ht="15.95" customHeight="1" x14ac:dyDescent="0.25">
      <c r="B30" s="1119"/>
      <c r="C30" s="342"/>
      <c r="D30" s="1100" t="s">
        <v>1653</v>
      </c>
      <c r="E30" s="1101"/>
      <c r="F30" s="1101"/>
      <c r="G30" s="1101"/>
      <c r="H30" s="1101"/>
      <c r="I30" s="1101"/>
      <c r="J30" s="351"/>
      <c r="K30" s="1008"/>
      <c r="L30" s="1008"/>
      <c r="M30" s="1008"/>
      <c r="N30" s="1062"/>
      <c r="O30" s="1062"/>
      <c r="P30" s="1062"/>
      <c r="Q30" s="1062"/>
      <c r="R30" s="880"/>
      <c r="S30" s="880"/>
      <c r="T30" s="880"/>
      <c r="U30" s="1065"/>
      <c r="V30" s="1065"/>
      <c r="W30" s="1066"/>
      <c r="X30" s="1067"/>
      <c r="Y30" s="1057"/>
      <c r="Z30" s="1058"/>
      <c r="AA30" s="1058"/>
      <c r="AB30" s="1058"/>
      <c r="AC30" s="1060"/>
      <c r="AD30" s="1060"/>
      <c r="AE30" s="896"/>
      <c r="AF30" s="897"/>
      <c r="AG30" s="898"/>
      <c r="AH30" s="1078"/>
      <c r="AI30" s="1079"/>
      <c r="AJ30" s="1155"/>
      <c r="AK30" s="1156"/>
      <c r="AL30" s="312"/>
      <c r="AM30" s="312"/>
      <c r="AN30" s="312"/>
      <c r="AO30" s="313"/>
      <c r="AP30" s="328"/>
      <c r="AQ30" s="313"/>
      <c r="AR30" s="351"/>
      <c r="AS30" s="69"/>
      <c r="AT30" s="69"/>
      <c r="AU30" s="804"/>
      <c r="AV30" s="806"/>
      <c r="AW30" s="802"/>
      <c r="AX30" s="802"/>
      <c r="AY30" s="802"/>
      <c r="AZ30" s="802"/>
      <c r="BA30" s="800"/>
      <c r="BB30" s="808"/>
      <c r="BC30" s="808"/>
      <c r="BD30" s="808"/>
      <c r="BE30" s="800"/>
      <c r="BF30" s="802"/>
      <c r="BG30" s="1051"/>
    </row>
    <row r="31" spans="2:59" ht="15.95" customHeight="1" thickBot="1" x14ac:dyDescent="0.3">
      <c r="B31" s="1119"/>
      <c r="C31" s="342"/>
      <c r="D31" s="1100"/>
      <c r="E31" s="1101"/>
      <c r="F31" s="1101"/>
      <c r="G31" s="1101"/>
      <c r="H31" s="1101"/>
      <c r="I31" s="1101"/>
      <c r="J31" s="351"/>
      <c r="K31" s="1008" t="s">
        <v>560</v>
      </c>
      <c r="L31" s="1008"/>
      <c r="M31" s="1008"/>
      <c r="N31" s="1062"/>
      <c r="O31" s="1062"/>
      <c r="P31" s="1062"/>
      <c r="Q31" s="1062"/>
      <c r="R31" s="880"/>
      <c r="S31" s="880"/>
      <c r="T31" s="880"/>
      <c r="U31" s="1065"/>
      <c r="V31" s="1065"/>
      <c r="W31" s="1066" t="str">
        <f>IF(N31="","",INDEX(CMLIGHTBASE[Base Watt 1],MATCH(N31,CMLIGHTBASE[Base Desc 1],0)))</f>
        <v/>
      </c>
      <c r="X31" s="1067"/>
      <c r="Y31" s="1055"/>
      <c r="Z31" s="1056"/>
      <c r="AA31" s="1056"/>
      <c r="AB31" s="1056"/>
      <c r="AC31" s="1059"/>
      <c r="AD31" s="1059"/>
      <c r="AE31" s="881"/>
      <c r="AF31" s="894"/>
      <c r="AG31" s="895"/>
      <c r="AH31" s="1151"/>
      <c r="AI31" s="1152"/>
      <c r="AJ31" s="1153"/>
      <c r="AK31" s="1154"/>
      <c r="AL31" s="312"/>
      <c r="AM31" s="312"/>
      <c r="AN31" s="312"/>
      <c r="AO31" s="313"/>
      <c r="AP31" s="328"/>
      <c r="AQ31" s="313"/>
      <c r="AR31" s="351"/>
      <c r="AS31" s="69"/>
      <c r="AT31" s="69"/>
      <c r="AU31" s="805"/>
      <c r="AV31" s="807"/>
      <c r="AW31" s="803"/>
      <c r="AX31" s="803"/>
      <c r="AY31" s="803"/>
      <c r="AZ31" s="803"/>
      <c r="BA31" s="801"/>
      <c r="BB31" s="797"/>
      <c r="BC31" s="797"/>
      <c r="BD31" s="797"/>
      <c r="BE31" s="801"/>
      <c r="BF31" s="803"/>
      <c r="BG31" s="1052"/>
    </row>
    <row r="32" spans="2:59" ht="15.95" customHeight="1" x14ac:dyDescent="0.25">
      <c r="B32" s="1119"/>
      <c r="C32" s="342"/>
      <c r="D32" s="1146"/>
      <c r="E32" s="1147"/>
      <c r="F32" s="1147"/>
      <c r="G32" s="1147"/>
      <c r="H32" s="1147"/>
      <c r="I32" s="1148"/>
      <c r="J32" s="351"/>
      <c r="K32" s="1008"/>
      <c r="L32" s="1008"/>
      <c r="M32" s="1008"/>
      <c r="N32" s="1062"/>
      <c r="O32" s="1062"/>
      <c r="P32" s="1062"/>
      <c r="Q32" s="1062"/>
      <c r="R32" s="880"/>
      <c r="S32" s="880"/>
      <c r="T32" s="880"/>
      <c r="U32" s="1065"/>
      <c r="V32" s="1065"/>
      <c r="W32" s="1066"/>
      <c r="X32" s="1067"/>
      <c r="Y32" s="1057"/>
      <c r="Z32" s="1058"/>
      <c r="AA32" s="1058"/>
      <c r="AB32" s="1058"/>
      <c r="AC32" s="1060"/>
      <c r="AD32" s="1060"/>
      <c r="AE32" s="896"/>
      <c r="AF32" s="897"/>
      <c r="AG32" s="898"/>
      <c r="AH32" s="1078"/>
      <c r="AI32" s="1079"/>
      <c r="AJ32" s="1155"/>
      <c r="AK32" s="1156"/>
      <c r="AL32" s="312"/>
      <c r="AM32" s="312"/>
      <c r="AN32" s="312"/>
      <c r="AO32" s="313"/>
      <c r="AP32" s="328"/>
      <c r="AQ32" s="313"/>
      <c r="AR32" s="351"/>
      <c r="AS32" s="69"/>
      <c r="AT32" s="69"/>
      <c r="AU32" s="804"/>
      <c r="AV32" s="806"/>
      <c r="AW32" s="802"/>
      <c r="AX32" s="802"/>
      <c r="AY32" s="802"/>
      <c r="AZ32" s="802"/>
      <c r="BA32" s="800"/>
      <c r="BB32" s="808"/>
      <c r="BC32" s="808"/>
      <c r="BD32" s="808"/>
      <c r="BE32" s="800"/>
      <c r="BF32" s="802"/>
      <c r="BG32" s="1051"/>
    </row>
    <row r="33" spans="2:59" ht="15.95" customHeight="1" x14ac:dyDescent="0.25">
      <c r="B33" s="1119"/>
      <c r="C33" s="342"/>
      <c r="D33" s="1149"/>
      <c r="E33" s="1150"/>
      <c r="F33" s="1150"/>
      <c r="G33" s="1150"/>
      <c r="H33" s="1150"/>
      <c r="I33" s="1125"/>
      <c r="J33" s="351"/>
      <c r="K33" s="1008" t="s">
        <v>560</v>
      </c>
      <c r="L33" s="1008"/>
      <c r="M33" s="1008"/>
      <c r="N33" s="1069"/>
      <c r="O33" s="1069"/>
      <c r="P33" s="1069"/>
      <c r="Q33" s="1069"/>
      <c r="R33" s="883"/>
      <c r="S33" s="852"/>
      <c r="T33" s="852"/>
      <c r="U33" s="1070"/>
      <c r="V33" s="1070"/>
      <c r="W33" s="1066" t="str">
        <f>IF(N33="","",INDEX(CMLIGHTBASE[Base Watt 1],MATCH(N33,CMLIGHTBASE[Base Desc 1],0)))</f>
        <v/>
      </c>
      <c r="X33" s="1067"/>
      <c r="Y33" s="1102"/>
      <c r="Z33" s="1103"/>
      <c r="AA33" s="1103"/>
      <c r="AB33" s="1103"/>
      <c r="AC33" s="1086"/>
      <c r="AD33" s="1086"/>
      <c r="AE33" s="842"/>
      <c r="AF33" s="822"/>
      <c r="AG33" s="823"/>
      <c r="AH33" s="1122"/>
      <c r="AI33" s="1123"/>
      <c r="AJ33" s="1106"/>
      <c r="AK33" s="1107"/>
      <c r="AL33" s="312"/>
      <c r="AM33" s="312"/>
      <c r="AN33" s="312"/>
      <c r="AO33" s="313"/>
      <c r="AP33" s="328"/>
      <c r="AQ33" s="313"/>
      <c r="AR33" s="351"/>
      <c r="AS33" s="69"/>
      <c r="AT33" s="69"/>
      <c r="AU33" s="805"/>
      <c r="AV33" s="807"/>
      <c r="AW33" s="803"/>
      <c r="AX33" s="803"/>
      <c r="AY33" s="803"/>
      <c r="AZ33" s="803"/>
      <c r="BA33" s="801"/>
      <c r="BB33" s="797"/>
      <c r="BC33" s="797"/>
      <c r="BD33" s="797"/>
      <c r="BE33" s="801"/>
      <c r="BF33" s="803"/>
      <c r="BG33" s="1052"/>
    </row>
    <row r="34" spans="2:59" ht="15.95" customHeight="1" x14ac:dyDescent="0.25">
      <c r="B34" s="1119"/>
      <c r="C34" s="342"/>
      <c r="D34" s="358"/>
      <c r="E34" s="343"/>
      <c r="F34" s="343"/>
      <c r="G34" s="343"/>
      <c r="H34" s="343"/>
      <c r="I34" s="343"/>
      <c r="J34" s="351"/>
      <c r="K34" s="1008"/>
      <c r="L34" s="1008"/>
      <c r="M34" s="1008"/>
      <c r="N34" s="1069"/>
      <c r="O34" s="1069"/>
      <c r="P34" s="1069"/>
      <c r="Q34" s="1069"/>
      <c r="R34" s="852"/>
      <c r="S34" s="852"/>
      <c r="T34" s="852"/>
      <c r="U34" s="1070"/>
      <c r="V34" s="1070"/>
      <c r="W34" s="1066"/>
      <c r="X34" s="1067"/>
      <c r="Y34" s="1104"/>
      <c r="Z34" s="1105"/>
      <c r="AA34" s="1105"/>
      <c r="AB34" s="1105"/>
      <c r="AC34" s="1087"/>
      <c r="AD34" s="1087"/>
      <c r="AE34" s="824"/>
      <c r="AF34" s="825"/>
      <c r="AG34" s="826"/>
      <c r="AH34" s="1124"/>
      <c r="AI34" s="1125"/>
      <c r="AJ34" s="1108"/>
      <c r="AK34" s="1109"/>
      <c r="AL34" s="312"/>
      <c r="AM34" s="312"/>
      <c r="AN34" s="312"/>
      <c r="AO34" s="313"/>
      <c r="AP34" s="328"/>
      <c r="AQ34" s="313"/>
      <c r="AR34" s="351"/>
      <c r="AS34" s="69"/>
      <c r="AT34" s="69"/>
      <c r="AU34" s="804"/>
      <c r="AV34" s="806"/>
      <c r="AW34" s="802"/>
      <c r="AX34" s="802"/>
      <c r="AY34" s="802"/>
      <c r="AZ34" s="802"/>
      <c r="BA34" s="800"/>
      <c r="BB34" s="808"/>
      <c r="BC34" s="808"/>
      <c r="BD34" s="808"/>
      <c r="BE34" s="800"/>
      <c r="BF34" s="802"/>
      <c r="BG34" s="1051"/>
    </row>
    <row r="35" spans="2:59" ht="15.95" customHeight="1" x14ac:dyDescent="0.25">
      <c r="B35" s="1119"/>
      <c r="C35" s="342"/>
      <c r="D35" s="358"/>
      <c r="E35" s="343"/>
      <c r="F35" s="343"/>
      <c r="G35" s="343"/>
      <c r="H35" s="343"/>
      <c r="I35" s="343"/>
      <c r="J35" s="343"/>
      <c r="K35" s="1008" t="s">
        <v>560</v>
      </c>
      <c r="L35" s="1008"/>
      <c r="M35" s="1008"/>
      <c r="N35" s="1069"/>
      <c r="O35" s="1069"/>
      <c r="P35" s="1069"/>
      <c r="Q35" s="1069"/>
      <c r="R35" s="852"/>
      <c r="S35" s="852"/>
      <c r="T35" s="852"/>
      <c r="U35" s="1070"/>
      <c r="V35" s="1070"/>
      <c r="W35" s="1066" t="str">
        <f>IF(N35="","",INDEX(CMLIGHTBASE[Base Watt 1],MATCH(N35,CMLIGHTBASE[Base Desc 1],0)))</f>
        <v/>
      </c>
      <c r="X35" s="1067"/>
      <c r="Y35" s="1102"/>
      <c r="Z35" s="1103"/>
      <c r="AA35" s="1103"/>
      <c r="AB35" s="1103"/>
      <c r="AC35" s="1086"/>
      <c r="AD35" s="1086"/>
      <c r="AE35" s="842"/>
      <c r="AF35" s="822"/>
      <c r="AG35" s="823"/>
      <c r="AH35" s="1122"/>
      <c r="AI35" s="1123"/>
      <c r="AJ35" s="1106"/>
      <c r="AK35" s="1107"/>
      <c r="AL35" s="312"/>
      <c r="AM35" s="312"/>
      <c r="AN35" s="312"/>
      <c r="AO35" s="313"/>
      <c r="AP35" s="328"/>
      <c r="AQ35" s="313"/>
      <c r="AR35" s="351"/>
      <c r="AS35" s="69"/>
      <c r="AT35" s="69"/>
      <c r="AU35" s="805"/>
      <c r="AV35" s="807"/>
      <c r="AW35" s="803"/>
      <c r="AX35" s="803"/>
      <c r="AY35" s="803"/>
      <c r="AZ35" s="803"/>
      <c r="BA35" s="801"/>
      <c r="BB35" s="797"/>
      <c r="BC35" s="797"/>
      <c r="BD35" s="797"/>
      <c r="BE35" s="801"/>
      <c r="BF35" s="803"/>
      <c r="BG35" s="1052"/>
    </row>
    <row r="36" spans="2:59" ht="15.95" customHeight="1" x14ac:dyDescent="0.25">
      <c r="B36" s="1119"/>
      <c r="C36" s="342"/>
      <c r="D36" s="358"/>
      <c r="E36" s="343"/>
      <c r="F36" s="343"/>
      <c r="G36" s="343"/>
      <c r="H36" s="343"/>
      <c r="I36" s="343"/>
      <c r="J36" s="343"/>
      <c r="K36" s="1008"/>
      <c r="L36" s="1008"/>
      <c r="M36" s="1008"/>
      <c r="N36" s="1069"/>
      <c r="O36" s="1069"/>
      <c r="P36" s="1069"/>
      <c r="Q36" s="1069"/>
      <c r="R36" s="852"/>
      <c r="S36" s="852"/>
      <c r="T36" s="852"/>
      <c r="U36" s="1070"/>
      <c r="V36" s="1070"/>
      <c r="W36" s="1066"/>
      <c r="X36" s="1067"/>
      <c r="Y36" s="1104"/>
      <c r="Z36" s="1105"/>
      <c r="AA36" s="1105"/>
      <c r="AB36" s="1105"/>
      <c r="AC36" s="1087"/>
      <c r="AD36" s="1087"/>
      <c r="AE36" s="824"/>
      <c r="AF36" s="825"/>
      <c r="AG36" s="826"/>
      <c r="AH36" s="1124"/>
      <c r="AI36" s="1125"/>
      <c r="AJ36" s="1108"/>
      <c r="AK36" s="1109"/>
      <c r="AL36" s="312"/>
      <c r="AM36" s="312"/>
      <c r="AN36" s="312"/>
      <c r="AO36" s="313"/>
      <c r="AP36" s="328"/>
      <c r="AQ36" s="313"/>
      <c r="AR36" s="351"/>
      <c r="AS36" s="69"/>
      <c r="AT36" s="69"/>
      <c r="AU36" s="804"/>
      <c r="AV36" s="806"/>
      <c r="AW36" s="802"/>
      <c r="AX36" s="802"/>
      <c r="AY36" s="802"/>
      <c r="AZ36" s="802"/>
      <c r="BA36" s="800"/>
      <c r="BB36" s="808"/>
      <c r="BC36" s="808"/>
      <c r="BD36" s="808"/>
      <c r="BE36" s="800"/>
      <c r="BF36" s="802"/>
      <c r="BG36" s="1051"/>
    </row>
    <row r="37" spans="2:59" ht="15.95" customHeight="1" x14ac:dyDescent="0.25">
      <c r="B37" s="1119"/>
      <c r="C37" s="342"/>
      <c r="D37" s="358"/>
      <c r="E37" s="343"/>
      <c r="F37" s="343"/>
      <c r="G37" s="343"/>
      <c r="H37" s="343"/>
      <c r="I37" s="343"/>
      <c r="J37" s="343"/>
      <c r="K37" s="1008" t="s">
        <v>560</v>
      </c>
      <c r="L37" s="1008"/>
      <c r="M37" s="1008"/>
      <c r="N37" s="1069"/>
      <c r="O37" s="1069"/>
      <c r="P37" s="1069"/>
      <c r="Q37" s="1069"/>
      <c r="R37" s="852"/>
      <c r="S37" s="852"/>
      <c r="T37" s="852"/>
      <c r="U37" s="1070"/>
      <c r="V37" s="1070"/>
      <c r="W37" s="1066" t="str">
        <f>IF(N37="","",INDEX(CMLIGHTBASE[Base Watt 1],MATCH(N37,CMLIGHTBASE[Base Desc 1],0)))</f>
        <v/>
      </c>
      <c r="X37" s="1067"/>
      <c r="Y37" s="1102"/>
      <c r="Z37" s="1103"/>
      <c r="AA37" s="1103"/>
      <c r="AB37" s="1103"/>
      <c r="AC37" s="1086"/>
      <c r="AD37" s="1086"/>
      <c r="AE37" s="842"/>
      <c r="AF37" s="822"/>
      <c r="AG37" s="823"/>
      <c r="AH37" s="1122"/>
      <c r="AI37" s="1123"/>
      <c r="AJ37" s="1106"/>
      <c r="AK37" s="1107"/>
      <c r="AL37" s="312"/>
      <c r="AM37" s="312"/>
      <c r="AN37" s="312"/>
      <c r="AO37" s="313"/>
      <c r="AP37" s="328"/>
      <c r="AQ37" s="313"/>
      <c r="AR37" s="351"/>
      <c r="AS37" s="69"/>
      <c r="AT37" s="69"/>
      <c r="AU37" s="805"/>
      <c r="AV37" s="807"/>
      <c r="AW37" s="803"/>
      <c r="AX37" s="803"/>
      <c r="AY37" s="803"/>
      <c r="AZ37" s="803"/>
      <c r="BA37" s="801"/>
      <c r="BB37" s="797"/>
      <c r="BC37" s="797"/>
      <c r="BD37" s="797"/>
      <c r="BE37" s="801"/>
      <c r="BF37" s="803"/>
      <c r="BG37" s="1052"/>
    </row>
    <row r="38" spans="2:59" ht="15.95" customHeight="1" x14ac:dyDescent="0.25">
      <c r="B38" s="1119"/>
      <c r="C38" s="342"/>
      <c r="D38" s="358"/>
      <c r="E38" s="343"/>
      <c r="F38" s="343"/>
      <c r="G38" s="343"/>
      <c r="H38" s="343"/>
      <c r="I38" s="343"/>
      <c r="J38" s="343"/>
      <c r="K38" s="1008"/>
      <c r="L38" s="1008"/>
      <c r="M38" s="1008"/>
      <c r="N38" s="1069"/>
      <c r="O38" s="1069"/>
      <c r="P38" s="1069"/>
      <c r="Q38" s="1069"/>
      <c r="R38" s="852"/>
      <c r="S38" s="852"/>
      <c r="T38" s="852"/>
      <c r="U38" s="1070"/>
      <c r="V38" s="1070"/>
      <c r="W38" s="1066"/>
      <c r="X38" s="1067"/>
      <c r="Y38" s="1104"/>
      <c r="Z38" s="1105"/>
      <c r="AA38" s="1105"/>
      <c r="AB38" s="1105"/>
      <c r="AC38" s="1087"/>
      <c r="AD38" s="1087"/>
      <c r="AE38" s="824"/>
      <c r="AF38" s="825"/>
      <c r="AG38" s="826"/>
      <c r="AH38" s="1124"/>
      <c r="AI38" s="1125"/>
      <c r="AJ38" s="1108"/>
      <c r="AK38" s="1109"/>
      <c r="AL38" s="312"/>
      <c r="AM38" s="312"/>
      <c r="AN38" s="312"/>
      <c r="AO38" s="313"/>
      <c r="AP38" s="328"/>
      <c r="AQ38" s="313"/>
      <c r="AR38" s="351"/>
      <c r="AS38" s="69"/>
      <c r="AT38" s="69"/>
      <c r="AU38" s="804"/>
      <c r="AV38" s="806"/>
      <c r="AW38" s="802"/>
      <c r="AX38" s="802"/>
      <c r="AY38" s="802"/>
      <c r="AZ38" s="802"/>
      <c r="BA38" s="800"/>
      <c r="BB38" s="808"/>
      <c r="BC38" s="808"/>
      <c r="BD38" s="808"/>
      <c r="BE38" s="800"/>
      <c r="BF38" s="802"/>
      <c r="BG38" s="1051"/>
    </row>
    <row r="39" spans="2:59" ht="15.95" customHeight="1" x14ac:dyDescent="0.25">
      <c r="B39" s="1119"/>
      <c r="C39" s="342"/>
      <c r="D39" s="358"/>
      <c r="E39" s="343"/>
      <c r="F39" s="343"/>
      <c r="G39" s="343"/>
      <c r="H39" s="343"/>
      <c r="I39" s="343"/>
      <c r="J39" s="343"/>
      <c r="K39" s="1008" t="s">
        <v>560</v>
      </c>
      <c r="L39" s="1008"/>
      <c r="M39" s="1008"/>
      <c r="N39" s="1069"/>
      <c r="O39" s="1069"/>
      <c r="P39" s="1069"/>
      <c r="Q39" s="1069"/>
      <c r="R39" s="852"/>
      <c r="S39" s="852"/>
      <c r="T39" s="852"/>
      <c r="U39" s="1070"/>
      <c r="V39" s="1070"/>
      <c r="W39" s="1066" t="str">
        <f>IF(N39="","",INDEX(CMLIGHTBASE[Base Watt 1],MATCH(N39,CMLIGHTBASE[Base Desc 1],0)))</f>
        <v/>
      </c>
      <c r="X39" s="1067"/>
      <c r="Y39" s="1102"/>
      <c r="Z39" s="1103"/>
      <c r="AA39" s="1103"/>
      <c r="AB39" s="1103"/>
      <c r="AC39" s="1086"/>
      <c r="AD39" s="1086"/>
      <c r="AE39" s="842"/>
      <c r="AF39" s="822"/>
      <c r="AG39" s="823"/>
      <c r="AH39" s="1122"/>
      <c r="AI39" s="1123"/>
      <c r="AJ39" s="1106"/>
      <c r="AK39" s="1107"/>
      <c r="AL39" s="312"/>
      <c r="AM39" s="312"/>
      <c r="AN39" s="312"/>
      <c r="AO39" s="313"/>
      <c r="AP39" s="328"/>
      <c r="AQ39" s="313"/>
      <c r="AR39" s="351"/>
      <c r="AS39" s="69"/>
      <c r="AT39" s="69"/>
      <c r="AU39" s="805"/>
      <c r="AV39" s="807"/>
      <c r="AW39" s="803"/>
      <c r="AX39" s="803"/>
      <c r="AY39" s="803"/>
      <c r="AZ39" s="803"/>
      <c r="BA39" s="801"/>
      <c r="BB39" s="797"/>
      <c r="BC39" s="797"/>
      <c r="BD39" s="797"/>
      <c r="BE39" s="801"/>
      <c r="BF39" s="803"/>
      <c r="BG39" s="1052"/>
    </row>
    <row r="40" spans="2:59" ht="15.95" customHeight="1" x14ac:dyDescent="0.25">
      <c r="B40" s="1119"/>
      <c r="C40" s="342"/>
      <c r="D40" s="358"/>
      <c r="E40" s="343"/>
      <c r="F40" s="343"/>
      <c r="G40" s="343"/>
      <c r="H40" s="343"/>
      <c r="I40" s="343"/>
      <c r="J40" s="343"/>
      <c r="K40" s="1008"/>
      <c r="L40" s="1008"/>
      <c r="M40" s="1008"/>
      <c r="N40" s="1069"/>
      <c r="O40" s="1069"/>
      <c r="P40" s="1069"/>
      <c r="Q40" s="1069"/>
      <c r="R40" s="852"/>
      <c r="S40" s="852"/>
      <c r="T40" s="852"/>
      <c r="U40" s="1070"/>
      <c r="V40" s="1070"/>
      <c r="W40" s="1066"/>
      <c r="X40" s="1067"/>
      <c r="Y40" s="1104"/>
      <c r="Z40" s="1105"/>
      <c r="AA40" s="1105"/>
      <c r="AB40" s="1105"/>
      <c r="AC40" s="1087"/>
      <c r="AD40" s="1087"/>
      <c r="AE40" s="824"/>
      <c r="AF40" s="825"/>
      <c r="AG40" s="826"/>
      <c r="AH40" s="1124"/>
      <c r="AI40" s="1125"/>
      <c r="AJ40" s="1108"/>
      <c r="AK40" s="1109"/>
      <c r="AL40" s="312"/>
      <c r="AM40" s="312"/>
      <c r="AN40" s="312"/>
      <c r="AO40" s="313"/>
      <c r="AP40" s="328"/>
      <c r="AQ40" s="313"/>
      <c r="AR40" s="351"/>
      <c r="AS40" s="69"/>
      <c r="AT40" s="69"/>
      <c r="AU40" s="804"/>
      <c r="AV40" s="806"/>
      <c r="AW40" s="802"/>
      <c r="AX40" s="802"/>
      <c r="AY40" s="802"/>
      <c r="AZ40" s="802"/>
      <c r="BA40" s="800"/>
      <c r="BB40" s="808"/>
      <c r="BC40" s="808"/>
      <c r="BD40" s="808"/>
      <c r="BE40" s="800"/>
      <c r="BF40" s="802"/>
      <c r="BG40" s="1051"/>
    </row>
    <row r="41" spans="2:59" ht="15.95" customHeight="1" x14ac:dyDescent="0.25">
      <c r="B41" s="1119"/>
      <c r="C41" s="342"/>
      <c r="D41" s="358"/>
      <c r="E41" s="343"/>
      <c r="F41" s="343"/>
      <c r="G41" s="343"/>
      <c r="H41" s="343"/>
      <c r="I41" s="343"/>
      <c r="J41" s="343"/>
      <c r="K41" s="1008" t="s">
        <v>560</v>
      </c>
      <c r="L41" s="1008"/>
      <c r="M41" s="1008"/>
      <c r="N41" s="1069"/>
      <c r="O41" s="1069"/>
      <c r="P41" s="1069"/>
      <c r="Q41" s="1069"/>
      <c r="R41" s="852"/>
      <c r="S41" s="852"/>
      <c r="T41" s="852"/>
      <c r="U41" s="1070"/>
      <c r="V41" s="1070"/>
      <c r="W41" s="1066" t="str">
        <f>IF(N41="","",INDEX(CMLIGHTBASE[Base Watt 1],MATCH(N41,CMLIGHTBASE[Base Desc 1],0)))</f>
        <v/>
      </c>
      <c r="X41" s="1067"/>
      <c r="Y41" s="1102"/>
      <c r="Z41" s="1103"/>
      <c r="AA41" s="1103"/>
      <c r="AB41" s="1103"/>
      <c r="AC41" s="1086"/>
      <c r="AD41" s="1086"/>
      <c r="AE41" s="842"/>
      <c r="AF41" s="822"/>
      <c r="AG41" s="823"/>
      <c r="AH41" s="1122"/>
      <c r="AI41" s="1123"/>
      <c r="AJ41" s="1106"/>
      <c r="AK41" s="1107"/>
      <c r="AL41" s="312"/>
      <c r="AM41" s="312"/>
      <c r="AN41" s="312"/>
      <c r="AO41" s="313"/>
      <c r="AP41" s="328"/>
      <c r="AQ41" s="313"/>
      <c r="AR41" s="351"/>
      <c r="AS41" s="69"/>
      <c r="AT41" s="69"/>
      <c r="AU41" s="805"/>
      <c r="AV41" s="807"/>
      <c r="AW41" s="803"/>
      <c r="AX41" s="803"/>
      <c r="AY41" s="803"/>
      <c r="AZ41" s="803"/>
      <c r="BA41" s="801"/>
      <c r="BB41" s="797"/>
      <c r="BC41" s="797"/>
      <c r="BD41" s="797"/>
      <c r="BE41" s="801"/>
      <c r="BF41" s="803"/>
      <c r="BG41" s="1052"/>
    </row>
    <row r="42" spans="2:59" ht="15.95" customHeight="1" x14ac:dyDescent="0.25">
      <c r="B42" s="1119"/>
      <c r="C42" s="342"/>
      <c r="D42" s="358"/>
      <c r="E42" s="343"/>
      <c r="F42" s="343"/>
      <c r="G42" s="343"/>
      <c r="H42" s="343"/>
      <c r="I42" s="343"/>
      <c r="J42" s="343"/>
      <c r="K42" s="1008"/>
      <c r="L42" s="1008"/>
      <c r="M42" s="1008"/>
      <c r="N42" s="1069"/>
      <c r="O42" s="1069"/>
      <c r="P42" s="1069"/>
      <c r="Q42" s="1069"/>
      <c r="R42" s="852"/>
      <c r="S42" s="852"/>
      <c r="T42" s="852"/>
      <c r="U42" s="1070"/>
      <c r="V42" s="1070"/>
      <c r="W42" s="1066"/>
      <c r="X42" s="1067"/>
      <c r="Y42" s="1104"/>
      <c r="Z42" s="1105"/>
      <c r="AA42" s="1105"/>
      <c r="AB42" s="1105"/>
      <c r="AC42" s="1087"/>
      <c r="AD42" s="1087"/>
      <c r="AE42" s="824"/>
      <c r="AF42" s="825"/>
      <c r="AG42" s="826"/>
      <c r="AH42" s="1124"/>
      <c r="AI42" s="1125"/>
      <c r="AJ42" s="1108"/>
      <c r="AK42" s="1109"/>
      <c r="AL42" s="312"/>
      <c r="AM42" s="312"/>
      <c r="AN42" s="312"/>
      <c r="AO42" s="313"/>
      <c r="AP42" s="328"/>
      <c r="AQ42" s="313"/>
      <c r="AR42" s="351"/>
      <c r="AS42" s="69"/>
      <c r="AT42" s="69"/>
      <c r="AU42" s="804"/>
      <c r="AV42" s="806"/>
      <c r="AW42" s="802"/>
      <c r="AX42" s="802"/>
      <c r="AY42" s="802"/>
      <c r="AZ42" s="802"/>
      <c r="BA42" s="800"/>
      <c r="BB42" s="808"/>
      <c r="BC42" s="808"/>
      <c r="BD42" s="808"/>
      <c r="BE42" s="800"/>
      <c r="BF42" s="802"/>
      <c r="BG42" s="1051"/>
    </row>
    <row r="43" spans="2:59" ht="15.95" customHeight="1" x14ac:dyDescent="0.25">
      <c r="B43" s="1119"/>
      <c r="C43" s="342"/>
      <c r="D43" s="358"/>
      <c r="E43" s="343"/>
      <c r="F43" s="343"/>
      <c r="G43" s="343"/>
      <c r="H43" s="343"/>
      <c r="I43" s="343"/>
      <c r="J43" s="343"/>
      <c r="K43" s="1008" t="s">
        <v>560</v>
      </c>
      <c r="L43" s="1008"/>
      <c r="M43" s="1008"/>
      <c r="N43" s="1069"/>
      <c r="O43" s="1069"/>
      <c r="P43" s="1069"/>
      <c r="Q43" s="1069"/>
      <c r="R43" s="852"/>
      <c r="S43" s="852"/>
      <c r="T43" s="852"/>
      <c r="U43" s="1070"/>
      <c r="V43" s="1070"/>
      <c r="W43" s="1066" t="str">
        <f>IF(N43="","",INDEX(CMLIGHTBASE[Base Watt 1],MATCH(N43,CMLIGHTBASE[Base Desc 1],0)))</f>
        <v/>
      </c>
      <c r="X43" s="1067"/>
      <c r="Y43" s="1102"/>
      <c r="Z43" s="1103"/>
      <c r="AA43" s="1103"/>
      <c r="AB43" s="1103"/>
      <c r="AC43" s="1086"/>
      <c r="AD43" s="1086"/>
      <c r="AE43" s="842"/>
      <c r="AF43" s="822"/>
      <c r="AG43" s="823"/>
      <c r="AH43" s="1122"/>
      <c r="AI43" s="1123"/>
      <c r="AJ43" s="1106"/>
      <c r="AK43" s="1107"/>
      <c r="AL43" s="312"/>
      <c r="AM43" s="312"/>
      <c r="AN43" s="312"/>
      <c r="AO43" s="313"/>
      <c r="AP43" s="328"/>
      <c r="AQ43" s="313"/>
      <c r="AR43" s="351"/>
      <c r="AS43" s="69"/>
      <c r="AT43" s="69"/>
      <c r="AU43" s="805"/>
      <c r="AV43" s="807"/>
      <c r="AW43" s="803"/>
      <c r="AX43" s="803"/>
      <c r="AY43" s="803"/>
      <c r="AZ43" s="803"/>
      <c r="BA43" s="801"/>
      <c r="BB43" s="797"/>
      <c r="BC43" s="797"/>
      <c r="BD43" s="797"/>
      <c r="BE43" s="801"/>
      <c r="BF43" s="803"/>
      <c r="BG43" s="1052"/>
    </row>
    <row r="44" spans="2:59" ht="15.95" customHeight="1" x14ac:dyDescent="0.25">
      <c r="B44" s="1119"/>
      <c r="C44" s="342"/>
      <c r="D44" s="358"/>
      <c r="E44" s="343"/>
      <c r="F44" s="343"/>
      <c r="G44" s="343"/>
      <c r="H44" s="343"/>
      <c r="I44" s="343"/>
      <c r="J44" s="343"/>
      <c r="K44" s="1008"/>
      <c r="L44" s="1008"/>
      <c r="M44" s="1008"/>
      <c r="N44" s="1069"/>
      <c r="O44" s="1069"/>
      <c r="P44" s="1069"/>
      <c r="Q44" s="1069"/>
      <c r="R44" s="852"/>
      <c r="S44" s="852"/>
      <c r="T44" s="852"/>
      <c r="U44" s="1070"/>
      <c r="V44" s="1070"/>
      <c r="W44" s="1066"/>
      <c r="X44" s="1067"/>
      <c r="Y44" s="1104"/>
      <c r="Z44" s="1105"/>
      <c r="AA44" s="1105"/>
      <c r="AB44" s="1105"/>
      <c r="AC44" s="1087"/>
      <c r="AD44" s="1087"/>
      <c r="AE44" s="824"/>
      <c r="AF44" s="825"/>
      <c r="AG44" s="826"/>
      <c r="AH44" s="1124"/>
      <c r="AI44" s="1125"/>
      <c r="AJ44" s="1108"/>
      <c r="AK44" s="1109"/>
      <c r="AL44" s="312"/>
      <c r="AM44" s="312"/>
      <c r="AN44" s="312"/>
      <c r="AO44" s="313"/>
      <c r="AP44" s="328"/>
      <c r="AQ44" s="313"/>
      <c r="AR44" s="351"/>
      <c r="AS44" s="69"/>
      <c r="AT44" s="69"/>
      <c r="AU44" s="804"/>
      <c r="AV44" s="806"/>
      <c r="AW44" s="802"/>
      <c r="AX44" s="802"/>
      <c r="AY44" s="802"/>
      <c r="AZ44" s="802"/>
      <c r="BA44" s="800"/>
      <c r="BB44" s="808"/>
      <c r="BC44" s="808"/>
      <c r="BD44" s="808"/>
      <c r="BE44" s="800"/>
      <c r="BF44" s="802"/>
      <c r="BG44" s="1051"/>
    </row>
    <row r="45" spans="2:59" ht="15.95" customHeight="1" x14ac:dyDescent="0.25">
      <c r="B45" s="1119"/>
      <c r="C45" s="342"/>
      <c r="D45" s="358"/>
      <c r="E45" s="343"/>
      <c r="F45" s="343"/>
      <c r="G45" s="343"/>
      <c r="H45" s="343"/>
      <c r="I45" s="343"/>
      <c r="J45" s="343"/>
      <c r="K45" s="1008" t="s">
        <v>560</v>
      </c>
      <c r="L45" s="1008"/>
      <c r="M45" s="1008"/>
      <c r="N45" s="1069"/>
      <c r="O45" s="1069"/>
      <c r="P45" s="1069"/>
      <c r="Q45" s="1069"/>
      <c r="R45" s="852"/>
      <c r="S45" s="852"/>
      <c r="T45" s="852"/>
      <c r="U45" s="1070"/>
      <c r="V45" s="1070"/>
      <c r="W45" s="1066" t="str">
        <f>IF(N45="","",INDEX(CMLIGHTBASE[Base Watt 1],MATCH(N45,CMLIGHTBASE[Base Desc 1],0)))</f>
        <v/>
      </c>
      <c r="X45" s="1067"/>
      <c r="Y45" s="1102"/>
      <c r="Z45" s="1103"/>
      <c r="AA45" s="1103"/>
      <c r="AB45" s="1103"/>
      <c r="AC45" s="1086"/>
      <c r="AD45" s="1086"/>
      <c r="AE45" s="842"/>
      <c r="AF45" s="822"/>
      <c r="AG45" s="823"/>
      <c r="AH45" s="1122"/>
      <c r="AI45" s="1123"/>
      <c r="AJ45" s="1106"/>
      <c r="AK45" s="1107"/>
      <c r="AL45" s="312"/>
      <c r="AM45" s="312"/>
      <c r="AN45" s="312"/>
      <c r="AO45" s="313"/>
      <c r="AP45" s="328"/>
      <c r="AQ45" s="313"/>
      <c r="AR45" s="351"/>
      <c r="AS45" s="69"/>
      <c r="AT45" s="69"/>
      <c r="AU45" s="805"/>
      <c r="AV45" s="807"/>
      <c r="AW45" s="803"/>
      <c r="AX45" s="803"/>
      <c r="AY45" s="803"/>
      <c r="AZ45" s="803"/>
      <c r="BA45" s="801"/>
      <c r="BB45" s="797"/>
      <c r="BC45" s="797"/>
      <c r="BD45" s="797"/>
      <c r="BE45" s="801"/>
      <c r="BF45" s="803"/>
      <c r="BG45" s="1052"/>
    </row>
    <row r="46" spans="2:59" ht="15.95" customHeight="1" x14ac:dyDescent="0.25">
      <c r="B46" s="1119"/>
      <c r="C46" s="342"/>
      <c r="D46" s="358"/>
      <c r="E46" s="343"/>
      <c r="F46" s="343"/>
      <c r="G46" s="343"/>
      <c r="H46" s="343"/>
      <c r="I46" s="343"/>
      <c r="J46" s="343"/>
      <c r="K46" s="1008"/>
      <c r="L46" s="1008"/>
      <c r="M46" s="1008"/>
      <c r="N46" s="1069"/>
      <c r="O46" s="1069"/>
      <c r="P46" s="1069"/>
      <c r="Q46" s="1069"/>
      <c r="R46" s="852"/>
      <c r="S46" s="852"/>
      <c r="T46" s="852"/>
      <c r="U46" s="1070"/>
      <c r="V46" s="1070"/>
      <c r="W46" s="1066"/>
      <c r="X46" s="1067"/>
      <c r="Y46" s="1104"/>
      <c r="Z46" s="1105"/>
      <c r="AA46" s="1105"/>
      <c r="AB46" s="1105"/>
      <c r="AC46" s="1087"/>
      <c r="AD46" s="1087"/>
      <c r="AE46" s="824"/>
      <c r="AF46" s="825"/>
      <c r="AG46" s="826"/>
      <c r="AH46" s="1124"/>
      <c r="AI46" s="1125"/>
      <c r="AJ46" s="1108"/>
      <c r="AK46" s="1109"/>
      <c r="AL46" s="312"/>
      <c r="AM46" s="312"/>
      <c r="AN46" s="312"/>
      <c r="AO46" s="313"/>
      <c r="AP46" s="328"/>
      <c r="AQ46" s="313"/>
      <c r="AR46" s="351"/>
      <c r="AS46" s="69"/>
      <c r="AT46" s="69"/>
      <c r="AU46" s="804"/>
      <c r="AV46" s="806"/>
      <c r="AW46" s="802"/>
      <c r="AX46" s="802"/>
      <c r="AY46" s="802"/>
      <c r="AZ46" s="802"/>
      <c r="BA46" s="800"/>
      <c r="BB46" s="808"/>
      <c r="BC46" s="808"/>
      <c r="BD46" s="808"/>
      <c r="BE46" s="800"/>
      <c r="BF46" s="802"/>
      <c r="BG46" s="1051"/>
    </row>
    <row r="47" spans="2:59" ht="15.95" customHeight="1" x14ac:dyDescent="0.25">
      <c r="B47" s="1119"/>
      <c r="C47" s="342"/>
      <c r="D47" s="358"/>
      <c r="E47" s="343"/>
      <c r="F47" s="343"/>
      <c r="G47" s="343"/>
      <c r="H47" s="343"/>
      <c r="I47" s="343"/>
      <c r="J47" s="343"/>
      <c r="K47" s="344"/>
      <c r="L47" s="344"/>
      <c r="M47" s="314"/>
      <c r="N47" s="314"/>
      <c r="O47" s="346"/>
      <c r="P47" s="346"/>
      <c r="Q47" s="346"/>
      <c r="R47" s="348"/>
      <c r="S47" s="348"/>
      <c r="T47" s="348"/>
      <c r="U47" s="1114"/>
      <c r="V47" s="1115"/>
      <c r="W47" s="1088">
        <f>SUMPRODUCT(U27:V46,W27:X46)</f>
        <v>0</v>
      </c>
      <c r="X47" s="1089"/>
      <c r="Y47" s="314"/>
      <c r="Z47" s="314"/>
      <c r="AA47" s="348"/>
      <c r="AB47" s="348"/>
      <c r="AC47" s="348"/>
      <c r="AD47" s="349"/>
      <c r="AE47" s="349"/>
      <c r="AF47" s="350"/>
      <c r="AG47" s="350"/>
      <c r="AH47" s="350"/>
      <c r="AI47" s="350"/>
      <c r="AJ47" s="1110">
        <f>SUMPRODUCT(AH27:AI46,AJ27:AK46)</f>
        <v>0</v>
      </c>
      <c r="AK47" s="1111"/>
      <c r="AL47" s="312"/>
      <c r="AM47" s="312"/>
      <c r="AN47" s="312"/>
      <c r="AO47" s="313"/>
      <c r="AP47" s="328"/>
      <c r="AQ47" s="313"/>
      <c r="AR47" s="351"/>
      <c r="AS47" s="69"/>
      <c r="AT47" s="69"/>
      <c r="AU47" s="805"/>
      <c r="AV47" s="807"/>
      <c r="AW47" s="803"/>
      <c r="AX47" s="803"/>
      <c r="AY47" s="803"/>
      <c r="AZ47" s="803"/>
      <c r="BA47" s="801"/>
      <c r="BB47" s="797"/>
      <c r="BC47" s="797"/>
      <c r="BD47" s="797"/>
      <c r="BE47" s="801"/>
      <c r="BF47" s="803"/>
      <c r="BG47" s="1052"/>
    </row>
    <row r="48" spans="2:59" ht="15.95" customHeight="1" thickBot="1" x14ac:dyDescent="0.3">
      <c r="B48" s="1119"/>
      <c r="C48" s="342"/>
      <c r="D48" s="359"/>
      <c r="E48" s="360"/>
      <c r="F48" s="360"/>
      <c r="G48" s="360"/>
      <c r="H48" s="360"/>
      <c r="I48" s="360"/>
      <c r="J48" s="360"/>
      <c r="K48" s="361"/>
      <c r="L48" s="361"/>
      <c r="M48" s="329"/>
      <c r="N48" s="329"/>
      <c r="O48" s="362"/>
      <c r="P48" s="363"/>
      <c r="Q48" s="363"/>
      <c r="R48" s="364"/>
      <c r="S48" s="365"/>
      <c r="T48" s="365"/>
      <c r="U48" s="1145"/>
      <c r="V48" s="1145"/>
      <c r="W48" s="1090"/>
      <c r="X48" s="1091"/>
      <c r="Y48" s="329"/>
      <c r="Z48" s="329"/>
      <c r="AA48" s="364"/>
      <c r="AB48" s="365"/>
      <c r="AC48" s="365"/>
      <c r="AD48" s="366"/>
      <c r="AE48" s="366"/>
      <c r="AF48" s="367"/>
      <c r="AG48" s="367"/>
      <c r="AH48" s="367"/>
      <c r="AI48" s="367"/>
      <c r="AJ48" s="1190"/>
      <c r="AK48" s="1191"/>
      <c r="AL48" s="330"/>
      <c r="AM48" s="330"/>
      <c r="AN48" s="330"/>
      <c r="AO48" s="331"/>
      <c r="AP48" s="332"/>
      <c r="AQ48" s="313"/>
      <c r="AR48" s="351"/>
      <c r="AS48" s="69"/>
      <c r="AT48" s="69"/>
      <c r="AU48" s="804"/>
      <c r="AV48" s="806"/>
      <c r="AW48" s="802"/>
      <c r="AX48" s="802"/>
      <c r="AY48" s="802"/>
      <c r="AZ48" s="802"/>
      <c r="BA48" s="800"/>
      <c r="BB48" s="808"/>
      <c r="BC48" s="808"/>
      <c r="BD48" s="808"/>
      <c r="BE48" s="800"/>
      <c r="BF48" s="802"/>
      <c r="BG48" s="1051"/>
    </row>
    <row r="49" spans="2:59" ht="15.95" customHeight="1" thickTop="1" thickBot="1" x14ac:dyDescent="0.3">
      <c r="B49" s="1119"/>
      <c r="C49" s="342"/>
      <c r="D49" s="342"/>
      <c r="E49" s="343"/>
      <c r="F49" s="343"/>
      <c r="G49" s="343"/>
      <c r="H49" s="343"/>
      <c r="I49" s="343"/>
      <c r="J49" s="343"/>
      <c r="K49" s="344"/>
      <c r="L49" s="344"/>
      <c r="M49" s="314"/>
      <c r="N49" s="314"/>
      <c r="O49" s="346"/>
      <c r="P49" s="346"/>
      <c r="Q49" s="346"/>
      <c r="R49" s="348"/>
      <c r="S49" s="348"/>
      <c r="T49" s="348"/>
      <c r="U49" s="348"/>
      <c r="V49" s="348"/>
      <c r="W49" s="348"/>
      <c r="X49" s="348"/>
      <c r="Y49" s="314"/>
      <c r="Z49" s="314"/>
      <c r="AA49" s="348"/>
      <c r="AB49" s="348"/>
      <c r="AC49" s="348"/>
      <c r="AD49" s="349"/>
      <c r="AE49" s="349"/>
      <c r="AF49" s="350"/>
      <c r="AG49" s="350"/>
      <c r="AH49" s="350"/>
      <c r="AI49" s="350"/>
      <c r="AJ49" s="311"/>
      <c r="AK49" s="311"/>
      <c r="AL49" s="312"/>
      <c r="AM49" s="312"/>
      <c r="AN49" s="312"/>
      <c r="AO49" s="313"/>
      <c r="AP49" s="313"/>
      <c r="AQ49" s="313"/>
      <c r="AR49" s="351"/>
      <c r="AS49" s="69"/>
      <c r="AT49" s="69"/>
      <c r="AU49" s="805"/>
      <c r="AV49" s="807"/>
      <c r="AW49" s="803"/>
      <c r="AX49" s="803"/>
      <c r="AY49" s="803"/>
      <c r="AZ49" s="803"/>
      <c r="BA49" s="801"/>
      <c r="BB49" s="797"/>
      <c r="BC49" s="797"/>
      <c r="BD49" s="797"/>
      <c r="BE49" s="801"/>
      <c r="BF49" s="803"/>
      <c r="BG49" s="1052"/>
    </row>
    <row r="50" spans="2:59" ht="15.95" customHeight="1" thickTop="1" x14ac:dyDescent="0.25">
      <c r="B50" s="1119"/>
      <c r="C50" s="342"/>
      <c r="D50" s="368"/>
      <c r="E50" s="369"/>
      <c r="F50" s="369"/>
      <c r="G50" s="369"/>
      <c r="H50" s="369"/>
      <c r="I50" s="369"/>
      <c r="J50" s="369"/>
      <c r="K50" s="370"/>
      <c r="L50" s="370"/>
      <c r="M50" s="333"/>
      <c r="N50" s="333"/>
      <c r="O50" s="371"/>
      <c r="P50" s="371"/>
      <c r="Q50" s="371"/>
      <c r="R50" s="1187" t="s">
        <v>1418</v>
      </c>
      <c r="S50" s="1187"/>
      <c r="T50" s="1187"/>
      <c r="U50" s="1187"/>
      <c r="V50" s="1187"/>
      <c r="W50" s="1187"/>
      <c r="X50" s="1187"/>
      <c r="Y50" s="1187"/>
      <c r="Z50" s="1187"/>
      <c r="AA50" s="1187"/>
      <c r="AB50" s="1187"/>
      <c r="AC50" s="1187"/>
      <c r="AD50" s="372"/>
      <c r="AE50" s="372"/>
      <c r="AF50" s="373"/>
      <c r="AG50" s="373"/>
      <c r="AH50" s="373"/>
      <c r="AI50" s="373"/>
      <c r="AJ50" s="334"/>
      <c r="AK50" s="334"/>
      <c r="AL50" s="335"/>
      <c r="AM50" s="1175" t="s">
        <v>1652</v>
      </c>
      <c r="AN50" s="1175"/>
      <c r="AO50" s="1175"/>
      <c r="AP50" s="1176"/>
      <c r="AQ50" s="313"/>
      <c r="AR50" s="351"/>
      <c r="AS50" s="69"/>
      <c r="AT50" s="69"/>
      <c r="AU50" s="804"/>
      <c r="AV50" s="806"/>
      <c r="AW50" s="802"/>
      <c r="AX50" s="802"/>
      <c r="AY50" s="802"/>
      <c r="AZ50" s="802"/>
      <c r="BA50" s="800"/>
      <c r="BB50" s="808"/>
      <c r="BC50" s="808"/>
      <c r="BD50" s="808"/>
      <c r="BE50" s="800"/>
      <c r="BF50" s="802"/>
      <c r="BG50" s="1051"/>
    </row>
    <row r="51" spans="2:59" ht="15.95" customHeight="1" thickBot="1" x14ac:dyDescent="0.3">
      <c r="B51" s="1119"/>
      <c r="C51" s="342"/>
      <c r="D51" s="374"/>
      <c r="E51" s="343"/>
      <c r="F51" s="343"/>
      <c r="G51" s="343"/>
      <c r="H51" s="343"/>
      <c r="I51" s="343"/>
      <c r="J51" s="343"/>
      <c r="K51" s="344"/>
      <c r="L51" s="344"/>
      <c r="M51" s="314"/>
      <c r="N51" s="314"/>
      <c r="O51" s="345"/>
      <c r="P51" s="346"/>
      <c r="Q51" s="346"/>
      <c r="R51" s="1074"/>
      <c r="S51" s="1074"/>
      <c r="T51" s="1074"/>
      <c r="U51" s="1074"/>
      <c r="V51" s="1074"/>
      <c r="W51" s="1074"/>
      <c r="X51" s="1074"/>
      <c r="Y51" s="1074"/>
      <c r="Z51" s="1074"/>
      <c r="AA51" s="1074"/>
      <c r="AB51" s="1074"/>
      <c r="AC51" s="1074"/>
      <c r="AD51" s="349"/>
      <c r="AE51" s="349"/>
      <c r="AF51" s="350"/>
      <c r="AG51" s="350"/>
      <c r="AH51" s="350"/>
      <c r="AI51" s="350"/>
      <c r="AJ51" s="311"/>
      <c r="AK51" s="311"/>
      <c r="AL51" s="312"/>
      <c r="AM51" s="1082"/>
      <c r="AN51" s="1082"/>
      <c r="AO51" s="1082"/>
      <c r="AP51" s="1177"/>
      <c r="AQ51" s="313"/>
      <c r="AR51" s="351"/>
      <c r="AS51" s="69"/>
      <c r="AT51" s="69"/>
      <c r="AU51" s="805"/>
      <c r="AV51" s="807"/>
      <c r="AW51" s="803"/>
      <c r="AX51" s="803"/>
      <c r="AY51" s="803"/>
      <c r="AZ51" s="803"/>
      <c r="BA51" s="801"/>
      <c r="BB51" s="797"/>
      <c r="BC51" s="797"/>
      <c r="BD51" s="797"/>
      <c r="BE51" s="801"/>
      <c r="BF51" s="803"/>
      <c r="BG51" s="1052"/>
    </row>
    <row r="52" spans="2:59" ht="15.95" customHeight="1" x14ac:dyDescent="0.25">
      <c r="B52" s="1119"/>
      <c r="C52" s="342"/>
      <c r="D52" s="1129" t="s">
        <v>1650</v>
      </c>
      <c r="E52" s="1093"/>
      <c r="F52" s="1093"/>
      <c r="G52" s="1093"/>
      <c r="H52" s="1131" t="s">
        <v>1147</v>
      </c>
      <c r="I52" s="1131"/>
      <c r="J52" s="351"/>
      <c r="K52" s="1133" t="s">
        <v>823</v>
      </c>
      <c r="L52" s="1133"/>
      <c r="M52" s="1133"/>
      <c r="N52" s="1063" t="s">
        <v>93</v>
      </c>
      <c r="O52" s="1063"/>
      <c r="P52" s="1063"/>
      <c r="Q52" s="1063"/>
      <c r="R52" s="1063" t="s">
        <v>102</v>
      </c>
      <c r="S52" s="1063"/>
      <c r="T52" s="1063"/>
      <c r="U52" s="1063" t="s">
        <v>576</v>
      </c>
      <c r="V52" s="1063"/>
      <c r="W52" s="1063" t="s">
        <v>94</v>
      </c>
      <c r="X52" s="1063"/>
      <c r="Y52" s="1063" t="s">
        <v>101</v>
      </c>
      <c r="Z52" s="1063"/>
      <c r="AA52" s="1063"/>
      <c r="AB52" s="1063"/>
      <c r="AC52" s="1135" t="s">
        <v>1675</v>
      </c>
      <c r="AD52" s="1063"/>
      <c r="AE52" s="1063" t="s">
        <v>102</v>
      </c>
      <c r="AF52" s="1063"/>
      <c r="AG52" s="1063"/>
      <c r="AH52" s="1063" t="s">
        <v>95</v>
      </c>
      <c r="AI52" s="1063"/>
      <c r="AJ52" s="1063" t="s">
        <v>94</v>
      </c>
      <c r="AK52" s="1063"/>
      <c r="AL52" s="312"/>
      <c r="AM52" s="1063" t="s">
        <v>1225</v>
      </c>
      <c r="AN52" s="1063"/>
      <c r="AO52" s="1063" t="s">
        <v>1145</v>
      </c>
      <c r="AP52" s="1127"/>
      <c r="AQ52" s="313"/>
      <c r="AR52" s="351"/>
      <c r="AS52" s="69"/>
      <c r="AT52" s="69"/>
      <c r="AU52" s="804"/>
      <c r="AV52" s="806"/>
      <c r="AW52" s="802"/>
      <c r="AX52" s="802"/>
      <c r="AY52" s="802"/>
      <c r="AZ52" s="802"/>
      <c r="BA52" s="800"/>
      <c r="BB52" s="808"/>
      <c r="BC52" s="808"/>
      <c r="BD52" s="808"/>
      <c r="BE52" s="800"/>
      <c r="BF52" s="802"/>
      <c r="BG52" s="1051"/>
    </row>
    <row r="53" spans="2:59" ht="15.95" customHeight="1" thickBot="1" x14ac:dyDescent="0.3">
      <c r="B53" s="1119"/>
      <c r="C53" s="342"/>
      <c r="D53" s="1130"/>
      <c r="E53" s="1095"/>
      <c r="F53" s="1095"/>
      <c r="G53" s="1095"/>
      <c r="H53" s="1132"/>
      <c r="I53" s="1132"/>
      <c r="J53" s="351"/>
      <c r="K53" s="1134"/>
      <c r="L53" s="1134"/>
      <c r="M53" s="1134"/>
      <c r="N53" s="1064"/>
      <c r="O53" s="1064"/>
      <c r="P53" s="1064"/>
      <c r="Q53" s="1064"/>
      <c r="R53" s="1064"/>
      <c r="S53" s="1064"/>
      <c r="T53" s="1064"/>
      <c r="U53" s="1064"/>
      <c r="V53" s="1064"/>
      <c r="W53" s="1064"/>
      <c r="X53" s="1064"/>
      <c r="Y53" s="1064"/>
      <c r="Z53" s="1064"/>
      <c r="AA53" s="1064"/>
      <c r="AB53" s="1064"/>
      <c r="AC53" s="1064"/>
      <c r="AD53" s="1064"/>
      <c r="AE53" s="1064"/>
      <c r="AF53" s="1064"/>
      <c r="AG53" s="1064"/>
      <c r="AH53" s="1064"/>
      <c r="AI53" s="1064"/>
      <c r="AJ53" s="1064"/>
      <c r="AK53" s="1064"/>
      <c r="AL53" s="312"/>
      <c r="AM53" s="1064"/>
      <c r="AN53" s="1064"/>
      <c r="AO53" s="1064"/>
      <c r="AP53" s="1128"/>
      <c r="AQ53" s="313"/>
      <c r="AR53" s="351"/>
      <c r="AS53" s="69"/>
      <c r="AT53" s="69"/>
      <c r="AU53" s="805"/>
      <c r="AV53" s="807"/>
      <c r="AW53" s="803"/>
      <c r="AX53" s="803"/>
      <c r="AY53" s="803"/>
      <c r="AZ53" s="803"/>
      <c r="BA53" s="801"/>
      <c r="BB53" s="797"/>
      <c r="BC53" s="797"/>
      <c r="BD53" s="797"/>
      <c r="BE53" s="801"/>
      <c r="BF53" s="803"/>
      <c r="BG53" s="1052"/>
    </row>
    <row r="54" spans="2:59" ht="15.95" customHeight="1" x14ac:dyDescent="0.25">
      <c r="B54" s="1119"/>
      <c r="C54" s="342"/>
      <c r="D54" s="1136"/>
      <c r="E54" s="1097"/>
      <c r="F54" s="1097"/>
      <c r="G54" s="1097"/>
      <c r="H54" s="1138"/>
      <c r="I54" s="1138"/>
      <c r="J54" s="351"/>
      <c r="K54" s="1008" t="s">
        <v>560</v>
      </c>
      <c r="L54" s="1008"/>
      <c r="M54" s="1008"/>
      <c r="N54" s="1069"/>
      <c r="O54" s="1069"/>
      <c r="P54" s="1069"/>
      <c r="Q54" s="1069"/>
      <c r="R54" s="1184"/>
      <c r="S54" s="852"/>
      <c r="T54" s="852"/>
      <c r="U54" s="1070"/>
      <c r="V54" s="1070"/>
      <c r="W54" s="1066" t="str">
        <f>IF(N54="","",INDEX(CMLIGHTBASE[Base Watt 1],MATCH(N54,CMLIGHTBASE[Base Desc 1],0)))</f>
        <v/>
      </c>
      <c r="X54" s="1067"/>
      <c r="Y54" s="1143"/>
      <c r="Z54" s="1144"/>
      <c r="AA54" s="1144"/>
      <c r="AB54" s="1144"/>
      <c r="AC54" s="1086"/>
      <c r="AD54" s="1086"/>
      <c r="AE54" s="1140"/>
      <c r="AF54" s="1141"/>
      <c r="AG54" s="1142"/>
      <c r="AH54" s="1178"/>
      <c r="AI54" s="1179"/>
      <c r="AJ54" s="1106"/>
      <c r="AK54" s="1107"/>
      <c r="AL54" s="312"/>
      <c r="AM54" s="1180"/>
      <c r="AN54" s="1180"/>
      <c r="AO54" s="1180"/>
      <c r="AP54" s="1182"/>
      <c r="AQ54" s="313"/>
      <c r="AR54" s="351"/>
      <c r="AS54" s="69"/>
      <c r="AT54" s="69"/>
      <c r="AU54" s="804"/>
      <c r="AV54" s="806"/>
      <c r="AW54" s="802"/>
      <c r="AX54" s="802"/>
      <c r="AY54" s="802"/>
      <c r="AZ54" s="802"/>
      <c r="BA54" s="800"/>
      <c r="BB54" s="808"/>
      <c r="BC54" s="808"/>
      <c r="BD54" s="808"/>
      <c r="BE54" s="800"/>
      <c r="BF54" s="802"/>
      <c r="BG54" s="1051"/>
    </row>
    <row r="55" spans="2:59" ht="15.95" customHeight="1" x14ac:dyDescent="0.25">
      <c r="B55" s="1119"/>
      <c r="C55" s="342"/>
      <c r="D55" s="1137"/>
      <c r="E55" s="1099"/>
      <c r="F55" s="1099"/>
      <c r="G55" s="1099"/>
      <c r="H55" s="1139"/>
      <c r="I55" s="1139"/>
      <c r="J55" s="351"/>
      <c r="K55" s="1008"/>
      <c r="L55" s="1008"/>
      <c r="M55" s="1008"/>
      <c r="N55" s="1069"/>
      <c r="O55" s="1069"/>
      <c r="P55" s="1069"/>
      <c r="Q55" s="1069"/>
      <c r="R55" s="852"/>
      <c r="S55" s="852"/>
      <c r="T55" s="852"/>
      <c r="U55" s="1070"/>
      <c r="V55" s="1070"/>
      <c r="W55" s="1066"/>
      <c r="X55" s="1067"/>
      <c r="Y55" s="1121"/>
      <c r="Z55" s="1105"/>
      <c r="AA55" s="1105"/>
      <c r="AB55" s="1105"/>
      <c r="AC55" s="1087"/>
      <c r="AD55" s="1087"/>
      <c r="AE55" s="824"/>
      <c r="AF55" s="825"/>
      <c r="AG55" s="826"/>
      <c r="AH55" s="1124"/>
      <c r="AI55" s="1125"/>
      <c r="AJ55" s="1108"/>
      <c r="AK55" s="1109"/>
      <c r="AL55" s="312"/>
      <c r="AM55" s="1181"/>
      <c r="AN55" s="1181"/>
      <c r="AO55" s="1181"/>
      <c r="AP55" s="1183"/>
      <c r="AQ55" s="313"/>
      <c r="AR55" s="351"/>
      <c r="AS55" s="69"/>
      <c r="AT55" s="69"/>
      <c r="AU55" s="805"/>
      <c r="AV55" s="807"/>
      <c r="AW55" s="803"/>
      <c r="AX55" s="803"/>
      <c r="AY55" s="803"/>
      <c r="AZ55" s="803"/>
      <c r="BA55" s="801"/>
      <c r="BB55" s="797"/>
      <c r="BC55" s="797"/>
      <c r="BD55" s="797"/>
      <c r="BE55" s="801"/>
      <c r="BF55" s="803"/>
      <c r="BG55" s="1052"/>
    </row>
    <row r="56" spans="2:59" ht="15.95" customHeight="1" x14ac:dyDescent="0.25">
      <c r="B56" s="1119"/>
      <c r="C56" s="342"/>
      <c r="D56" s="374"/>
      <c r="E56" s="343"/>
      <c r="F56" s="343"/>
      <c r="G56" s="343"/>
      <c r="H56" s="343"/>
      <c r="I56" s="343"/>
      <c r="J56" s="343"/>
      <c r="K56" s="1008" t="s">
        <v>560</v>
      </c>
      <c r="L56" s="1008"/>
      <c r="M56" s="1008"/>
      <c r="N56" s="1069"/>
      <c r="O56" s="1069"/>
      <c r="P56" s="1069"/>
      <c r="Q56" s="1069"/>
      <c r="R56" s="883"/>
      <c r="S56" s="852"/>
      <c r="T56" s="852"/>
      <c r="U56" s="1070"/>
      <c r="V56" s="1070"/>
      <c r="W56" s="1066" t="str">
        <f>IF(N56="","",INDEX(CMLIGHTBASE[Base Watt 1],MATCH(N56,CMLIGHTBASE[Base Desc 1],0)))</f>
        <v/>
      </c>
      <c r="X56" s="1067"/>
      <c r="Y56" s="1120"/>
      <c r="Z56" s="1103"/>
      <c r="AA56" s="1103"/>
      <c r="AB56" s="1103"/>
      <c r="AC56" s="1086"/>
      <c r="AD56" s="1086"/>
      <c r="AE56" s="882"/>
      <c r="AF56" s="822"/>
      <c r="AG56" s="823"/>
      <c r="AH56" s="1122"/>
      <c r="AI56" s="1123"/>
      <c r="AJ56" s="1106"/>
      <c r="AK56" s="1107"/>
      <c r="AL56" s="312"/>
      <c r="AM56" s="312"/>
      <c r="AN56" s="312"/>
      <c r="AO56" s="313"/>
      <c r="AP56" s="336"/>
      <c r="AQ56" s="313"/>
      <c r="AR56" s="351"/>
      <c r="AS56" s="69"/>
      <c r="AT56" s="69"/>
      <c r="AU56" s="804"/>
      <c r="AV56" s="806"/>
      <c r="AW56" s="802"/>
      <c r="AX56" s="802"/>
      <c r="AY56" s="802"/>
      <c r="AZ56" s="802"/>
      <c r="BA56" s="800"/>
      <c r="BB56" s="808"/>
      <c r="BC56" s="808"/>
      <c r="BD56" s="808"/>
      <c r="BE56" s="800"/>
      <c r="BF56" s="802"/>
      <c r="BG56" s="1051"/>
    </row>
    <row r="57" spans="2:59" ht="15.95" customHeight="1" x14ac:dyDescent="0.25">
      <c r="B57" s="1119"/>
      <c r="C57" s="342"/>
      <c r="D57" s="1126" t="s">
        <v>1653</v>
      </c>
      <c r="E57" s="1101"/>
      <c r="F57" s="1101"/>
      <c r="G57" s="1101"/>
      <c r="H57" s="1101"/>
      <c r="I57" s="1101"/>
      <c r="J57" s="351"/>
      <c r="K57" s="1008"/>
      <c r="L57" s="1008"/>
      <c r="M57" s="1008"/>
      <c r="N57" s="1069"/>
      <c r="O57" s="1069"/>
      <c r="P57" s="1069"/>
      <c r="Q57" s="1069"/>
      <c r="R57" s="852"/>
      <c r="S57" s="852"/>
      <c r="T57" s="852"/>
      <c r="U57" s="1070"/>
      <c r="V57" s="1070"/>
      <c r="W57" s="1066"/>
      <c r="X57" s="1067"/>
      <c r="Y57" s="1121"/>
      <c r="Z57" s="1105"/>
      <c r="AA57" s="1105"/>
      <c r="AB57" s="1105"/>
      <c r="AC57" s="1087"/>
      <c r="AD57" s="1087"/>
      <c r="AE57" s="824"/>
      <c r="AF57" s="825"/>
      <c r="AG57" s="826"/>
      <c r="AH57" s="1124"/>
      <c r="AI57" s="1125"/>
      <c r="AJ57" s="1108"/>
      <c r="AK57" s="1109"/>
      <c r="AL57" s="312"/>
      <c r="AM57" s="312"/>
      <c r="AN57" s="312"/>
      <c r="AO57" s="313"/>
      <c r="AP57" s="336"/>
      <c r="AQ57" s="313"/>
      <c r="AR57" s="351"/>
      <c r="AS57" s="69"/>
      <c r="AT57" s="69"/>
      <c r="AU57" s="805"/>
      <c r="AV57" s="807"/>
      <c r="AW57" s="803"/>
      <c r="AX57" s="803"/>
      <c r="AY57" s="803"/>
      <c r="AZ57" s="803"/>
      <c r="BA57" s="801"/>
      <c r="BB57" s="797"/>
      <c r="BC57" s="797"/>
      <c r="BD57" s="797"/>
      <c r="BE57" s="801"/>
      <c r="BF57" s="803"/>
      <c r="BG57" s="1052"/>
    </row>
    <row r="58" spans="2:59" ht="15.95" customHeight="1" thickBot="1" x14ac:dyDescent="0.3">
      <c r="B58" s="1119"/>
      <c r="C58" s="342"/>
      <c r="D58" s="1126"/>
      <c r="E58" s="1101"/>
      <c r="F58" s="1101"/>
      <c r="G58" s="1101"/>
      <c r="H58" s="1101"/>
      <c r="I58" s="1101"/>
      <c r="J58" s="351"/>
      <c r="K58" s="1008" t="s">
        <v>560</v>
      </c>
      <c r="L58" s="1008"/>
      <c r="M58" s="1008"/>
      <c r="N58" s="1069"/>
      <c r="O58" s="1069"/>
      <c r="P58" s="1069"/>
      <c r="Q58" s="1069"/>
      <c r="R58" s="883"/>
      <c r="S58" s="852"/>
      <c r="T58" s="852"/>
      <c r="U58" s="1070"/>
      <c r="V58" s="1070"/>
      <c r="W58" s="1066" t="str">
        <f>IF(N58="","",INDEX(CMLIGHTBASE[Base Watt 1],MATCH(N58,CMLIGHTBASE[Base Desc 1],0)))</f>
        <v/>
      </c>
      <c r="X58" s="1067"/>
      <c r="Y58" s="1120"/>
      <c r="Z58" s="1103"/>
      <c r="AA58" s="1103"/>
      <c r="AB58" s="1103"/>
      <c r="AC58" s="1086"/>
      <c r="AD58" s="1086"/>
      <c r="AE58" s="882"/>
      <c r="AF58" s="822"/>
      <c r="AG58" s="823"/>
      <c r="AH58" s="1122"/>
      <c r="AI58" s="1123"/>
      <c r="AJ58" s="1106"/>
      <c r="AK58" s="1107"/>
      <c r="AL58" s="312"/>
      <c r="AM58" s="312"/>
      <c r="AN58" s="312"/>
      <c r="AO58" s="313"/>
      <c r="AP58" s="336"/>
      <c r="AQ58" s="313"/>
      <c r="AR58" s="351"/>
      <c r="AS58" s="69"/>
      <c r="AT58" s="69"/>
      <c r="AU58" s="804"/>
      <c r="AV58" s="806"/>
      <c r="AW58" s="802"/>
      <c r="AX58" s="802"/>
      <c r="AY58" s="802"/>
      <c r="AZ58" s="802"/>
      <c r="BA58" s="800"/>
      <c r="BB58" s="808"/>
      <c r="BC58" s="808"/>
      <c r="BD58" s="808"/>
      <c r="BE58" s="800"/>
      <c r="BF58" s="802"/>
      <c r="BG58" s="1051"/>
    </row>
    <row r="59" spans="2:59" ht="15.95" customHeight="1" x14ac:dyDescent="0.25">
      <c r="B59" s="1119"/>
      <c r="C59" s="342"/>
      <c r="D59" s="1188"/>
      <c r="E59" s="1147"/>
      <c r="F59" s="1147"/>
      <c r="G59" s="1147"/>
      <c r="H59" s="1147"/>
      <c r="I59" s="1148"/>
      <c r="J59" s="351"/>
      <c r="K59" s="1008"/>
      <c r="L59" s="1008"/>
      <c r="M59" s="1008"/>
      <c r="N59" s="1069"/>
      <c r="O59" s="1069"/>
      <c r="P59" s="1069"/>
      <c r="Q59" s="1069"/>
      <c r="R59" s="852"/>
      <c r="S59" s="852"/>
      <c r="T59" s="852"/>
      <c r="U59" s="1070"/>
      <c r="V59" s="1070"/>
      <c r="W59" s="1066"/>
      <c r="X59" s="1067"/>
      <c r="Y59" s="1121"/>
      <c r="Z59" s="1105"/>
      <c r="AA59" s="1105"/>
      <c r="AB59" s="1105"/>
      <c r="AC59" s="1087"/>
      <c r="AD59" s="1087"/>
      <c r="AE59" s="824"/>
      <c r="AF59" s="825"/>
      <c r="AG59" s="826"/>
      <c r="AH59" s="1124"/>
      <c r="AI59" s="1125"/>
      <c r="AJ59" s="1108"/>
      <c r="AK59" s="1109"/>
      <c r="AL59" s="312"/>
      <c r="AM59" s="312"/>
      <c r="AN59" s="312"/>
      <c r="AO59" s="313"/>
      <c r="AP59" s="336"/>
      <c r="AQ59" s="313"/>
      <c r="AR59" s="351"/>
      <c r="AS59" s="69"/>
      <c r="AT59" s="69"/>
      <c r="AU59" s="805"/>
      <c r="AV59" s="807"/>
      <c r="AW59" s="803"/>
      <c r="AX59" s="803"/>
      <c r="AY59" s="803"/>
      <c r="AZ59" s="803"/>
      <c r="BA59" s="801"/>
      <c r="BB59" s="797"/>
      <c r="BC59" s="797"/>
      <c r="BD59" s="797"/>
      <c r="BE59" s="801"/>
      <c r="BF59" s="803"/>
      <c r="BG59" s="1052"/>
    </row>
    <row r="60" spans="2:59" ht="15.95" customHeight="1" x14ac:dyDescent="0.25">
      <c r="B60" s="1119"/>
      <c r="C60" s="342"/>
      <c r="D60" s="1189"/>
      <c r="E60" s="1150"/>
      <c r="F60" s="1150"/>
      <c r="G60" s="1150"/>
      <c r="H60" s="1150"/>
      <c r="I60" s="1125"/>
      <c r="J60" s="351"/>
      <c r="K60" s="1008" t="s">
        <v>560</v>
      </c>
      <c r="L60" s="1008"/>
      <c r="M60" s="1008"/>
      <c r="N60" s="1069"/>
      <c r="O60" s="1069"/>
      <c r="P60" s="1069"/>
      <c r="Q60" s="1069"/>
      <c r="R60" s="883"/>
      <c r="S60" s="852"/>
      <c r="T60" s="852"/>
      <c r="U60" s="1070"/>
      <c r="V60" s="1070"/>
      <c r="W60" s="1066" t="str">
        <f>IF(N60="","",INDEX(CMLIGHTBASE[Base Watt 1],MATCH(N60,CMLIGHTBASE[Base Desc 1],0)))</f>
        <v/>
      </c>
      <c r="X60" s="1067"/>
      <c r="Y60" s="1120"/>
      <c r="Z60" s="1103"/>
      <c r="AA60" s="1103"/>
      <c r="AB60" s="1103"/>
      <c r="AC60" s="1086"/>
      <c r="AD60" s="1086"/>
      <c r="AE60" s="842"/>
      <c r="AF60" s="822"/>
      <c r="AG60" s="823"/>
      <c r="AH60" s="1122"/>
      <c r="AI60" s="1123"/>
      <c r="AJ60" s="1106"/>
      <c r="AK60" s="1107"/>
      <c r="AL60" s="312"/>
      <c r="AM60" s="312"/>
      <c r="AN60" s="312"/>
      <c r="AO60" s="313"/>
      <c r="AP60" s="336"/>
      <c r="AQ60" s="313"/>
      <c r="AR60" s="351"/>
      <c r="AS60" s="69"/>
      <c r="AT60" s="69"/>
      <c r="AU60" s="804"/>
      <c r="AV60" s="806"/>
      <c r="AW60" s="802"/>
      <c r="AX60" s="802"/>
      <c r="AY60" s="802"/>
      <c r="AZ60" s="802"/>
      <c r="BA60" s="800"/>
      <c r="BB60" s="808"/>
      <c r="BC60" s="808"/>
      <c r="BD60" s="808"/>
      <c r="BE60" s="800"/>
      <c r="BF60" s="802"/>
      <c r="BG60" s="1051"/>
    </row>
    <row r="61" spans="2:59" ht="15.95" customHeight="1" x14ac:dyDescent="0.25">
      <c r="B61" s="1119"/>
      <c r="C61" s="342"/>
      <c r="D61" s="374"/>
      <c r="E61" s="343"/>
      <c r="F61" s="343"/>
      <c r="G61" s="343"/>
      <c r="H61" s="343"/>
      <c r="I61" s="343"/>
      <c r="J61" s="351"/>
      <c r="K61" s="1008"/>
      <c r="L61" s="1008"/>
      <c r="M61" s="1008"/>
      <c r="N61" s="1069"/>
      <c r="O61" s="1069"/>
      <c r="P61" s="1069"/>
      <c r="Q61" s="1069"/>
      <c r="R61" s="852"/>
      <c r="S61" s="852"/>
      <c r="T61" s="852"/>
      <c r="U61" s="1070"/>
      <c r="V61" s="1070"/>
      <c r="W61" s="1066"/>
      <c r="X61" s="1067"/>
      <c r="Y61" s="1121"/>
      <c r="Z61" s="1105"/>
      <c r="AA61" s="1105"/>
      <c r="AB61" s="1105"/>
      <c r="AC61" s="1087"/>
      <c r="AD61" s="1087"/>
      <c r="AE61" s="824"/>
      <c r="AF61" s="825"/>
      <c r="AG61" s="826"/>
      <c r="AH61" s="1124"/>
      <c r="AI61" s="1125"/>
      <c r="AJ61" s="1108"/>
      <c r="AK61" s="1109"/>
      <c r="AL61" s="312"/>
      <c r="AM61" s="312"/>
      <c r="AN61" s="312"/>
      <c r="AO61" s="313"/>
      <c r="AP61" s="336"/>
      <c r="AQ61" s="313"/>
      <c r="AR61" s="351"/>
      <c r="AS61" s="69"/>
      <c r="AT61" s="69"/>
      <c r="AU61" s="805"/>
      <c r="AV61" s="807"/>
      <c r="AW61" s="803"/>
      <c r="AX61" s="803"/>
      <c r="AY61" s="803"/>
      <c r="AZ61" s="803"/>
      <c r="BA61" s="801"/>
      <c r="BB61" s="797"/>
      <c r="BC61" s="797"/>
      <c r="BD61" s="797"/>
      <c r="BE61" s="801"/>
      <c r="BF61" s="803"/>
      <c r="BG61" s="1052"/>
    </row>
    <row r="62" spans="2:59" ht="15.95" customHeight="1" x14ac:dyDescent="0.25">
      <c r="B62" s="1119"/>
      <c r="C62" s="342"/>
      <c r="D62" s="374"/>
      <c r="E62" s="343"/>
      <c r="F62" s="343"/>
      <c r="G62" s="343"/>
      <c r="H62" s="343"/>
      <c r="I62" s="343"/>
      <c r="J62" s="343"/>
      <c r="K62" s="1008" t="s">
        <v>560</v>
      </c>
      <c r="L62" s="1008"/>
      <c r="M62" s="1008"/>
      <c r="N62" s="1069"/>
      <c r="O62" s="1069"/>
      <c r="P62" s="1069"/>
      <c r="Q62" s="1069"/>
      <c r="R62" s="852"/>
      <c r="S62" s="852"/>
      <c r="T62" s="852"/>
      <c r="U62" s="1070"/>
      <c r="V62" s="1070"/>
      <c r="W62" s="1066" t="str">
        <f>IF(N62="","",INDEX(CMLIGHTBASE[Base Watt 1],MATCH(N62,CMLIGHTBASE[Base Desc 1],0)))</f>
        <v/>
      </c>
      <c r="X62" s="1067"/>
      <c r="Y62" s="1120"/>
      <c r="Z62" s="1103"/>
      <c r="AA62" s="1103"/>
      <c r="AB62" s="1103"/>
      <c r="AC62" s="1086"/>
      <c r="AD62" s="1086"/>
      <c r="AE62" s="842"/>
      <c r="AF62" s="822"/>
      <c r="AG62" s="823"/>
      <c r="AH62" s="1122"/>
      <c r="AI62" s="1123"/>
      <c r="AJ62" s="1106"/>
      <c r="AK62" s="1107"/>
      <c r="AL62" s="312"/>
      <c r="AM62" s="312"/>
      <c r="AN62" s="312"/>
      <c r="AO62" s="313"/>
      <c r="AP62" s="336"/>
      <c r="AQ62" s="313"/>
      <c r="AR62" s="351"/>
      <c r="AS62" s="69"/>
      <c r="AT62" s="69"/>
      <c r="AU62" s="804"/>
      <c r="AV62" s="806"/>
      <c r="AW62" s="802"/>
      <c r="AX62" s="802"/>
      <c r="AY62" s="802"/>
      <c r="AZ62" s="802"/>
      <c r="BA62" s="800"/>
      <c r="BB62" s="808"/>
      <c r="BC62" s="808"/>
      <c r="BD62" s="808"/>
      <c r="BE62" s="800"/>
      <c r="BF62" s="802"/>
      <c r="BG62" s="1051"/>
    </row>
    <row r="63" spans="2:59" ht="15.95" customHeight="1" x14ac:dyDescent="0.25">
      <c r="B63" s="1119"/>
      <c r="C63" s="342"/>
      <c r="D63" s="374"/>
      <c r="E63" s="343"/>
      <c r="F63" s="343"/>
      <c r="G63" s="343"/>
      <c r="H63" s="343"/>
      <c r="I63" s="343"/>
      <c r="J63" s="343"/>
      <c r="K63" s="1008"/>
      <c r="L63" s="1008"/>
      <c r="M63" s="1008"/>
      <c r="N63" s="1069"/>
      <c r="O63" s="1069"/>
      <c r="P63" s="1069"/>
      <c r="Q63" s="1069"/>
      <c r="R63" s="852"/>
      <c r="S63" s="852"/>
      <c r="T63" s="852"/>
      <c r="U63" s="1070"/>
      <c r="V63" s="1070"/>
      <c r="W63" s="1066"/>
      <c r="X63" s="1067"/>
      <c r="Y63" s="1121"/>
      <c r="Z63" s="1105"/>
      <c r="AA63" s="1105"/>
      <c r="AB63" s="1105"/>
      <c r="AC63" s="1087"/>
      <c r="AD63" s="1087"/>
      <c r="AE63" s="824"/>
      <c r="AF63" s="825"/>
      <c r="AG63" s="826"/>
      <c r="AH63" s="1124"/>
      <c r="AI63" s="1125"/>
      <c r="AJ63" s="1108"/>
      <c r="AK63" s="1109"/>
      <c r="AL63" s="312"/>
      <c r="AM63" s="312"/>
      <c r="AN63" s="312"/>
      <c r="AO63" s="313"/>
      <c r="AP63" s="336"/>
      <c r="AQ63" s="313"/>
      <c r="AR63" s="351"/>
      <c r="AS63" s="69"/>
      <c r="AT63" s="69"/>
      <c r="AU63" s="805"/>
      <c r="AV63" s="807"/>
      <c r="AW63" s="803"/>
      <c r="AX63" s="803"/>
      <c r="AY63" s="803"/>
      <c r="AZ63" s="803"/>
      <c r="BA63" s="801"/>
      <c r="BB63" s="797"/>
      <c r="BC63" s="797"/>
      <c r="BD63" s="797"/>
      <c r="BE63" s="801"/>
      <c r="BF63" s="803"/>
      <c r="BG63" s="1052"/>
    </row>
    <row r="64" spans="2:59" ht="15.95" customHeight="1" x14ac:dyDescent="0.25">
      <c r="B64" s="1119"/>
      <c r="C64" s="342"/>
      <c r="D64" s="374"/>
      <c r="E64" s="343"/>
      <c r="F64" s="343"/>
      <c r="G64" s="343"/>
      <c r="H64" s="343"/>
      <c r="I64" s="343"/>
      <c r="J64" s="343"/>
      <c r="K64" s="1008" t="s">
        <v>560</v>
      </c>
      <c r="L64" s="1008"/>
      <c r="M64" s="1008"/>
      <c r="N64" s="1069"/>
      <c r="O64" s="1069"/>
      <c r="P64" s="1069"/>
      <c r="Q64" s="1069"/>
      <c r="R64" s="852"/>
      <c r="S64" s="852"/>
      <c r="T64" s="852"/>
      <c r="U64" s="1070"/>
      <c r="V64" s="1070"/>
      <c r="W64" s="1066" t="str">
        <f>IF(N64="","",INDEX(CMLIGHTBASE[Base Watt 1],MATCH(N64,CMLIGHTBASE[Base Desc 1],0)))</f>
        <v/>
      </c>
      <c r="X64" s="1067"/>
      <c r="Y64" s="1120"/>
      <c r="Z64" s="1103"/>
      <c r="AA64" s="1103"/>
      <c r="AB64" s="1103"/>
      <c r="AC64" s="1086"/>
      <c r="AD64" s="1086"/>
      <c r="AE64" s="842"/>
      <c r="AF64" s="822"/>
      <c r="AG64" s="823"/>
      <c r="AH64" s="1122"/>
      <c r="AI64" s="1123"/>
      <c r="AJ64" s="1106"/>
      <c r="AK64" s="1107"/>
      <c r="AL64" s="312"/>
      <c r="AM64" s="312"/>
      <c r="AN64" s="312"/>
      <c r="AO64" s="313"/>
      <c r="AP64" s="336"/>
      <c r="AQ64" s="313"/>
      <c r="AR64" s="351"/>
      <c r="AS64" s="69"/>
      <c r="AT64" s="69"/>
      <c r="AU64" s="804"/>
      <c r="AV64" s="806"/>
      <c r="AW64" s="802"/>
      <c r="AX64" s="802"/>
      <c r="AY64" s="802"/>
      <c r="AZ64" s="802"/>
      <c r="BA64" s="800"/>
      <c r="BB64" s="808"/>
      <c r="BC64" s="808"/>
      <c r="BD64" s="808"/>
      <c r="BE64" s="800"/>
      <c r="BF64" s="802"/>
      <c r="BG64" s="1051"/>
    </row>
    <row r="65" spans="2:59" ht="15.95" customHeight="1" x14ac:dyDescent="0.25">
      <c r="B65" s="1119"/>
      <c r="C65" s="342"/>
      <c r="D65" s="374"/>
      <c r="E65" s="343"/>
      <c r="F65" s="343"/>
      <c r="G65" s="343"/>
      <c r="H65" s="343"/>
      <c r="I65" s="343"/>
      <c r="J65" s="343"/>
      <c r="K65" s="1008"/>
      <c r="L65" s="1008"/>
      <c r="M65" s="1008"/>
      <c r="N65" s="1069"/>
      <c r="O65" s="1069"/>
      <c r="P65" s="1069"/>
      <c r="Q65" s="1069"/>
      <c r="R65" s="852"/>
      <c r="S65" s="852"/>
      <c r="T65" s="852"/>
      <c r="U65" s="1070"/>
      <c r="V65" s="1070"/>
      <c r="W65" s="1066"/>
      <c r="X65" s="1067"/>
      <c r="Y65" s="1121"/>
      <c r="Z65" s="1105"/>
      <c r="AA65" s="1105"/>
      <c r="AB65" s="1105"/>
      <c r="AC65" s="1087"/>
      <c r="AD65" s="1087"/>
      <c r="AE65" s="824"/>
      <c r="AF65" s="825"/>
      <c r="AG65" s="826"/>
      <c r="AH65" s="1124"/>
      <c r="AI65" s="1125"/>
      <c r="AJ65" s="1108"/>
      <c r="AK65" s="1109"/>
      <c r="AL65" s="312"/>
      <c r="AM65" s="312"/>
      <c r="AN65" s="312"/>
      <c r="AO65" s="313"/>
      <c r="AP65" s="336"/>
      <c r="AQ65" s="313"/>
      <c r="AR65" s="351"/>
      <c r="AS65" s="69"/>
      <c r="AT65" s="69"/>
      <c r="AU65" s="805"/>
      <c r="AV65" s="807"/>
      <c r="AW65" s="803"/>
      <c r="AX65" s="803"/>
      <c r="AY65" s="803"/>
      <c r="AZ65" s="803"/>
      <c r="BA65" s="801"/>
      <c r="BB65" s="797"/>
      <c r="BC65" s="797"/>
      <c r="BD65" s="797"/>
      <c r="BE65" s="801"/>
      <c r="BF65" s="803"/>
      <c r="BG65" s="1052"/>
    </row>
    <row r="66" spans="2:59" ht="15.95" customHeight="1" x14ac:dyDescent="0.25">
      <c r="B66" s="1119"/>
      <c r="C66" s="342"/>
      <c r="D66" s="374"/>
      <c r="E66" s="343"/>
      <c r="F66" s="343"/>
      <c r="G66" s="343"/>
      <c r="H66" s="343"/>
      <c r="I66" s="343"/>
      <c r="J66" s="343"/>
      <c r="K66" s="1008" t="s">
        <v>560</v>
      </c>
      <c r="L66" s="1008"/>
      <c r="M66" s="1008"/>
      <c r="N66" s="1069"/>
      <c r="O66" s="1069"/>
      <c r="P66" s="1069"/>
      <c r="Q66" s="1069"/>
      <c r="R66" s="852"/>
      <c r="S66" s="852"/>
      <c r="T66" s="852"/>
      <c r="U66" s="1070"/>
      <c r="V66" s="1070"/>
      <c r="W66" s="1066" t="str">
        <f>IF(N66="","",INDEX(CMLIGHTBASE[Base Watt 1],MATCH(N66,CMLIGHTBASE[Base Desc 1],0)))</f>
        <v/>
      </c>
      <c r="X66" s="1067"/>
      <c r="Y66" s="1120"/>
      <c r="Z66" s="1103"/>
      <c r="AA66" s="1103"/>
      <c r="AB66" s="1103"/>
      <c r="AC66" s="1086"/>
      <c r="AD66" s="1086"/>
      <c r="AE66" s="842"/>
      <c r="AF66" s="822"/>
      <c r="AG66" s="823"/>
      <c r="AH66" s="1122"/>
      <c r="AI66" s="1123"/>
      <c r="AJ66" s="1106"/>
      <c r="AK66" s="1107"/>
      <c r="AL66" s="312"/>
      <c r="AM66" s="312"/>
      <c r="AN66" s="312"/>
      <c r="AO66" s="313"/>
      <c r="AP66" s="336"/>
      <c r="AQ66" s="313"/>
      <c r="AR66" s="351"/>
      <c r="AS66" s="69"/>
      <c r="AT66" s="69"/>
      <c r="AU66" s="804"/>
      <c r="AV66" s="806"/>
      <c r="AW66" s="802"/>
      <c r="AX66" s="802"/>
      <c r="AY66" s="802"/>
      <c r="AZ66" s="802"/>
      <c r="BA66" s="800"/>
      <c r="BB66" s="808"/>
      <c r="BC66" s="808"/>
      <c r="BD66" s="808"/>
      <c r="BE66" s="800"/>
      <c r="BF66" s="802"/>
      <c r="BG66" s="1051"/>
    </row>
    <row r="67" spans="2:59" ht="15.95" customHeight="1" x14ac:dyDescent="0.25">
      <c r="B67" s="1119"/>
      <c r="C67" s="342"/>
      <c r="D67" s="374"/>
      <c r="E67" s="343"/>
      <c r="F67" s="343"/>
      <c r="G67" s="343"/>
      <c r="H67" s="343"/>
      <c r="I67" s="343"/>
      <c r="J67" s="343"/>
      <c r="K67" s="1008"/>
      <c r="L67" s="1008"/>
      <c r="M67" s="1008"/>
      <c r="N67" s="1069"/>
      <c r="O67" s="1069"/>
      <c r="P67" s="1069"/>
      <c r="Q67" s="1069"/>
      <c r="R67" s="852"/>
      <c r="S67" s="852"/>
      <c r="T67" s="852"/>
      <c r="U67" s="1070"/>
      <c r="V67" s="1070"/>
      <c r="W67" s="1066"/>
      <c r="X67" s="1067"/>
      <c r="Y67" s="1121"/>
      <c r="Z67" s="1105"/>
      <c r="AA67" s="1105"/>
      <c r="AB67" s="1105"/>
      <c r="AC67" s="1087"/>
      <c r="AD67" s="1087"/>
      <c r="AE67" s="824"/>
      <c r="AF67" s="825"/>
      <c r="AG67" s="826"/>
      <c r="AH67" s="1124"/>
      <c r="AI67" s="1125"/>
      <c r="AJ67" s="1108"/>
      <c r="AK67" s="1109"/>
      <c r="AL67" s="312"/>
      <c r="AM67" s="312"/>
      <c r="AN67" s="312"/>
      <c r="AO67" s="313"/>
      <c r="AP67" s="336"/>
      <c r="AQ67" s="313"/>
      <c r="AR67" s="351"/>
      <c r="AS67" s="69"/>
      <c r="AT67" s="69"/>
      <c r="AU67" s="805"/>
      <c r="AV67" s="807"/>
      <c r="AW67" s="803"/>
      <c r="AX67" s="803"/>
      <c r="AY67" s="803"/>
      <c r="AZ67" s="803"/>
      <c r="BA67" s="801"/>
      <c r="BB67" s="797"/>
      <c r="BC67" s="797"/>
      <c r="BD67" s="797"/>
      <c r="BE67" s="801"/>
      <c r="BF67" s="803"/>
      <c r="BG67" s="1052"/>
    </row>
    <row r="68" spans="2:59" ht="15.95" customHeight="1" x14ac:dyDescent="0.25">
      <c r="B68" s="1119"/>
      <c r="C68" s="342"/>
      <c r="D68" s="374"/>
      <c r="E68" s="343"/>
      <c r="F68" s="343"/>
      <c r="G68" s="343"/>
      <c r="H68" s="343"/>
      <c r="I68" s="343"/>
      <c r="J68" s="343"/>
      <c r="K68" s="1008" t="s">
        <v>560</v>
      </c>
      <c r="L68" s="1008"/>
      <c r="M68" s="1008"/>
      <c r="N68" s="1069"/>
      <c r="O68" s="1069"/>
      <c r="P68" s="1069"/>
      <c r="Q68" s="1069"/>
      <c r="R68" s="852"/>
      <c r="S68" s="852"/>
      <c r="T68" s="852"/>
      <c r="U68" s="1070"/>
      <c r="V68" s="1070"/>
      <c r="W68" s="1066" t="str">
        <f>IF(N68="","",INDEX(CMLIGHTBASE[Base Watt 1],MATCH(N68,CMLIGHTBASE[Base Desc 1],0)))</f>
        <v/>
      </c>
      <c r="X68" s="1067"/>
      <c r="Y68" s="1120"/>
      <c r="Z68" s="1103"/>
      <c r="AA68" s="1103"/>
      <c r="AB68" s="1103"/>
      <c r="AC68" s="1086"/>
      <c r="AD68" s="1086"/>
      <c r="AE68" s="842"/>
      <c r="AF68" s="822"/>
      <c r="AG68" s="823"/>
      <c r="AH68" s="1122"/>
      <c r="AI68" s="1123"/>
      <c r="AJ68" s="1106"/>
      <c r="AK68" s="1107"/>
      <c r="AL68" s="312"/>
      <c r="AM68" s="312"/>
      <c r="AN68" s="312"/>
      <c r="AO68" s="313"/>
      <c r="AP68" s="336"/>
      <c r="AQ68" s="313"/>
      <c r="AR68" s="351"/>
      <c r="AS68" s="69"/>
      <c r="AT68" s="69"/>
      <c r="AU68" s="804"/>
      <c r="AV68" s="806"/>
      <c r="AW68" s="802"/>
      <c r="AX68" s="802"/>
      <c r="AY68" s="802"/>
      <c r="AZ68" s="802"/>
      <c r="BA68" s="800"/>
      <c r="BB68" s="808"/>
      <c r="BC68" s="808"/>
      <c r="BD68" s="808"/>
      <c r="BE68" s="800"/>
      <c r="BF68" s="802"/>
      <c r="BG68" s="1051"/>
    </row>
    <row r="69" spans="2:59" ht="15.95" customHeight="1" x14ac:dyDescent="0.25">
      <c r="B69" s="1119"/>
      <c r="C69" s="342"/>
      <c r="D69" s="374"/>
      <c r="E69" s="343"/>
      <c r="F69" s="343"/>
      <c r="G69" s="343"/>
      <c r="H69" s="343"/>
      <c r="I69" s="343"/>
      <c r="J69" s="343"/>
      <c r="K69" s="1008"/>
      <c r="L69" s="1008"/>
      <c r="M69" s="1008"/>
      <c r="N69" s="1069"/>
      <c r="O69" s="1069"/>
      <c r="P69" s="1069"/>
      <c r="Q69" s="1069"/>
      <c r="R69" s="852"/>
      <c r="S69" s="852"/>
      <c r="T69" s="852"/>
      <c r="U69" s="1070"/>
      <c r="V69" s="1070"/>
      <c r="W69" s="1066"/>
      <c r="X69" s="1067"/>
      <c r="Y69" s="1121"/>
      <c r="Z69" s="1105"/>
      <c r="AA69" s="1105"/>
      <c r="AB69" s="1105"/>
      <c r="AC69" s="1087"/>
      <c r="AD69" s="1087"/>
      <c r="AE69" s="824"/>
      <c r="AF69" s="825"/>
      <c r="AG69" s="826"/>
      <c r="AH69" s="1124"/>
      <c r="AI69" s="1125"/>
      <c r="AJ69" s="1108"/>
      <c r="AK69" s="1109"/>
      <c r="AL69" s="312"/>
      <c r="AM69" s="312"/>
      <c r="AN69" s="312"/>
      <c r="AO69" s="313"/>
      <c r="AP69" s="336"/>
      <c r="AQ69" s="313"/>
      <c r="AR69" s="351"/>
      <c r="AS69" s="69"/>
      <c r="AT69" s="69"/>
      <c r="AU69" s="805"/>
      <c r="AV69" s="807"/>
      <c r="AW69" s="803"/>
      <c r="AX69" s="803"/>
      <c r="AY69" s="803"/>
      <c r="AZ69" s="803"/>
      <c r="BA69" s="801"/>
      <c r="BB69" s="797"/>
      <c r="BC69" s="797"/>
      <c r="BD69" s="797"/>
      <c r="BE69" s="801"/>
      <c r="BF69" s="803"/>
      <c r="BG69" s="1052"/>
    </row>
    <row r="70" spans="2:59" ht="15.95" customHeight="1" x14ac:dyDescent="0.25">
      <c r="B70" s="1119"/>
      <c r="C70" s="342"/>
      <c r="D70" s="374"/>
      <c r="E70" s="343"/>
      <c r="F70" s="343"/>
      <c r="G70" s="343"/>
      <c r="H70" s="343"/>
      <c r="I70" s="343"/>
      <c r="J70" s="343"/>
      <c r="K70" s="1008" t="s">
        <v>560</v>
      </c>
      <c r="L70" s="1008"/>
      <c r="M70" s="1008"/>
      <c r="N70" s="1069"/>
      <c r="O70" s="1069"/>
      <c r="P70" s="1069"/>
      <c r="Q70" s="1069"/>
      <c r="R70" s="852"/>
      <c r="S70" s="852"/>
      <c r="T70" s="852"/>
      <c r="U70" s="1070"/>
      <c r="V70" s="1070"/>
      <c r="W70" s="1066" t="str">
        <f>IF(N70="","",INDEX(CMLIGHTBASE[Base Watt 1],MATCH(N70,CMLIGHTBASE[Base Desc 1],0)))</f>
        <v/>
      </c>
      <c r="X70" s="1067"/>
      <c r="Y70" s="1120"/>
      <c r="Z70" s="1103"/>
      <c r="AA70" s="1103"/>
      <c r="AB70" s="1103"/>
      <c r="AC70" s="1086"/>
      <c r="AD70" s="1086"/>
      <c r="AE70" s="842"/>
      <c r="AF70" s="822"/>
      <c r="AG70" s="823"/>
      <c r="AH70" s="1122"/>
      <c r="AI70" s="1123"/>
      <c r="AJ70" s="1106"/>
      <c r="AK70" s="1107"/>
      <c r="AL70" s="312"/>
      <c r="AM70" s="312"/>
      <c r="AN70" s="312"/>
      <c r="AO70" s="313"/>
      <c r="AP70" s="336"/>
      <c r="AQ70" s="313"/>
      <c r="AR70" s="351"/>
      <c r="AS70" s="69"/>
      <c r="AT70" s="69"/>
      <c r="AU70" s="804"/>
      <c r="AV70" s="806"/>
      <c r="AW70" s="802"/>
      <c r="AX70" s="802"/>
      <c r="AY70" s="802"/>
      <c r="AZ70" s="802"/>
      <c r="BA70" s="800"/>
      <c r="BB70" s="808"/>
      <c r="BC70" s="808"/>
      <c r="BD70" s="808"/>
      <c r="BE70" s="800"/>
      <c r="BF70" s="802"/>
      <c r="BG70" s="1051"/>
    </row>
    <row r="71" spans="2:59" ht="15.95" customHeight="1" x14ac:dyDescent="0.25">
      <c r="B71" s="1119"/>
      <c r="C71" s="342"/>
      <c r="D71" s="374"/>
      <c r="E71" s="343"/>
      <c r="F71" s="343"/>
      <c r="G71" s="343"/>
      <c r="H71" s="343"/>
      <c r="I71" s="343"/>
      <c r="J71" s="343"/>
      <c r="K71" s="1008"/>
      <c r="L71" s="1008"/>
      <c r="M71" s="1008"/>
      <c r="N71" s="1069"/>
      <c r="O71" s="1069"/>
      <c r="P71" s="1069"/>
      <c r="Q71" s="1069"/>
      <c r="R71" s="852"/>
      <c r="S71" s="852"/>
      <c r="T71" s="852"/>
      <c r="U71" s="1070"/>
      <c r="V71" s="1070"/>
      <c r="W71" s="1066"/>
      <c r="X71" s="1067"/>
      <c r="Y71" s="1121"/>
      <c r="Z71" s="1105"/>
      <c r="AA71" s="1105"/>
      <c r="AB71" s="1105"/>
      <c r="AC71" s="1087"/>
      <c r="AD71" s="1087"/>
      <c r="AE71" s="824"/>
      <c r="AF71" s="825"/>
      <c r="AG71" s="826"/>
      <c r="AH71" s="1124"/>
      <c r="AI71" s="1125"/>
      <c r="AJ71" s="1108"/>
      <c r="AK71" s="1109"/>
      <c r="AL71" s="312"/>
      <c r="AM71" s="312"/>
      <c r="AN71" s="312"/>
      <c r="AO71" s="313"/>
      <c r="AP71" s="336"/>
      <c r="AQ71" s="313"/>
      <c r="AR71" s="351"/>
      <c r="AS71" s="69"/>
      <c r="AT71" s="69"/>
      <c r="AU71" s="805"/>
      <c r="AV71" s="807"/>
      <c r="AW71" s="803"/>
      <c r="AX71" s="803"/>
      <c r="AY71" s="803"/>
      <c r="AZ71" s="803"/>
      <c r="BA71" s="801"/>
      <c r="BB71" s="797"/>
      <c r="BC71" s="797"/>
      <c r="BD71" s="797"/>
      <c r="BE71" s="801"/>
      <c r="BF71" s="803"/>
      <c r="BG71" s="1052"/>
    </row>
    <row r="72" spans="2:59" ht="15.95" customHeight="1" x14ac:dyDescent="0.25">
      <c r="B72" s="1119"/>
      <c r="C72" s="342"/>
      <c r="D72" s="374"/>
      <c r="E72" s="343"/>
      <c r="F72" s="343"/>
      <c r="G72" s="343"/>
      <c r="H72" s="343"/>
      <c r="I72" s="343"/>
      <c r="J72" s="343"/>
      <c r="K72" s="1008" t="s">
        <v>560</v>
      </c>
      <c r="L72" s="1008"/>
      <c r="M72" s="1008"/>
      <c r="N72" s="1069"/>
      <c r="O72" s="1069"/>
      <c r="P72" s="1069"/>
      <c r="Q72" s="1069"/>
      <c r="R72" s="852"/>
      <c r="S72" s="852"/>
      <c r="T72" s="852"/>
      <c r="U72" s="1070"/>
      <c r="V72" s="1070"/>
      <c r="W72" s="1066" t="str">
        <f>IF(N72="","",INDEX(CMLIGHTBASE[Base Watt 1],MATCH(N72,CMLIGHTBASE[Base Desc 1],0)))</f>
        <v/>
      </c>
      <c r="X72" s="1067"/>
      <c r="Y72" s="1120"/>
      <c r="Z72" s="1103"/>
      <c r="AA72" s="1103"/>
      <c r="AB72" s="1103"/>
      <c r="AC72" s="1086"/>
      <c r="AD72" s="1086"/>
      <c r="AE72" s="842"/>
      <c r="AF72" s="822"/>
      <c r="AG72" s="823"/>
      <c r="AH72" s="1122"/>
      <c r="AI72" s="1123"/>
      <c r="AJ72" s="1106"/>
      <c r="AK72" s="1107"/>
      <c r="AL72" s="312"/>
      <c r="AM72" s="312"/>
      <c r="AN72" s="312"/>
      <c r="AO72" s="313"/>
      <c r="AP72" s="336"/>
      <c r="AQ72" s="313"/>
      <c r="AR72" s="351"/>
      <c r="AS72" s="69"/>
      <c r="AT72" s="69"/>
      <c r="AU72" s="804"/>
      <c r="AV72" s="806"/>
      <c r="AW72" s="802"/>
      <c r="AX72" s="802"/>
      <c r="AY72" s="802"/>
      <c r="AZ72" s="802"/>
      <c r="BA72" s="800"/>
      <c r="BB72" s="808"/>
      <c r="BC72" s="808"/>
      <c r="BD72" s="808"/>
      <c r="BE72" s="800"/>
      <c r="BF72" s="802"/>
      <c r="BG72" s="1051"/>
    </row>
    <row r="73" spans="2:59" ht="15.95" customHeight="1" thickBot="1" x14ac:dyDescent="0.3">
      <c r="B73" s="1119"/>
      <c r="C73" s="342"/>
      <c r="D73" s="374"/>
      <c r="E73" s="343"/>
      <c r="F73" s="343"/>
      <c r="G73" s="343"/>
      <c r="H73" s="343"/>
      <c r="I73" s="343"/>
      <c r="J73" s="343"/>
      <c r="K73" s="1008"/>
      <c r="L73" s="1008"/>
      <c r="M73" s="1008"/>
      <c r="N73" s="1069"/>
      <c r="O73" s="1069"/>
      <c r="P73" s="1069"/>
      <c r="Q73" s="1069"/>
      <c r="R73" s="852"/>
      <c r="S73" s="852"/>
      <c r="T73" s="852"/>
      <c r="U73" s="1070"/>
      <c r="V73" s="1070"/>
      <c r="W73" s="1066"/>
      <c r="X73" s="1067"/>
      <c r="Y73" s="1121"/>
      <c r="Z73" s="1105"/>
      <c r="AA73" s="1105"/>
      <c r="AB73" s="1105"/>
      <c r="AC73" s="1087"/>
      <c r="AD73" s="1087"/>
      <c r="AE73" s="824"/>
      <c r="AF73" s="825"/>
      <c r="AG73" s="826"/>
      <c r="AH73" s="1124"/>
      <c r="AI73" s="1125"/>
      <c r="AJ73" s="1108"/>
      <c r="AK73" s="1109"/>
      <c r="AL73" s="312"/>
      <c r="AM73" s="312"/>
      <c r="AN73" s="312"/>
      <c r="AO73" s="313"/>
      <c r="AP73" s="336"/>
      <c r="AQ73" s="313"/>
      <c r="AR73" s="351"/>
      <c r="AS73" s="69"/>
      <c r="AT73" s="69"/>
      <c r="AU73" s="805"/>
      <c r="AV73" s="807"/>
      <c r="AW73" s="803"/>
      <c r="AX73" s="803"/>
      <c r="AY73" s="803"/>
      <c r="AZ73" s="803"/>
      <c r="BA73" s="801"/>
      <c r="BB73" s="797"/>
      <c r="BC73" s="797"/>
      <c r="BD73" s="797"/>
      <c r="BE73" s="801"/>
      <c r="BF73" s="803"/>
      <c r="BG73" s="1052"/>
    </row>
    <row r="74" spans="2:59" ht="15.95" customHeight="1" x14ac:dyDescent="0.25">
      <c r="B74" s="1119"/>
      <c r="C74" s="375"/>
      <c r="D74" s="374"/>
      <c r="E74" s="343"/>
      <c r="F74" s="343"/>
      <c r="G74" s="343"/>
      <c r="H74" s="343"/>
      <c r="I74" s="343"/>
      <c r="J74" s="343"/>
      <c r="K74" s="344"/>
      <c r="L74" s="344"/>
      <c r="M74" s="314"/>
      <c r="N74" s="314"/>
      <c r="O74" s="346"/>
      <c r="P74" s="346"/>
      <c r="Q74" s="346"/>
      <c r="R74" s="348"/>
      <c r="S74" s="348"/>
      <c r="T74" s="348"/>
      <c r="U74" s="1114"/>
      <c r="V74" s="1115"/>
      <c r="W74" s="1088">
        <f>SUMPRODUCT(U54:V73,W54:X73)</f>
        <v>0</v>
      </c>
      <c r="X74" s="1089"/>
      <c r="Y74" s="314"/>
      <c r="Z74" s="314"/>
      <c r="AA74" s="348"/>
      <c r="AB74" s="348"/>
      <c r="AC74" s="348"/>
      <c r="AD74" s="349"/>
      <c r="AE74" s="349"/>
      <c r="AF74" s="350"/>
      <c r="AG74" s="350"/>
      <c r="AH74" s="350"/>
      <c r="AI74" s="350"/>
      <c r="AJ74" s="1110">
        <f>SUMPRODUCT(AH54:AI73,AJ54:AK73)</f>
        <v>0</v>
      </c>
      <c r="AK74" s="1111"/>
      <c r="AL74" s="312"/>
      <c r="AM74" s="312"/>
      <c r="AN74" s="312"/>
      <c r="AO74" s="313"/>
      <c r="AP74" s="336"/>
      <c r="AQ74" s="375"/>
      <c r="AR74" s="351"/>
      <c r="AS74" s="69"/>
      <c r="AT74" s="69"/>
      <c r="AU74" s="798" t="s">
        <v>191</v>
      </c>
      <c r="AV74" s="798" t="s">
        <v>192</v>
      </c>
      <c r="AW74" s="798" t="s">
        <v>207</v>
      </c>
      <c r="AX74" s="798" t="s">
        <v>193</v>
      </c>
      <c r="AY74" s="798" t="s">
        <v>1361</v>
      </c>
      <c r="AZ74" s="798" t="s">
        <v>1362</v>
      </c>
      <c r="BA74" s="798" t="s">
        <v>1228</v>
      </c>
      <c r="BB74" s="798" t="s">
        <v>125</v>
      </c>
      <c r="BC74" s="798" t="s">
        <v>1363</v>
      </c>
      <c r="BD74" s="798" t="s">
        <v>118</v>
      </c>
      <c r="BE74" s="798" t="s">
        <v>473</v>
      </c>
      <c r="BF74" s="798" t="s">
        <v>1352</v>
      </c>
      <c r="BG74" s="1053" t="s">
        <v>2251</v>
      </c>
    </row>
    <row r="75" spans="2:59" ht="15.95" customHeight="1" thickBot="1" x14ac:dyDescent="0.3">
      <c r="B75" s="1119"/>
      <c r="C75" s="375"/>
      <c r="D75" s="376"/>
      <c r="E75" s="377"/>
      <c r="F75" s="377"/>
      <c r="G75" s="377"/>
      <c r="H75" s="377"/>
      <c r="I75" s="377"/>
      <c r="J75" s="377"/>
      <c r="K75" s="378"/>
      <c r="L75" s="378"/>
      <c r="M75" s="337"/>
      <c r="N75" s="337"/>
      <c r="O75" s="379"/>
      <c r="P75" s="380"/>
      <c r="Q75" s="380"/>
      <c r="R75" s="381"/>
      <c r="S75" s="382"/>
      <c r="T75" s="382"/>
      <c r="U75" s="1116"/>
      <c r="V75" s="1116"/>
      <c r="W75" s="1117"/>
      <c r="X75" s="1118"/>
      <c r="Y75" s="337"/>
      <c r="Z75" s="337"/>
      <c r="AA75" s="381"/>
      <c r="AB75" s="382"/>
      <c r="AC75" s="382"/>
      <c r="AD75" s="383"/>
      <c r="AE75" s="383"/>
      <c r="AF75" s="384"/>
      <c r="AG75" s="384"/>
      <c r="AH75" s="384"/>
      <c r="AI75" s="384"/>
      <c r="AJ75" s="1112"/>
      <c r="AK75" s="1113"/>
      <c r="AL75" s="338"/>
      <c r="AM75" s="338"/>
      <c r="AN75" s="338"/>
      <c r="AO75" s="339"/>
      <c r="AP75" s="340"/>
      <c r="AQ75" s="375"/>
      <c r="AR75" s="351"/>
      <c r="AS75" s="69"/>
      <c r="AT75" s="69"/>
      <c r="AU75" s="799"/>
      <c r="AV75" s="799"/>
      <c r="AW75" s="799"/>
      <c r="AX75" s="799"/>
      <c r="AY75" s="799" t="s">
        <v>1360</v>
      </c>
      <c r="AZ75" s="799"/>
      <c r="BA75" s="799"/>
      <c r="BB75" s="799"/>
      <c r="BC75" s="799"/>
      <c r="BD75" s="799"/>
      <c r="BE75" s="799"/>
      <c r="BF75" s="799"/>
      <c r="BG75" s="799"/>
    </row>
    <row r="76" spans="2:59" ht="15.95" customHeight="1" thickTop="1" x14ac:dyDescent="0.25">
      <c r="B76" s="1119"/>
      <c r="C76" s="351"/>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row>
    <row r="77" spans="2:59" ht="15.95" hidden="1" customHeight="1" x14ac:dyDescent="0.25">
      <c r="B77" s="873"/>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row>
    <row r="78" spans="2:59" ht="15.95" hidden="1" customHeight="1" x14ac:dyDescent="0.25">
      <c r="B78" s="873">
        <v>34</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59"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59" ht="15.95" hidden="1" customHeight="1" x14ac:dyDescent="0.25">
      <c r="B80" s="873">
        <v>35</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36</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37</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38</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39</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40</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41</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42</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43</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44</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45</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46</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47</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48</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49</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50</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51</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52</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53</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54</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55</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56</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57</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58</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59</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60</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61</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62</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63</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64</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65</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66</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67</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68</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69</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70</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71</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72</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73</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74</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75</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76</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77</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78</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79</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80</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81</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82</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83</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84</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85</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86</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304"/>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3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304"/>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3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304"/>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3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304"/>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3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87</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73">
        <v>88</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73">
        <v>89</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73">
        <v>90</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row>
    <row r="201" spans="2:48"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fYeZe4uKE5PLegt8zVpzH1La9PU8BZMAo+uW32WbnoWvb5cSwc1+KM8g/Thh7axuZ/bZkQdhqb6X5L8YutE5w==" saltValue="4b/3rOKHanq4c4+dPnQnWA==" spinCount="100000" sheet="1" objects="1" scenarios="1" selectLockedCells="1"/>
  <mergeCells count="803">
    <mergeCell ref="AH6:AI6"/>
    <mergeCell ref="AJ5:AP5"/>
    <mergeCell ref="AJ6:AP7"/>
    <mergeCell ref="R50:AC51"/>
    <mergeCell ref="D59:I60"/>
    <mergeCell ref="Q1:R1"/>
    <mergeCell ref="U1:V1"/>
    <mergeCell ref="Y1:Z1"/>
    <mergeCell ref="AH1:AK1"/>
    <mergeCell ref="AL1:AP1"/>
    <mergeCell ref="AH58:AI59"/>
    <mergeCell ref="AJ58:AK59"/>
    <mergeCell ref="K37:M38"/>
    <mergeCell ref="W37:X38"/>
    <mergeCell ref="Y45:AB46"/>
    <mergeCell ref="AC45:AD46"/>
    <mergeCell ref="AJ47:AK48"/>
    <mergeCell ref="AO18:AQ19"/>
    <mergeCell ref="O18:Q19"/>
    <mergeCell ref="R18:T19"/>
    <mergeCell ref="U18:V19"/>
    <mergeCell ref="Y18:Z19"/>
    <mergeCell ref="Y16:Z17"/>
    <mergeCell ref="AD18:AE19"/>
    <mergeCell ref="AQ1:AR1"/>
    <mergeCell ref="AH2:AK3"/>
    <mergeCell ref="AL2:AP3"/>
    <mergeCell ref="AQ2:AR3"/>
    <mergeCell ref="P9:AE10"/>
    <mergeCell ref="AC33:AD34"/>
    <mergeCell ref="AM50:AP51"/>
    <mergeCell ref="AH54:AI55"/>
    <mergeCell ref="AJ54:AK55"/>
    <mergeCell ref="AM54:AN55"/>
    <mergeCell ref="AO54:AP55"/>
    <mergeCell ref="R54:T55"/>
    <mergeCell ref="U54:V55"/>
    <mergeCell ref="W54:X55"/>
    <mergeCell ref="AE31:AG32"/>
    <mergeCell ref="AH31:AI32"/>
    <mergeCell ref="AJ31:AK32"/>
    <mergeCell ref="Y35:AB36"/>
    <mergeCell ref="AC35:AD36"/>
    <mergeCell ref="AJ37:AK38"/>
    <mergeCell ref="W39:X40"/>
    <mergeCell ref="N37:Q38"/>
    <mergeCell ref="R37:T38"/>
    <mergeCell ref="U37:V38"/>
    <mergeCell ref="B18:B19"/>
    <mergeCell ref="BA16:BA17"/>
    <mergeCell ref="BB16:BB17"/>
    <mergeCell ref="BC16:BC17"/>
    <mergeCell ref="BD16:BD17"/>
    <mergeCell ref="BE16:BE17"/>
    <mergeCell ref="BF16:BF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A18:BA19"/>
    <mergeCell ref="BB18:BB19"/>
    <mergeCell ref="BC18:BC19"/>
    <mergeCell ref="BD18:BD19"/>
    <mergeCell ref="BE18:BE19"/>
    <mergeCell ref="BF18:BF19"/>
    <mergeCell ref="AU18:AU19"/>
    <mergeCell ref="AV18:AV19"/>
    <mergeCell ref="AW18:AW19"/>
    <mergeCell ref="AX18:AX19"/>
    <mergeCell ref="AY18:AY19"/>
    <mergeCell ref="AZ18:AZ19"/>
    <mergeCell ref="B22:B23"/>
    <mergeCell ref="BA20:BA21"/>
    <mergeCell ref="BB20:BB21"/>
    <mergeCell ref="BC20:BC21"/>
    <mergeCell ref="BD20:BD21"/>
    <mergeCell ref="BE20:BE21"/>
    <mergeCell ref="BF20:BF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O20:Q21"/>
    <mergeCell ref="R20:T21"/>
    <mergeCell ref="U20:V21"/>
    <mergeCell ref="W20:X21"/>
    <mergeCell ref="B20:B21"/>
    <mergeCell ref="BF24:BF25"/>
    <mergeCell ref="AU24:AU25"/>
    <mergeCell ref="AV24:AV25"/>
    <mergeCell ref="AW24:AW25"/>
    <mergeCell ref="AX24:AX25"/>
    <mergeCell ref="AY24:AY25"/>
    <mergeCell ref="AZ24:AZ25"/>
    <mergeCell ref="BA22:BA23"/>
    <mergeCell ref="BB22:BB23"/>
    <mergeCell ref="BC22:BC23"/>
    <mergeCell ref="BD22:BD23"/>
    <mergeCell ref="BE22:BE23"/>
    <mergeCell ref="BF22:BF23"/>
    <mergeCell ref="AU22:AU23"/>
    <mergeCell ref="AV22:AV23"/>
    <mergeCell ref="AW22:AW23"/>
    <mergeCell ref="AX22:AX23"/>
    <mergeCell ref="AY22:AY23"/>
    <mergeCell ref="AZ22:AZ23"/>
    <mergeCell ref="B28:B29"/>
    <mergeCell ref="BA26:BA27"/>
    <mergeCell ref="BB26:BB27"/>
    <mergeCell ref="BC26:BC27"/>
    <mergeCell ref="AM25:AN26"/>
    <mergeCell ref="AO25:AP26"/>
    <mergeCell ref="B26:B27"/>
    <mergeCell ref="B24:B25"/>
    <mergeCell ref="AC25:AD26"/>
    <mergeCell ref="Y25:AB26"/>
    <mergeCell ref="AE27:AG28"/>
    <mergeCell ref="W27:X28"/>
    <mergeCell ref="K25:M26"/>
    <mergeCell ref="AJ27:AK28"/>
    <mergeCell ref="AM27:AN28"/>
    <mergeCell ref="AO27:AP28"/>
    <mergeCell ref="H25:I26"/>
    <mergeCell ref="H27:I28"/>
    <mergeCell ref="K29:M30"/>
    <mergeCell ref="N29:Q30"/>
    <mergeCell ref="R29:T30"/>
    <mergeCell ref="U29:V30"/>
    <mergeCell ref="W29:X30"/>
    <mergeCell ref="K27:M28"/>
    <mergeCell ref="BF26:BF27"/>
    <mergeCell ref="BF30:BF31"/>
    <mergeCell ref="AU26:AU27"/>
    <mergeCell ref="AV26:AV27"/>
    <mergeCell ref="AW26:AW27"/>
    <mergeCell ref="AX26:AX27"/>
    <mergeCell ref="AY26:AY27"/>
    <mergeCell ref="AZ26:AZ27"/>
    <mergeCell ref="BF28:BF29"/>
    <mergeCell ref="AU28:AU29"/>
    <mergeCell ref="AV28:AV29"/>
    <mergeCell ref="AW28:AW29"/>
    <mergeCell ref="AX28:AX29"/>
    <mergeCell ref="AY28:AY29"/>
    <mergeCell ref="AZ28:AZ29"/>
    <mergeCell ref="BD30:BD31"/>
    <mergeCell ref="BE30:BE31"/>
    <mergeCell ref="AU30:AU31"/>
    <mergeCell ref="AV30:AV31"/>
    <mergeCell ref="AW30:AW31"/>
    <mergeCell ref="AX30:AX31"/>
    <mergeCell ref="AY30:AY31"/>
    <mergeCell ref="BD28:BD29"/>
    <mergeCell ref="BE28:BE29"/>
    <mergeCell ref="B32:B33"/>
    <mergeCell ref="BA30:BA31"/>
    <mergeCell ref="BB30:BB31"/>
    <mergeCell ref="BC30:BC31"/>
    <mergeCell ref="B30:B31"/>
    <mergeCell ref="Y31:AB32"/>
    <mergeCell ref="D32:I33"/>
    <mergeCell ref="BA32:BA33"/>
    <mergeCell ref="BB32:BB33"/>
    <mergeCell ref="BC32:BC33"/>
    <mergeCell ref="AE33:AG34"/>
    <mergeCell ref="AH33:AI34"/>
    <mergeCell ref="AJ33:AK34"/>
    <mergeCell ref="B34:B35"/>
    <mergeCell ref="AZ30:AZ31"/>
    <mergeCell ref="AE29:AG30"/>
    <mergeCell ref="AH29:AI30"/>
    <mergeCell ref="AJ29:AK30"/>
    <mergeCell ref="BA28:BA29"/>
    <mergeCell ref="BB28:BB29"/>
    <mergeCell ref="BC28:BC29"/>
    <mergeCell ref="U27:V28"/>
    <mergeCell ref="U33:V34"/>
    <mergeCell ref="W33:X34"/>
    <mergeCell ref="BF34:BF35"/>
    <mergeCell ref="AU34:AU35"/>
    <mergeCell ref="BD38:BD39"/>
    <mergeCell ref="BF32:BF33"/>
    <mergeCell ref="AU32:AU33"/>
    <mergeCell ref="AV32:AV33"/>
    <mergeCell ref="AW32:AW33"/>
    <mergeCell ref="AX32:AX33"/>
    <mergeCell ref="AY32:AY33"/>
    <mergeCell ref="AZ32:AZ33"/>
    <mergeCell ref="AV34:AV35"/>
    <mergeCell ref="AW34:AW35"/>
    <mergeCell ref="AX34:AX35"/>
    <mergeCell ref="AY34:AY35"/>
    <mergeCell ref="AZ34:AZ35"/>
    <mergeCell ref="BD32:BD33"/>
    <mergeCell ref="BE32:BE33"/>
    <mergeCell ref="BA38:BA39"/>
    <mergeCell ref="BB38:BB39"/>
    <mergeCell ref="BC38:BC39"/>
    <mergeCell ref="BE38:BE39"/>
    <mergeCell ref="BF38:BF39"/>
    <mergeCell ref="BE36:BE37"/>
    <mergeCell ref="BF36:BF37"/>
    <mergeCell ref="B36:B37"/>
    <mergeCell ref="AU38:AU39"/>
    <mergeCell ref="AV38:AV39"/>
    <mergeCell ref="AW38:AW39"/>
    <mergeCell ref="AX38:AX39"/>
    <mergeCell ref="AY38:AY39"/>
    <mergeCell ref="AZ38:AZ39"/>
    <mergeCell ref="AE37:AG38"/>
    <mergeCell ref="AH37:AI38"/>
    <mergeCell ref="U39:V40"/>
    <mergeCell ref="B40:B41"/>
    <mergeCell ref="K39:M40"/>
    <mergeCell ref="N39:Q40"/>
    <mergeCell ref="R39:T40"/>
    <mergeCell ref="AU36:AU37"/>
    <mergeCell ref="AV36:AV37"/>
    <mergeCell ref="Y37:AB38"/>
    <mergeCell ref="AC37:AD38"/>
    <mergeCell ref="AW36:AW37"/>
    <mergeCell ref="AX36:AX37"/>
    <mergeCell ref="AY36:AY37"/>
    <mergeCell ref="AZ36:AZ37"/>
    <mergeCell ref="AE35:AG36"/>
    <mergeCell ref="AH35:AI36"/>
    <mergeCell ref="BA34:BA35"/>
    <mergeCell ref="BB34:BB35"/>
    <mergeCell ref="BC34:BC35"/>
    <mergeCell ref="BD34:BD35"/>
    <mergeCell ref="BE34:BE35"/>
    <mergeCell ref="BA36:BA37"/>
    <mergeCell ref="BB36:BB37"/>
    <mergeCell ref="BC36:BC37"/>
    <mergeCell ref="BD36:BD37"/>
    <mergeCell ref="BF44:BF45"/>
    <mergeCell ref="AU44:AU45"/>
    <mergeCell ref="AV44:AV45"/>
    <mergeCell ref="AW44:AW45"/>
    <mergeCell ref="AX44:AX45"/>
    <mergeCell ref="AY44:AY45"/>
    <mergeCell ref="AZ44:AZ45"/>
    <mergeCell ref="AE43:AG44"/>
    <mergeCell ref="AH43:AI44"/>
    <mergeCell ref="AJ43:AK44"/>
    <mergeCell ref="BA42:BA43"/>
    <mergeCell ref="BB42:BB43"/>
    <mergeCell ref="BC42:BC43"/>
    <mergeCell ref="BD42:BD43"/>
    <mergeCell ref="BE42:BE43"/>
    <mergeCell ref="BF42:BF43"/>
    <mergeCell ref="AU42:AU43"/>
    <mergeCell ref="AV42:AV43"/>
    <mergeCell ref="AH41:AI42"/>
    <mergeCell ref="BD40:BD41"/>
    <mergeCell ref="BE40:BE41"/>
    <mergeCell ref="BF40:BF41"/>
    <mergeCell ref="BB44:BB45"/>
    <mergeCell ref="BC44:BC45"/>
    <mergeCell ref="BD44:BD45"/>
    <mergeCell ref="BE44:BE45"/>
    <mergeCell ref="Y43:AB44"/>
    <mergeCell ref="AC43:AD44"/>
    <mergeCell ref="B44:B45"/>
    <mergeCell ref="B42:B43"/>
    <mergeCell ref="U41:V42"/>
    <mergeCell ref="W41:X42"/>
    <mergeCell ref="AE45:AG46"/>
    <mergeCell ref="Y41:AB42"/>
    <mergeCell ref="AC41:AD42"/>
    <mergeCell ref="BB40:BB41"/>
    <mergeCell ref="BC40:BC41"/>
    <mergeCell ref="Y39:AB40"/>
    <mergeCell ref="AC39:AD40"/>
    <mergeCell ref="BA40:BA41"/>
    <mergeCell ref="AJ41:AK42"/>
    <mergeCell ref="AE39:AG40"/>
    <mergeCell ref="AH39:AI40"/>
    <mergeCell ref="AE41:AG42"/>
    <mergeCell ref="BA44:BA45"/>
    <mergeCell ref="B38:B39"/>
    <mergeCell ref="BD46:BD47"/>
    <mergeCell ref="BE46:BE47"/>
    <mergeCell ref="AU40:AU41"/>
    <mergeCell ref="AV40:AV41"/>
    <mergeCell ref="AW42:AW43"/>
    <mergeCell ref="AX42:AX43"/>
    <mergeCell ref="AY42:AY43"/>
    <mergeCell ref="AZ42:AZ43"/>
    <mergeCell ref="AJ39:AK40"/>
    <mergeCell ref="AZ40:AZ41"/>
    <mergeCell ref="AW40:AW41"/>
    <mergeCell ref="AX40:AX41"/>
    <mergeCell ref="AY40:AY41"/>
    <mergeCell ref="B50:B51"/>
    <mergeCell ref="BA48:BA49"/>
    <mergeCell ref="BB48:BB49"/>
    <mergeCell ref="BC48:BC49"/>
    <mergeCell ref="U47:V48"/>
    <mergeCell ref="B48:B49"/>
    <mergeCell ref="BA46:BA47"/>
    <mergeCell ref="BB46:BB47"/>
    <mergeCell ref="BC46:BC47"/>
    <mergeCell ref="AY48:AY49"/>
    <mergeCell ref="B46:B47"/>
    <mergeCell ref="AX46:AX47"/>
    <mergeCell ref="AY46:AY47"/>
    <mergeCell ref="AZ46:AZ47"/>
    <mergeCell ref="AZ48:AZ49"/>
    <mergeCell ref="AH45:AI46"/>
    <mergeCell ref="AJ45:AK46"/>
    <mergeCell ref="AV46:AV47"/>
    <mergeCell ref="AW46:AW47"/>
    <mergeCell ref="BF46:BF47"/>
    <mergeCell ref="AU46:AU47"/>
    <mergeCell ref="BA50:BA51"/>
    <mergeCell ref="BB50:BB51"/>
    <mergeCell ref="BC50:BC51"/>
    <mergeCell ref="BD50:BD51"/>
    <mergeCell ref="BE50:BE51"/>
    <mergeCell ref="BF50:BF51"/>
    <mergeCell ref="AU50:AU51"/>
    <mergeCell ref="AV50:AV51"/>
    <mergeCell ref="AW50:AW51"/>
    <mergeCell ref="AX50:AX51"/>
    <mergeCell ref="AY50:AY51"/>
    <mergeCell ref="AZ50:AZ51"/>
    <mergeCell ref="BD48:BD49"/>
    <mergeCell ref="BE48:BE49"/>
    <mergeCell ref="BF48:BF49"/>
    <mergeCell ref="AU48:AU49"/>
    <mergeCell ref="AV48:AV49"/>
    <mergeCell ref="AW48:AW49"/>
    <mergeCell ref="AX48:AX49"/>
    <mergeCell ref="BB52:BB53"/>
    <mergeCell ref="BC52:BC53"/>
    <mergeCell ref="BD52:BD53"/>
    <mergeCell ref="BE52:BE53"/>
    <mergeCell ref="BF52:BF53"/>
    <mergeCell ref="AU52:AU53"/>
    <mergeCell ref="AV52:AV53"/>
    <mergeCell ref="AW52:AW53"/>
    <mergeCell ref="AX52:AX53"/>
    <mergeCell ref="AY52:AY53"/>
    <mergeCell ref="AZ52:AZ53"/>
    <mergeCell ref="B54:B55"/>
    <mergeCell ref="BA52:BA53"/>
    <mergeCell ref="AH52:AI53"/>
    <mergeCell ref="AJ52:AK53"/>
    <mergeCell ref="AM52:AN53"/>
    <mergeCell ref="AO52:AP53"/>
    <mergeCell ref="R52:T53"/>
    <mergeCell ref="U52:V53"/>
    <mergeCell ref="W52:X53"/>
    <mergeCell ref="B52:B53"/>
    <mergeCell ref="BA54:BA55"/>
    <mergeCell ref="D52:G53"/>
    <mergeCell ref="H52:I53"/>
    <mergeCell ref="K52:M53"/>
    <mergeCell ref="N52:Q53"/>
    <mergeCell ref="AE52:AG53"/>
    <mergeCell ref="Y52:AB53"/>
    <mergeCell ref="AC52:AD53"/>
    <mergeCell ref="D54:G55"/>
    <mergeCell ref="H54:I55"/>
    <mergeCell ref="K54:M55"/>
    <mergeCell ref="N54:Q55"/>
    <mergeCell ref="AE54:AG55"/>
    <mergeCell ref="Y54:AB55"/>
    <mergeCell ref="BB54:BB55"/>
    <mergeCell ref="BC54:BC55"/>
    <mergeCell ref="BD54:BD55"/>
    <mergeCell ref="BE54:BE55"/>
    <mergeCell ref="BF54:BF55"/>
    <mergeCell ref="AU54:AU55"/>
    <mergeCell ref="AV54:AV55"/>
    <mergeCell ref="AW54:AW55"/>
    <mergeCell ref="AX54:AX55"/>
    <mergeCell ref="AY54:AY55"/>
    <mergeCell ref="AZ54:AZ55"/>
    <mergeCell ref="BB56:BB57"/>
    <mergeCell ref="BC56:BC57"/>
    <mergeCell ref="BD56:BD57"/>
    <mergeCell ref="BE56:BE57"/>
    <mergeCell ref="BF56:BF57"/>
    <mergeCell ref="AU56:AU57"/>
    <mergeCell ref="AV56:AV57"/>
    <mergeCell ref="AW56:AW57"/>
    <mergeCell ref="AX56:AX57"/>
    <mergeCell ref="AY56:AY57"/>
    <mergeCell ref="AZ56:AZ57"/>
    <mergeCell ref="B58:B59"/>
    <mergeCell ref="BA56:BA57"/>
    <mergeCell ref="AH56:AI57"/>
    <mergeCell ref="AJ56:AK57"/>
    <mergeCell ref="AC56:AD57"/>
    <mergeCell ref="R56:T57"/>
    <mergeCell ref="U56:V57"/>
    <mergeCell ref="W56:X57"/>
    <mergeCell ref="Y56:AB57"/>
    <mergeCell ref="B56:B57"/>
    <mergeCell ref="BA58:BA59"/>
    <mergeCell ref="K56:M57"/>
    <mergeCell ref="N56:Q57"/>
    <mergeCell ref="AE56:AG57"/>
    <mergeCell ref="D57:I58"/>
    <mergeCell ref="K58:M59"/>
    <mergeCell ref="N58:Q59"/>
    <mergeCell ref="AE58:AG59"/>
    <mergeCell ref="AC58:AD59"/>
    <mergeCell ref="R58:T59"/>
    <mergeCell ref="U58:V59"/>
    <mergeCell ref="W58:X59"/>
    <mergeCell ref="Y58:AB59"/>
    <mergeCell ref="BB58:BB59"/>
    <mergeCell ref="BC58:BC59"/>
    <mergeCell ref="BD58:BD59"/>
    <mergeCell ref="BE58:BE59"/>
    <mergeCell ref="BF58:BF59"/>
    <mergeCell ref="AU58:AU59"/>
    <mergeCell ref="AV58:AV59"/>
    <mergeCell ref="AW58:AW59"/>
    <mergeCell ref="AX58:AX59"/>
    <mergeCell ref="AY58:AY59"/>
    <mergeCell ref="AZ58:AZ59"/>
    <mergeCell ref="BB60:BB61"/>
    <mergeCell ref="BC60:BC61"/>
    <mergeCell ref="BD60:BD61"/>
    <mergeCell ref="BE60:BE61"/>
    <mergeCell ref="BF60:BF61"/>
    <mergeCell ref="AU60:AU61"/>
    <mergeCell ref="AV60:AV61"/>
    <mergeCell ref="AW60:AW61"/>
    <mergeCell ref="AX60:AX61"/>
    <mergeCell ref="AY60:AY61"/>
    <mergeCell ref="AZ60:AZ61"/>
    <mergeCell ref="AH62:AI63"/>
    <mergeCell ref="AJ62:AK63"/>
    <mergeCell ref="AC62:AD63"/>
    <mergeCell ref="R62:T63"/>
    <mergeCell ref="U62:V63"/>
    <mergeCell ref="W62:X63"/>
    <mergeCell ref="Y62:AB63"/>
    <mergeCell ref="B62:B63"/>
    <mergeCell ref="BA60:BA61"/>
    <mergeCell ref="AH60:AI61"/>
    <mergeCell ref="AJ60:AK61"/>
    <mergeCell ref="R60:T61"/>
    <mergeCell ref="U60:V61"/>
    <mergeCell ref="W60:X61"/>
    <mergeCell ref="B60:B61"/>
    <mergeCell ref="BA62:BA63"/>
    <mergeCell ref="K62:M63"/>
    <mergeCell ref="N62:Q63"/>
    <mergeCell ref="AE62:AG63"/>
    <mergeCell ref="K60:M61"/>
    <mergeCell ref="N60:Q61"/>
    <mergeCell ref="AE60:AG61"/>
    <mergeCell ref="Y60:AB61"/>
    <mergeCell ref="AC60:AD61"/>
    <mergeCell ref="BB62:BB63"/>
    <mergeCell ref="BC62:BC63"/>
    <mergeCell ref="BD62:BD63"/>
    <mergeCell ref="BE62:BE63"/>
    <mergeCell ref="BF62:BF63"/>
    <mergeCell ref="AU62:AU63"/>
    <mergeCell ref="AV62:AV63"/>
    <mergeCell ref="AW62:AW63"/>
    <mergeCell ref="AX62:AX63"/>
    <mergeCell ref="AY62:AY63"/>
    <mergeCell ref="AZ62:AZ63"/>
    <mergeCell ref="BB64:BB65"/>
    <mergeCell ref="BC64:BC65"/>
    <mergeCell ref="BD64:BD65"/>
    <mergeCell ref="BE64:BE65"/>
    <mergeCell ref="BF64:BF65"/>
    <mergeCell ref="AU64:AU65"/>
    <mergeCell ref="AV64:AV65"/>
    <mergeCell ref="AW64:AW65"/>
    <mergeCell ref="AX64:AX65"/>
    <mergeCell ref="AY64:AY65"/>
    <mergeCell ref="AZ64:AZ65"/>
    <mergeCell ref="AH66:AI67"/>
    <mergeCell ref="AJ66:AK67"/>
    <mergeCell ref="AC66:AD67"/>
    <mergeCell ref="R66:T67"/>
    <mergeCell ref="U66:V67"/>
    <mergeCell ref="W66:X67"/>
    <mergeCell ref="Y66:AB67"/>
    <mergeCell ref="B66:B67"/>
    <mergeCell ref="BA64:BA65"/>
    <mergeCell ref="AH64:AI65"/>
    <mergeCell ref="AJ64:AK65"/>
    <mergeCell ref="R64:T65"/>
    <mergeCell ref="U64:V65"/>
    <mergeCell ref="W64:X65"/>
    <mergeCell ref="B64:B65"/>
    <mergeCell ref="BA66:BA67"/>
    <mergeCell ref="AC64:AD65"/>
    <mergeCell ref="K64:M65"/>
    <mergeCell ref="N64:Q65"/>
    <mergeCell ref="AE64:AG65"/>
    <mergeCell ref="K66:M67"/>
    <mergeCell ref="N66:Q67"/>
    <mergeCell ref="AE66:AG67"/>
    <mergeCell ref="Y64:AB65"/>
    <mergeCell ref="BB66:BB67"/>
    <mergeCell ref="BC66:BC67"/>
    <mergeCell ref="BD66:BD67"/>
    <mergeCell ref="BE66:BE67"/>
    <mergeCell ref="BF66:BF67"/>
    <mergeCell ref="AU66:AU67"/>
    <mergeCell ref="AV66:AV67"/>
    <mergeCell ref="AW66:AW67"/>
    <mergeCell ref="AX66:AX67"/>
    <mergeCell ref="AY66:AY67"/>
    <mergeCell ref="AZ66:AZ67"/>
    <mergeCell ref="BB68:BB69"/>
    <mergeCell ref="BC68:BC69"/>
    <mergeCell ref="BD68:BD69"/>
    <mergeCell ref="BE68:BE69"/>
    <mergeCell ref="BF68:BF69"/>
    <mergeCell ref="AU68:AU69"/>
    <mergeCell ref="AV68:AV69"/>
    <mergeCell ref="AW68:AW69"/>
    <mergeCell ref="AX68:AX69"/>
    <mergeCell ref="AY68:AY69"/>
    <mergeCell ref="AZ68:AZ69"/>
    <mergeCell ref="AH70:AI71"/>
    <mergeCell ref="AJ70:AK71"/>
    <mergeCell ref="AC70:AD71"/>
    <mergeCell ref="R70:T71"/>
    <mergeCell ref="U70:V71"/>
    <mergeCell ref="W70:X71"/>
    <mergeCell ref="Y70:AB71"/>
    <mergeCell ref="B70:B71"/>
    <mergeCell ref="BA68:BA69"/>
    <mergeCell ref="AH68:AI69"/>
    <mergeCell ref="AJ68:AK69"/>
    <mergeCell ref="R68:T69"/>
    <mergeCell ref="U68:V69"/>
    <mergeCell ref="W68:X69"/>
    <mergeCell ref="B68:B69"/>
    <mergeCell ref="BA70:BA71"/>
    <mergeCell ref="K68:M69"/>
    <mergeCell ref="N68:Q69"/>
    <mergeCell ref="AE68:AG69"/>
    <mergeCell ref="K70:M71"/>
    <mergeCell ref="N70:Q71"/>
    <mergeCell ref="AE70:AG71"/>
    <mergeCell ref="Y68:AB69"/>
    <mergeCell ref="AC68:AD69"/>
    <mergeCell ref="BB70:BB71"/>
    <mergeCell ref="BC70:BC71"/>
    <mergeCell ref="BD70:BD71"/>
    <mergeCell ref="BE70:BE71"/>
    <mergeCell ref="BF70:BF71"/>
    <mergeCell ref="AU70:AU71"/>
    <mergeCell ref="AV70:AV71"/>
    <mergeCell ref="AW70:AW71"/>
    <mergeCell ref="AX70:AX71"/>
    <mergeCell ref="AY70:AY71"/>
    <mergeCell ref="AZ70:AZ71"/>
    <mergeCell ref="BF72:BF73"/>
    <mergeCell ref="AU72:AU73"/>
    <mergeCell ref="AV72:AV73"/>
    <mergeCell ref="AW72:AW73"/>
    <mergeCell ref="AX72:AX73"/>
    <mergeCell ref="AY72:AY73"/>
    <mergeCell ref="AZ72:AZ73"/>
    <mergeCell ref="AH72:AI73"/>
    <mergeCell ref="AJ72:AK73"/>
    <mergeCell ref="BC72:BC73"/>
    <mergeCell ref="BD72:BD73"/>
    <mergeCell ref="BE72:BE73"/>
    <mergeCell ref="BA72:BA73"/>
    <mergeCell ref="BB72:BB73"/>
    <mergeCell ref="AC72:AD73"/>
    <mergeCell ref="R72:T73"/>
    <mergeCell ref="U72:V73"/>
    <mergeCell ref="W72:X73"/>
    <mergeCell ref="Y72:AB73"/>
    <mergeCell ref="B72:B73"/>
    <mergeCell ref="K72:M73"/>
    <mergeCell ref="N72:Q73"/>
    <mergeCell ref="AE72:AG73"/>
    <mergeCell ref="B90:B91"/>
    <mergeCell ref="AJ74:AK75"/>
    <mergeCell ref="U74:V75"/>
    <mergeCell ref="W74:X75"/>
    <mergeCell ref="B74:B75"/>
    <mergeCell ref="B78:B79"/>
    <mergeCell ref="B80:B81"/>
    <mergeCell ref="B82:B83"/>
    <mergeCell ref="B84:B85"/>
    <mergeCell ref="B86:B87"/>
    <mergeCell ref="B76:B77"/>
    <mergeCell ref="BF74:BF75"/>
    <mergeCell ref="AU74:AU75"/>
    <mergeCell ref="AV74:AV75"/>
    <mergeCell ref="AW74:AW75"/>
    <mergeCell ref="AX74:AX75"/>
    <mergeCell ref="AY74:AY75"/>
    <mergeCell ref="AZ74:AZ75"/>
    <mergeCell ref="BC74:BC75"/>
    <mergeCell ref="BD74:BD75"/>
    <mergeCell ref="BE74:BE75"/>
    <mergeCell ref="BA74:BA75"/>
    <mergeCell ref="BB74:BB75"/>
    <mergeCell ref="AV200:AV201"/>
    <mergeCell ref="B192:B193"/>
    <mergeCell ref="B194:B195"/>
    <mergeCell ref="B196:B197"/>
    <mergeCell ref="B198:B199"/>
    <mergeCell ref="M200:AG201"/>
    <mergeCell ref="AU200:AU201"/>
    <mergeCell ref="B172:B173"/>
    <mergeCell ref="B174:B175"/>
    <mergeCell ref="B176:B177"/>
    <mergeCell ref="B178:B179"/>
    <mergeCell ref="B180:B181"/>
    <mergeCell ref="B182:B183"/>
    <mergeCell ref="B168:B169"/>
    <mergeCell ref="B170:B171"/>
    <mergeCell ref="B148:B149"/>
    <mergeCell ref="K31:M32"/>
    <mergeCell ref="N31:Q32"/>
    <mergeCell ref="B150:B151"/>
    <mergeCell ref="B152:B153"/>
    <mergeCell ref="B154:B155"/>
    <mergeCell ref="B156:B157"/>
    <mergeCell ref="B158:B159"/>
    <mergeCell ref="B136:B137"/>
    <mergeCell ref="B138:B139"/>
    <mergeCell ref="B140:B141"/>
    <mergeCell ref="B142:B143"/>
    <mergeCell ref="B144:B145"/>
    <mergeCell ref="B146:B147"/>
    <mergeCell ref="B124:B125"/>
    <mergeCell ref="B126:B127"/>
    <mergeCell ref="B128:B129"/>
    <mergeCell ref="B130:B131"/>
    <mergeCell ref="B132:B133"/>
    <mergeCell ref="B134:B135"/>
    <mergeCell ref="B112:B113"/>
    <mergeCell ref="B114:B115"/>
    <mergeCell ref="R33:T34"/>
    <mergeCell ref="AC31:AD32"/>
    <mergeCell ref="Y33:AB34"/>
    <mergeCell ref="AJ35:AK36"/>
    <mergeCell ref="R25:T26"/>
    <mergeCell ref="B160:B161"/>
    <mergeCell ref="B162:B163"/>
    <mergeCell ref="B164:B165"/>
    <mergeCell ref="B166:B167"/>
    <mergeCell ref="B116:B117"/>
    <mergeCell ref="B118:B119"/>
    <mergeCell ref="B120:B121"/>
    <mergeCell ref="B122:B123"/>
    <mergeCell ref="B100:B101"/>
    <mergeCell ref="B102:B103"/>
    <mergeCell ref="B104:B105"/>
    <mergeCell ref="B106:B107"/>
    <mergeCell ref="B108:B109"/>
    <mergeCell ref="B110:B111"/>
    <mergeCell ref="B92:B93"/>
    <mergeCell ref="B94:B95"/>
    <mergeCell ref="B96:B97"/>
    <mergeCell ref="B98:B99"/>
    <mergeCell ref="B88:B89"/>
    <mergeCell ref="C20:D21"/>
    <mergeCell ref="E20:G21"/>
    <mergeCell ref="H20:J21"/>
    <mergeCell ref="K20:L21"/>
    <mergeCell ref="C16:D17"/>
    <mergeCell ref="AC54:AD55"/>
    <mergeCell ref="W47:X48"/>
    <mergeCell ref="D25:G26"/>
    <mergeCell ref="D27:G28"/>
    <mergeCell ref="D30:I31"/>
    <mergeCell ref="K45:M46"/>
    <mergeCell ref="N45:Q46"/>
    <mergeCell ref="R45:T46"/>
    <mergeCell ref="U45:V46"/>
    <mergeCell ref="W45:X46"/>
    <mergeCell ref="K43:M44"/>
    <mergeCell ref="N43:Q44"/>
    <mergeCell ref="R43:T44"/>
    <mergeCell ref="U43:V44"/>
    <mergeCell ref="W43:X44"/>
    <mergeCell ref="K41:M42"/>
    <mergeCell ref="N41:Q42"/>
    <mergeCell ref="R41:T42"/>
    <mergeCell ref="N33:Q34"/>
    <mergeCell ref="BG16:BG17"/>
    <mergeCell ref="BG22:BG23"/>
    <mergeCell ref="BG24:BG25"/>
    <mergeCell ref="BG26:BG27"/>
    <mergeCell ref="BG28:BG29"/>
    <mergeCell ref="AA16:AC17"/>
    <mergeCell ref="AA18:AC19"/>
    <mergeCell ref="R23:AC24"/>
    <mergeCell ref="Y20:Z21"/>
    <mergeCell ref="W18:X19"/>
    <mergeCell ref="AF18:AG19"/>
    <mergeCell ref="AH18:AI19"/>
    <mergeCell ref="BD26:BD27"/>
    <mergeCell ref="BE26:BE27"/>
    <mergeCell ref="AH27:AI28"/>
    <mergeCell ref="AE25:AG26"/>
    <mergeCell ref="AJ25:AK26"/>
    <mergeCell ref="BA24:BA25"/>
    <mergeCell ref="BB24:BB25"/>
    <mergeCell ref="BC24:BC25"/>
    <mergeCell ref="BD24:BD25"/>
    <mergeCell ref="BE24:BE25"/>
    <mergeCell ref="AM23:AP24"/>
    <mergeCell ref="AH25:AI26"/>
    <mergeCell ref="R31:T32"/>
    <mergeCell ref="U31:V32"/>
    <mergeCell ref="W31:X32"/>
    <mergeCell ref="M20:N21"/>
    <mergeCell ref="Q14:AE14"/>
    <mergeCell ref="BG34:BG35"/>
    <mergeCell ref="M16:N17"/>
    <mergeCell ref="O15:AD15"/>
    <mergeCell ref="K35:M36"/>
    <mergeCell ref="N35:Q36"/>
    <mergeCell ref="R35:T36"/>
    <mergeCell ref="U35:V36"/>
    <mergeCell ref="W35:X36"/>
    <mergeCell ref="K33:M34"/>
    <mergeCell ref="C15:L15"/>
    <mergeCell ref="E16:G17"/>
    <mergeCell ref="K16:L17"/>
    <mergeCell ref="H16:J17"/>
    <mergeCell ref="H18:J19"/>
    <mergeCell ref="AJ18:AK19"/>
    <mergeCell ref="AL18:AN19"/>
    <mergeCell ref="BG36:BG37"/>
    <mergeCell ref="C18:D19"/>
    <mergeCell ref="E18:G19"/>
    <mergeCell ref="AG10:AN13"/>
    <mergeCell ref="I10:N13"/>
    <mergeCell ref="P11:AE13"/>
    <mergeCell ref="AF15:AI15"/>
    <mergeCell ref="AJ15:AQ15"/>
    <mergeCell ref="AY15:AZ15"/>
    <mergeCell ref="Y27:AB28"/>
    <mergeCell ref="AC27:AD28"/>
    <mergeCell ref="Y29:AB30"/>
    <mergeCell ref="AC29:AD30"/>
    <mergeCell ref="K18:L19"/>
    <mergeCell ref="M18:N19"/>
    <mergeCell ref="AA20:AC21"/>
    <mergeCell ref="N27:Q28"/>
    <mergeCell ref="R27:T28"/>
    <mergeCell ref="U25:V26"/>
    <mergeCell ref="W25:X26"/>
    <mergeCell ref="N25:Q26"/>
    <mergeCell ref="BG70:BG71"/>
    <mergeCell ref="BG72:BG73"/>
    <mergeCell ref="BG74:BG75"/>
    <mergeCell ref="BG52:BG53"/>
    <mergeCell ref="BG54:BG55"/>
    <mergeCell ref="BG56:BG57"/>
    <mergeCell ref="BG58:BG59"/>
    <mergeCell ref="BG60:BG61"/>
    <mergeCell ref="BG62:BG63"/>
    <mergeCell ref="BG64:BG65"/>
    <mergeCell ref="BG66:BG67"/>
    <mergeCell ref="BG68:BG69"/>
    <mergeCell ref="BG38:BG39"/>
    <mergeCell ref="BG40:BG41"/>
    <mergeCell ref="BG42:BG43"/>
    <mergeCell ref="BG44:BG45"/>
    <mergeCell ref="BG46:BG47"/>
    <mergeCell ref="BG48:BG49"/>
    <mergeCell ref="BG50:BG51"/>
    <mergeCell ref="BG18:BG19"/>
    <mergeCell ref="BG20:BG21"/>
    <mergeCell ref="BG30:BG31"/>
    <mergeCell ref="BG32:BG33"/>
  </mergeCells>
  <conditionalFormatting sqref="AQ2:AR3">
    <cfRule type="cellIs" dxfId="637" priority="95" operator="equal">
      <formula>1</formula>
    </cfRule>
    <cfRule type="cellIs" dxfId="636" priority="96" operator="between">
      <formula>0.51</formula>
      <formula>0.99</formula>
    </cfRule>
    <cfRule type="cellIs" dxfId="635" priority="97" operator="lessThanOrEqual">
      <formula>0.5</formula>
    </cfRule>
  </conditionalFormatting>
  <conditionalFormatting sqref="AH2 AL2">
    <cfRule type="expression" dxfId="634" priority="71">
      <formula>PROJSTATUS=PROJSTATELI</formula>
    </cfRule>
    <cfRule type="expression" dxfId="633" priority="72">
      <formula>PROJSTATUS=PROJSTATREVIEW</formula>
    </cfRule>
    <cfRule type="expression" dxfId="632" priority="73">
      <formula>PROJSTATUS=PROJSTATPREAPPROVE</formula>
    </cfRule>
    <cfRule type="expression" dxfId="631" priority="74">
      <formula>PROJSTATUS=PROJSTATSTANDARD</formula>
    </cfRule>
    <cfRule type="expression" dxfId="630" priority="75">
      <formula>PROJSTATUS=PROJSTATEXP</formula>
    </cfRule>
  </conditionalFormatting>
  <conditionalFormatting sqref="W35 W37 W39 W41 W43 W45 W27 W29 W31 W33">
    <cfRule type="expression" dxfId="629" priority="66">
      <formula>W27&lt;&gt;INDEX(CMELIGHTBASEW,MATCH(N27,CMELIGHTBASE1,0))</formula>
    </cfRule>
  </conditionalFormatting>
  <conditionalFormatting sqref="W35 W37 W39 W41 W43 W45 AJ33 AJ35 AJ37 AJ39 AJ41 AJ43 AJ45 W27 W29 W31 W33">
    <cfRule type="expression" dxfId="628" priority="65">
      <formula>MOD(W27,1)&lt;&gt;0</formula>
    </cfRule>
  </conditionalFormatting>
  <conditionalFormatting sqref="AJ33 AJ35 AJ37 AJ39 AJ41 AJ43 AJ45">
    <cfRule type="expression" dxfId="627" priority="64">
      <formula>AJ33&lt;&gt;INDEX(CMELIGHTEFFBASEW,MATCH(AA33,CMELIGHTEFF1,0))</formula>
    </cfRule>
  </conditionalFormatting>
  <conditionalFormatting sqref="AO18 AO20">
    <cfRule type="expression" dxfId="626" priority="58" stopIfTrue="1">
      <formula>NOT(ISNUMBER(AO18))</formula>
    </cfRule>
  </conditionalFormatting>
  <conditionalFormatting sqref="AO18:AQ21">
    <cfRule type="expression" dxfId="625" priority="59">
      <formula>$BF18="Yes"</formula>
    </cfRule>
  </conditionalFormatting>
  <conditionalFormatting sqref="AE33 AE35 AE37 AE39 AH33 AH35 AH37 AH39 AE41 AE43 AE45 AH41 AH43 AH45 AJ33 AJ35 AJ37 AJ39 AJ41 AJ43 AJ45">
    <cfRule type="expression" dxfId="624" priority="289">
      <formula>AND(ISBLANK($AA33)=FALSE,OR(ISBLANK(AE33)=TRUE,AE33=""))</formula>
    </cfRule>
  </conditionalFormatting>
  <conditionalFormatting sqref="R33 R35 R37 R39 U33 U35 U37 U39 W35 W37 W39 R41 R43 R45 U41 U43 U45 W41 W43 W45 W27 W29 W31 W33">
    <cfRule type="expression" dxfId="623" priority="292">
      <formula>AND(ISBLANK($N27)=FALSE,OR(ISBLANK(R27)=TRUE,R27=""))</formula>
    </cfRule>
  </conditionalFormatting>
  <conditionalFormatting sqref="H27 H54">
    <cfRule type="expression" dxfId="622" priority="56">
      <formula>AND(ISNUMBER(SEARCH("24/7",XEV27))=TRUE,H27&lt;&gt;8760)</formula>
    </cfRule>
  </conditionalFormatting>
  <conditionalFormatting sqref="H27">
    <cfRule type="expression" dxfId="621" priority="57">
      <formula>AND(ISBLANK($N27)=FALSE,OR(ISBLANK(H27)=TRUE,H27=""))</formula>
    </cfRule>
  </conditionalFormatting>
  <conditionalFormatting sqref="D32">
    <cfRule type="expression" dxfId="620" priority="55">
      <formula>AND(ISBLANK($N32)=FALSE,OR(ISBLANK(D32)=TRUE,D32=""))</formula>
    </cfRule>
  </conditionalFormatting>
  <conditionalFormatting sqref="H54">
    <cfRule type="expression" dxfId="619" priority="35">
      <formula>AND(ISBLANK($N54)=FALSE,OR(ISBLANK(H54)=TRUE,H54=""))</formula>
    </cfRule>
  </conditionalFormatting>
  <conditionalFormatting sqref="W58 W60 W62 W64 W66 W68 W70 W72 W54 W56">
    <cfRule type="expression" dxfId="618" priority="28">
      <formula>W54&lt;&gt;INDEX(CMELIGHTBASEW,MATCH(N54,CMELIGHTBASE1,0))</formula>
    </cfRule>
  </conditionalFormatting>
  <conditionalFormatting sqref="W58 W60 W62 W64 W66 W68 W70 W72 W54 W56">
    <cfRule type="expression" dxfId="617" priority="27">
      <formula>MOD(W54,1)&lt;&gt;0</formula>
    </cfRule>
  </conditionalFormatting>
  <conditionalFormatting sqref="AE56 AE58 AE60 AE62 AE64 AE66 AH56 AH58 AH60 AH62 AH64 AH66 AE68 AE70 AE72 AH68 AH70 AH72">
    <cfRule type="expression" dxfId="616" priority="29">
      <formula>AND(ISBLANK($AA56)=FALSE,OR(ISBLANK(AE56)=TRUE,AE56=""))</formula>
    </cfRule>
  </conditionalFormatting>
  <conditionalFormatting sqref="R56 R58 R60 R62 R64 R66 U56 U58 U60 U62 U64 U66 W58 W60 W62 W64 W66 R68 R70 R72 U68 U70 U72 W68 W70 W72 R54 U54 W54 W56">
    <cfRule type="expression" dxfId="615" priority="30">
      <formula>AND(ISBLANK($N54)=FALSE,OR(ISBLANK(R54)=TRUE,R54=""))</formula>
    </cfRule>
  </conditionalFormatting>
  <conditionalFormatting sqref="AE54 AH54">
    <cfRule type="expression" dxfId="614" priority="32">
      <formula>AND(ISBLANK($Y54)=FALSE,OR(ISBLANK(AE54)=TRUE,AE54=""))</formula>
    </cfRule>
  </conditionalFormatting>
  <conditionalFormatting sqref="D59">
    <cfRule type="expression" dxfId="613" priority="25">
      <formula>AND(ISBLANK($N59)=FALSE,OR(ISBLANK(D59)=TRUE,D59=""))</formula>
    </cfRule>
  </conditionalFormatting>
  <conditionalFormatting sqref="AC33:AD46">
    <cfRule type="expression" dxfId="612" priority="23">
      <formula>AND(ISBLANK($O33)=FALSE,OR(ISBLANK(AC33)=TRUE,AC33=""))</formula>
    </cfRule>
    <cfRule type="expression" dxfId="611" priority="24">
      <formula>AND(ISBLANK($C33)=FALSE,OR(ISBLANK(AC33)=TRUE,AC33=""))</formula>
    </cfRule>
  </conditionalFormatting>
  <conditionalFormatting sqref="AC54:AD73">
    <cfRule type="expression" dxfId="610" priority="21">
      <formula>AND(ISBLANK($O54)=FALSE,OR(ISBLANK(AC54)=TRUE,AC54=""))</formula>
    </cfRule>
    <cfRule type="expression" dxfId="609" priority="22">
      <formula>AND(ISBLANK($C54)=FALSE,OR(ISBLANK(AC54)=TRUE,AC54=""))</formula>
    </cfRule>
  </conditionalFormatting>
  <conditionalFormatting sqref="AJ54 AJ56 AJ58 AJ60 AJ62 AJ64 AJ66 AJ68 AJ70 AJ72">
    <cfRule type="expression" dxfId="608" priority="19">
      <formula>MOD(AJ54,1)&lt;&gt;0</formula>
    </cfRule>
  </conditionalFormatting>
  <conditionalFormatting sqref="AJ54 AJ56 AJ58 AJ60 AJ62 AJ64 AJ66 AJ68 AJ70 AJ72">
    <cfRule type="expression" dxfId="607" priority="18">
      <formula>AJ54&lt;&gt;INDEX(CMELIGHTEFFBASEW,MATCH(AA54,CMELIGHTEFF1,0))</formula>
    </cfRule>
  </conditionalFormatting>
  <conditionalFormatting sqref="AJ54 AJ56 AJ58 AJ60 AJ62 AJ64 AJ66 AJ68 AJ70 AJ72">
    <cfRule type="expression" dxfId="606" priority="20">
      <formula>AND(ISBLANK($AA54)=FALSE,OR(ISBLANK(AJ54)=TRUE,AJ54=""))</formula>
    </cfRule>
  </conditionalFormatting>
  <conditionalFormatting sqref="AH6:AI6">
    <cfRule type="expression" dxfId="605" priority="9">
      <formula>M02S02F43&gt;DATEVALUE("12/31/2021")</formula>
    </cfRule>
    <cfRule type="expression" dxfId="604" priority="11">
      <formula>M02S02F44&lt;&gt;"No"</formula>
    </cfRule>
    <cfRule type="expression" dxfId="603" priority="13">
      <formula>TODAY()&gt;=LIGHTING2021</formula>
    </cfRule>
    <cfRule type="expression" dxfId="602" priority="15">
      <formula>OR(SUBLIGHTDATE1&lt;&gt;"",SUBLIGHTDATE3&lt;&gt;"")</formula>
    </cfRule>
  </conditionalFormatting>
  <conditionalFormatting sqref="AJ5:AJ6">
    <cfRule type="expression" dxfId="601" priority="14">
      <formula>TODAY()&gt;LIGHTING2021</formula>
    </cfRule>
  </conditionalFormatting>
  <conditionalFormatting sqref="AJ5:AP7">
    <cfRule type="expression" dxfId="600" priority="10">
      <formula>M02S02F43&gt;DATEVALUE("12/31/2021")</formula>
    </cfRule>
    <cfRule type="expression" dxfId="599" priority="12">
      <formula>M02S02F44&lt;&gt;"No"</formula>
    </cfRule>
  </conditionalFormatting>
  <conditionalFormatting sqref="AJ27 AJ29 AJ31">
    <cfRule type="expression" dxfId="598" priority="4">
      <formula>MOD(AJ27,1)&lt;&gt;0</formula>
    </cfRule>
  </conditionalFormatting>
  <conditionalFormatting sqref="AJ27 AJ29 AJ31">
    <cfRule type="expression" dxfId="597" priority="3">
      <formula>AJ27&lt;&gt;INDEX(CMELIGHTEFFBASEW,MATCH(AA27,CMELIGHTEFF1,0))</formula>
    </cfRule>
  </conditionalFormatting>
  <conditionalFormatting sqref="AE29 AE31 AH29 AH31 AJ27 AJ29 AJ31">
    <cfRule type="expression" dxfId="596" priority="6">
      <formula>AND(ISBLANK($AA27)=FALSE,OR(ISBLANK(AE27)=TRUE,AE27=""))</formula>
    </cfRule>
  </conditionalFormatting>
  <conditionalFormatting sqref="R29 R31 U29 U31 R27 U27">
    <cfRule type="expression" dxfId="595" priority="7">
      <formula>AND(ISBLANK($N27)=FALSE,OR(ISBLANK(R27)=TRUE,R27=""))</formula>
    </cfRule>
  </conditionalFormatting>
  <conditionalFormatting sqref="AE27 AH27">
    <cfRule type="expression" dxfId="594" priority="8">
      <formula>AND(ISBLANK($Y27)=FALSE,OR(ISBLANK(AE27)=TRUE,AE27=""))</formula>
    </cfRule>
  </conditionalFormatting>
  <conditionalFormatting sqref="AC27:AD32">
    <cfRule type="expression" dxfId="593" priority="1">
      <formula>AND(ISBLANK($O27)=FALSE,OR(ISBLANK(AC27)=TRUE,AC27=""))</formula>
    </cfRule>
    <cfRule type="expression" dxfId="592" priority="2">
      <formula>AND(ISBLANK($C27)=FALSE,OR(ISBLANK(AC27)=TRUE,AC27=""))</formula>
    </cfRule>
  </conditionalFormatting>
  <dataValidations count="7">
    <dataValidation type="list" allowBlank="1" showInputMessage="1" showErrorMessage="1" sqref="D32 D59:I60" xr:uid="{32893408-4C3D-4D1F-A4E1-C0676F5EAAD6}">
      <formula1>"Yes, No"</formula1>
    </dataValidation>
    <dataValidation type="whole" operator="greaterThanOrEqual" allowBlank="1" showInputMessage="1" showErrorMessage="1" error="A lamp life of 50,000 hours or greater is required to qualify for an incentive" sqref="AC27:AD46 AC54:AD73" xr:uid="{1C709AB3-FCC5-4956-A96E-BDAAF5AA0FFA}">
      <formula1>50000</formula1>
    </dataValidation>
    <dataValidation type="list" allowBlank="1" showInputMessage="1" showErrorMessage="1" sqref="Y27:AB46 Y54:AB73" xr:uid="{200E7B47-054A-47B0-9FE8-FDBF1F55428C}">
      <formula1>LEDREDEFF1</formula1>
    </dataValidation>
    <dataValidation type="whole" operator="greaterThan" allowBlank="1" showInputMessage="1" showErrorMessage="1" sqref="AJ27:AK46 AJ54:AK73" xr:uid="{C238C6A6-633F-4375-A94F-AB8B43A9BABB}">
      <formula1>1</formula1>
    </dataValidation>
    <dataValidation type="list" allowBlank="1" showInputMessage="1" showErrorMessage="1" sqref="N27:Q46 N54:Q73" xr:uid="{E53A4F5C-A353-4244-A75F-D4ECF7947E99}">
      <formula1>REDESIGNBASEDESC</formula1>
    </dataValidation>
    <dataValidation type="list" allowBlank="1" showInputMessage="1" showErrorMessage="1" sqref="AH6:AI6" xr:uid="{13B58414-CE46-4566-BD05-74E3CB3393B7}">
      <formula1>"No"</formula1>
    </dataValidation>
    <dataValidation type="list" allowBlank="1" showInputMessage="1" showErrorMessage="1" sqref="BG18:BG21" xr:uid="{6B667107-0D2D-4093-B29E-2F170E8C1034}">
      <formula1>"1.0,1.07"</formula1>
    </dataValidation>
  </dataValidations>
  <hyperlinks>
    <hyperlink ref="B202" r:id="rId1" display="NIPSCO.Savings@LMCO.com" xr:uid="{36971491-6728-4D67-9587-3CDF5C194EDF}"/>
  </hyperlinks>
  <pageMargins left="0.25" right="0.25" top="0.25" bottom="0.25" header="0.25" footer="0.25"/>
  <pageSetup scale="5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8484" r:id="rId5" name="Check Box 4">
              <controlPr defaultSize="0" autoFill="0" autoLine="0" autoPict="0">
                <anchor moveWithCells="1">
                  <from>
                    <xdr:col>15</xdr:col>
                    <xdr:colOff>0</xdr:colOff>
                    <xdr:row>13</xdr:row>
                    <xdr:rowOff>0</xdr:rowOff>
                  </from>
                  <to>
                    <xdr:col>16</xdr:col>
                    <xdr:colOff>314325</xdr:colOff>
                    <xdr:row>14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tabColor theme="4" tint="-0.249977111117893"/>
    <pageSetUpPr fitToPage="1"/>
  </sheetPr>
  <dimension ref="A1:CK125"/>
  <sheetViews>
    <sheetView topLeftCell="D30" zoomScale="85" zoomScaleNormal="85" workbookViewId="0">
      <selection activeCell="D54" sqref="D54"/>
    </sheetView>
  </sheetViews>
  <sheetFormatPr defaultColWidth="9.140625" defaultRowHeight="15" x14ac:dyDescent="0.25"/>
  <cols>
    <col min="1" max="1" width="29" style="123" customWidth="1"/>
    <col min="2" max="2" width="97.42578125" style="124" bestFit="1" customWidth="1"/>
    <col min="3" max="3" width="31.85546875" style="123" customWidth="1"/>
    <col min="4" max="4" width="32" style="123" customWidth="1"/>
    <col min="5" max="5" width="27.85546875" style="123" customWidth="1"/>
    <col min="6" max="6" width="32.85546875" style="123" customWidth="1"/>
    <col min="7" max="7" width="31.140625" style="123" bestFit="1" customWidth="1"/>
    <col min="8" max="8" width="24.42578125" style="123" customWidth="1"/>
    <col min="9" max="9" width="18.28515625" style="123" customWidth="1"/>
    <col min="10" max="10" width="18" style="123" customWidth="1"/>
    <col min="11" max="11" width="20.140625" style="124" customWidth="1"/>
    <col min="12" max="12" width="14.42578125" style="123" customWidth="1"/>
    <col min="13" max="13" width="20.7109375" style="125" customWidth="1"/>
    <col min="14" max="14" width="9.42578125" style="123" customWidth="1"/>
    <col min="15" max="15" width="18.85546875" style="123" customWidth="1"/>
    <col min="16" max="16" width="15" style="123" customWidth="1"/>
    <col min="17" max="17" width="22.140625" style="123" customWidth="1"/>
    <col min="18" max="18" width="21" style="123" customWidth="1"/>
    <col min="19" max="19" width="15.140625" style="123" customWidth="1"/>
    <col min="20" max="20" width="14" style="123" customWidth="1"/>
    <col min="21" max="21" width="14.5703125" style="123" customWidth="1"/>
    <col min="22" max="22" width="13" style="123" customWidth="1"/>
    <col min="23" max="23" width="24.7109375" style="123" customWidth="1"/>
    <col min="24" max="24" width="10.28515625" style="123" customWidth="1"/>
    <col min="25" max="25" width="7.85546875" style="123" customWidth="1"/>
    <col min="26" max="26" width="12.140625" style="123" customWidth="1"/>
    <col min="27" max="27" width="17.7109375" style="123" customWidth="1"/>
    <col min="28" max="28" width="17.42578125" style="123" customWidth="1"/>
    <col min="29" max="29" width="34.28515625" style="22" customWidth="1"/>
    <col min="30" max="30" width="13.5703125" style="22" customWidth="1"/>
    <col min="31" max="31" width="19.5703125" style="22" customWidth="1"/>
    <col min="32" max="32" width="14" style="22" customWidth="1"/>
    <col min="33" max="33" width="24" style="22" customWidth="1"/>
    <col min="34" max="34" width="12" style="22" customWidth="1"/>
    <col min="35" max="35" width="10.28515625" style="22" customWidth="1"/>
    <col min="36" max="36" width="13.140625" style="22" customWidth="1"/>
    <col min="37" max="37" width="9.140625" style="22" customWidth="1"/>
    <col min="38" max="38" width="20.85546875" style="22" bestFit="1" customWidth="1"/>
    <col min="39" max="39" width="22.28515625" style="22" bestFit="1" customWidth="1"/>
    <col min="40" max="40" width="19.5703125" style="22" bestFit="1" customWidth="1"/>
    <col min="41" max="41" width="14.5703125" style="22" customWidth="1"/>
    <col min="42" max="42" width="15" style="22" customWidth="1"/>
    <col min="43" max="43" width="9.140625" style="22" customWidth="1"/>
    <col min="44" max="44" width="21.28515625" style="22" customWidth="1"/>
    <col min="45" max="45" width="9.140625" style="22" customWidth="1"/>
    <col min="46" max="46" width="21.28515625" style="22" customWidth="1"/>
    <col min="47" max="50" width="9.140625" style="22" customWidth="1"/>
    <col min="51" max="51" width="22.140625" style="22" customWidth="1"/>
    <col min="52" max="52" width="35.85546875" style="22" customWidth="1"/>
    <col min="53" max="53" width="19.85546875" style="22" customWidth="1"/>
    <col min="54" max="54" width="30.7109375" style="22" customWidth="1"/>
    <col min="55" max="55" width="24" style="22" customWidth="1"/>
    <col min="56" max="56" width="22.5703125" style="22" customWidth="1"/>
    <col min="57" max="57" width="30.140625" style="22" customWidth="1"/>
    <col min="58" max="58" width="28.7109375" style="22" customWidth="1"/>
    <col min="59" max="60" width="10" style="22" customWidth="1"/>
    <col min="61" max="61" width="5.5703125" style="22" customWidth="1"/>
    <col min="62" max="62" width="22.42578125" style="22" bestFit="1" customWidth="1"/>
    <col min="63" max="63" width="12.5703125" style="22" customWidth="1"/>
    <col min="64" max="64" width="21.85546875" style="22" customWidth="1"/>
    <col min="65" max="65" width="37.28515625" style="22" customWidth="1"/>
    <col min="66" max="66" width="15" style="22" customWidth="1"/>
    <col min="67" max="67" width="13.5703125" style="22" customWidth="1"/>
    <col min="68" max="68" width="15.140625" style="22" customWidth="1"/>
    <col min="69" max="69" width="12" style="22" customWidth="1"/>
    <col min="70" max="71" width="10" style="22" customWidth="1"/>
    <col min="72" max="72" width="18.42578125" style="22" customWidth="1"/>
    <col min="73" max="75" width="9.140625" style="22" customWidth="1"/>
    <col min="76" max="76" width="17.7109375" customWidth="1"/>
    <col min="77" max="78" width="13.28515625" customWidth="1"/>
    <col min="79" max="80" width="13.42578125" customWidth="1"/>
    <col min="81" max="81" width="16" customWidth="1"/>
    <col min="82" max="83" width="20.140625" customWidth="1"/>
    <col min="86" max="86" width="30.7109375" customWidth="1"/>
  </cols>
  <sheetData>
    <row r="1" spans="1:89" ht="12.75" customHeight="1" x14ac:dyDescent="0.25">
      <c r="A1" s="123" t="s">
        <v>1080</v>
      </c>
      <c r="B1" s="123" t="s">
        <v>1081</v>
      </c>
      <c r="C1" s="123" t="s">
        <v>1082</v>
      </c>
      <c r="D1" s="123" t="s">
        <v>1083</v>
      </c>
      <c r="E1" s="123" t="s">
        <v>1084</v>
      </c>
      <c r="F1" s="123" t="s">
        <v>128</v>
      </c>
      <c r="G1" s="123" t="s">
        <v>1085</v>
      </c>
      <c r="H1" s="123" t="s">
        <v>1086</v>
      </c>
      <c r="I1" s="123" t="s">
        <v>129</v>
      </c>
      <c r="J1" s="123" t="s">
        <v>1087</v>
      </c>
      <c r="K1" s="124" t="s">
        <v>1088</v>
      </c>
      <c r="L1" s="123" t="s">
        <v>132</v>
      </c>
      <c r="M1" s="125" t="s">
        <v>1089</v>
      </c>
      <c r="N1" s="123" t="s">
        <v>136</v>
      </c>
      <c r="O1" s="123" t="s">
        <v>716</v>
      </c>
      <c r="P1" s="123" t="s">
        <v>131</v>
      </c>
      <c r="Q1" s="123" t="s">
        <v>134</v>
      </c>
      <c r="R1" s="123" t="s">
        <v>1090</v>
      </c>
      <c r="S1" s="123" t="s">
        <v>1091</v>
      </c>
      <c r="T1" s="123" t="s">
        <v>1092</v>
      </c>
      <c r="U1" s="123" t="s">
        <v>126</v>
      </c>
      <c r="V1" s="123" t="s">
        <v>0</v>
      </c>
      <c r="W1" s="123" t="s">
        <v>1093</v>
      </c>
      <c r="X1" s="123" t="s">
        <v>473</v>
      </c>
      <c r="Y1" s="123" t="s">
        <v>135</v>
      </c>
      <c r="Z1" s="123" t="s">
        <v>991</v>
      </c>
      <c r="AA1" s="123" t="s">
        <v>1094</v>
      </c>
      <c r="AB1" s="123" t="s">
        <v>90</v>
      </c>
      <c r="AC1" s="21" t="s">
        <v>156</v>
      </c>
      <c r="AD1" s="21" t="s">
        <v>157</v>
      </c>
      <c r="AE1" s="21" t="s">
        <v>160</v>
      </c>
      <c r="AF1" s="21" t="s">
        <v>209</v>
      </c>
      <c r="AG1" s="21" t="s">
        <v>158</v>
      </c>
      <c r="AH1" s="21" t="s">
        <v>159</v>
      </c>
      <c r="AI1" s="21" t="s">
        <v>161</v>
      </c>
      <c r="AJ1" s="21" t="s">
        <v>895</v>
      </c>
      <c r="AK1" s="21"/>
      <c r="AL1" s="202" t="s">
        <v>1358</v>
      </c>
      <c r="AM1" s="202" t="s">
        <v>1228</v>
      </c>
      <c r="AN1" s="202" t="s">
        <v>1080</v>
      </c>
      <c r="AO1" s="202" t="s">
        <v>1599</v>
      </c>
      <c r="AP1" s="301" t="s">
        <v>1600</v>
      </c>
      <c r="AQ1" s="301" t="s">
        <v>173</v>
      </c>
      <c r="AR1" s="301" t="s">
        <v>209</v>
      </c>
      <c r="AS1" s="301" t="s">
        <v>174</v>
      </c>
      <c r="AT1" s="301" t="s">
        <v>175</v>
      </c>
      <c r="AU1" s="301" t="s">
        <v>1198</v>
      </c>
      <c r="AV1" s="301" t="s">
        <v>1199</v>
      </c>
      <c r="AW1" s="301" t="s">
        <v>716</v>
      </c>
      <c r="AX1" s="21"/>
      <c r="AY1" s="195" t="s">
        <v>1358</v>
      </c>
      <c r="AZ1" s="195" t="s">
        <v>1228</v>
      </c>
      <c r="BA1" s="195" t="s">
        <v>1080</v>
      </c>
      <c r="BB1" s="195" t="s">
        <v>131</v>
      </c>
      <c r="BC1" s="195" t="s">
        <v>173</v>
      </c>
      <c r="BD1" s="195" t="s">
        <v>209</v>
      </c>
      <c r="BE1" s="195" t="s">
        <v>174</v>
      </c>
      <c r="BF1" s="195" t="s">
        <v>1198</v>
      </c>
      <c r="BG1" s="195" t="s">
        <v>1199</v>
      </c>
      <c r="BH1" s="195" t="s">
        <v>716</v>
      </c>
      <c r="BI1" s="21"/>
      <c r="BJ1" s="21"/>
      <c r="BK1" s="21"/>
      <c r="BL1" s="195" t="s">
        <v>1358</v>
      </c>
      <c r="BM1" s="195" t="s">
        <v>1228</v>
      </c>
      <c r="BN1" s="195" t="s">
        <v>1080</v>
      </c>
      <c r="BO1" s="195" t="s">
        <v>131</v>
      </c>
      <c r="BP1" s="195" t="s">
        <v>173</v>
      </c>
      <c r="BQ1" s="195" t="s">
        <v>209</v>
      </c>
      <c r="BR1" s="195" t="s">
        <v>1381</v>
      </c>
      <c r="BS1" s="195" t="s">
        <v>174</v>
      </c>
      <c r="BT1" s="195" t="s">
        <v>1198</v>
      </c>
      <c r="BU1" s="195" t="s">
        <v>1199</v>
      </c>
      <c r="BV1" s="195" t="s">
        <v>716</v>
      </c>
      <c r="BW1" s="21"/>
      <c r="BX1" t="s">
        <v>125</v>
      </c>
      <c r="BY1" t="s">
        <v>156</v>
      </c>
      <c r="BZ1" t="s">
        <v>157</v>
      </c>
      <c r="CA1" t="s">
        <v>173</v>
      </c>
      <c r="CB1" t="s">
        <v>209</v>
      </c>
      <c r="CC1" t="s">
        <v>127</v>
      </c>
      <c r="CD1" t="s">
        <v>572</v>
      </c>
      <c r="CE1" t="s">
        <v>573</v>
      </c>
      <c r="CF1" t="s">
        <v>130</v>
      </c>
      <c r="CG1" t="s">
        <v>578</v>
      </c>
      <c r="CH1" t="s">
        <v>808</v>
      </c>
      <c r="CI1" t="s">
        <v>939</v>
      </c>
      <c r="CK1">
        <v>0.18</v>
      </c>
    </row>
    <row r="2" spans="1:89" ht="12.75" customHeight="1" x14ac:dyDescent="0.25">
      <c r="A2" s="123">
        <v>4100211</v>
      </c>
      <c r="B2" s="124" t="s">
        <v>1712</v>
      </c>
      <c r="C2" s="123" t="s">
        <v>1713</v>
      </c>
      <c r="D2" s="123" t="s">
        <v>146</v>
      </c>
      <c r="E2" s="123" t="s">
        <v>1714</v>
      </c>
      <c r="F2" s="123" t="s">
        <v>1712</v>
      </c>
      <c r="G2" s="123" t="s">
        <v>146</v>
      </c>
      <c r="H2" s="123" t="s">
        <v>1114</v>
      </c>
      <c r="I2" s="123" t="s">
        <v>1715</v>
      </c>
      <c r="K2" s="124" t="s">
        <v>1716</v>
      </c>
      <c r="L2" s="123">
        <v>12</v>
      </c>
      <c r="M2" s="125">
        <v>43525</v>
      </c>
      <c r="N2" s="123" t="s">
        <v>1620</v>
      </c>
      <c r="O2" s="123" t="s">
        <v>146</v>
      </c>
      <c r="P2" s="123">
        <v>85</v>
      </c>
      <c r="Q2" s="123">
        <v>1430</v>
      </c>
      <c r="R2" s="123">
        <v>0.22980494189999998</v>
      </c>
      <c r="S2" s="123">
        <v>5.0206733608978142E-2</v>
      </c>
      <c r="T2" s="123">
        <v>369.87890380959647</v>
      </c>
      <c r="U2" s="123" t="s">
        <v>137</v>
      </c>
      <c r="V2" s="123" t="s">
        <v>1096</v>
      </c>
      <c r="W2" s="123" t="s">
        <v>1102</v>
      </c>
      <c r="X2" s="123" t="s">
        <v>1097</v>
      </c>
      <c r="Y2" s="123" t="s">
        <v>140</v>
      </c>
      <c r="Z2" s="123" t="s">
        <v>119</v>
      </c>
      <c r="AA2" s="123">
        <v>1</v>
      </c>
      <c r="AB2" s="123" t="s">
        <v>130</v>
      </c>
      <c r="AC2" s="22" t="s">
        <v>896</v>
      </c>
      <c r="AD2" s="22" t="s">
        <v>899</v>
      </c>
      <c r="AG2" s="22" t="s">
        <v>1623</v>
      </c>
      <c r="AH2" s="22" t="s">
        <v>899</v>
      </c>
      <c r="AL2" s="95" t="s">
        <v>155</v>
      </c>
      <c r="AM2" s="31" t="s">
        <v>1575</v>
      </c>
      <c r="AN2" s="31">
        <v>4060812</v>
      </c>
      <c r="AO2" s="31">
        <v>0.18</v>
      </c>
      <c r="AP2" s="95">
        <f>1.75/4</f>
        <v>0.4375</v>
      </c>
      <c r="AQ2" s="95">
        <v>8</v>
      </c>
      <c r="AR2" s="95">
        <v>10</v>
      </c>
      <c r="AS2" s="95">
        <v>5.5</v>
      </c>
      <c r="AT2" s="95"/>
      <c r="AU2" s="95">
        <v>0</v>
      </c>
      <c r="AV2" s="95">
        <v>8760</v>
      </c>
      <c r="AW2" s="300" t="s">
        <v>138</v>
      </c>
      <c r="AY2" s="95" t="s">
        <v>672</v>
      </c>
      <c r="AZ2" s="95" t="s">
        <v>1609</v>
      </c>
      <c r="BA2" s="95">
        <v>4060913</v>
      </c>
      <c r="BB2" s="95">
        <v>0.3</v>
      </c>
      <c r="BC2" s="95">
        <v>0</v>
      </c>
      <c r="BD2" s="95">
        <v>2000</v>
      </c>
      <c r="BE2" s="95">
        <v>1000</v>
      </c>
      <c r="BF2" s="95">
        <v>0</v>
      </c>
      <c r="BG2" s="95">
        <v>8760</v>
      </c>
      <c r="BH2" s="95" t="s">
        <v>138</v>
      </c>
      <c r="BL2" s="590" t="s">
        <v>1396</v>
      </c>
      <c r="BM2" s="590" t="s">
        <v>1398</v>
      </c>
      <c r="BN2" s="590">
        <v>4060411</v>
      </c>
      <c r="BO2" s="590">
        <v>2</v>
      </c>
      <c r="BP2" s="590">
        <v>39</v>
      </c>
      <c r="BQ2" s="590">
        <v>999</v>
      </c>
      <c r="BR2" s="590">
        <v>1</v>
      </c>
      <c r="BS2" s="590">
        <v>20</v>
      </c>
      <c r="BT2" s="590">
        <v>0</v>
      </c>
      <c r="BU2" s="590">
        <v>8760</v>
      </c>
      <c r="BV2" s="590" t="s">
        <v>138</v>
      </c>
      <c r="BX2" t="s">
        <v>581</v>
      </c>
      <c r="BY2" t="s">
        <v>582</v>
      </c>
      <c r="BZ2" t="s">
        <v>1451</v>
      </c>
      <c r="CA2">
        <v>28</v>
      </c>
      <c r="CC2" t="s">
        <v>155</v>
      </c>
      <c r="CD2" t="s">
        <v>571</v>
      </c>
      <c r="CE2" t="s">
        <v>574</v>
      </c>
      <c r="CF2" t="s">
        <v>141</v>
      </c>
      <c r="CG2">
        <v>5</v>
      </c>
      <c r="CH2" t="s">
        <v>809</v>
      </c>
    </row>
    <row r="3" spans="1:89" ht="12.75" customHeight="1" x14ac:dyDescent="0.25">
      <c r="A3" s="123">
        <v>4100212</v>
      </c>
      <c r="B3" s="124" t="s">
        <v>1717</v>
      </c>
      <c r="C3" s="123" t="s">
        <v>1718</v>
      </c>
      <c r="D3" s="123" t="s">
        <v>146</v>
      </c>
      <c r="E3" s="123" t="s">
        <v>1714</v>
      </c>
      <c r="F3" s="123" t="s">
        <v>1717</v>
      </c>
      <c r="G3" s="123" t="s">
        <v>146</v>
      </c>
      <c r="H3" s="123" t="s">
        <v>1114</v>
      </c>
      <c r="I3" s="123" t="s">
        <v>1719</v>
      </c>
      <c r="K3" s="124" t="s">
        <v>1720</v>
      </c>
      <c r="L3" s="123">
        <v>12</v>
      </c>
      <c r="M3" s="125">
        <v>43525</v>
      </c>
      <c r="N3" s="123" t="s">
        <v>1620</v>
      </c>
      <c r="O3" s="123" t="s">
        <v>146</v>
      </c>
      <c r="P3" s="123">
        <v>160</v>
      </c>
      <c r="Q3" s="123">
        <v>3186.8</v>
      </c>
      <c r="R3" s="123">
        <v>0.27201955319999999</v>
      </c>
      <c r="S3" s="123">
        <v>7.9840319361277445E-2</v>
      </c>
      <c r="T3" s="123">
        <v>588.19301082507627</v>
      </c>
      <c r="U3" s="123" t="s">
        <v>137</v>
      </c>
      <c r="V3" s="123" t="s">
        <v>1096</v>
      </c>
      <c r="W3" s="123" t="s">
        <v>1102</v>
      </c>
      <c r="X3" s="123" t="s">
        <v>1097</v>
      </c>
      <c r="Y3" s="123" t="s">
        <v>140</v>
      </c>
      <c r="Z3" s="123" t="s">
        <v>119</v>
      </c>
      <c r="AA3" s="123">
        <v>1</v>
      </c>
      <c r="AB3" s="123" t="s">
        <v>130</v>
      </c>
      <c r="AC3" s="22" t="s">
        <v>896</v>
      </c>
      <c r="AD3" s="22" t="s">
        <v>900</v>
      </c>
      <c r="AG3" s="22" t="s">
        <v>1624</v>
      </c>
      <c r="AH3" s="22" t="s">
        <v>900</v>
      </c>
      <c r="AL3" s="95" t="s">
        <v>143</v>
      </c>
      <c r="AM3" s="31" t="s">
        <v>1576</v>
      </c>
      <c r="AN3" s="31">
        <v>4060712</v>
      </c>
      <c r="AO3" s="31">
        <v>0.18</v>
      </c>
      <c r="AP3" s="95">
        <f>1.75/4</f>
        <v>0.4375</v>
      </c>
      <c r="AQ3" s="95">
        <v>6</v>
      </c>
      <c r="AR3" s="95">
        <v>9</v>
      </c>
      <c r="AS3" s="95">
        <v>5.5</v>
      </c>
      <c r="AT3" s="95"/>
      <c r="AU3" s="95">
        <v>0</v>
      </c>
      <c r="AV3" s="95">
        <v>8760</v>
      </c>
      <c r="AW3" s="300" t="s">
        <v>138</v>
      </c>
      <c r="AY3" s="95" t="s">
        <v>672</v>
      </c>
      <c r="AZ3" s="95" t="s">
        <v>1612</v>
      </c>
      <c r="BA3" s="95">
        <v>4060912</v>
      </c>
      <c r="BB3" s="95">
        <v>0.35</v>
      </c>
      <c r="BC3" s="95">
        <v>0</v>
      </c>
      <c r="BD3" s="95">
        <v>2000</v>
      </c>
      <c r="BE3" s="95">
        <v>1000</v>
      </c>
      <c r="BF3" s="95">
        <v>0</v>
      </c>
      <c r="BG3" s="95">
        <v>8760</v>
      </c>
      <c r="BH3" s="95" t="s">
        <v>138</v>
      </c>
      <c r="BL3" s="590" t="s">
        <v>1397</v>
      </c>
      <c r="BM3" s="590" t="s">
        <v>1399</v>
      </c>
      <c r="BN3" s="590">
        <v>4060340</v>
      </c>
      <c r="BO3" s="590">
        <v>2</v>
      </c>
      <c r="BP3" s="590">
        <v>27</v>
      </c>
      <c r="BQ3" s="590">
        <v>999</v>
      </c>
      <c r="BR3" s="590">
        <v>1</v>
      </c>
      <c r="BS3" s="590">
        <v>20</v>
      </c>
      <c r="BT3" s="590">
        <v>0</v>
      </c>
      <c r="BU3" s="590">
        <v>8760</v>
      </c>
      <c r="BV3" s="590" t="s">
        <v>138</v>
      </c>
      <c r="BX3" t="s">
        <v>581</v>
      </c>
      <c r="BY3" t="s">
        <v>583</v>
      </c>
      <c r="BZ3" t="s">
        <v>1452</v>
      </c>
      <c r="CA3">
        <v>56</v>
      </c>
      <c r="CC3" t="s">
        <v>155</v>
      </c>
      <c r="CD3" t="s">
        <v>571</v>
      </c>
      <c r="CE3" t="s">
        <v>659</v>
      </c>
      <c r="CF3" t="s">
        <v>141</v>
      </c>
      <c r="CG3">
        <v>6</v>
      </c>
      <c r="CH3" t="s">
        <v>810</v>
      </c>
    </row>
    <row r="4" spans="1:89" ht="12.75" customHeight="1" x14ac:dyDescent="0.25">
      <c r="A4" s="123">
        <v>4100213</v>
      </c>
      <c r="B4" s="124" t="s">
        <v>1721</v>
      </c>
      <c r="C4" s="123" t="s">
        <v>1722</v>
      </c>
      <c r="D4" s="123" t="s">
        <v>146</v>
      </c>
      <c r="E4" s="123" t="s">
        <v>1714</v>
      </c>
      <c r="F4" s="123" t="s">
        <v>1721</v>
      </c>
      <c r="G4" s="123" t="s">
        <v>146</v>
      </c>
      <c r="H4" s="123" t="s">
        <v>1114</v>
      </c>
      <c r="I4" s="123" t="s">
        <v>1723</v>
      </c>
      <c r="K4" s="124" t="s">
        <v>1724</v>
      </c>
      <c r="L4" s="123">
        <v>12</v>
      </c>
      <c r="M4" s="125">
        <v>43525</v>
      </c>
      <c r="N4" s="123" t="s">
        <v>1620</v>
      </c>
      <c r="O4" s="123" t="s">
        <v>146</v>
      </c>
      <c r="P4" s="123">
        <v>270</v>
      </c>
      <c r="Q4" s="123">
        <v>5150</v>
      </c>
      <c r="R4" s="123">
        <v>0.52517148269999991</v>
      </c>
      <c r="S4" s="123">
        <v>6.9785474282760399E-2</v>
      </c>
      <c r="T4" s="123">
        <v>514.11778608366546</v>
      </c>
      <c r="U4" s="123" t="s">
        <v>137</v>
      </c>
      <c r="V4" s="123" t="s">
        <v>1096</v>
      </c>
      <c r="W4" s="123" t="s">
        <v>1102</v>
      </c>
      <c r="X4" s="123" t="s">
        <v>1097</v>
      </c>
      <c r="Y4" s="123" t="s">
        <v>140</v>
      </c>
      <c r="Z4" s="123" t="s">
        <v>119</v>
      </c>
      <c r="AA4" s="123">
        <v>1</v>
      </c>
      <c r="AB4" s="123" t="s">
        <v>130</v>
      </c>
      <c r="AC4" s="22" t="s">
        <v>896</v>
      </c>
      <c r="AD4" s="22" t="s">
        <v>901</v>
      </c>
      <c r="AG4" s="22" t="s">
        <v>1625</v>
      </c>
      <c r="AH4" s="22" t="s">
        <v>901</v>
      </c>
      <c r="AL4" s="95" t="s">
        <v>142</v>
      </c>
      <c r="AM4" s="30" t="s">
        <v>1577</v>
      </c>
      <c r="AN4" s="22">
        <v>4060612</v>
      </c>
      <c r="AO4" s="30">
        <v>0.23</v>
      </c>
      <c r="AP4" s="95">
        <f>5.75/4</f>
        <v>1.4375</v>
      </c>
      <c r="AQ4" s="95">
        <v>6</v>
      </c>
      <c r="AR4" s="95">
        <v>8</v>
      </c>
      <c r="AS4" s="95">
        <v>3.5</v>
      </c>
      <c r="AT4" s="95"/>
      <c r="AU4" s="95">
        <v>0</v>
      </c>
      <c r="AV4" s="95">
        <v>8760</v>
      </c>
      <c r="AW4" s="300" t="s">
        <v>138</v>
      </c>
      <c r="AY4" s="95" t="s">
        <v>672</v>
      </c>
      <c r="AZ4" s="95" t="s">
        <v>1614</v>
      </c>
      <c r="BA4" s="95">
        <v>4060911</v>
      </c>
      <c r="BB4" s="95">
        <v>0.5</v>
      </c>
      <c r="BC4" s="95">
        <v>0</v>
      </c>
      <c r="BD4" s="95">
        <v>2000</v>
      </c>
      <c r="BE4" s="95">
        <v>1000</v>
      </c>
      <c r="BF4" s="95">
        <v>0</v>
      </c>
      <c r="BG4" s="95">
        <v>8760</v>
      </c>
      <c r="BH4" s="95" t="s">
        <v>138</v>
      </c>
      <c r="BL4" s="590" t="s">
        <v>1350</v>
      </c>
      <c r="BM4" s="590" t="s">
        <v>1390</v>
      </c>
      <c r="BN4" s="590">
        <v>4060320</v>
      </c>
      <c r="BO4" s="590">
        <v>5.5</v>
      </c>
      <c r="BP4" s="590">
        <v>34</v>
      </c>
      <c r="BQ4" s="590">
        <v>51</v>
      </c>
      <c r="BR4" s="590">
        <v>1</v>
      </c>
      <c r="BS4" s="590">
        <v>13</v>
      </c>
      <c r="BT4" s="590">
        <v>0</v>
      </c>
      <c r="BU4" s="590">
        <v>8760</v>
      </c>
      <c r="BV4" s="590" t="s">
        <v>138</v>
      </c>
      <c r="BX4" t="s">
        <v>581</v>
      </c>
      <c r="BY4" t="s">
        <v>1425</v>
      </c>
      <c r="BZ4" t="s">
        <v>1453</v>
      </c>
      <c r="CA4">
        <v>62</v>
      </c>
      <c r="CC4" t="s">
        <v>155</v>
      </c>
      <c r="CD4" t="s">
        <v>571</v>
      </c>
      <c r="CE4" t="s">
        <v>662</v>
      </c>
      <c r="CF4" t="s">
        <v>141</v>
      </c>
      <c r="CG4">
        <v>7</v>
      </c>
      <c r="CH4" t="s">
        <v>810</v>
      </c>
    </row>
    <row r="5" spans="1:89" ht="12.75" customHeight="1" x14ac:dyDescent="0.25">
      <c r="A5" s="123">
        <v>4100214</v>
      </c>
      <c r="B5" s="124" t="s">
        <v>1725</v>
      </c>
      <c r="C5" s="123" t="s">
        <v>1726</v>
      </c>
      <c r="D5" s="123" t="s">
        <v>146</v>
      </c>
      <c r="E5" s="123" t="s">
        <v>1714</v>
      </c>
      <c r="F5" s="123" t="s">
        <v>1725</v>
      </c>
      <c r="G5" s="123" t="s">
        <v>146</v>
      </c>
      <c r="H5" s="123" t="s">
        <v>1114</v>
      </c>
      <c r="I5" s="123" t="s">
        <v>1727</v>
      </c>
      <c r="K5" s="124" t="s">
        <v>1728</v>
      </c>
      <c r="L5" s="123">
        <v>12</v>
      </c>
      <c r="M5" s="125">
        <v>43525</v>
      </c>
      <c r="N5" s="123" t="s">
        <v>1620</v>
      </c>
      <c r="O5" s="123" t="s">
        <v>146</v>
      </c>
      <c r="P5" s="123">
        <v>427</v>
      </c>
      <c r="Q5" s="123">
        <v>5884.2</v>
      </c>
      <c r="R5" s="123">
        <v>0.96618521939999991</v>
      </c>
      <c r="S5" s="123">
        <v>5.9988760887889854E-2</v>
      </c>
      <c r="T5" s="123">
        <v>441.94424777597675</v>
      </c>
      <c r="U5" s="123" t="s">
        <v>137</v>
      </c>
      <c r="V5" s="123" t="s">
        <v>1096</v>
      </c>
      <c r="W5" s="123" t="s">
        <v>1102</v>
      </c>
      <c r="X5" s="123" t="s">
        <v>1097</v>
      </c>
      <c r="Y5" s="123" t="s">
        <v>140</v>
      </c>
      <c r="Z5" s="123" t="s">
        <v>119</v>
      </c>
      <c r="AA5" s="123">
        <v>1</v>
      </c>
      <c r="AB5" s="123" t="s">
        <v>130</v>
      </c>
      <c r="AC5" s="22" t="s">
        <v>896</v>
      </c>
      <c r="AD5" s="22" t="s">
        <v>902</v>
      </c>
      <c r="AG5" s="22" t="s">
        <v>1626</v>
      </c>
      <c r="AH5" s="22" t="s">
        <v>902</v>
      </c>
      <c r="AL5" s="95" t="s">
        <v>1359</v>
      </c>
      <c r="AM5" s="95" t="s">
        <v>1578</v>
      </c>
      <c r="AN5" s="22">
        <v>4060612</v>
      </c>
      <c r="AO5" s="31">
        <v>0.23</v>
      </c>
      <c r="AP5" s="95">
        <f>5.75/4</f>
        <v>1.4375</v>
      </c>
      <c r="AQ5" s="95">
        <v>12</v>
      </c>
      <c r="AR5" s="95">
        <v>14</v>
      </c>
      <c r="AS5" s="95">
        <v>7.5</v>
      </c>
      <c r="AT5" s="95"/>
      <c r="AU5" s="95">
        <v>0</v>
      </c>
      <c r="AV5" s="95">
        <v>8760</v>
      </c>
      <c r="AW5" s="300" t="s">
        <v>138</v>
      </c>
      <c r="AY5" s="95" t="s">
        <v>672</v>
      </c>
      <c r="AZ5" s="95" t="s">
        <v>1687</v>
      </c>
      <c r="BA5" s="95">
        <v>4060910</v>
      </c>
      <c r="BB5" s="95">
        <v>0.6</v>
      </c>
      <c r="BC5" s="95">
        <v>0</v>
      </c>
      <c r="BD5" s="95">
        <v>2000</v>
      </c>
      <c r="BE5" s="95">
        <v>1000</v>
      </c>
      <c r="BF5" s="95">
        <v>0</v>
      </c>
      <c r="BG5" s="95">
        <v>8760</v>
      </c>
      <c r="BH5" s="95" t="s">
        <v>138</v>
      </c>
      <c r="BL5" s="590" t="s">
        <v>1404</v>
      </c>
      <c r="BM5" s="590" t="s">
        <v>1405</v>
      </c>
      <c r="BN5" s="590"/>
      <c r="BO5" s="590">
        <v>5.5</v>
      </c>
      <c r="BP5" s="590">
        <v>47</v>
      </c>
      <c r="BQ5" s="590">
        <v>999</v>
      </c>
      <c r="BR5" s="590">
        <v>1</v>
      </c>
      <c r="BS5" s="590">
        <v>14</v>
      </c>
      <c r="BT5" s="590">
        <v>0</v>
      </c>
      <c r="BU5" s="590">
        <v>8760</v>
      </c>
      <c r="BV5" s="590" t="s">
        <v>138</v>
      </c>
      <c r="BX5" t="s">
        <v>581</v>
      </c>
      <c r="BY5" t="s">
        <v>1426</v>
      </c>
      <c r="BZ5" t="s">
        <v>1454</v>
      </c>
      <c r="CA5">
        <v>112</v>
      </c>
      <c r="CC5" t="s">
        <v>155</v>
      </c>
      <c r="CD5" t="s">
        <v>571</v>
      </c>
      <c r="CE5" t="s">
        <v>663</v>
      </c>
      <c r="CF5" t="s">
        <v>141</v>
      </c>
      <c r="CG5">
        <v>8</v>
      </c>
      <c r="CH5" t="s">
        <v>810</v>
      </c>
    </row>
    <row r="6" spans="1:89" ht="12.75" customHeight="1" x14ac:dyDescent="0.25">
      <c r="A6" s="123">
        <v>4100221</v>
      </c>
      <c r="B6" s="124" t="s">
        <v>1729</v>
      </c>
      <c r="C6" s="123" t="s">
        <v>1730</v>
      </c>
      <c r="D6" s="123" t="s">
        <v>146</v>
      </c>
      <c r="E6" s="123" t="s">
        <v>1714</v>
      </c>
      <c r="F6" s="123" t="s">
        <v>1729</v>
      </c>
      <c r="G6" s="123" t="s">
        <v>146</v>
      </c>
      <c r="H6" s="123" t="s">
        <v>1114</v>
      </c>
      <c r="I6" s="123" t="s">
        <v>1731</v>
      </c>
      <c r="K6" s="124" t="s">
        <v>1732</v>
      </c>
      <c r="L6" s="123">
        <v>12</v>
      </c>
      <c r="M6" s="125">
        <v>43525</v>
      </c>
      <c r="N6" s="123" t="s">
        <v>1620</v>
      </c>
      <c r="O6" s="123" t="s">
        <v>146</v>
      </c>
      <c r="P6" s="123">
        <v>35</v>
      </c>
      <c r="Q6" s="123">
        <v>348.8</v>
      </c>
      <c r="R6" s="123">
        <v>8.0764288499999989E-2</v>
      </c>
      <c r="S6" s="123">
        <v>5.8823529411764705E-2</v>
      </c>
      <c r="T6" s="123">
        <v>433.359850622593</v>
      </c>
      <c r="U6" s="123" t="s">
        <v>137</v>
      </c>
      <c r="V6" s="123" t="s">
        <v>1096</v>
      </c>
      <c r="W6" s="123" t="s">
        <v>1102</v>
      </c>
      <c r="X6" s="123" t="s">
        <v>1097</v>
      </c>
      <c r="Y6" s="123" t="s">
        <v>140</v>
      </c>
      <c r="Z6" s="123" t="s">
        <v>119</v>
      </c>
      <c r="AA6" s="123">
        <v>1</v>
      </c>
      <c r="AB6" s="123" t="s">
        <v>130</v>
      </c>
      <c r="AC6" s="22" t="s">
        <v>896</v>
      </c>
      <c r="AD6" s="22" t="s">
        <v>899</v>
      </c>
      <c r="AG6" s="22" t="s">
        <v>1627</v>
      </c>
      <c r="AH6" s="22" t="s">
        <v>899</v>
      </c>
      <c r="AL6" s="95" t="s">
        <v>155</v>
      </c>
      <c r="AM6" s="31" t="s">
        <v>1587</v>
      </c>
      <c r="AN6" s="31">
        <v>4060813</v>
      </c>
      <c r="AO6" s="31">
        <v>0.18</v>
      </c>
      <c r="AP6" s="95">
        <f>1.75/4</f>
        <v>0.4375</v>
      </c>
      <c r="AQ6" s="95">
        <v>8</v>
      </c>
      <c r="AR6" s="95">
        <v>10</v>
      </c>
      <c r="AS6" s="95">
        <v>5.5</v>
      </c>
      <c r="AT6" s="95"/>
      <c r="AU6" s="95">
        <v>0</v>
      </c>
      <c r="AV6" s="95">
        <v>8760</v>
      </c>
      <c r="AW6" s="300" t="s">
        <v>138</v>
      </c>
      <c r="AY6" s="95" t="s">
        <v>687</v>
      </c>
      <c r="AZ6" s="95" t="s">
        <v>1610</v>
      </c>
      <c r="BA6" s="95">
        <v>4060913</v>
      </c>
      <c r="BB6" s="95">
        <v>0.3</v>
      </c>
      <c r="BC6" s="95">
        <v>0</v>
      </c>
      <c r="BD6" s="95">
        <v>2000</v>
      </c>
      <c r="BE6" s="95">
        <v>1000</v>
      </c>
      <c r="BF6" s="95">
        <v>0</v>
      </c>
      <c r="BG6" s="95">
        <v>8760</v>
      </c>
      <c r="BH6" s="95" t="s">
        <v>138</v>
      </c>
      <c r="BL6" s="590" t="s">
        <v>1404</v>
      </c>
      <c r="BM6" s="590" t="s">
        <v>1408</v>
      </c>
      <c r="BN6" s="590"/>
      <c r="BO6" s="590">
        <v>5.5</v>
      </c>
      <c r="BP6" s="590">
        <v>47</v>
      </c>
      <c r="BQ6" s="590">
        <v>999</v>
      </c>
      <c r="BR6" s="590">
        <v>1</v>
      </c>
      <c r="BS6" s="590">
        <v>20</v>
      </c>
      <c r="BT6" s="590">
        <v>0</v>
      </c>
      <c r="BU6" s="590">
        <v>8760</v>
      </c>
      <c r="BV6" s="590" t="s">
        <v>138</v>
      </c>
      <c r="BX6" t="s">
        <v>581</v>
      </c>
      <c r="BY6" t="s">
        <v>584</v>
      </c>
      <c r="BZ6" t="s">
        <v>1455</v>
      </c>
      <c r="CA6">
        <v>37</v>
      </c>
      <c r="CC6" t="s">
        <v>155</v>
      </c>
      <c r="CD6" t="s">
        <v>660</v>
      </c>
      <c r="CE6" t="s">
        <v>574</v>
      </c>
      <c r="CF6" t="s">
        <v>141</v>
      </c>
      <c r="CG6">
        <v>9</v>
      </c>
      <c r="CH6" t="s">
        <v>810</v>
      </c>
    </row>
    <row r="7" spans="1:89" ht="12.75" customHeight="1" x14ac:dyDescent="0.25">
      <c r="A7" s="123">
        <v>4100222</v>
      </c>
      <c r="B7" s="124" t="s">
        <v>1733</v>
      </c>
      <c r="C7" s="123" t="s">
        <v>1734</v>
      </c>
      <c r="D7" s="123" t="s">
        <v>146</v>
      </c>
      <c r="E7" s="123" t="s">
        <v>1714</v>
      </c>
      <c r="F7" s="123" t="s">
        <v>1733</v>
      </c>
      <c r="G7" s="123" t="s">
        <v>146</v>
      </c>
      <c r="H7" s="123" t="s">
        <v>1114</v>
      </c>
      <c r="I7" s="123" t="s">
        <v>1735</v>
      </c>
      <c r="K7" s="124" t="s">
        <v>1736</v>
      </c>
      <c r="L7" s="123">
        <v>12</v>
      </c>
      <c r="M7" s="125">
        <v>43525</v>
      </c>
      <c r="N7" s="123" t="s">
        <v>1620</v>
      </c>
      <c r="O7" s="123" t="s">
        <v>146</v>
      </c>
      <c r="P7" s="123">
        <v>70</v>
      </c>
      <c r="Q7" s="123">
        <v>1307.5999999999999</v>
      </c>
      <c r="R7" s="123">
        <v>0.11795658269999999</v>
      </c>
      <c r="S7" s="123">
        <v>8.0552359033371698E-2</v>
      </c>
      <c r="T7" s="123">
        <v>593.43869072599034</v>
      </c>
      <c r="U7" s="123" t="s">
        <v>137</v>
      </c>
      <c r="V7" s="123" t="s">
        <v>1096</v>
      </c>
      <c r="W7" s="123" t="s">
        <v>1102</v>
      </c>
      <c r="X7" s="123" t="s">
        <v>1097</v>
      </c>
      <c r="Y7" s="123" t="s">
        <v>140</v>
      </c>
      <c r="Z7" s="123" t="s">
        <v>119</v>
      </c>
      <c r="AA7" s="123">
        <v>1</v>
      </c>
      <c r="AB7" s="123" t="s">
        <v>130</v>
      </c>
      <c r="AC7" s="22" t="s">
        <v>896</v>
      </c>
      <c r="AD7" s="22" t="s">
        <v>900</v>
      </c>
      <c r="AG7" s="22" t="s">
        <v>1628</v>
      </c>
      <c r="AH7" s="22" t="s">
        <v>900</v>
      </c>
      <c r="AL7" s="95" t="s">
        <v>143</v>
      </c>
      <c r="AM7" s="31" t="s">
        <v>1588</v>
      </c>
      <c r="AN7" s="31">
        <v>4060713</v>
      </c>
      <c r="AO7" s="31">
        <v>0.18</v>
      </c>
      <c r="AP7" s="95">
        <f>1.75/4</f>
        <v>0.4375</v>
      </c>
      <c r="AQ7" s="95">
        <v>6</v>
      </c>
      <c r="AR7" s="95">
        <v>9</v>
      </c>
      <c r="AS7" s="95">
        <v>5.5</v>
      </c>
      <c r="AT7" s="95"/>
      <c r="AU7" s="95">
        <v>0</v>
      </c>
      <c r="AV7" s="95">
        <v>8760</v>
      </c>
      <c r="AW7" s="300" t="s">
        <v>138</v>
      </c>
      <c r="AY7" s="95" t="s">
        <v>687</v>
      </c>
      <c r="AZ7" s="95" t="s">
        <v>1616</v>
      </c>
      <c r="BA7" s="95">
        <v>4060912</v>
      </c>
      <c r="BB7" s="95">
        <v>0.35</v>
      </c>
      <c r="BC7" s="95">
        <v>0</v>
      </c>
      <c r="BD7" s="95">
        <v>2000</v>
      </c>
      <c r="BE7" s="95">
        <v>1000</v>
      </c>
      <c r="BF7" s="95">
        <v>0</v>
      </c>
      <c r="BG7" s="95">
        <v>8760</v>
      </c>
      <c r="BH7" s="95" t="s">
        <v>138</v>
      </c>
      <c r="BL7" s="590" t="s">
        <v>1407</v>
      </c>
      <c r="BM7" s="590" t="s">
        <v>1406</v>
      </c>
      <c r="BN7" s="590"/>
      <c r="BO7" s="590">
        <v>5.5</v>
      </c>
      <c r="BP7" s="590">
        <v>44</v>
      </c>
      <c r="BQ7" s="590">
        <v>999</v>
      </c>
      <c r="BR7" s="590">
        <v>1</v>
      </c>
      <c r="BS7" s="590">
        <v>14</v>
      </c>
      <c r="BT7" s="590">
        <v>0</v>
      </c>
      <c r="BU7" s="590">
        <v>8760</v>
      </c>
      <c r="BV7" s="590" t="s">
        <v>138</v>
      </c>
      <c r="BX7" t="s">
        <v>581</v>
      </c>
      <c r="BY7" t="s">
        <v>585</v>
      </c>
      <c r="BZ7" t="s">
        <v>1456</v>
      </c>
      <c r="CA7">
        <v>74</v>
      </c>
      <c r="CC7" t="s">
        <v>155</v>
      </c>
      <c r="CD7" t="s">
        <v>660</v>
      </c>
      <c r="CE7" t="s">
        <v>659</v>
      </c>
      <c r="CF7" t="s">
        <v>141</v>
      </c>
      <c r="CG7">
        <v>10</v>
      </c>
      <c r="CH7" t="s">
        <v>810</v>
      </c>
    </row>
    <row r="8" spans="1:89" ht="12.75" customHeight="1" x14ac:dyDescent="0.25">
      <c r="A8" s="123">
        <v>4100223</v>
      </c>
      <c r="B8" s="124" t="s">
        <v>1737</v>
      </c>
      <c r="C8" s="123" t="s">
        <v>1738</v>
      </c>
      <c r="D8" s="123" t="s">
        <v>146</v>
      </c>
      <c r="E8" s="123" t="s">
        <v>1714</v>
      </c>
      <c r="F8" s="123" t="s">
        <v>1737</v>
      </c>
      <c r="G8" s="123" t="s">
        <v>146</v>
      </c>
      <c r="H8" s="123" t="s">
        <v>1114</v>
      </c>
      <c r="I8" s="123" t="s">
        <v>1739</v>
      </c>
      <c r="K8" s="124" t="s">
        <v>1724</v>
      </c>
      <c r="L8" s="123">
        <v>12</v>
      </c>
      <c r="M8" s="125">
        <v>43525</v>
      </c>
      <c r="N8" s="123" t="s">
        <v>1620</v>
      </c>
      <c r="O8" s="123" t="s">
        <v>146</v>
      </c>
      <c r="P8" s="123">
        <v>121</v>
      </c>
      <c r="Q8" s="123">
        <v>2403.3000000000002</v>
      </c>
      <c r="R8" s="123">
        <v>0.23455578239999997</v>
      </c>
      <c r="S8" s="123">
        <v>7.0023148148148154E-2</v>
      </c>
      <c r="T8" s="123">
        <v>515.86875736728803</v>
      </c>
      <c r="U8" s="123" t="s">
        <v>137</v>
      </c>
      <c r="V8" s="123" t="s">
        <v>1096</v>
      </c>
      <c r="W8" s="123" t="s">
        <v>1102</v>
      </c>
      <c r="X8" s="123" t="s">
        <v>1097</v>
      </c>
      <c r="Y8" s="123" t="s">
        <v>140</v>
      </c>
      <c r="Z8" s="123" t="s">
        <v>119</v>
      </c>
      <c r="AA8" s="123">
        <v>1</v>
      </c>
      <c r="AB8" s="123" t="s">
        <v>130</v>
      </c>
      <c r="AC8" s="22" t="s">
        <v>896</v>
      </c>
      <c r="AD8" s="22" t="s">
        <v>901</v>
      </c>
      <c r="AG8" s="22" t="s">
        <v>1629</v>
      </c>
      <c r="AH8" s="22" t="s">
        <v>901</v>
      </c>
      <c r="AL8" s="95" t="s">
        <v>142</v>
      </c>
      <c r="AM8" s="31" t="s">
        <v>1589</v>
      </c>
      <c r="AN8" s="31">
        <v>4060613</v>
      </c>
      <c r="AO8" s="31">
        <v>0.23</v>
      </c>
      <c r="AP8" s="95">
        <f>5.75/4</f>
        <v>1.4375</v>
      </c>
      <c r="AQ8" s="95">
        <v>6</v>
      </c>
      <c r="AR8" s="95">
        <v>8</v>
      </c>
      <c r="AS8" s="95">
        <v>3.5</v>
      </c>
      <c r="AT8" s="95"/>
      <c r="AU8" s="95">
        <v>0</v>
      </c>
      <c r="AV8" s="95">
        <v>8760</v>
      </c>
      <c r="AW8" s="300" t="s">
        <v>138</v>
      </c>
      <c r="AY8" s="95" t="s">
        <v>687</v>
      </c>
      <c r="AZ8" s="95" t="s">
        <v>1613</v>
      </c>
      <c r="BA8" s="95">
        <v>4060911</v>
      </c>
      <c r="BB8" s="95">
        <v>0.5</v>
      </c>
      <c r="BC8" s="95">
        <v>0</v>
      </c>
      <c r="BD8" s="95">
        <v>2000</v>
      </c>
      <c r="BE8" s="95">
        <v>1000</v>
      </c>
      <c r="BF8" s="95">
        <v>0</v>
      </c>
      <c r="BG8" s="95">
        <v>8760</v>
      </c>
      <c r="BH8" s="95" t="s">
        <v>138</v>
      </c>
      <c r="BL8" s="590" t="s">
        <v>1407</v>
      </c>
      <c r="BM8" s="590" t="s">
        <v>1409</v>
      </c>
      <c r="BN8" s="590"/>
      <c r="BO8" s="590">
        <v>5.5</v>
      </c>
      <c r="BP8" s="590">
        <v>44</v>
      </c>
      <c r="BQ8" s="590">
        <v>999</v>
      </c>
      <c r="BR8" s="590">
        <v>1</v>
      </c>
      <c r="BS8" s="590">
        <v>20</v>
      </c>
      <c r="BT8" s="590">
        <v>0</v>
      </c>
      <c r="BU8" s="590">
        <v>8760</v>
      </c>
      <c r="BV8" s="590" t="s">
        <v>138</v>
      </c>
      <c r="BX8" t="s">
        <v>581</v>
      </c>
      <c r="BY8" t="s">
        <v>1427</v>
      </c>
      <c r="BZ8" t="s">
        <v>1457</v>
      </c>
      <c r="CA8">
        <v>111</v>
      </c>
      <c r="CC8" t="s">
        <v>155</v>
      </c>
      <c r="CD8" t="s">
        <v>660</v>
      </c>
      <c r="CE8" t="s">
        <v>662</v>
      </c>
      <c r="CF8" t="s">
        <v>141</v>
      </c>
      <c r="CG8">
        <v>11</v>
      </c>
      <c r="CH8" t="s">
        <v>810</v>
      </c>
    </row>
    <row r="9" spans="1:89" ht="12.75" customHeight="1" x14ac:dyDescent="0.25">
      <c r="A9" s="123">
        <v>4100224</v>
      </c>
      <c r="B9" s="124" t="s">
        <v>1740</v>
      </c>
      <c r="C9" s="123" t="s">
        <v>1741</v>
      </c>
      <c r="D9" s="123" t="s">
        <v>146</v>
      </c>
      <c r="E9" s="123" t="s">
        <v>1714</v>
      </c>
      <c r="F9" s="123" t="s">
        <v>1740</v>
      </c>
      <c r="G9" s="123" t="s">
        <v>146</v>
      </c>
      <c r="H9" s="123" t="s">
        <v>1114</v>
      </c>
      <c r="I9" s="123" t="s">
        <v>1742</v>
      </c>
      <c r="K9" s="124" t="s">
        <v>1743</v>
      </c>
      <c r="L9" s="123">
        <v>12</v>
      </c>
      <c r="M9" s="125">
        <v>43525</v>
      </c>
      <c r="N9" s="123" t="s">
        <v>1620</v>
      </c>
      <c r="O9" s="123" t="s">
        <v>146</v>
      </c>
      <c r="P9" s="123">
        <v>225</v>
      </c>
      <c r="Q9" s="123">
        <v>2951.2</v>
      </c>
      <c r="R9" s="123">
        <v>0.50996879309999998</v>
      </c>
      <c r="S9" s="123">
        <v>5.9888208677136012E-2</v>
      </c>
      <c r="T9" s="123">
        <v>441.20346782843171</v>
      </c>
      <c r="U9" s="123" t="s">
        <v>137</v>
      </c>
      <c r="V9" s="123" t="s">
        <v>1096</v>
      </c>
      <c r="W9" s="123" t="s">
        <v>1102</v>
      </c>
      <c r="X9" s="123" t="s">
        <v>1097</v>
      </c>
      <c r="Y9" s="123" t="s">
        <v>140</v>
      </c>
      <c r="Z9" s="123" t="s">
        <v>119</v>
      </c>
      <c r="AA9" s="123">
        <v>1</v>
      </c>
      <c r="AB9" s="123" t="s">
        <v>130</v>
      </c>
      <c r="AC9" s="22" t="s">
        <v>896</v>
      </c>
      <c r="AD9" s="22" t="s">
        <v>902</v>
      </c>
      <c r="AG9" s="22" t="s">
        <v>1630</v>
      </c>
      <c r="AH9" s="22" t="s">
        <v>902</v>
      </c>
      <c r="AL9" s="95" t="s">
        <v>1359</v>
      </c>
      <c r="AM9" s="30" t="s">
        <v>1590</v>
      </c>
      <c r="AN9" s="31">
        <v>4060613</v>
      </c>
      <c r="AO9" s="30">
        <v>0.23</v>
      </c>
      <c r="AP9" s="95">
        <f>5.75/4</f>
        <v>1.4375</v>
      </c>
      <c r="AQ9" s="95">
        <v>12</v>
      </c>
      <c r="AR9" s="95">
        <v>14</v>
      </c>
      <c r="AS9" s="95">
        <v>7.5</v>
      </c>
      <c r="AT9" s="95"/>
      <c r="AU9" s="95">
        <v>0</v>
      </c>
      <c r="AV9" s="95">
        <v>8760</v>
      </c>
      <c r="AW9" s="300" t="s">
        <v>138</v>
      </c>
      <c r="AY9" s="95" t="s">
        <v>687</v>
      </c>
      <c r="AZ9" s="95" t="s">
        <v>1617</v>
      </c>
      <c r="BA9" s="95">
        <v>4060910</v>
      </c>
      <c r="BB9" s="95">
        <v>0.6</v>
      </c>
      <c r="BC9" s="95">
        <v>0</v>
      </c>
      <c r="BD9" s="95">
        <v>2000</v>
      </c>
      <c r="BE9" s="95">
        <v>1000</v>
      </c>
      <c r="BF9" s="95">
        <v>0</v>
      </c>
      <c r="BG9" s="95">
        <v>8760</v>
      </c>
      <c r="BH9" s="95" t="s">
        <v>138</v>
      </c>
      <c r="BL9" s="590" t="s">
        <v>1690</v>
      </c>
      <c r="BM9" s="590" t="s">
        <v>1898</v>
      </c>
      <c r="BN9" s="590">
        <v>4060330</v>
      </c>
      <c r="BO9" s="590">
        <v>5.5</v>
      </c>
      <c r="BP9" s="590">
        <v>47</v>
      </c>
      <c r="BQ9" s="590">
        <v>999</v>
      </c>
      <c r="BR9" s="590">
        <v>1</v>
      </c>
      <c r="BS9" s="590">
        <v>20</v>
      </c>
      <c r="BT9" s="590">
        <v>0</v>
      </c>
      <c r="BU9" s="590">
        <v>8760</v>
      </c>
      <c r="BV9" s="590" t="s">
        <v>138</v>
      </c>
      <c r="BX9" t="s">
        <v>581</v>
      </c>
      <c r="BY9" t="s">
        <v>1428</v>
      </c>
      <c r="BZ9" t="s">
        <v>1458</v>
      </c>
      <c r="CA9">
        <v>148</v>
      </c>
      <c r="CC9" t="s">
        <v>155</v>
      </c>
      <c r="CD9" t="s">
        <v>660</v>
      </c>
      <c r="CE9" t="s">
        <v>663</v>
      </c>
      <c r="CF9" t="s">
        <v>141</v>
      </c>
      <c r="CG9">
        <v>12</v>
      </c>
      <c r="CH9" t="s">
        <v>810</v>
      </c>
    </row>
    <row r="10" spans="1:89" ht="12.75" customHeight="1" x14ac:dyDescent="0.25">
      <c r="A10" s="123">
        <v>4100101</v>
      </c>
      <c r="B10" s="124" t="s">
        <v>1746</v>
      </c>
      <c r="C10" s="123" t="s">
        <v>1112</v>
      </c>
      <c r="D10" s="123" t="s">
        <v>146</v>
      </c>
      <c r="E10" s="123" t="s">
        <v>1113</v>
      </c>
      <c r="F10" s="123" t="s">
        <v>1113</v>
      </c>
      <c r="G10" s="123" t="s">
        <v>146</v>
      </c>
      <c r="H10" s="123" t="s">
        <v>153</v>
      </c>
      <c r="I10" s="123" t="s">
        <v>153</v>
      </c>
      <c r="K10" s="124" t="s">
        <v>1745</v>
      </c>
      <c r="L10" s="123">
        <v>12</v>
      </c>
      <c r="M10" s="125">
        <v>43525</v>
      </c>
      <c r="N10" s="123" t="s">
        <v>1620</v>
      </c>
      <c r="O10" s="123" t="s">
        <v>146</v>
      </c>
      <c r="P10" s="123">
        <v>68</v>
      </c>
      <c r="Q10" s="123">
        <f>770.9*2</f>
        <v>1541.8</v>
      </c>
      <c r="R10" s="123">
        <v>0.18554068227000001</v>
      </c>
      <c r="S10" s="123">
        <v>4.9743964886613021E-2</v>
      </c>
      <c r="T10" s="123">
        <v>366.49644254862636</v>
      </c>
      <c r="U10" s="123" t="s">
        <v>137</v>
      </c>
      <c r="V10" s="123" t="s">
        <v>1096</v>
      </c>
      <c r="W10" s="123" t="s">
        <v>1102</v>
      </c>
      <c r="X10" s="123" t="s">
        <v>1097</v>
      </c>
      <c r="Y10" s="123" t="s">
        <v>140</v>
      </c>
      <c r="Z10" s="123" t="s">
        <v>119</v>
      </c>
      <c r="AA10" s="123">
        <v>1</v>
      </c>
      <c r="AB10" s="123" t="s">
        <v>1678</v>
      </c>
      <c r="AC10" s="22" t="s">
        <v>898</v>
      </c>
      <c r="AG10" s="22" t="s">
        <v>1622</v>
      </c>
      <c r="AL10" s="95" t="s">
        <v>155</v>
      </c>
      <c r="AM10" s="31" t="s">
        <v>1579</v>
      </c>
      <c r="AN10" s="31">
        <v>4060814</v>
      </c>
      <c r="AO10" s="31">
        <v>0.28000000000000003</v>
      </c>
      <c r="AP10" s="95">
        <f>3.5/4</f>
        <v>0.875</v>
      </c>
      <c r="AQ10" s="95">
        <v>8</v>
      </c>
      <c r="AR10" s="95">
        <v>10</v>
      </c>
      <c r="AS10" s="95">
        <v>5.5</v>
      </c>
      <c r="AT10" s="95"/>
      <c r="AU10" s="95">
        <v>0</v>
      </c>
      <c r="AV10" s="95">
        <v>8760</v>
      </c>
      <c r="AW10" s="300" t="s">
        <v>138</v>
      </c>
      <c r="AY10" s="95" t="s">
        <v>682</v>
      </c>
      <c r="AZ10" s="95" t="s">
        <v>1611</v>
      </c>
      <c r="BA10" s="95">
        <v>4060913</v>
      </c>
      <c r="BB10" s="95">
        <v>0.3</v>
      </c>
      <c r="BC10" s="95">
        <v>0</v>
      </c>
      <c r="BD10" s="95">
        <v>2000</v>
      </c>
      <c r="BE10" s="95">
        <v>1000</v>
      </c>
      <c r="BF10" s="95">
        <v>0</v>
      </c>
      <c r="BG10" s="95">
        <v>8760</v>
      </c>
      <c r="BH10" s="95" t="s">
        <v>138</v>
      </c>
      <c r="BL10" s="590" t="s">
        <v>1690</v>
      </c>
      <c r="BM10" s="590" t="s">
        <v>1898</v>
      </c>
      <c r="BN10" s="590">
        <v>4060330</v>
      </c>
      <c r="BO10" s="590">
        <v>5.5</v>
      </c>
      <c r="BP10" s="590">
        <v>47</v>
      </c>
      <c r="BQ10" s="590">
        <v>999</v>
      </c>
      <c r="BR10" s="590">
        <v>1</v>
      </c>
      <c r="BS10" s="590">
        <v>20</v>
      </c>
      <c r="BT10" s="590">
        <v>0</v>
      </c>
      <c r="BU10" s="590">
        <v>8760</v>
      </c>
      <c r="BV10" s="590" t="s">
        <v>138</v>
      </c>
      <c r="BX10" t="s">
        <v>581</v>
      </c>
      <c r="BY10" t="s">
        <v>586</v>
      </c>
      <c r="BZ10" t="s">
        <v>1459</v>
      </c>
      <c r="CA10">
        <v>48</v>
      </c>
      <c r="CC10" t="s">
        <v>155</v>
      </c>
      <c r="CD10" t="s">
        <v>661</v>
      </c>
      <c r="CE10" t="s">
        <v>574</v>
      </c>
      <c r="CF10" t="s">
        <v>141</v>
      </c>
      <c r="CG10">
        <v>13</v>
      </c>
      <c r="CH10" t="s">
        <v>810</v>
      </c>
    </row>
    <row r="11" spans="1:89" ht="12.75" customHeight="1" x14ac:dyDescent="0.25">
      <c r="A11" s="123">
        <v>4100102</v>
      </c>
      <c r="B11" s="124" t="s">
        <v>1744</v>
      </c>
      <c r="C11" s="123" t="s">
        <v>1112</v>
      </c>
      <c r="D11" s="123" t="s">
        <v>146</v>
      </c>
      <c r="E11" s="123" t="s">
        <v>1113</v>
      </c>
      <c r="F11" s="123" t="s">
        <v>1113</v>
      </c>
      <c r="G11" s="123" t="s">
        <v>146</v>
      </c>
      <c r="H11" s="123" t="s">
        <v>153</v>
      </c>
      <c r="I11" s="123" t="s">
        <v>153</v>
      </c>
      <c r="K11" s="124" t="s">
        <v>1747</v>
      </c>
      <c r="L11" s="123">
        <v>12</v>
      </c>
      <c r="M11" s="125">
        <v>43525</v>
      </c>
      <c r="N11" s="123" t="s">
        <v>1620</v>
      </c>
      <c r="O11" s="123" t="s">
        <v>146</v>
      </c>
      <c r="P11" s="123">
        <v>50</v>
      </c>
      <c r="Q11" s="123">
        <f>668.1*2</f>
        <v>1336.2</v>
      </c>
      <c r="Z11" s="123" t="s">
        <v>119</v>
      </c>
      <c r="AA11" s="123">
        <v>1</v>
      </c>
      <c r="AB11" s="123" t="s">
        <v>1678</v>
      </c>
      <c r="AC11" s="22" t="s">
        <v>898</v>
      </c>
      <c r="AG11" s="22" t="s">
        <v>1621</v>
      </c>
      <c r="AL11" s="95" t="s">
        <v>143</v>
      </c>
      <c r="AM11" s="31" t="s">
        <v>1580</v>
      </c>
      <c r="AN11" s="31">
        <v>4060714</v>
      </c>
      <c r="AO11" s="31">
        <v>0.28000000000000003</v>
      </c>
      <c r="AP11" s="95">
        <f>3.5/4</f>
        <v>0.875</v>
      </c>
      <c r="AQ11" s="95">
        <v>6</v>
      </c>
      <c r="AR11" s="95">
        <v>9</v>
      </c>
      <c r="AS11" s="95">
        <v>5.5</v>
      </c>
      <c r="AT11" s="95"/>
      <c r="AU11" s="95">
        <v>0</v>
      </c>
      <c r="AV11" s="95">
        <v>8760</v>
      </c>
      <c r="AW11" s="300" t="s">
        <v>138</v>
      </c>
      <c r="AY11" s="95" t="s">
        <v>682</v>
      </c>
      <c r="AZ11" s="95" t="s">
        <v>1618</v>
      </c>
      <c r="BA11" s="95">
        <v>4060912</v>
      </c>
      <c r="BB11" s="95">
        <v>0.35</v>
      </c>
      <c r="BC11" s="95">
        <v>0</v>
      </c>
      <c r="BD11" s="95">
        <v>2000</v>
      </c>
      <c r="BE11" s="95">
        <v>1000</v>
      </c>
      <c r="BF11" s="95">
        <v>0</v>
      </c>
      <c r="BG11" s="95">
        <v>8760</v>
      </c>
      <c r="BH11" s="95" t="s">
        <v>138</v>
      </c>
      <c r="BL11" s="590" t="s">
        <v>1691</v>
      </c>
      <c r="BM11" s="590" t="s">
        <v>1899</v>
      </c>
      <c r="BN11" s="590">
        <v>4060310</v>
      </c>
      <c r="BO11" s="590">
        <v>5.5</v>
      </c>
      <c r="BP11" s="590">
        <v>44</v>
      </c>
      <c r="BQ11" s="590">
        <v>999</v>
      </c>
      <c r="BR11" s="590">
        <v>1</v>
      </c>
      <c r="BS11" s="590">
        <v>14</v>
      </c>
      <c r="BT11" s="590">
        <v>0</v>
      </c>
      <c r="BU11" s="590">
        <v>8760</v>
      </c>
      <c r="BV11" s="590" t="s">
        <v>138</v>
      </c>
      <c r="BX11" t="s">
        <v>581</v>
      </c>
      <c r="BY11" t="s">
        <v>587</v>
      </c>
      <c r="BZ11" t="s">
        <v>1460</v>
      </c>
      <c r="CA11">
        <v>82</v>
      </c>
      <c r="CC11" t="s">
        <v>155</v>
      </c>
      <c r="CD11" t="s">
        <v>661</v>
      </c>
      <c r="CE11" t="s">
        <v>659</v>
      </c>
      <c r="CF11" t="s">
        <v>141</v>
      </c>
      <c r="CG11">
        <v>14</v>
      </c>
      <c r="CH11" t="s">
        <v>810</v>
      </c>
    </row>
    <row r="12" spans="1:89" ht="12.75" customHeight="1" x14ac:dyDescent="0.25">
      <c r="A12" s="123">
        <v>4100210</v>
      </c>
      <c r="B12" s="124" t="s">
        <v>1748</v>
      </c>
      <c r="C12" s="123" t="s">
        <v>1632</v>
      </c>
      <c r="D12" s="123" t="s">
        <v>146</v>
      </c>
      <c r="E12" s="123" t="s">
        <v>1714</v>
      </c>
      <c r="F12" s="123" t="s">
        <v>1631</v>
      </c>
      <c r="G12" s="123" t="s">
        <v>146</v>
      </c>
      <c r="H12" s="123" t="s">
        <v>1114</v>
      </c>
      <c r="I12" s="123" t="s">
        <v>1114</v>
      </c>
      <c r="K12" s="124" t="s">
        <v>1814</v>
      </c>
      <c r="L12" s="123">
        <v>12</v>
      </c>
      <c r="M12" s="125">
        <v>43525</v>
      </c>
      <c r="N12" s="123" t="s">
        <v>1620</v>
      </c>
      <c r="O12" s="123" t="s">
        <v>146</v>
      </c>
      <c r="P12" s="123">
        <v>390</v>
      </c>
      <c r="Q12" s="123">
        <v>5265.1</v>
      </c>
      <c r="Z12" s="123" t="s">
        <v>119</v>
      </c>
      <c r="AA12" s="123">
        <v>1</v>
      </c>
      <c r="AB12" s="123" t="s">
        <v>130</v>
      </c>
      <c r="AC12" s="22" t="s">
        <v>896</v>
      </c>
      <c r="AD12" s="22" t="s">
        <v>1639</v>
      </c>
      <c r="AG12" s="22" t="s">
        <v>1633</v>
      </c>
      <c r="AL12" s="95" t="s">
        <v>142</v>
      </c>
      <c r="AM12" s="31" t="s">
        <v>1581</v>
      </c>
      <c r="AN12" s="31">
        <v>4060614</v>
      </c>
      <c r="AO12" s="31">
        <v>0.35</v>
      </c>
      <c r="AP12" s="95">
        <f>9/4</f>
        <v>2.25</v>
      </c>
      <c r="AQ12" s="95">
        <v>6</v>
      </c>
      <c r="AR12" s="95">
        <v>8</v>
      </c>
      <c r="AS12" s="95">
        <v>3.5</v>
      </c>
      <c r="AT12" s="95"/>
      <c r="AU12" s="95">
        <v>0</v>
      </c>
      <c r="AV12" s="95">
        <v>8760</v>
      </c>
      <c r="AW12" s="300" t="s">
        <v>138</v>
      </c>
      <c r="AY12" s="95" t="s">
        <v>682</v>
      </c>
      <c r="AZ12" s="95" t="s">
        <v>1615</v>
      </c>
      <c r="BA12" s="95">
        <v>4060911</v>
      </c>
      <c r="BB12" s="95">
        <v>0.5</v>
      </c>
      <c r="BC12" s="95">
        <v>0</v>
      </c>
      <c r="BD12" s="95">
        <v>2000</v>
      </c>
      <c r="BE12" s="95">
        <v>1000</v>
      </c>
      <c r="BF12" s="95">
        <v>0</v>
      </c>
      <c r="BG12" s="95">
        <v>8760</v>
      </c>
      <c r="BH12" s="95" t="s">
        <v>138</v>
      </c>
      <c r="BL12" s="590" t="s">
        <v>1691</v>
      </c>
      <c r="BM12" s="590" t="s">
        <v>1899</v>
      </c>
      <c r="BN12" s="590">
        <v>4060310</v>
      </c>
      <c r="BO12" s="590">
        <v>5.5</v>
      </c>
      <c r="BP12" s="590">
        <v>44</v>
      </c>
      <c r="BQ12" s="590">
        <v>999</v>
      </c>
      <c r="BR12" s="590">
        <v>1</v>
      </c>
      <c r="BS12" s="590">
        <v>14</v>
      </c>
      <c r="BT12" s="590">
        <v>0</v>
      </c>
      <c r="BU12" s="590">
        <v>8760</v>
      </c>
      <c r="BV12" s="590" t="s">
        <v>138</v>
      </c>
      <c r="BX12" t="s">
        <v>581</v>
      </c>
      <c r="BY12" t="s">
        <v>588</v>
      </c>
      <c r="BZ12" t="s">
        <v>1461</v>
      </c>
      <c r="CA12">
        <v>122</v>
      </c>
      <c r="CC12" t="s">
        <v>155</v>
      </c>
      <c r="CD12" t="s">
        <v>661</v>
      </c>
      <c r="CE12" t="s">
        <v>662</v>
      </c>
      <c r="CF12" t="s">
        <v>141</v>
      </c>
      <c r="CG12">
        <v>15</v>
      </c>
      <c r="CH12" t="s">
        <v>810</v>
      </c>
    </row>
    <row r="13" spans="1:89" ht="12.75" customHeight="1" x14ac:dyDescent="0.25">
      <c r="A13" s="123">
        <v>4100311</v>
      </c>
      <c r="B13" s="124" t="s">
        <v>1749</v>
      </c>
      <c r="C13" s="123" t="s">
        <v>1634</v>
      </c>
      <c r="D13" s="123" t="s">
        <v>146</v>
      </c>
      <c r="E13" s="123" t="s">
        <v>1750</v>
      </c>
      <c r="F13" s="123" t="s">
        <v>1635</v>
      </c>
      <c r="G13" s="123" t="s">
        <v>146</v>
      </c>
      <c r="H13" s="123" t="s">
        <v>1114</v>
      </c>
      <c r="I13" s="123" t="s">
        <v>1114</v>
      </c>
      <c r="K13" s="124" t="s">
        <v>1751</v>
      </c>
      <c r="L13" s="123">
        <v>12</v>
      </c>
      <c r="M13" s="125">
        <v>43525</v>
      </c>
      <c r="N13" s="123" t="s">
        <v>1620</v>
      </c>
      <c r="O13" s="126" t="s">
        <v>146</v>
      </c>
      <c r="P13" s="126">
        <v>28</v>
      </c>
      <c r="Q13" s="123">
        <v>379.9</v>
      </c>
      <c r="Z13" s="123" t="s">
        <v>119</v>
      </c>
      <c r="AA13" s="123">
        <v>1</v>
      </c>
      <c r="AB13" s="123" t="s">
        <v>130</v>
      </c>
      <c r="AC13" s="22" t="s">
        <v>896</v>
      </c>
      <c r="AD13" s="22" t="s">
        <v>899</v>
      </c>
      <c r="AG13" s="22" t="s">
        <v>1636</v>
      </c>
      <c r="AL13" s="95" t="s">
        <v>1359</v>
      </c>
      <c r="AM13" s="30" t="s">
        <v>1582</v>
      </c>
      <c r="AN13" s="31">
        <v>4060614</v>
      </c>
      <c r="AO13" s="30">
        <v>0.35</v>
      </c>
      <c r="AP13" s="95">
        <f>9/4</f>
        <v>2.25</v>
      </c>
      <c r="AQ13" s="95">
        <v>12</v>
      </c>
      <c r="AR13" s="95">
        <v>14</v>
      </c>
      <c r="AS13" s="95">
        <v>7.5</v>
      </c>
      <c r="AT13" s="95"/>
      <c r="AU13" s="95">
        <v>0</v>
      </c>
      <c r="AV13" s="95">
        <v>8760</v>
      </c>
      <c r="AW13" s="300" t="s">
        <v>138</v>
      </c>
      <c r="AY13" s="95" t="s">
        <v>682</v>
      </c>
      <c r="AZ13" s="95" t="s">
        <v>1619</v>
      </c>
      <c r="BA13" s="95">
        <v>4060910</v>
      </c>
      <c r="BB13" s="95">
        <v>0.6</v>
      </c>
      <c r="BC13" s="95">
        <v>0</v>
      </c>
      <c r="BD13" s="95">
        <v>2000</v>
      </c>
      <c r="BE13" s="95">
        <v>1000</v>
      </c>
      <c r="BF13" s="95">
        <v>0</v>
      </c>
      <c r="BG13" s="95">
        <v>8760</v>
      </c>
      <c r="BH13" s="95" t="s">
        <v>138</v>
      </c>
      <c r="BL13" s="95" t="s">
        <v>1389</v>
      </c>
      <c r="BM13" s="95" t="s">
        <v>1389</v>
      </c>
      <c r="BN13" s="95">
        <v>4060410</v>
      </c>
      <c r="BO13" s="95">
        <v>16</v>
      </c>
      <c r="BP13" s="95">
        <v>1</v>
      </c>
      <c r="BQ13" s="95">
        <v>50</v>
      </c>
      <c r="BR13" s="95">
        <v>0</v>
      </c>
      <c r="BS13" s="95">
        <v>5</v>
      </c>
      <c r="BT13" s="95">
        <v>8500</v>
      </c>
      <c r="BU13" s="95">
        <v>8760</v>
      </c>
      <c r="BV13" s="95" t="s">
        <v>138</v>
      </c>
      <c r="BX13" t="s">
        <v>581</v>
      </c>
      <c r="BY13" t="s">
        <v>589</v>
      </c>
      <c r="BZ13" t="s">
        <v>762</v>
      </c>
      <c r="CA13">
        <v>164</v>
      </c>
      <c r="CC13" t="s">
        <v>155</v>
      </c>
      <c r="CD13" t="s">
        <v>661</v>
      </c>
      <c r="CE13" t="s">
        <v>663</v>
      </c>
      <c r="CF13" t="s">
        <v>141</v>
      </c>
      <c r="CG13">
        <v>16</v>
      </c>
      <c r="CH13" t="s">
        <v>810</v>
      </c>
    </row>
    <row r="14" spans="1:89" ht="12.75" customHeight="1" x14ac:dyDescent="0.25">
      <c r="A14" s="123">
        <v>4100310</v>
      </c>
      <c r="B14" s="124" t="s">
        <v>1752</v>
      </c>
      <c r="C14" s="123" t="s">
        <v>1637</v>
      </c>
      <c r="D14" s="123" t="s">
        <v>146</v>
      </c>
      <c r="E14" s="123" t="s">
        <v>1750</v>
      </c>
      <c r="F14" s="123" t="s">
        <v>1638</v>
      </c>
      <c r="G14" s="123" t="s">
        <v>146</v>
      </c>
      <c r="H14" s="123" t="s">
        <v>1114</v>
      </c>
      <c r="I14" s="123" t="s">
        <v>1114</v>
      </c>
      <c r="K14" s="124" t="s">
        <v>1753</v>
      </c>
      <c r="L14" s="123">
        <v>12</v>
      </c>
      <c r="M14" s="125">
        <v>43525</v>
      </c>
      <c r="N14" s="123" t="s">
        <v>1620</v>
      </c>
      <c r="O14" s="126" t="s">
        <v>146</v>
      </c>
      <c r="P14" s="126">
        <v>90</v>
      </c>
      <c r="Q14" s="123">
        <v>1219.9000000000001</v>
      </c>
      <c r="Z14" s="123" t="s">
        <v>119</v>
      </c>
      <c r="AA14" s="123">
        <v>1</v>
      </c>
      <c r="AB14" s="123" t="s">
        <v>130</v>
      </c>
      <c r="AC14" s="22" t="s">
        <v>896</v>
      </c>
      <c r="AD14" s="22" t="s">
        <v>1639</v>
      </c>
      <c r="AG14" s="22" t="s">
        <v>1640</v>
      </c>
      <c r="AL14" s="95" t="s">
        <v>155</v>
      </c>
      <c r="AM14" s="31" t="s">
        <v>1583</v>
      </c>
      <c r="AN14" s="31">
        <v>4060815</v>
      </c>
      <c r="AO14" s="31">
        <v>0.28000000000000003</v>
      </c>
      <c r="AP14" s="95">
        <f>3.5/4</f>
        <v>0.875</v>
      </c>
      <c r="AQ14" s="95">
        <v>8</v>
      </c>
      <c r="AR14" s="95">
        <v>10</v>
      </c>
      <c r="AS14" s="95">
        <v>5.5</v>
      </c>
      <c r="AT14" s="95"/>
      <c r="AU14" s="95">
        <v>0</v>
      </c>
      <c r="AV14" s="95">
        <v>8760</v>
      </c>
      <c r="AW14" s="300" t="s">
        <v>138</v>
      </c>
      <c r="AY14" s="95"/>
      <c r="AZ14" s="95"/>
      <c r="BA14" s="305"/>
      <c r="BB14" s="95" t="e">
        <v>#N/A</v>
      </c>
      <c r="BC14" s="95">
        <v>0</v>
      </c>
      <c r="BD14" s="95">
        <v>2000</v>
      </c>
      <c r="BE14" s="95">
        <v>1000</v>
      </c>
      <c r="BF14" s="95">
        <v>0</v>
      </c>
      <c r="BG14" s="95">
        <v>8760</v>
      </c>
      <c r="BH14" s="95" t="s">
        <v>138</v>
      </c>
      <c r="BL14" s="95" t="s">
        <v>2458</v>
      </c>
      <c r="BM14" s="95" t="s">
        <v>2458</v>
      </c>
      <c r="BN14" s="95">
        <v>4060510</v>
      </c>
      <c r="BO14" s="95">
        <v>16</v>
      </c>
      <c r="BP14" s="95">
        <v>1</v>
      </c>
      <c r="BQ14" s="95">
        <v>50</v>
      </c>
      <c r="BR14" s="95">
        <v>0</v>
      </c>
      <c r="BS14" s="95">
        <v>5</v>
      </c>
      <c r="BT14" s="95">
        <v>8500</v>
      </c>
      <c r="BU14" s="95">
        <v>8760</v>
      </c>
      <c r="BV14" s="95" t="s">
        <v>138</v>
      </c>
      <c r="BX14" t="s">
        <v>581</v>
      </c>
      <c r="BY14" t="s">
        <v>1531</v>
      </c>
      <c r="BZ14" t="s">
        <v>1462</v>
      </c>
      <c r="CA14">
        <v>258</v>
      </c>
      <c r="CC14" t="s">
        <v>155</v>
      </c>
      <c r="CD14" t="s">
        <v>661</v>
      </c>
      <c r="CE14" t="s">
        <v>1336</v>
      </c>
      <c r="CF14" t="s">
        <v>141</v>
      </c>
      <c r="CG14">
        <v>17</v>
      </c>
      <c r="CH14" t="s">
        <v>810</v>
      </c>
    </row>
    <row r="15" spans="1:89" ht="12.75" customHeight="1" x14ac:dyDescent="0.25">
      <c r="A15" s="123">
        <v>4100410</v>
      </c>
      <c r="B15" s="124" t="s">
        <v>1963</v>
      </c>
      <c r="C15" s="123" t="s">
        <v>1964</v>
      </c>
      <c r="D15" s="123" t="s">
        <v>146</v>
      </c>
      <c r="E15" s="123" t="s">
        <v>1962</v>
      </c>
      <c r="F15" s="123" t="s">
        <v>1965</v>
      </c>
      <c r="G15" s="123" t="s">
        <v>146</v>
      </c>
      <c r="H15" s="123" t="s">
        <v>1966</v>
      </c>
      <c r="I15" s="123" t="s">
        <v>1966</v>
      </c>
      <c r="K15" s="124" t="s">
        <v>1981</v>
      </c>
      <c r="L15" s="123">
        <v>15</v>
      </c>
      <c r="M15" s="125">
        <v>43862</v>
      </c>
      <c r="N15" s="123" t="s">
        <v>1620</v>
      </c>
      <c r="O15" s="126" t="s">
        <v>518</v>
      </c>
      <c r="P15" s="126">
        <v>85</v>
      </c>
      <c r="Q15" s="123">
        <v>1409</v>
      </c>
      <c r="Z15" s="123" t="s">
        <v>119</v>
      </c>
      <c r="AA15" s="123">
        <v>1</v>
      </c>
      <c r="AB15" s="123" t="s">
        <v>1967</v>
      </c>
      <c r="AC15" s="22" t="s">
        <v>1968</v>
      </c>
      <c r="AG15" s="22" t="s">
        <v>1963</v>
      </c>
      <c r="AL15" s="95" t="s">
        <v>143</v>
      </c>
      <c r="AM15" s="31" t="s">
        <v>1584</v>
      </c>
      <c r="AN15" s="31">
        <v>4060715</v>
      </c>
      <c r="AO15" s="31">
        <v>0.28000000000000003</v>
      </c>
      <c r="AP15" s="95">
        <f>3.5/4</f>
        <v>0.875</v>
      </c>
      <c r="AQ15" s="95">
        <v>6</v>
      </c>
      <c r="AR15" s="95">
        <v>9</v>
      </c>
      <c r="AS15" s="95">
        <v>5.5</v>
      </c>
      <c r="AT15" s="95"/>
      <c r="AU15" s="95">
        <v>0</v>
      </c>
      <c r="AV15" s="95">
        <v>8760</v>
      </c>
      <c r="AW15" s="300" t="s">
        <v>138</v>
      </c>
      <c r="BC15" s="95"/>
      <c r="BD15" s="95"/>
      <c r="BE15" s="95"/>
      <c r="BF15" s="95"/>
      <c r="BL15" s="590" t="s">
        <v>2126</v>
      </c>
      <c r="BM15" s="590"/>
      <c r="BN15" s="590"/>
      <c r="BO15" s="590" t="e">
        <v>#N/A</v>
      </c>
      <c r="BP15" s="590">
        <v>1</v>
      </c>
      <c r="BQ15" s="590">
        <v>200</v>
      </c>
      <c r="BR15" s="590"/>
      <c r="BS15" s="590">
        <v>200</v>
      </c>
      <c r="BT15" s="590">
        <v>0</v>
      </c>
      <c r="BU15" s="590">
        <v>8760</v>
      </c>
      <c r="BV15" s="590"/>
      <c r="BX15" t="s">
        <v>581</v>
      </c>
      <c r="BY15" t="s">
        <v>1515</v>
      </c>
      <c r="BZ15" t="s">
        <v>1517</v>
      </c>
      <c r="CA15">
        <v>72</v>
      </c>
      <c r="CC15" t="s">
        <v>155</v>
      </c>
      <c r="CD15" t="s">
        <v>1501</v>
      </c>
      <c r="CE15" t="s">
        <v>574</v>
      </c>
      <c r="CF15" t="s">
        <v>141</v>
      </c>
      <c r="CG15">
        <v>18</v>
      </c>
      <c r="CH15" t="s">
        <v>1445</v>
      </c>
    </row>
    <row r="16" spans="1:89" ht="12.75" customHeight="1" x14ac:dyDescent="0.25">
      <c r="O16" s="126"/>
      <c r="P16" s="126"/>
      <c r="AL16" s="95" t="s">
        <v>142</v>
      </c>
      <c r="AM16" s="31" t="s">
        <v>1585</v>
      </c>
      <c r="AN16" s="31">
        <v>4060615</v>
      </c>
      <c r="AO16" s="31">
        <v>0.35</v>
      </c>
      <c r="AP16" s="95">
        <f>9/4</f>
        <v>2.25</v>
      </c>
      <c r="AQ16" s="95">
        <v>6</v>
      </c>
      <c r="AR16" s="95">
        <v>8</v>
      </c>
      <c r="AS16" s="95">
        <v>3.5</v>
      </c>
      <c r="AT16" s="95"/>
      <c r="AU16" s="95">
        <v>0</v>
      </c>
      <c r="AV16" s="95">
        <v>8760</v>
      </c>
      <c r="AW16" s="300" t="s">
        <v>138</v>
      </c>
      <c r="AY16" s="261" t="s">
        <v>672</v>
      </c>
      <c r="AZ16" s="261" t="s">
        <v>679</v>
      </c>
      <c r="BA16" s="261" t="s">
        <v>687</v>
      </c>
      <c r="BB16" s="261" t="s">
        <v>682</v>
      </c>
      <c r="BC16" s="95"/>
      <c r="BD16" s="95"/>
      <c r="BE16" s="95"/>
      <c r="BF16" s="95"/>
      <c r="BX16" t="s">
        <v>581</v>
      </c>
      <c r="BY16" t="s">
        <v>1516</v>
      </c>
      <c r="BZ16" t="s">
        <v>1518</v>
      </c>
      <c r="CA16">
        <v>111</v>
      </c>
      <c r="CC16" t="s">
        <v>155</v>
      </c>
      <c r="CD16" t="s">
        <v>1501</v>
      </c>
      <c r="CE16" t="s">
        <v>659</v>
      </c>
      <c r="CF16" t="s">
        <v>141</v>
      </c>
      <c r="CG16">
        <v>19</v>
      </c>
      <c r="CH16" t="s">
        <v>1445</v>
      </c>
    </row>
    <row r="17" spans="1:86" ht="12.75" customHeight="1" x14ac:dyDescent="0.25">
      <c r="A17" s="123" t="s">
        <v>1080</v>
      </c>
      <c r="B17" s="123" t="s">
        <v>1081</v>
      </c>
      <c r="C17" s="123" t="s">
        <v>1082</v>
      </c>
      <c r="D17" s="123" t="s">
        <v>1083</v>
      </c>
      <c r="E17" s="123" t="s">
        <v>1084</v>
      </c>
      <c r="F17" s="123" t="s">
        <v>128</v>
      </c>
      <c r="G17" s="123" t="s">
        <v>1085</v>
      </c>
      <c r="H17" s="123" t="s">
        <v>1086</v>
      </c>
      <c r="I17" s="123" t="s">
        <v>129</v>
      </c>
      <c r="J17" s="123" t="s">
        <v>1087</v>
      </c>
      <c r="K17" s="124" t="s">
        <v>1088</v>
      </c>
      <c r="L17" s="123" t="s">
        <v>132</v>
      </c>
      <c r="M17" s="125" t="s">
        <v>1089</v>
      </c>
      <c r="N17" s="123" t="s">
        <v>136</v>
      </c>
      <c r="O17" s="123" t="s">
        <v>716</v>
      </c>
      <c r="P17" s="123" t="s">
        <v>131</v>
      </c>
      <c r="Q17" s="123" t="s">
        <v>134</v>
      </c>
      <c r="R17" s="123" t="s">
        <v>1090</v>
      </c>
      <c r="S17" s="123" t="s">
        <v>1091</v>
      </c>
      <c r="T17" s="123" t="s">
        <v>1092</v>
      </c>
      <c r="U17" s="123" t="s">
        <v>126</v>
      </c>
      <c r="V17" s="123" t="s">
        <v>0</v>
      </c>
      <c r="W17" s="123" t="s">
        <v>1093</v>
      </c>
      <c r="X17" s="123" t="s">
        <v>473</v>
      </c>
      <c r="Y17" s="123" t="s">
        <v>135</v>
      </c>
      <c r="Z17" s="123" t="s">
        <v>991</v>
      </c>
      <c r="AA17" s="123" t="s">
        <v>1094</v>
      </c>
      <c r="AB17" s="123" t="s">
        <v>90</v>
      </c>
      <c r="AC17" s="21" t="s">
        <v>156</v>
      </c>
      <c r="AD17" s="21" t="s">
        <v>157</v>
      </c>
      <c r="AE17" s="21" t="s">
        <v>160</v>
      </c>
      <c r="AF17" s="21" t="s">
        <v>209</v>
      </c>
      <c r="AG17" s="21" t="s">
        <v>158</v>
      </c>
      <c r="AH17" s="21" t="s">
        <v>159</v>
      </c>
      <c r="AI17" s="21" t="s">
        <v>161</v>
      </c>
      <c r="AJ17" s="21" t="s">
        <v>895</v>
      </c>
      <c r="AL17" s="95" t="s">
        <v>1359</v>
      </c>
      <c r="AM17" s="30" t="s">
        <v>1586</v>
      </c>
      <c r="AN17" s="31">
        <v>4060615</v>
      </c>
      <c r="AO17" s="30">
        <v>0.35</v>
      </c>
      <c r="AP17" s="95">
        <f>9/4</f>
        <v>2.25</v>
      </c>
      <c r="AQ17" s="95">
        <v>12</v>
      </c>
      <c r="AR17" s="95">
        <v>14</v>
      </c>
      <c r="AS17" s="95">
        <v>7.5</v>
      </c>
      <c r="AT17" s="95"/>
      <c r="AU17" s="95">
        <v>0</v>
      </c>
      <c r="AV17" s="95">
        <v>8760</v>
      </c>
      <c r="AW17" s="300" t="s">
        <v>138</v>
      </c>
      <c r="AY17" s="22">
        <v>50</v>
      </c>
      <c r="AZ17" s="95">
        <v>70</v>
      </c>
      <c r="BA17" s="22">
        <v>40</v>
      </c>
      <c r="BB17" s="95">
        <v>35</v>
      </c>
      <c r="BC17" s="95"/>
      <c r="BD17" s="95"/>
      <c r="BE17" s="95"/>
      <c r="BF17" s="95"/>
      <c r="BX17" t="s">
        <v>581</v>
      </c>
      <c r="BY17" t="s">
        <v>1494</v>
      </c>
      <c r="BZ17" t="s">
        <v>1496</v>
      </c>
      <c r="CA17">
        <v>80</v>
      </c>
      <c r="CC17" t="s">
        <v>155</v>
      </c>
      <c r="CD17" t="s">
        <v>1498</v>
      </c>
      <c r="CE17" t="s">
        <v>574</v>
      </c>
      <c r="CF17" t="s">
        <v>141</v>
      </c>
      <c r="CG17">
        <v>20</v>
      </c>
      <c r="CH17" t="s">
        <v>1445</v>
      </c>
    </row>
    <row r="18" spans="1:86" ht="12.75" customHeight="1" x14ac:dyDescent="0.25">
      <c r="A18" s="123">
        <v>4120211</v>
      </c>
      <c r="B18" s="124" t="s">
        <v>1754</v>
      </c>
      <c r="C18" s="123" t="s">
        <v>1098</v>
      </c>
      <c r="D18" s="123" t="s">
        <v>213</v>
      </c>
      <c r="E18" s="123" t="s">
        <v>732</v>
      </c>
      <c r="F18" s="123" t="s">
        <v>1099</v>
      </c>
      <c r="G18" s="123" t="s">
        <v>213</v>
      </c>
      <c r="H18" s="123" t="s">
        <v>1100</v>
      </c>
      <c r="I18" s="123" t="s">
        <v>1101</v>
      </c>
      <c r="K18" s="124" t="s">
        <v>1755</v>
      </c>
      <c r="L18" s="123">
        <v>15</v>
      </c>
      <c r="M18" s="125">
        <v>42456</v>
      </c>
      <c r="N18" s="123" t="s">
        <v>1095</v>
      </c>
      <c r="O18" s="123" t="s">
        <v>213</v>
      </c>
      <c r="P18" s="123">
        <v>1057</v>
      </c>
      <c r="Q18" s="123">
        <v>21156</v>
      </c>
      <c r="R18" s="123">
        <v>3.8325046020000002</v>
      </c>
      <c r="S18" s="123">
        <v>4.9962185668368311E-2</v>
      </c>
      <c r="T18" s="123">
        <v>275.7987555835947</v>
      </c>
      <c r="U18" s="123" t="s">
        <v>137</v>
      </c>
      <c r="V18" s="123" t="s">
        <v>1096</v>
      </c>
      <c r="W18" s="123" t="s">
        <v>1102</v>
      </c>
      <c r="X18" s="123" t="s">
        <v>1097</v>
      </c>
      <c r="Y18" s="123" t="s">
        <v>140</v>
      </c>
      <c r="Z18" s="123" t="s">
        <v>119</v>
      </c>
      <c r="AA18" s="123">
        <v>1</v>
      </c>
      <c r="AB18" s="123" t="s">
        <v>130</v>
      </c>
      <c r="AC18" s="123" t="s">
        <v>1100</v>
      </c>
      <c r="AG18" s="123" t="s">
        <v>1121</v>
      </c>
      <c r="AL18" s="95" t="s">
        <v>155</v>
      </c>
      <c r="AM18" s="31" t="s">
        <v>1591</v>
      </c>
      <c r="AN18" s="31">
        <v>4060811</v>
      </c>
      <c r="AO18" s="31">
        <v>0.4</v>
      </c>
      <c r="AP18" s="95">
        <v>0.4</v>
      </c>
      <c r="AQ18" s="95">
        <v>8</v>
      </c>
      <c r="AR18" s="95">
        <v>10</v>
      </c>
      <c r="AS18" s="95">
        <v>5.5</v>
      </c>
      <c r="AT18" s="95"/>
      <c r="AU18" s="95">
        <v>0</v>
      </c>
      <c r="AV18" s="95">
        <v>8760</v>
      </c>
      <c r="AW18" s="300" t="s">
        <v>138</v>
      </c>
      <c r="AY18" s="22">
        <v>70</v>
      </c>
      <c r="AZ18" s="22">
        <v>100</v>
      </c>
      <c r="BA18" s="22">
        <v>50</v>
      </c>
      <c r="BB18" s="95">
        <v>50</v>
      </c>
      <c r="BC18" s="95"/>
      <c r="BD18" s="95"/>
      <c r="BE18" s="95"/>
      <c r="BF18" s="95"/>
      <c r="BX18" t="s">
        <v>581</v>
      </c>
      <c r="BY18" t="s">
        <v>1495</v>
      </c>
      <c r="BZ18" t="s">
        <v>1497</v>
      </c>
      <c r="CA18">
        <v>122</v>
      </c>
      <c r="CC18" t="s">
        <v>155</v>
      </c>
      <c r="CD18" t="s">
        <v>1498</v>
      </c>
      <c r="CE18" t="s">
        <v>659</v>
      </c>
      <c r="CF18" t="s">
        <v>141</v>
      </c>
      <c r="CG18">
        <v>21</v>
      </c>
      <c r="CH18" t="s">
        <v>1445</v>
      </c>
    </row>
    <row r="19" spans="1:86" ht="12.75" customHeight="1" x14ac:dyDescent="0.25">
      <c r="A19" s="123">
        <v>4120212</v>
      </c>
      <c r="B19" s="124" t="s">
        <v>1756</v>
      </c>
      <c r="C19" s="123" t="s">
        <v>1103</v>
      </c>
      <c r="D19" s="123" t="s">
        <v>213</v>
      </c>
      <c r="E19" s="123" t="s">
        <v>732</v>
      </c>
      <c r="F19" s="123" t="s">
        <v>1099</v>
      </c>
      <c r="G19" s="123" t="s">
        <v>213</v>
      </c>
      <c r="H19" s="123" t="s">
        <v>1104</v>
      </c>
      <c r="I19" s="123" t="s">
        <v>1105</v>
      </c>
      <c r="K19" s="124" t="s">
        <v>1757</v>
      </c>
      <c r="L19" s="123">
        <v>15</v>
      </c>
      <c r="M19" s="125">
        <v>42456</v>
      </c>
      <c r="N19" s="123" t="s">
        <v>1095</v>
      </c>
      <c r="O19" s="123" t="s">
        <v>213</v>
      </c>
      <c r="P19" s="123">
        <v>2664</v>
      </c>
      <c r="Q19" s="123">
        <v>52890</v>
      </c>
      <c r="R19" s="123">
        <v>9.5812615050000005</v>
      </c>
      <c r="S19" s="123">
        <v>5.036868973340896E-2</v>
      </c>
      <c r="T19" s="123">
        <v>278.04271896866464</v>
      </c>
      <c r="U19" s="123" t="s">
        <v>137</v>
      </c>
      <c r="V19" s="123" t="s">
        <v>1096</v>
      </c>
      <c r="W19" s="123" t="s">
        <v>1102</v>
      </c>
      <c r="X19" s="123" t="s">
        <v>1097</v>
      </c>
      <c r="Y19" s="123" t="s">
        <v>140</v>
      </c>
      <c r="Z19" s="123" t="s">
        <v>119</v>
      </c>
      <c r="AA19" s="123">
        <v>1</v>
      </c>
      <c r="AB19" s="123" t="s">
        <v>130</v>
      </c>
      <c r="AC19" s="123" t="s">
        <v>1104</v>
      </c>
      <c r="AG19" s="123" t="s">
        <v>1122</v>
      </c>
      <c r="AL19" s="95" t="s">
        <v>143</v>
      </c>
      <c r="AM19" s="31" t="s">
        <v>1592</v>
      </c>
      <c r="AN19" s="31">
        <v>4060711</v>
      </c>
      <c r="AO19" s="31">
        <v>0.42</v>
      </c>
      <c r="AP19" s="95">
        <v>0.42</v>
      </c>
      <c r="AQ19" s="95">
        <v>6</v>
      </c>
      <c r="AR19" s="95">
        <v>9</v>
      </c>
      <c r="AS19" s="95">
        <v>5.5</v>
      </c>
      <c r="AT19" s="95"/>
      <c r="AU19" s="95">
        <v>0</v>
      </c>
      <c r="AV19" s="95">
        <v>8760</v>
      </c>
      <c r="AW19" s="300" t="s">
        <v>138</v>
      </c>
      <c r="AY19" s="22">
        <v>100</v>
      </c>
      <c r="AZ19" s="22">
        <v>150</v>
      </c>
      <c r="BA19" s="22">
        <v>75</v>
      </c>
      <c r="BB19" s="95">
        <v>70</v>
      </c>
      <c r="BC19" s="95"/>
      <c r="BD19" s="95"/>
      <c r="BE19" s="95"/>
      <c r="BF19" s="95"/>
      <c r="BX19" t="s">
        <v>581</v>
      </c>
      <c r="BY19" t="s">
        <v>590</v>
      </c>
      <c r="BZ19" t="s">
        <v>763</v>
      </c>
      <c r="CA19">
        <v>83</v>
      </c>
      <c r="CC19" t="s">
        <v>155</v>
      </c>
      <c r="CD19" t="s">
        <v>664</v>
      </c>
      <c r="CE19" t="s">
        <v>574</v>
      </c>
      <c r="CF19" t="s">
        <v>141</v>
      </c>
      <c r="CG19">
        <v>22</v>
      </c>
      <c r="CH19" t="s">
        <v>809</v>
      </c>
    </row>
    <row r="20" spans="1:86" ht="12.75" customHeight="1" x14ac:dyDescent="0.25">
      <c r="A20" s="123">
        <v>4120213</v>
      </c>
      <c r="B20" s="124" t="s">
        <v>1758</v>
      </c>
      <c r="C20" s="123" t="s">
        <v>1106</v>
      </c>
      <c r="D20" s="123" t="s">
        <v>213</v>
      </c>
      <c r="E20" s="123" t="s">
        <v>732</v>
      </c>
      <c r="F20" s="123" t="s">
        <v>1099</v>
      </c>
      <c r="G20" s="123" t="s">
        <v>213</v>
      </c>
      <c r="H20" s="123" t="s">
        <v>1107</v>
      </c>
      <c r="I20" s="123" t="s">
        <v>1108</v>
      </c>
      <c r="K20" s="124" t="s">
        <v>1759</v>
      </c>
      <c r="L20" s="123">
        <v>15</v>
      </c>
      <c r="M20" s="125">
        <v>42456</v>
      </c>
      <c r="N20" s="123" t="s">
        <v>1095</v>
      </c>
      <c r="O20" s="123" t="s">
        <v>213</v>
      </c>
      <c r="P20" s="123">
        <v>5007</v>
      </c>
      <c r="Q20" s="123">
        <v>141041</v>
      </c>
      <c r="R20" s="123">
        <v>25.550211834500001</v>
      </c>
      <c r="S20" s="123">
        <v>4.9999645493154471E-2</v>
      </c>
      <c r="T20" s="123">
        <v>276.00553943266368</v>
      </c>
      <c r="U20" s="123" t="s">
        <v>137</v>
      </c>
      <c r="V20" s="123" t="s">
        <v>1096</v>
      </c>
      <c r="W20" s="123" t="s">
        <v>1102</v>
      </c>
      <c r="X20" s="123" t="s">
        <v>1097</v>
      </c>
      <c r="Y20" s="123" t="s">
        <v>140</v>
      </c>
      <c r="Z20" s="123" t="s">
        <v>119</v>
      </c>
      <c r="AA20" s="123">
        <v>1</v>
      </c>
      <c r="AB20" s="123" t="s">
        <v>130</v>
      </c>
      <c r="AC20" s="123" t="s">
        <v>1107</v>
      </c>
      <c r="AG20" s="123" t="s">
        <v>1123</v>
      </c>
      <c r="AL20" s="95" t="s">
        <v>142</v>
      </c>
      <c r="AM20" s="31" t="s">
        <v>1593</v>
      </c>
      <c r="AN20" s="31">
        <v>4060611</v>
      </c>
      <c r="AO20" s="31">
        <v>0.42</v>
      </c>
      <c r="AP20" s="95">
        <v>0.42</v>
      </c>
      <c r="AQ20" s="95">
        <v>6</v>
      </c>
      <c r="AR20" s="95">
        <v>8</v>
      </c>
      <c r="AS20" s="95">
        <v>3.5</v>
      </c>
      <c r="AT20" s="95"/>
      <c r="AU20" s="95">
        <v>0</v>
      </c>
      <c r="AV20" s="95">
        <v>8760</v>
      </c>
      <c r="AW20" s="300" t="s">
        <v>138</v>
      </c>
      <c r="AY20" s="22">
        <v>150</v>
      </c>
      <c r="AZ20" s="22">
        <v>175</v>
      </c>
      <c r="BA20" s="22">
        <v>100</v>
      </c>
      <c r="BB20" s="95">
        <v>100</v>
      </c>
      <c r="BX20" t="s">
        <v>581</v>
      </c>
      <c r="BY20" t="s">
        <v>591</v>
      </c>
      <c r="BZ20" t="s">
        <v>764</v>
      </c>
      <c r="CA20">
        <v>138</v>
      </c>
      <c r="CC20" t="s">
        <v>155</v>
      </c>
      <c r="CD20" t="s">
        <v>664</v>
      </c>
      <c r="CE20" t="s">
        <v>659</v>
      </c>
      <c r="CF20" t="s">
        <v>141</v>
      </c>
      <c r="CG20">
        <v>23</v>
      </c>
      <c r="CH20" t="s">
        <v>809</v>
      </c>
    </row>
    <row r="21" spans="1:86" ht="12.75" customHeight="1" x14ac:dyDescent="0.25">
      <c r="A21" s="123">
        <v>4120214</v>
      </c>
      <c r="B21" s="124" t="s">
        <v>1760</v>
      </c>
      <c r="C21" s="123" t="s">
        <v>1109</v>
      </c>
      <c r="D21" s="123" t="s">
        <v>213</v>
      </c>
      <c r="E21" s="123" t="s">
        <v>732</v>
      </c>
      <c r="F21" s="123" t="s">
        <v>1099</v>
      </c>
      <c r="G21" s="123" t="s">
        <v>213</v>
      </c>
      <c r="H21" s="123" t="s">
        <v>1110</v>
      </c>
      <c r="I21" s="123" t="s">
        <v>1111</v>
      </c>
      <c r="K21" s="124" t="s">
        <v>1761</v>
      </c>
      <c r="L21" s="123">
        <v>15</v>
      </c>
      <c r="M21" s="125">
        <v>42456</v>
      </c>
      <c r="N21" s="123" t="s">
        <v>1095</v>
      </c>
      <c r="O21" s="123" t="s">
        <v>213</v>
      </c>
      <c r="P21" s="123">
        <v>14000</v>
      </c>
      <c r="Q21" s="123">
        <v>282081</v>
      </c>
      <c r="R21" s="123">
        <v>51.100242514500003</v>
      </c>
      <c r="S21" s="123">
        <v>4.9631134319574874E-2</v>
      </c>
      <c r="T21" s="123">
        <v>273.97130250462931</v>
      </c>
      <c r="U21" s="123" t="s">
        <v>137</v>
      </c>
      <c r="V21" s="123" t="s">
        <v>1096</v>
      </c>
      <c r="W21" s="123" t="s">
        <v>1102</v>
      </c>
      <c r="X21" s="123" t="s">
        <v>1097</v>
      </c>
      <c r="Y21" s="123" t="s">
        <v>140</v>
      </c>
      <c r="Z21" s="123" t="s">
        <v>119</v>
      </c>
      <c r="AA21" s="123">
        <v>1</v>
      </c>
      <c r="AB21" s="123" t="s">
        <v>130</v>
      </c>
      <c r="AC21" s="123" t="s">
        <v>1110</v>
      </c>
      <c r="AG21" s="123" t="s">
        <v>1124</v>
      </c>
      <c r="AL21" s="95" t="s">
        <v>1359</v>
      </c>
      <c r="AM21" s="30" t="s">
        <v>1594</v>
      </c>
      <c r="AN21" s="31">
        <v>4060611</v>
      </c>
      <c r="AO21" s="30">
        <v>0.42</v>
      </c>
      <c r="AP21" s="95">
        <v>0.42</v>
      </c>
      <c r="AQ21" s="95">
        <v>12</v>
      </c>
      <c r="AR21" s="95">
        <v>14</v>
      </c>
      <c r="AS21" s="95">
        <v>7.5</v>
      </c>
      <c r="AT21" s="95"/>
      <c r="AU21" s="95">
        <v>0</v>
      </c>
      <c r="AV21" s="95">
        <v>8760</v>
      </c>
      <c r="AW21" s="300" t="s">
        <v>138</v>
      </c>
      <c r="AY21" s="22">
        <v>175</v>
      </c>
      <c r="AZ21" s="22">
        <v>200</v>
      </c>
      <c r="BA21" s="22">
        <v>175</v>
      </c>
      <c r="BB21" s="95">
        <v>150</v>
      </c>
      <c r="BX21" t="s">
        <v>581</v>
      </c>
      <c r="BY21" t="s">
        <v>592</v>
      </c>
      <c r="BZ21" t="s">
        <v>765</v>
      </c>
      <c r="CA21">
        <v>221</v>
      </c>
      <c r="CC21" t="s">
        <v>155</v>
      </c>
      <c r="CD21" t="s">
        <v>664</v>
      </c>
      <c r="CE21" t="s">
        <v>662</v>
      </c>
      <c r="CF21" t="s">
        <v>141</v>
      </c>
      <c r="CG21">
        <v>24</v>
      </c>
      <c r="CH21" t="s">
        <v>809</v>
      </c>
    </row>
    <row r="22" spans="1:86" ht="12.75" customHeight="1" x14ac:dyDescent="0.25">
      <c r="A22" s="307"/>
      <c r="B22" s="308"/>
      <c r="C22" s="307"/>
      <c r="D22" s="307"/>
      <c r="E22" s="307"/>
      <c r="F22" s="307"/>
      <c r="G22" s="307"/>
      <c r="H22" s="307"/>
      <c r="I22" s="307"/>
      <c r="J22" s="307"/>
      <c r="K22" s="308"/>
      <c r="L22" s="307"/>
      <c r="M22" s="309"/>
      <c r="N22" s="307"/>
      <c r="O22" s="307"/>
      <c r="P22" s="307"/>
      <c r="Q22" s="307"/>
      <c r="R22" s="307"/>
      <c r="S22" s="307"/>
      <c r="T22" s="307"/>
      <c r="U22" s="307"/>
      <c r="V22" s="307"/>
      <c r="W22" s="307"/>
      <c r="X22" s="307"/>
      <c r="Y22" s="307"/>
      <c r="Z22" s="307"/>
      <c r="AA22" s="307"/>
      <c r="AB22" s="307"/>
      <c r="AC22" s="307"/>
      <c r="AD22" s="310"/>
      <c r="AE22" s="310"/>
      <c r="AF22" s="310"/>
      <c r="AG22" s="307"/>
      <c r="AH22" s="310"/>
      <c r="AI22" s="310"/>
      <c r="AJ22" s="310"/>
      <c r="AL22" s="95" t="s">
        <v>155</v>
      </c>
      <c r="AM22" s="31" t="s">
        <v>1595</v>
      </c>
      <c r="AN22" s="31">
        <v>4060810</v>
      </c>
      <c r="AO22" s="31">
        <v>0.46</v>
      </c>
      <c r="AP22" s="95">
        <v>0.46</v>
      </c>
      <c r="AQ22" s="95">
        <v>8</v>
      </c>
      <c r="AR22" s="95">
        <v>10</v>
      </c>
      <c r="AS22" s="95">
        <v>5.5</v>
      </c>
      <c r="AT22" s="95"/>
      <c r="AU22" s="95">
        <v>0</v>
      </c>
      <c r="AV22" s="95">
        <v>8760</v>
      </c>
      <c r="AW22" s="300" t="s">
        <v>138</v>
      </c>
      <c r="AY22" s="22">
        <v>250</v>
      </c>
      <c r="AZ22" s="22">
        <v>250</v>
      </c>
      <c r="BA22" s="22">
        <v>250</v>
      </c>
      <c r="BB22" s="95">
        <v>200</v>
      </c>
      <c r="BL22" s="22" t="s">
        <v>1384</v>
      </c>
      <c r="BM22" s="22" t="s">
        <v>1383</v>
      </c>
      <c r="BN22" s="22" t="s">
        <v>1387</v>
      </c>
      <c r="BP22" s="22" t="s">
        <v>2111</v>
      </c>
      <c r="BR22" s="261" t="s">
        <v>2115</v>
      </c>
      <c r="BT22" s="22" t="s">
        <v>2116</v>
      </c>
      <c r="BX22" t="s">
        <v>581</v>
      </c>
      <c r="BY22" t="s">
        <v>593</v>
      </c>
      <c r="BZ22" t="s">
        <v>766</v>
      </c>
      <c r="CA22">
        <v>276</v>
      </c>
      <c r="CC22" t="s">
        <v>155</v>
      </c>
      <c r="CD22" t="s">
        <v>664</v>
      </c>
      <c r="CE22" t="s">
        <v>663</v>
      </c>
      <c r="CF22" t="s">
        <v>141</v>
      </c>
      <c r="CG22">
        <v>25</v>
      </c>
      <c r="CH22" t="s">
        <v>809</v>
      </c>
    </row>
    <row r="23" spans="1:86" ht="12.75" customHeight="1" x14ac:dyDescent="0.25">
      <c r="A23" s="318" t="s">
        <v>1080</v>
      </c>
      <c r="B23" s="319" t="s">
        <v>1081</v>
      </c>
      <c r="C23" s="319" t="s">
        <v>1082</v>
      </c>
      <c r="D23" s="319" t="s">
        <v>1083</v>
      </c>
      <c r="E23" s="319" t="s">
        <v>1084</v>
      </c>
      <c r="F23" s="319" t="s">
        <v>128</v>
      </c>
      <c r="G23" s="319" t="s">
        <v>1085</v>
      </c>
      <c r="H23" s="319" t="s">
        <v>1086</v>
      </c>
      <c r="I23" s="319" t="s">
        <v>129</v>
      </c>
      <c r="J23" s="319" t="s">
        <v>1087</v>
      </c>
      <c r="K23" s="320" t="s">
        <v>1088</v>
      </c>
      <c r="L23" s="319" t="s">
        <v>132</v>
      </c>
      <c r="M23" s="321" t="s">
        <v>1089</v>
      </c>
      <c r="N23" s="319" t="s">
        <v>136</v>
      </c>
      <c r="O23" s="319" t="s">
        <v>716</v>
      </c>
      <c r="P23" s="319" t="s">
        <v>131</v>
      </c>
      <c r="Q23" s="319" t="s">
        <v>134</v>
      </c>
      <c r="R23" s="319" t="s">
        <v>1090</v>
      </c>
      <c r="S23" s="319" t="s">
        <v>1091</v>
      </c>
      <c r="T23" s="319" t="s">
        <v>1092</v>
      </c>
      <c r="U23" s="319" t="s">
        <v>126</v>
      </c>
      <c r="V23" s="319" t="s">
        <v>0</v>
      </c>
      <c r="W23" s="319" t="s">
        <v>1093</v>
      </c>
      <c r="X23" s="319" t="s">
        <v>473</v>
      </c>
      <c r="Y23" s="319" t="s">
        <v>135</v>
      </c>
      <c r="Z23" s="319" t="s">
        <v>991</v>
      </c>
      <c r="AA23" s="319" t="s">
        <v>1094</v>
      </c>
      <c r="AB23" s="319" t="s">
        <v>90</v>
      </c>
      <c r="AC23" s="322" t="s">
        <v>156</v>
      </c>
      <c r="AD23" s="322" t="s">
        <v>157</v>
      </c>
      <c r="AE23" s="322" t="s">
        <v>160</v>
      </c>
      <c r="AF23" s="322" t="s">
        <v>209</v>
      </c>
      <c r="AG23" s="322" t="s">
        <v>158</v>
      </c>
      <c r="AH23" s="322" t="s">
        <v>159</v>
      </c>
      <c r="AI23" s="322" t="s">
        <v>1665</v>
      </c>
      <c r="AJ23" s="323" t="s">
        <v>1666</v>
      </c>
      <c r="AL23" s="95" t="s">
        <v>143</v>
      </c>
      <c r="AM23" s="31" t="s">
        <v>1596</v>
      </c>
      <c r="AN23" s="31">
        <v>4060710</v>
      </c>
      <c r="AO23" s="31">
        <v>0.48</v>
      </c>
      <c r="AP23" s="95">
        <v>0.48</v>
      </c>
      <c r="AQ23" s="95">
        <v>6</v>
      </c>
      <c r="AR23" s="95">
        <v>9</v>
      </c>
      <c r="AS23" s="95">
        <v>5.5</v>
      </c>
      <c r="AT23" s="95"/>
      <c r="AU23" s="95">
        <v>0</v>
      </c>
      <c r="AV23" s="95">
        <v>8760</v>
      </c>
      <c r="AW23" s="300" t="s">
        <v>138</v>
      </c>
      <c r="AY23" s="22">
        <v>400</v>
      </c>
      <c r="AZ23" s="22">
        <v>320</v>
      </c>
      <c r="BA23" s="22">
        <v>400</v>
      </c>
      <c r="BB23" s="95">
        <v>250</v>
      </c>
      <c r="BL23" s="22" t="s">
        <v>1400</v>
      </c>
      <c r="BM23" s="22" t="s">
        <v>1401</v>
      </c>
      <c r="BN23" s="22" t="s">
        <v>2457</v>
      </c>
      <c r="BP23" s="95" t="s">
        <v>1702</v>
      </c>
      <c r="BR23" s="95" t="s">
        <v>2113</v>
      </c>
      <c r="BT23" s="22" t="s">
        <v>2117</v>
      </c>
      <c r="BX23" t="s">
        <v>594</v>
      </c>
      <c r="BY23" t="s">
        <v>1857</v>
      </c>
      <c r="BZ23" t="s">
        <v>1860</v>
      </c>
      <c r="CA23">
        <v>82</v>
      </c>
      <c r="CC23" t="s">
        <v>155</v>
      </c>
      <c r="CD23" t="s">
        <v>661</v>
      </c>
      <c r="CE23" t="s">
        <v>663</v>
      </c>
      <c r="CF23" t="s">
        <v>141</v>
      </c>
      <c r="CH23" t="s">
        <v>1445</v>
      </c>
    </row>
    <row r="24" spans="1:86" ht="12.75" customHeight="1" x14ac:dyDescent="0.25">
      <c r="A24" s="546">
        <v>4080311</v>
      </c>
      <c r="B24" s="547" t="s">
        <v>2016</v>
      </c>
      <c r="C24" s="548" t="s">
        <v>2015</v>
      </c>
      <c r="D24" s="548" t="s">
        <v>515</v>
      </c>
      <c r="E24" s="548" t="s">
        <v>742</v>
      </c>
      <c r="F24" s="548" t="s">
        <v>1658</v>
      </c>
      <c r="G24" s="548" t="s">
        <v>515</v>
      </c>
      <c r="H24" s="548" t="s">
        <v>2028</v>
      </c>
      <c r="I24" s="548" t="s">
        <v>1659</v>
      </c>
      <c r="J24" s="548"/>
      <c r="K24" s="547" t="s">
        <v>1762</v>
      </c>
      <c r="L24" s="548">
        <v>15</v>
      </c>
      <c r="M24" s="549">
        <v>43525</v>
      </c>
      <c r="N24" s="548" t="s">
        <v>1620</v>
      </c>
      <c r="O24" s="548" t="s">
        <v>515</v>
      </c>
      <c r="P24" s="548">
        <v>200</v>
      </c>
      <c r="Q24" s="548">
        <v>1289.5999999999999</v>
      </c>
      <c r="R24" s="548"/>
      <c r="S24" s="548">
        <v>4.9962185668368311E-2</v>
      </c>
      <c r="T24" s="548">
        <v>275.7987555835947</v>
      </c>
      <c r="U24" s="548" t="s">
        <v>137</v>
      </c>
      <c r="V24" s="548" t="s">
        <v>1096</v>
      </c>
      <c r="W24" s="548" t="s">
        <v>1102</v>
      </c>
      <c r="X24" s="548" t="s">
        <v>1097</v>
      </c>
      <c r="Y24" s="548" t="s">
        <v>140</v>
      </c>
      <c r="Z24" s="548" t="s">
        <v>119</v>
      </c>
      <c r="AA24" s="548">
        <v>1</v>
      </c>
      <c r="AB24" s="548" t="s">
        <v>1660</v>
      </c>
      <c r="AC24" s="548" t="s">
        <v>2014</v>
      </c>
      <c r="AD24" s="550"/>
      <c r="AE24" s="550"/>
      <c r="AF24" s="550"/>
      <c r="AG24" s="548" t="s">
        <v>2013</v>
      </c>
      <c r="AH24" s="550"/>
      <c r="AI24" s="550">
        <v>1</v>
      </c>
      <c r="AJ24" s="551">
        <v>9999999</v>
      </c>
      <c r="AL24" s="95" t="s">
        <v>142</v>
      </c>
      <c r="AM24" s="31" t="s">
        <v>1597</v>
      </c>
      <c r="AN24" s="31">
        <v>4060610</v>
      </c>
      <c r="AO24" s="31">
        <v>0.48</v>
      </c>
      <c r="AP24" s="95">
        <v>0.48</v>
      </c>
      <c r="AQ24" s="95">
        <v>6</v>
      </c>
      <c r="AR24" s="95">
        <v>8</v>
      </c>
      <c r="AS24" s="95">
        <v>3.5</v>
      </c>
      <c r="AT24" s="95"/>
      <c r="AU24" s="95">
        <v>0</v>
      </c>
      <c r="AV24" s="95">
        <v>8760</v>
      </c>
      <c r="AW24" s="300" t="s">
        <v>138</v>
      </c>
      <c r="AY24" s="22">
        <v>1000</v>
      </c>
      <c r="AZ24" s="22">
        <v>350</v>
      </c>
      <c r="BA24" s="95">
        <v>1000</v>
      </c>
      <c r="BB24" s="95">
        <v>400</v>
      </c>
      <c r="BM24" s="22" t="s">
        <v>1688</v>
      </c>
      <c r="BP24" s="95" t="s">
        <v>1703</v>
      </c>
      <c r="BR24" s="95" t="s">
        <v>2121</v>
      </c>
      <c r="BT24" s="22" t="s">
        <v>2118</v>
      </c>
      <c r="BX24" t="s">
        <v>594</v>
      </c>
      <c r="BY24" t="s">
        <v>1858</v>
      </c>
      <c r="BZ24" t="s">
        <v>1861</v>
      </c>
      <c r="CA24">
        <v>133</v>
      </c>
      <c r="CC24" t="s">
        <v>155</v>
      </c>
      <c r="CD24" t="s">
        <v>661</v>
      </c>
      <c r="CE24" t="s">
        <v>663</v>
      </c>
      <c r="CF24" t="s">
        <v>141</v>
      </c>
      <c r="CH24" t="s">
        <v>1445</v>
      </c>
    </row>
    <row r="25" spans="1:86" ht="12.75" customHeight="1" x14ac:dyDescent="0.25">
      <c r="A25" s="552">
        <v>4080411</v>
      </c>
      <c r="B25" s="553" t="s">
        <v>2017</v>
      </c>
      <c r="C25" s="554" t="s">
        <v>1763</v>
      </c>
      <c r="D25" s="554" t="s">
        <v>144</v>
      </c>
      <c r="E25" s="548" t="s">
        <v>742</v>
      </c>
      <c r="F25" s="554" t="s">
        <v>1661</v>
      </c>
      <c r="G25" s="554" t="s">
        <v>144</v>
      </c>
      <c r="H25" s="554" t="s">
        <v>1662</v>
      </c>
      <c r="I25" s="554" t="s">
        <v>1662</v>
      </c>
      <c r="J25" s="554"/>
      <c r="K25" s="553" t="s">
        <v>1764</v>
      </c>
      <c r="L25" s="554">
        <v>15</v>
      </c>
      <c r="M25" s="555">
        <v>44013</v>
      </c>
      <c r="N25" s="554" t="s">
        <v>1620</v>
      </c>
      <c r="O25" s="554" t="s">
        <v>144</v>
      </c>
      <c r="P25" s="554">
        <v>150</v>
      </c>
      <c r="Q25" s="554">
        <v>1696.6</v>
      </c>
      <c r="R25" s="554"/>
      <c r="S25" s="554">
        <v>5.036868973340896E-2</v>
      </c>
      <c r="T25" s="554">
        <v>278.04271896866464</v>
      </c>
      <c r="U25" s="554" t="s">
        <v>137</v>
      </c>
      <c r="V25" s="554" t="s">
        <v>1096</v>
      </c>
      <c r="W25" s="554" t="s">
        <v>1102</v>
      </c>
      <c r="X25" s="554" t="s">
        <v>1097</v>
      </c>
      <c r="Y25" s="554" t="s">
        <v>140</v>
      </c>
      <c r="Z25" s="548" t="s">
        <v>119</v>
      </c>
      <c r="AA25" s="554">
        <v>1</v>
      </c>
      <c r="AB25" s="554" t="s">
        <v>1660</v>
      </c>
      <c r="AC25" s="554" t="s">
        <v>2018</v>
      </c>
      <c r="AD25" s="556"/>
      <c r="AE25" s="556"/>
      <c r="AF25" s="556"/>
      <c r="AG25" s="554" t="s">
        <v>2019</v>
      </c>
      <c r="AH25" s="556"/>
      <c r="AI25" s="556">
        <v>1</v>
      </c>
      <c r="AJ25" s="557">
        <v>9999999</v>
      </c>
      <c r="AL25" s="95" t="s">
        <v>1359</v>
      </c>
      <c r="AM25" s="30" t="s">
        <v>1598</v>
      </c>
      <c r="AN25" s="31">
        <v>4060610</v>
      </c>
      <c r="AO25" s="30">
        <v>0.48</v>
      </c>
      <c r="AP25" s="95">
        <v>0.48</v>
      </c>
      <c r="AQ25" s="95">
        <v>12</v>
      </c>
      <c r="AR25" s="95">
        <v>14</v>
      </c>
      <c r="AS25" s="95">
        <v>7.5</v>
      </c>
      <c r="AT25" s="95"/>
      <c r="AU25" s="95">
        <v>0</v>
      </c>
      <c r="AV25" s="95">
        <v>8760</v>
      </c>
      <c r="AW25" s="300" t="s">
        <v>138</v>
      </c>
      <c r="AY25" s="22">
        <v>1500</v>
      </c>
      <c r="AZ25" s="22">
        <v>400</v>
      </c>
      <c r="BB25" s="22">
        <v>1000</v>
      </c>
      <c r="BM25" s="22" t="s">
        <v>1689</v>
      </c>
      <c r="BP25" s="95" t="s">
        <v>1704</v>
      </c>
      <c r="BR25" s="95" t="s">
        <v>2122</v>
      </c>
      <c r="BT25" s="22" t="s">
        <v>2119</v>
      </c>
      <c r="BX25" t="s">
        <v>594</v>
      </c>
      <c r="BY25" t="s">
        <v>1859</v>
      </c>
      <c r="BZ25" t="s">
        <v>1862</v>
      </c>
      <c r="CA25">
        <v>263</v>
      </c>
      <c r="CC25" t="s">
        <v>155</v>
      </c>
      <c r="CD25" t="s">
        <v>661</v>
      </c>
      <c r="CE25" t="s">
        <v>663</v>
      </c>
      <c r="CF25" t="s">
        <v>141</v>
      </c>
      <c r="CH25" t="s">
        <v>1445</v>
      </c>
    </row>
    <row r="26" spans="1:86" ht="12.75" customHeight="1" x14ac:dyDescent="0.25">
      <c r="A26" s="546">
        <v>4080510</v>
      </c>
      <c r="B26" s="547" t="s">
        <v>1765</v>
      </c>
      <c r="C26" s="548" t="s">
        <v>1766</v>
      </c>
      <c r="D26" s="548" t="s">
        <v>519</v>
      </c>
      <c r="E26" s="548" t="s">
        <v>742</v>
      </c>
      <c r="F26" s="548" t="s">
        <v>1115</v>
      </c>
      <c r="G26" s="548" t="s">
        <v>519</v>
      </c>
      <c r="H26" s="548" t="s">
        <v>1116</v>
      </c>
      <c r="I26" s="548" t="s">
        <v>1116</v>
      </c>
      <c r="J26" s="548"/>
      <c r="K26" s="547" t="s">
        <v>1767</v>
      </c>
      <c r="L26" s="548">
        <v>15</v>
      </c>
      <c r="M26" s="549">
        <v>44013</v>
      </c>
      <c r="N26" s="554" t="s">
        <v>1620</v>
      </c>
      <c r="O26" s="548" t="s">
        <v>519</v>
      </c>
      <c r="P26" s="548">
        <v>100</v>
      </c>
      <c r="Q26" s="548">
        <v>1747</v>
      </c>
      <c r="R26" s="548"/>
      <c r="S26" s="548">
        <v>4.9780963759458383E-2</v>
      </c>
      <c r="T26" s="548">
        <v>360.87832633018485</v>
      </c>
      <c r="U26" s="548" t="s">
        <v>137</v>
      </c>
      <c r="V26" s="548" t="s">
        <v>1096</v>
      </c>
      <c r="W26" s="548" t="s">
        <v>1102</v>
      </c>
      <c r="X26" s="548" t="s">
        <v>1097</v>
      </c>
      <c r="Y26" s="548" t="s">
        <v>140</v>
      </c>
      <c r="Z26" s="548" t="s">
        <v>119</v>
      </c>
      <c r="AA26" s="548">
        <v>1</v>
      </c>
      <c r="AB26" s="548" t="s">
        <v>1660</v>
      </c>
      <c r="AC26" s="548" t="s">
        <v>1116</v>
      </c>
      <c r="AD26" s="550"/>
      <c r="AE26" s="550"/>
      <c r="AF26" s="550"/>
      <c r="AG26" s="548" t="s">
        <v>1115</v>
      </c>
      <c r="AH26" s="550"/>
      <c r="AI26" s="550">
        <v>0</v>
      </c>
      <c r="AJ26" s="551">
        <v>1000</v>
      </c>
      <c r="AL26" s="95" t="s">
        <v>155</v>
      </c>
      <c r="AM26" s="31" t="s">
        <v>1605</v>
      </c>
      <c r="AN26" s="31">
        <v>4060817</v>
      </c>
      <c r="AO26" s="31">
        <v>0.52</v>
      </c>
      <c r="AP26" s="95">
        <v>0.52</v>
      </c>
      <c r="AQ26" s="95">
        <v>8</v>
      </c>
      <c r="AR26" s="95">
        <v>10</v>
      </c>
      <c r="AS26" s="95">
        <v>5.5</v>
      </c>
      <c r="AT26" s="95"/>
      <c r="AU26" s="95">
        <v>0</v>
      </c>
      <c r="AV26" s="95">
        <v>8760</v>
      </c>
      <c r="AW26" s="95" t="s">
        <v>138</v>
      </c>
      <c r="AY26" s="22">
        <v>2000</v>
      </c>
      <c r="AZ26" s="22">
        <v>1000</v>
      </c>
      <c r="BA26" s="95"/>
      <c r="BM26" s="22" t="s">
        <v>1388</v>
      </c>
      <c r="BP26" s="95" t="s">
        <v>1705</v>
      </c>
      <c r="BT26" s="22" t="s">
        <v>2120</v>
      </c>
      <c r="BX26" t="s">
        <v>594</v>
      </c>
      <c r="BY26" t="s">
        <v>595</v>
      </c>
      <c r="BZ26" t="s">
        <v>767</v>
      </c>
      <c r="CA26">
        <v>125</v>
      </c>
      <c r="CC26" t="s">
        <v>665</v>
      </c>
      <c r="CD26" t="s">
        <v>664</v>
      </c>
      <c r="CE26" t="s">
        <v>574</v>
      </c>
      <c r="CF26" t="s">
        <v>141</v>
      </c>
      <c r="CG26">
        <v>26</v>
      </c>
      <c r="CH26" t="s">
        <v>809</v>
      </c>
    </row>
    <row r="27" spans="1:86" ht="12.75" customHeight="1" x14ac:dyDescent="0.25">
      <c r="A27" s="541">
        <v>4080611</v>
      </c>
      <c r="B27" s="543" t="s">
        <v>2023</v>
      </c>
      <c r="C27" s="541" t="s">
        <v>2022</v>
      </c>
      <c r="D27" s="541" t="s">
        <v>144</v>
      </c>
      <c r="E27" s="541" t="s">
        <v>741</v>
      </c>
      <c r="F27" s="541" t="s">
        <v>1663</v>
      </c>
      <c r="G27" s="541" t="s">
        <v>144</v>
      </c>
      <c r="H27" s="541" t="s">
        <v>1664</v>
      </c>
      <c r="I27" s="541" t="s">
        <v>1664</v>
      </c>
      <c r="J27" s="541"/>
      <c r="K27" s="543" t="s">
        <v>1768</v>
      </c>
      <c r="L27" s="541">
        <v>15</v>
      </c>
      <c r="M27" s="544">
        <v>44013</v>
      </c>
      <c r="N27" s="541" t="s">
        <v>1620</v>
      </c>
      <c r="O27" s="541" t="s">
        <v>144</v>
      </c>
      <c r="P27" s="541">
        <v>125</v>
      </c>
      <c r="Q27" s="541">
        <v>939.7</v>
      </c>
      <c r="R27" s="541"/>
      <c r="S27" s="541"/>
      <c r="T27" s="541"/>
      <c r="U27" s="541"/>
      <c r="V27" s="541"/>
      <c r="W27" s="541"/>
      <c r="X27" s="541"/>
      <c r="Y27" s="541"/>
      <c r="Z27" s="548" t="s">
        <v>119</v>
      </c>
      <c r="AA27" s="541"/>
      <c r="AB27" s="541" t="s">
        <v>1660</v>
      </c>
      <c r="AC27" s="95" t="s">
        <v>2021</v>
      </c>
      <c r="AD27" s="95"/>
      <c r="AE27" s="95"/>
      <c r="AF27" s="95"/>
      <c r="AG27" s="95" t="s">
        <v>2020</v>
      </c>
      <c r="AH27" s="95"/>
      <c r="AI27" s="95">
        <v>1</v>
      </c>
      <c r="AJ27" s="95">
        <v>9999999</v>
      </c>
      <c r="AL27" s="95" t="s">
        <v>143</v>
      </c>
      <c r="AM27" s="31" t="s">
        <v>1606</v>
      </c>
      <c r="AN27" s="31">
        <v>4060717</v>
      </c>
      <c r="AO27" s="31">
        <v>0.54</v>
      </c>
      <c r="AP27" s="95">
        <v>0.54</v>
      </c>
      <c r="AQ27" s="95">
        <v>6</v>
      </c>
      <c r="AR27" s="95">
        <v>9</v>
      </c>
      <c r="AS27" s="95">
        <v>5.5</v>
      </c>
      <c r="AT27" s="95"/>
      <c r="AU27" s="95">
        <v>0</v>
      </c>
      <c r="AV27" s="95">
        <v>8760</v>
      </c>
      <c r="AW27" s="95" t="s">
        <v>138</v>
      </c>
      <c r="BP27" s="95" t="s">
        <v>1706</v>
      </c>
      <c r="BX27" t="s">
        <v>594</v>
      </c>
      <c r="BY27" t="s">
        <v>596</v>
      </c>
      <c r="BZ27" t="s">
        <v>768</v>
      </c>
      <c r="CA27">
        <v>227</v>
      </c>
      <c r="CC27" t="s">
        <v>665</v>
      </c>
      <c r="CD27" t="s">
        <v>664</v>
      </c>
      <c r="CE27" t="s">
        <v>659</v>
      </c>
      <c r="CF27" t="s">
        <v>141</v>
      </c>
      <c r="CG27">
        <v>27</v>
      </c>
      <c r="CH27" t="s">
        <v>809</v>
      </c>
    </row>
    <row r="28" spans="1:86" ht="12.75" customHeight="1" x14ac:dyDescent="0.25">
      <c r="A28" s="541">
        <v>4080910</v>
      </c>
      <c r="B28" s="543" t="s">
        <v>2099</v>
      </c>
      <c r="C28" s="541" t="s">
        <v>2024</v>
      </c>
      <c r="D28" s="541" t="s">
        <v>515</v>
      </c>
      <c r="E28" s="558" t="s">
        <v>2026</v>
      </c>
      <c r="F28" s="541" t="s">
        <v>2025</v>
      </c>
      <c r="G28" s="541" t="s">
        <v>515</v>
      </c>
      <c r="H28" s="541" t="s">
        <v>2027</v>
      </c>
      <c r="I28" s="541" t="s">
        <v>2027</v>
      </c>
      <c r="J28" s="541"/>
      <c r="K28" s="543" t="s">
        <v>2030</v>
      </c>
      <c r="L28" s="541">
        <v>15</v>
      </c>
      <c r="M28" s="544">
        <v>44013</v>
      </c>
      <c r="N28" s="541" t="s">
        <v>1620</v>
      </c>
      <c r="O28" s="541" t="s">
        <v>515</v>
      </c>
      <c r="P28" s="541">
        <v>200</v>
      </c>
      <c r="Q28" s="541">
        <v>1289.5999999999999</v>
      </c>
      <c r="R28" s="541"/>
      <c r="S28" s="541"/>
      <c r="T28" s="541"/>
      <c r="U28" s="541"/>
      <c r="V28" s="541"/>
      <c r="W28" s="541"/>
      <c r="X28" s="541"/>
      <c r="Y28" s="541"/>
      <c r="Z28" s="541" t="s">
        <v>119</v>
      </c>
      <c r="AA28" s="541"/>
      <c r="AB28" s="541" t="s">
        <v>1660</v>
      </c>
      <c r="AC28" s="95" t="s">
        <v>2031</v>
      </c>
      <c r="AD28" s="95"/>
      <c r="AE28" s="95"/>
      <c r="AF28" s="95"/>
      <c r="AG28" s="95" t="s">
        <v>2032</v>
      </c>
      <c r="AH28" s="95"/>
      <c r="AI28" s="95">
        <v>1</v>
      </c>
      <c r="AJ28" s="95">
        <v>9999999</v>
      </c>
      <c r="AL28" s="95" t="s">
        <v>142</v>
      </c>
      <c r="AM28" s="31" t="s">
        <v>1607</v>
      </c>
      <c r="AN28" s="31">
        <v>4060617</v>
      </c>
      <c r="AO28" s="31">
        <v>0.54</v>
      </c>
      <c r="AP28" s="95">
        <v>0.54</v>
      </c>
      <c r="AQ28" s="95">
        <v>6</v>
      </c>
      <c r="AR28" s="95">
        <v>8</v>
      </c>
      <c r="AS28" s="95">
        <v>3.5</v>
      </c>
      <c r="AT28" s="95"/>
      <c r="AU28" s="95">
        <v>0</v>
      </c>
      <c r="AV28" s="95">
        <v>8760</v>
      </c>
      <c r="AW28" s="95" t="s">
        <v>138</v>
      </c>
      <c r="BJ28" s="205"/>
      <c r="BL28" s="22" t="s">
        <v>1384</v>
      </c>
      <c r="BM28" s="22" t="s">
        <v>992</v>
      </c>
      <c r="BN28" s="499" t="s">
        <v>1383</v>
      </c>
      <c r="BP28" s="95" t="s">
        <v>141</v>
      </c>
      <c r="BX28" t="s">
        <v>594</v>
      </c>
      <c r="BY28" t="s">
        <v>597</v>
      </c>
      <c r="BZ28" t="s">
        <v>1464</v>
      </c>
      <c r="CA28">
        <v>352</v>
      </c>
      <c r="CC28" t="s">
        <v>665</v>
      </c>
      <c r="CD28" t="s">
        <v>664</v>
      </c>
      <c r="CE28" t="s">
        <v>662</v>
      </c>
      <c r="CF28" t="s">
        <v>141</v>
      </c>
      <c r="CG28">
        <v>28</v>
      </c>
      <c r="CH28" t="s">
        <v>809</v>
      </c>
    </row>
    <row r="29" spans="1:86" ht="12.75" customHeight="1" x14ac:dyDescent="0.25">
      <c r="A29" s="541">
        <v>4080612</v>
      </c>
      <c r="B29" s="543" t="s">
        <v>2033</v>
      </c>
      <c r="C29" s="541" t="s">
        <v>2035</v>
      </c>
      <c r="D29" s="541" t="s">
        <v>144</v>
      </c>
      <c r="E29" s="558" t="s">
        <v>741</v>
      </c>
      <c r="F29" s="541" t="s">
        <v>2036</v>
      </c>
      <c r="G29" s="541" t="s">
        <v>144</v>
      </c>
      <c r="H29" s="541" t="s">
        <v>2037</v>
      </c>
      <c r="I29" s="541" t="s">
        <v>2037</v>
      </c>
      <c r="J29" s="541"/>
      <c r="K29" s="543" t="s">
        <v>2029</v>
      </c>
      <c r="L29" s="541">
        <v>15</v>
      </c>
      <c r="M29" s="544">
        <v>44013</v>
      </c>
      <c r="N29" s="541" t="s">
        <v>1620</v>
      </c>
      <c r="O29" s="541" t="s">
        <v>144</v>
      </c>
      <c r="P29" s="541">
        <v>50</v>
      </c>
      <c r="Q29" s="541">
        <v>479.5</v>
      </c>
      <c r="R29" s="541"/>
      <c r="S29" s="541"/>
      <c r="T29" s="541"/>
      <c r="U29" s="541"/>
      <c r="V29" s="541"/>
      <c r="W29" s="541"/>
      <c r="X29" s="541"/>
      <c r="Y29" s="541"/>
      <c r="Z29" s="541" t="s">
        <v>119</v>
      </c>
      <c r="AA29" s="541"/>
      <c r="AB29" s="541" t="s">
        <v>1660</v>
      </c>
      <c r="AC29" s="95" t="s">
        <v>2034</v>
      </c>
      <c r="AD29" s="95"/>
      <c r="AE29" s="95"/>
      <c r="AF29" s="95"/>
      <c r="AG29" s="95" t="s">
        <v>2075</v>
      </c>
      <c r="AH29" s="95"/>
      <c r="AI29" s="95">
        <v>1</v>
      </c>
      <c r="AJ29" s="95">
        <v>9999999</v>
      </c>
      <c r="AL29" s="95" t="s">
        <v>1359</v>
      </c>
      <c r="AM29" s="31" t="s">
        <v>1608</v>
      </c>
      <c r="AN29" s="31">
        <v>4060617</v>
      </c>
      <c r="AO29" s="31">
        <v>0.54</v>
      </c>
      <c r="AP29" s="95">
        <v>0.54</v>
      </c>
      <c r="AQ29" s="95">
        <v>12</v>
      </c>
      <c r="AR29" s="95">
        <v>14</v>
      </c>
      <c r="AS29" s="95">
        <v>7.5</v>
      </c>
      <c r="AT29" s="95"/>
      <c r="AU29" s="95">
        <v>0</v>
      </c>
      <c r="AV29" s="95">
        <v>8760</v>
      </c>
      <c r="AW29" s="95" t="s">
        <v>138</v>
      </c>
      <c r="AY29" s="22" t="s">
        <v>1371</v>
      </c>
      <c r="AZ29" s="22" t="s">
        <v>1372</v>
      </c>
      <c r="BA29" s="22" t="s">
        <v>1444</v>
      </c>
      <c r="BB29" s="22" t="s">
        <v>1373</v>
      </c>
      <c r="BC29" s="22" t="s">
        <v>1374</v>
      </c>
      <c r="BD29" s="22" t="s">
        <v>1446</v>
      </c>
      <c r="BE29" s="22" t="s">
        <v>1375</v>
      </c>
      <c r="BF29" s="22" t="s">
        <v>1376</v>
      </c>
      <c r="BG29" s="22" t="s">
        <v>1447</v>
      </c>
      <c r="BH29" s="22" t="s">
        <v>1377</v>
      </c>
      <c r="BI29" s="22" t="s">
        <v>1378</v>
      </c>
      <c r="BJ29" s="22" t="s">
        <v>1449</v>
      </c>
      <c r="BL29" s="22" t="s">
        <v>1400</v>
      </c>
      <c r="BM29" s="22" t="s">
        <v>992</v>
      </c>
      <c r="BN29" s="316" t="s">
        <v>1401</v>
      </c>
      <c r="BX29" t="s">
        <v>594</v>
      </c>
      <c r="BY29" t="s">
        <v>598</v>
      </c>
      <c r="BZ29" t="s">
        <v>1463</v>
      </c>
      <c r="CA29">
        <v>454</v>
      </c>
      <c r="CC29" t="s">
        <v>665</v>
      </c>
      <c r="CD29" t="s">
        <v>664</v>
      </c>
      <c r="CE29" t="s">
        <v>663</v>
      </c>
      <c r="CF29" t="s">
        <v>141</v>
      </c>
      <c r="CG29">
        <v>29</v>
      </c>
      <c r="CH29" t="s">
        <v>809</v>
      </c>
    </row>
    <row r="30" spans="1:86" ht="12.75" customHeight="1" x14ac:dyDescent="0.25">
      <c r="AL30" s="95" t="s">
        <v>155</v>
      </c>
      <c r="AM30" s="31" t="s">
        <v>1601</v>
      </c>
      <c r="AN30" s="31">
        <v>4060816</v>
      </c>
      <c r="AO30" s="31">
        <v>0.57999999999999996</v>
      </c>
      <c r="AP30" s="95">
        <v>0.57999999999999996</v>
      </c>
      <c r="AQ30" s="95">
        <v>8</v>
      </c>
      <c r="AR30" s="95">
        <v>10</v>
      </c>
      <c r="AS30" s="95">
        <v>5.5</v>
      </c>
      <c r="AT30" s="95"/>
      <c r="AU30" s="95">
        <v>0</v>
      </c>
      <c r="AV30" s="95">
        <v>8760</v>
      </c>
      <c r="AW30" s="95" t="s">
        <v>138</v>
      </c>
      <c r="AY30" s="22">
        <v>32</v>
      </c>
      <c r="AZ30" s="22">
        <v>38</v>
      </c>
      <c r="BA30" s="22" t="s">
        <v>1445</v>
      </c>
      <c r="BB30" s="22">
        <v>50</v>
      </c>
      <c r="BC30" s="22">
        <v>62</v>
      </c>
      <c r="BD30" s="22" t="s">
        <v>1445</v>
      </c>
      <c r="BE30" s="22">
        <v>40</v>
      </c>
      <c r="BF30" s="22">
        <v>50</v>
      </c>
      <c r="BG30" s="22" t="s">
        <v>809</v>
      </c>
      <c r="BH30" s="22">
        <v>35</v>
      </c>
      <c r="BI30" s="22">
        <v>46</v>
      </c>
      <c r="BJ30" s="22" t="s">
        <v>809</v>
      </c>
      <c r="BN30" s="317" t="s">
        <v>1688</v>
      </c>
      <c r="BX30" t="s">
        <v>599</v>
      </c>
      <c r="BY30" t="s">
        <v>600</v>
      </c>
      <c r="BZ30" t="s">
        <v>769</v>
      </c>
      <c r="CA30">
        <v>200</v>
      </c>
      <c r="CC30" t="s">
        <v>666</v>
      </c>
      <c r="CD30" t="s">
        <v>664</v>
      </c>
      <c r="CE30" t="s">
        <v>574</v>
      </c>
      <c r="CF30" t="s">
        <v>141</v>
      </c>
      <c r="CG30">
        <v>30</v>
      </c>
      <c r="CH30" t="s">
        <v>809</v>
      </c>
    </row>
    <row r="31" spans="1:86" ht="12.75" customHeight="1" x14ac:dyDescent="0.25">
      <c r="AL31" s="95" t="s">
        <v>143</v>
      </c>
      <c r="AM31" s="31" t="s">
        <v>1602</v>
      </c>
      <c r="AN31" s="31">
        <v>4060716</v>
      </c>
      <c r="AO31" s="31">
        <v>0.6</v>
      </c>
      <c r="AP31" s="95">
        <v>0.6</v>
      </c>
      <c r="AQ31" s="95">
        <v>6</v>
      </c>
      <c r="AR31" s="95">
        <v>9</v>
      </c>
      <c r="AS31" s="95">
        <v>5.5</v>
      </c>
      <c r="AT31" s="95"/>
      <c r="AU31" s="95">
        <v>0</v>
      </c>
      <c r="AV31" s="95">
        <v>8760</v>
      </c>
      <c r="AW31" s="95" t="s">
        <v>138</v>
      </c>
      <c r="AY31" s="22">
        <v>35</v>
      </c>
      <c r="AZ31" s="22">
        <v>48</v>
      </c>
      <c r="BA31" s="22" t="s">
        <v>1445</v>
      </c>
      <c r="BB31" s="22">
        <v>70</v>
      </c>
      <c r="BC31" s="22">
        <v>85</v>
      </c>
      <c r="BD31" s="22" t="s">
        <v>1445</v>
      </c>
      <c r="BE31" s="22">
        <v>50</v>
      </c>
      <c r="BF31" s="22">
        <v>74</v>
      </c>
      <c r="BG31" s="22" t="s">
        <v>809</v>
      </c>
      <c r="BH31" s="22">
        <v>50</v>
      </c>
      <c r="BI31" s="22">
        <v>66</v>
      </c>
      <c r="BJ31" s="22" t="s">
        <v>809</v>
      </c>
      <c r="BN31" s="316" t="s">
        <v>1689</v>
      </c>
      <c r="BX31" t="s">
        <v>599</v>
      </c>
      <c r="BY31" t="s">
        <v>601</v>
      </c>
      <c r="BZ31" t="s">
        <v>770</v>
      </c>
      <c r="CA31">
        <v>390</v>
      </c>
      <c r="CC31" t="s">
        <v>666</v>
      </c>
      <c r="CD31" t="s">
        <v>664</v>
      </c>
      <c r="CE31" t="s">
        <v>659</v>
      </c>
      <c r="CF31" t="s">
        <v>141</v>
      </c>
      <c r="CG31">
        <v>31</v>
      </c>
      <c r="CH31" t="s">
        <v>809</v>
      </c>
    </row>
    <row r="32" spans="1:86" ht="12.75" customHeight="1" x14ac:dyDescent="0.25">
      <c r="AL32" s="95" t="s">
        <v>142</v>
      </c>
      <c r="AM32" s="31" t="s">
        <v>1603</v>
      </c>
      <c r="AN32" s="31">
        <v>4060616</v>
      </c>
      <c r="AO32" s="31">
        <v>0.6</v>
      </c>
      <c r="AP32" s="95">
        <v>0.6</v>
      </c>
      <c r="AQ32" s="95">
        <v>6</v>
      </c>
      <c r="AR32" s="95">
        <v>8</v>
      </c>
      <c r="AS32" s="95">
        <v>3.5</v>
      </c>
      <c r="AT32" s="95"/>
      <c r="AU32" s="95">
        <v>0</v>
      </c>
      <c r="AV32" s="95">
        <v>8760</v>
      </c>
      <c r="AW32" s="95" t="s">
        <v>138</v>
      </c>
      <c r="AY32" s="22">
        <v>39</v>
      </c>
      <c r="AZ32" s="22">
        <v>48</v>
      </c>
      <c r="BA32" s="22" t="s">
        <v>1445</v>
      </c>
      <c r="BB32" s="22">
        <v>100</v>
      </c>
      <c r="BC32" s="22">
        <v>118</v>
      </c>
      <c r="BD32" s="22" t="s">
        <v>1445</v>
      </c>
      <c r="BE32" s="22">
        <v>75</v>
      </c>
      <c r="BF32" s="22">
        <v>93</v>
      </c>
      <c r="BG32" s="22" t="s">
        <v>809</v>
      </c>
      <c r="BH32" s="22">
        <v>70</v>
      </c>
      <c r="BI32" s="22">
        <v>95</v>
      </c>
      <c r="BJ32" s="22" t="s">
        <v>809</v>
      </c>
      <c r="BN32" s="317" t="s">
        <v>1388</v>
      </c>
      <c r="BX32" t="s">
        <v>599</v>
      </c>
      <c r="BY32" t="s">
        <v>602</v>
      </c>
      <c r="BZ32" t="s">
        <v>771</v>
      </c>
      <c r="CA32">
        <v>590</v>
      </c>
      <c r="CC32" t="s">
        <v>666</v>
      </c>
      <c r="CD32" t="s">
        <v>664</v>
      </c>
      <c r="CE32" t="s">
        <v>662</v>
      </c>
      <c r="CF32" t="s">
        <v>141</v>
      </c>
      <c r="CG32">
        <v>32</v>
      </c>
      <c r="CH32" t="s">
        <v>809</v>
      </c>
    </row>
    <row r="33" spans="1:86" ht="12.75" customHeight="1" x14ac:dyDescent="0.25">
      <c r="AL33" s="95" t="s">
        <v>1359</v>
      </c>
      <c r="AM33" s="30" t="s">
        <v>1604</v>
      </c>
      <c r="AN33" s="31">
        <v>4060616</v>
      </c>
      <c r="AO33" s="30">
        <v>0.6</v>
      </c>
      <c r="AP33" s="95">
        <v>0.6</v>
      </c>
      <c r="AQ33" s="95">
        <v>12</v>
      </c>
      <c r="AR33" s="95">
        <v>14</v>
      </c>
      <c r="AS33" s="95">
        <v>7.5</v>
      </c>
      <c r="AT33" s="95"/>
      <c r="AU33" s="95">
        <v>0</v>
      </c>
      <c r="AV33" s="95">
        <v>8760</v>
      </c>
      <c r="AW33" s="95" t="s">
        <v>138</v>
      </c>
      <c r="AY33" s="22">
        <v>50</v>
      </c>
      <c r="AZ33" s="22">
        <v>72</v>
      </c>
      <c r="BA33" s="22" t="s">
        <v>810</v>
      </c>
      <c r="BB33" s="22">
        <v>150</v>
      </c>
      <c r="BC33" s="22">
        <v>173</v>
      </c>
      <c r="BD33" s="22" t="s">
        <v>1445</v>
      </c>
      <c r="BE33" s="22">
        <v>100</v>
      </c>
      <c r="BF33" s="22">
        <v>125</v>
      </c>
      <c r="BG33" s="22" t="s">
        <v>809</v>
      </c>
      <c r="BH33" s="22">
        <v>100</v>
      </c>
      <c r="BI33" s="22">
        <v>138</v>
      </c>
      <c r="BJ33" s="22" t="s">
        <v>809</v>
      </c>
      <c r="BX33" t="s">
        <v>599</v>
      </c>
      <c r="BY33" t="s">
        <v>575</v>
      </c>
      <c r="BZ33" t="s">
        <v>1465</v>
      </c>
      <c r="CA33">
        <v>780</v>
      </c>
      <c r="CC33" t="s">
        <v>666</v>
      </c>
      <c r="CD33" t="s">
        <v>664</v>
      </c>
      <c r="CE33" t="s">
        <v>663</v>
      </c>
      <c r="CF33" t="s">
        <v>141</v>
      </c>
      <c r="CG33">
        <v>33</v>
      </c>
      <c r="CH33" t="s">
        <v>809</v>
      </c>
    </row>
    <row r="34" spans="1:86" ht="12.75" customHeight="1" x14ac:dyDescent="0.25">
      <c r="AL34" s="95" t="s">
        <v>1641</v>
      </c>
      <c r="AM34" s="30" t="s">
        <v>1670</v>
      </c>
      <c r="AN34" s="22">
        <v>4061000</v>
      </c>
      <c r="AO34" s="30">
        <v>0.48</v>
      </c>
      <c r="AP34" s="95">
        <v>0.48</v>
      </c>
      <c r="AQ34" s="95"/>
      <c r="AR34" s="95"/>
      <c r="AS34" s="95"/>
      <c r="AT34" s="95"/>
      <c r="AU34" s="95"/>
      <c r="AV34" s="95"/>
      <c r="AW34" s="95" t="s">
        <v>138</v>
      </c>
      <c r="AY34" s="22">
        <v>70</v>
      </c>
      <c r="AZ34" s="22">
        <v>95</v>
      </c>
      <c r="BA34" s="22" t="s">
        <v>809</v>
      </c>
      <c r="BB34" s="22">
        <v>175</v>
      </c>
      <c r="BC34" s="22">
        <v>208</v>
      </c>
      <c r="BD34" s="22" t="s">
        <v>810</v>
      </c>
      <c r="BE34" s="22">
        <v>175</v>
      </c>
      <c r="BF34" s="22">
        <v>205</v>
      </c>
      <c r="BG34" s="22" t="s">
        <v>809</v>
      </c>
      <c r="BH34" s="22">
        <v>150</v>
      </c>
      <c r="BI34" s="22">
        <v>188</v>
      </c>
      <c r="BJ34" s="22" t="s">
        <v>809</v>
      </c>
      <c r="BL34" s="22" t="s">
        <v>1228</v>
      </c>
      <c r="BM34" s="22" t="s">
        <v>125</v>
      </c>
      <c r="BN34" s="22" t="s">
        <v>131</v>
      </c>
      <c r="BO34" s="22" t="s">
        <v>2041</v>
      </c>
      <c r="BX34" t="s">
        <v>581</v>
      </c>
      <c r="BY34" t="s">
        <v>167</v>
      </c>
      <c r="BZ34" t="s">
        <v>772</v>
      </c>
      <c r="CA34">
        <v>48</v>
      </c>
      <c r="CC34" t="s">
        <v>155</v>
      </c>
      <c r="CD34" t="s">
        <v>661</v>
      </c>
      <c r="CE34" t="s">
        <v>574</v>
      </c>
      <c r="CF34" t="s">
        <v>141</v>
      </c>
      <c r="CG34">
        <v>34</v>
      </c>
      <c r="CH34" t="s">
        <v>809</v>
      </c>
    </row>
    <row r="35" spans="1:86" ht="12.75" customHeight="1" x14ac:dyDescent="0.25">
      <c r="A35" s="123" t="s">
        <v>1080</v>
      </c>
      <c r="B35" s="124" t="s">
        <v>1081</v>
      </c>
      <c r="C35" s="123" t="s">
        <v>1082</v>
      </c>
      <c r="D35" s="123" t="s">
        <v>1083</v>
      </c>
      <c r="E35" s="123" t="s">
        <v>1084</v>
      </c>
      <c r="F35" s="123" t="s">
        <v>128</v>
      </c>
      <c r="G35" s="123" t="s">
        <v>1085</v>
      </c>
      <c r="H35" s="123" t="s">
        <v>1086</v>
      </c>
      <c r="I35" s="123" t="s">
        <v>129</v>
      </c>
      <c r="J35" s="123" t="s">
        <v>1087</v>
      </c>
      <c r="K35" s="124" t="s">
        <v>1088</v>
      </c>
      <c r="L35" s="123" t="s">
        <v>132</v>
      </c>
      <c r="M35" s="125" t="s">
        <v>1089</v>
      </c>
      <c r="N35" s="123" t="s">
        <v>136</v>
      </c>
      <c r="O35" s="123" t="s">
        <v>716</v>
      </c>
      <c r="P35" s="123" t="s">
        <v>131</v>
      </c>
      <c r="Q35" s="123" t="s">
        <v>134</v>
      </c>
      <c r="R35" s="123" t="s">
        <v>1090</v>
      </c>
      <c r="S35" s="123" t="s">
        <v>1091</v>
      </c>
      <c r="T35" s="123" t="s">
        <v>1092</v>
      </c>
      <c r="U35" s="123" t="s">
        <v>126</v>
      </c>
      <c r="V35" s="123" t="s">
        <v>0</v>
      </c>
      <c r="W35" s="123" t="s">
        <v>1093</v>
      </c>
      <c r="X35" s="123" t="s">
        <v>473</v>
      </c>
      <c r="Y35" s="123" t="s">
        <v>135</v>
      </c>
      <c r="Z35" s="123" t="s">
        <v>991</v>
      </c>
      <c r="AA35" s="123" t="s">
        <v>1094</v>
      </c>
      <c r="AB35" s="123" t="s">
        <v>90</v>
      </c>
      <c r="AC35" s="22" t="s">
        <v>156</v>
      </c>
      <c r="AD35" s="22" t="s">
        <v>157</v>
      </c>
      <c r="AE35" s="22" t="s">
        <v>160</v>
      </c>
      <c r="AF35" s="22" t="s">
        <v>209</v>
      </c>
      <c r="AG35" s="22" t="s">
        <v>158</v>
      </c>
      <c r="AH35" s="22" t="s">
        <v>159</v>
      </c>
      <c r="AI35" s="22" t="s">
        <v>1665</v>
      </c>
      <c r="AJ35" s="22" t="s">
        <v>1666</v>
      </c>
      <c r="AL35" s="95" t="s">
        <v>1654</v>
      </c>
      <c r="AM35" s="30" t="s">
        <v>1671</v>
      </c>
      <c r="AN35" s="22">
        <v>4061001</v>
      </c>
      <c r="AO35" s="30">
        <v>0.57999999999999996</v>
      </c>
      <c r="AP35" s="95">
        <v>0.57999999999999996</v>
      </c>
      <c r="AQ35" s="95"/>
      <c r="AR35" s="95"/>
      <c r="AS35" s="95"/>
      <c r="AT35" s="95"/>
      <c r="AU35" s="95"/>
      <c r="AV35" s="95"/>
      <c r="AW35" s="95" t="s">
        <v>138</v>
      </c>
      <c r="AY35" s="22">
        <v>100</v>
      </c>
      <c r="AZ35" s="22">
        <v>114</v>
      </c>
      <c r="BA35" s="22" t="s">
        <v>809</v>
      </c>
      <c r="BB35" s="22">
        <v>200</v>
      </c>
      <c r="BC35" s="22">
        <v>227</v>
      </c>
      <c r="BD35" s="22" t="s">
        <v>809</v>
      </c>
      <c r="BE35" s="22">
        <v>250</v>
      </c>
      <c r="BF35" s="22">
        <v>290</v>
      </c>
      <c r="BG35" s="22" t="s">
        <v>809</v>
      </c>
      <c r="BH35" s="22">
        <v>200</v>
      </c>
      <c r="BI35" s="22">
        <v>250</v>
      </c>
      <c r="BJ35" s="22" t="s">
        <v>809</v>
      </c>
      <c r="BL35" s="95" t="s">
        <v>2128</v>
      </c>
      <c r="BM35" s="95">
        <v>4060620</v>
      </c>
      <c r="BN35" s="95">
        <v>0.1</v>
      </c>
      <c r="BO35" s="95" t="s">
        <v>516</v>
      </c>
      <c r="BX35" t="s">
        <v>581</v>
      </c>
      <c r="BY35" t="s">
        <v>168</v>
      </c>
      <c r="BZ35" t="s">
        <v>773</v>
      </c>
      <c r="CA35">
        <v>72</v>
      </c>
      <c r="CC35" t="s">
        <v>155</v>
      </c>
      <c r="CD35" t="s">
        <v>661</v>
      </c>
      <c r="CE35" t="s">
        <v>659</v>
      </c>
      <c r="CF35" t="s">
        <v>141</v>
      </c>
      <c r="CG35">
        <v>35</v>
      </c>
      <c r="CH35" t="s">
        <v>809</v>
      </c>
    </row>
    <row r="36" spans="1:86" ht="12.75" customHeight="1" x14ac:dyDescent="0.25">
      <c r="A36" s="541">
        <v>4020710</v>
      </c>
      <c r="B36" s="543" t="s">
        <v>1971</v>
      </c>
      <c r="C36" s="541" t="s">
        <v>1969</v>
      </c>
      <c r="D36" s="541" t="s">
        <v>148</v>
      </c>
      <c r="E36" s="541" t="s">
        <v>1973</v>
      </c>
      <c r="F36" s="541" t="s">
        <v>1969</v>
      </c>
      <c r="G36" s="541" t="s">
        <v>148</v>
      </c>
      <c r="H36" s="541" t="s">
        <v>1969</v>
      </c>
      <c r="I36" s="541" t="s">
        <v>1975</v>
      </c>
      <c r="J36" s="541"/>
      <c r="K36" s="543" t="s">
        <v>1982</v>
      </c>
      <c r="L36" s="541">
        <v>13</v>
      </c>
      <c r="M36" s="544">
        <v>43862</v>
      </c>
      <c r="N36" s="541" t="s">
        <v>1620</v>
      </c>
      <c r="O36" s="541" t="s">
        <v>512</v>
      </c>
      <c r="P36" s="541">
        <v>180</v>
      </c>
      <c r="Q36" s="541">
        <v>2319.541714</v>
      </c>
      <c r="R36" s="541"/>
      <c r="S36" s="541"/>
      <c r="T36" s="541"/>
      <c r="U36" s="541"/>
      <c r="V36" s="541"/>
      <c r="W36" s="541"/>
      <c r="X36" s="541"/>
      <c r="Y36" s="541"/>
      <c r="Z36" s="541" t="s">
        <v>119</v>
      </c>
      <c r="AA36" s="541">
        <v>1</v>
      </c>
      <c r="AB36" s="541" t="s">
        <v>1976</v>
      </c>
      <c r="AC36" s="95" t="s">
        <v>1975</v>
      </c>
      <c r="AD36" s="95"/>
      <c r="AE36" s="95"/>
      <c r="AF36" s="95"/>
      <c r="AG36" s="95" t="s">
        <v>1969</v>
      </c>
      <c r="AH36" s="95"/>
      <c r="AI36" s="95">
        <v>0</v>
      </c>
      <c r="AJ36" s="95">
        <v>9999999</v>
      </c>
      <c r="AL36" s="95"/>
      <c r="AM36" s="95"/>
      <c r="AN36" s="299"/>
      <c r="AO36" s="95"/>
      <c r="AP36" s="300"/>
      <c r="AQ36" s="95"/>
      <c r="AR36" s="95"/>
      <c r="AS36" s="95"/>
      <c r="AT36" s="95"/>
      <c r="AU36" s="95"/>
      <c r="AV36" s="95"/>
      <c r="AW36" s="300"/>
      <c r="AY36" s="22">
        <v>150</v>
      </c>
      <c r="AZ36" s="22">
        <v>190</v>
      </c>
      <c r="BA36" s="22" t="s">
        <v>810</v>
      </c>
      <c r="BB36" s="22">
        <v>250</v>
      </c>
      <c r="BC36" s="22">
        <v>288</v>
      </c>
      <c r="BD36" s="22" t="s">
        <v>810</v>
      </c>
      <c r="BE36" s="22">
        <v>400</v>
      </c>
      <c r="BF36" s="22">
        <v>455</v>
      </c>
      <c r="BG36" s="22" t="s">
        <v>809</v>
      </c>
      <c r="BH36" s="22">
        <v>250</v>
      </c>
      <c r="BI36" s="22">
        <v>295</v>
      </c>
      <c r="BJ36" s="22" t="s">
        <v>809</v>
      </c>
      <c r="BL36" s="95" t="s">
        <v>2129</v>
      </c>
      <c r="BM36" s="95">
        <v>4060621</v>
      </c>
      <c r="BN36" s="95">
        <v>0.1</v>
      </c>
      <c r="BO36" s="95" t="s">
        <v>516</v>
      </c>
      <c r="BX36" t="s">
        <v>581</v>
      </c>
      <c r="BY36" t="s">
        <v>1437</v>
      </c>
      <c r="BZ36" t="s">
        <v>1466</v>
      </c>
      <c r="CA36">
        <v>115</v>
      </c>
      <c r="CC36" t="s">
        <v>155</v>
      </c>
      <c r="CD36" t="s">
        <v>661</v>
      </c>
      <c r="CE36" t="s">
        <v>662</v>
      </c>
      <c r="CF36" t="s">
        <v>141</v>
      </c>
      <c r="CG36">
        <v>36</v>
      </c>
      <c r="CH36" t="s">
        <v>810</v>
      </c>
    </row>
    <row r="37" spans="1:86" ht="12.75" customHeight="1" x14ac:dyDescent="0.25">
      <c r="A37" s="541">
        <v>4020310</v>
      </c>
      <c r="B37" s="543" t="s">
        <v>1972</v>
      </c>
      <c r="C37" s="541" t="s">
        <v>1970</v>
      </c>
      <c r="D37" s="541" t="s">
        <v>148</v>
      </c>
      <c r="E37" s="541" t="s">
        <v>1973</v>
      </c>
      <c r="F37" s="541" t="s">
        <v>1974</v>
      </c>
      <c r="G37" s="541" t="s">
        <v>148</v>
      </c>
      <c r="H37" s="541" t="s">
        <v>1974</v>
      </c>
      <c r="I37" s="541" t="s">
        <v>1974</v>
      </c>
      <c r="J37" s="541"/>
      <c r="K37" s="543" t="s">
        <v>1983</v>
      </c>
      <c r="L37" s="541">
        <v>15</v>
      </c>
      <c r="M37" s="544">
        <v>43862</v>
      </c>
      <c r="N37" s="541" t="s">
        <v>1620</v>
      </c>
      <c r="O37" s="541" t="s">
        <v>512</v>
      </c>
      <c r="P37" s="541">
        <v>75</v>
      </c>
      <c r="Q37" s="541">
        <v>1129.707429</v>
      </c>
      <c r="R37" s="541"/>
      <c r="S37" s="541"/>
      <c r="T37" s="541"/>
      <c r="U37" s="541"/>
      <c r="V37" s="541"/>
      <c r="W37" s="541"/>
      <c r="X37" s="541"/>
      <c r="Y37" s="541"/>
      <c r="Z37" s="541" t="s">
        <v>119</v>
      </c>
      <c r="AA37" s="541">
        <v>1</v>
      </c>
      <c r="AB37" s="541" t="s">
        <v>1977</v>
      </c>
      <c r="AC37" s="95" t="s">
        <v>1974</v>
      </c>
      <c r="AD37" s="95"/>
      <c r="AE37" s="95"/>
      <c r="AF37" s="95"/>
      <c r="AG37" s="95" t="s">
        <v>1970</v>
      </c>
      <c r="AH37" s="95"/>
      <c r="AI37" s="95">
        <v>0</v>
      </c>
      <c r="AJ37" s="95">
        <v>9999999</v>
      </c>
      <c r="AL37" s="22" t="s">
        <v>155</v>
      </c>
      <c r="AM37" s="22" t="s">
        <v>143</v>
      </c>
      <c r="AN37" s="22" t="s">
        <v>142</v>
      </c>
      <c r="AP37" s="22" t="s">
        <v>1694</v>
      </c>
      <c r="AR37" s="261" t="s">
        <v>1701</v>
      </c>
      <c r="AY37" s="22">
        <v>175</v>
      </c>
      <c r="AZ37" s="22">
        <v>199</v>
      </c>
      <c r="BA37" s="22" t="s">
        <v>809</v>
      </c>
      <c r="BB37" s="22">
        <v>320</v>
      </c>
      <c r="BC37" s="22">
        <v>364</v>
      </c>
      <c r="BD37" s="22" t="s">
        <v>809</v>
      </c>
      <c r="BE37" s="22">
        <v>1000</v>
      </c>
      <c r="BF37" s="22">
        <v>1075</v>
      </c>
      <c r="BG37" s="22" t="s">
        <v>810</v>
      </c>
      <c r="BH37" s="22">
        <v>310</v>
      </c>
      <c r="BI37" s="22">
        <v>365</v>
      </c>
      <c r="BJ37" s="22" t="s">
        <v>1445</v>
      </c>
      <c r="BL37" s="95" t="s">
        <v>2127</v>
      </c>
      <c r="BM37" s="95">
        <v>4060622</v>
      </c>
      <c r="BN37" s="95">
        <v>0.1</v>
      </c>
      <c r="BO37" s="95" t="s">
        <v>516</v>
      </c>
      <c r="BY37" t="s">
        <v>1227</v>
      </c>
      <c r="CA37" t="s">
        <v>761</v>
      </c>
      <c r="CG37">
        <v>37</v>
      </c>
    </row>
    <row r="38" spans="1:86" ht="12.75" customHeight="1" x14ac:dyDescent="0.25">
      <c r="A38" s="541">
        <v>4020811</v>
      </c>
      <c r="B38" s="543" t="s">
        <v>2435</v>
      </c>
      <c r="C38" s="541" t="s">
        <v>2062</v>
      </c>
      <c r="D38" s="541" t="s">
        <v>148</v>
      </c>
      <c r="E38" s="541" t="s">
        <v>1973</v>
      </c>
      <c r="F38" s="541" t="s">
        <v>2062</v>
      </c>
      <c r="G38" s="541" t="s">
        <v>148</v>
      </c>
      <c r="H38" s="541" t="s">
        <v>2063</v>
      </c>
      <c r="I38" s="541" t="s">
        <v>2063</v>
      </c>
      <c r="J38" s="541"/>
      <c r="K38" s="543" t="s">
        <v>2064</v>
      </c>
      <c r="L38" s="541">
        <v>10</v>
      </c>
      <c r="M38" s="544">
        <v>44013</v>
      </c>
      <c r="N38" s="541" t="s">
        <v>1620</v>
      </c>
      <c r="O38" s="541" t="s">
        <v>512</v>
      </c>
      <c r="P38" s="541">
        <v>75</v>
      </c>
      <c r="Q38" s="541">
        <v>949.4</v>
      </c>
      <c r="R38" s="541"/>
      <c r="S38" s="541"/>
      <c r="T38" s="541"/>
      <c r="U38" s="541"/>
      <c r="V38" s="541"/>
      <c r="W38" s="541"/>
      <c r="X38" s="541"/>
      <c r="Y38" s="541"/>
      <c r="Z38" s="541" t="s">
        <v>119</v>
      </c>
      <c r="AA38" s="541">
        <v>1</v>
      </c>
      <c r="AB38" s="541" t="s">
        <v>1660</v>
      </c>
      <c r="AC38" s="95" t="s">
        <v>2065</v>
      </c>
      <c r="AD38" s="95"/>
      <c r="AE38" s="95"/>
      <c r="AF38" s="95"/>
      <c r="AG38" s="95" t="s">
        <v>2427</v>
      </c>
      <c r="AH38" s="95"/>
      <c r="AI38" s="95">
        <v>5</v>
      </c>
      <c r="AJ38" s="95">
        <v>49</v>
      </c>
      <c r="AL38" t="s">
        <v>582</v>
      </c>
      <c r="AM38" t="s">
        <v>604</v>
      </c>
      <c r="AN38" s="22" t="s">
        <v>2449</v>
      </c>
      <c r="AP38" s="22" t="s">
        <v>1695</v>
      </c>
      <c r="AR38" s="288" t="s">
        <v>1702</v>
      </c>
      <c r="AY38" s="22">
        <v>250</v>
      </c>
      <c r="AZ38" s="22">
        <v>284</v>
      </c>
      <c r="BA38" s="22" t="s">
        <v>809</v>
      </c>
      <c r="BB38" s="22">
        <v>350</v>
      </c>
      <c r="BC38" s="22">
        <v>398</v>
      </c>
      <c r="BD38" s="22" t="s">
        <v>809</v>
      </c>
      <c r="BH38" s="22">
        <v>400</v>
      </c>
      <c r="BI38" s="22">
        <v>465</v>
      </c>
      <c r="BJ38" s="22" t="s">
        <v>809</v>
      </c>
      <c r="BL38" s="95" t="s">
        <v>2130</v>
      </c>
      <c r="BM38" s="95">
        <v>4060623</v>
      </c>
      <c r="BN38" s="95">
        <v>0.1</v>
      </c>
      <c r="BO38" s="95" t="s">
        <v>516</v>
      </c>
      <c r="BX38" t="s">
        <v>603</v>
      </c>
      <c r="BY38" t="s">
        <v>604</v>
      </c>
      <c r="BZ38" t="s">
        <v>774</v>
      </c>
      <c r="CA38">
        <v>16</v>
      </c>
      <c r="CC38" t="s">
        <v>143</v>
      </c>
      <c r="CD38" t="s">
        <v>571</v>
      </c>
      <c r="CE38" t="s">
        <v>574</v>
      </c>
      <c r="CF38" t="s">
        <v>141</v>
      </c>
      <c r="CG38">
        <v>38</v>
      </c>
      <c r="CH38" t="s">
        <v>810</v>
      </c>
    </row>
    <row r="39" spans="1:86" ht="12.75" customHeight="1" x14ac:dyDescent="0.25">
      <c r="A39" s="541">
        <v>4020812</v>
      </c>
      <c r="B39" s="543" t="s">
        <v>2436</v>
      </c>
      <c r="C39" s="541" t="s">
        <v>2062</v>
      </c>
      <c r="D39" s="541" t="s">
        <v>148</v>
      </c>
      <c r="E39" s="541" t="s">
        <v>1973</v>
      </c>
      <c r="F39" s="541" t="s">
        <v>2062</v>
      </c>
      <c r="G39" s="541" t="s">
        <v>148</v>
      </c>
      <c r="H39" s="541" t="s">
        <v>2063</v>
      </c>
      <c r="I39" s="541" t="s">
        <v>2063</v>
      </c>
      <c r="J39" s="541"/>
      <c r="K39" s="543"/>
      <c r="L39" s="541">
        <v>10</v>
      </c>
      <c r="M39" s="544">
        <v>45292</v>
      </c>
      <c r="N39" s="541"/>
      <c r="O39" s="541" t="s">
        <v>512</v>
      </c>
      <c r="P39" s="541">
        <v>80</v>
      </c>
      <c r="Q39" s="541">
        <v>1052</v>
      </c>
      <c r="R39" s="541"/>
      <c r="S39" s="541"/>
      <c r="T39" s="541"/>
      <c r="U39" s="541"/>
      <c r="V39" s="541"/>
      <c r="W39" s="541"/>
      <c r="X39" s="541"/>
      <c r="Y39" s="541"/>
      <c r="Z39" s="541" t="s">
        <v>119</v>
      </c>
      <c r="AA39" s="541">
        <v>1</v>
      </c>
      <c r="AB39" s="541" t="s">
        <v>1660</v>
      </c>
      <c r="AC39" s="95" t="s">
        <v>2065</v>
      </c>
      <c r="AD39" s="95"/>
      <c r="AE39" s="95"/>
      <c r="AF39" s="95"/>
      <c r="AG39" s="95" t="s">
        <v>2428</v>
      </c>
      <c r="AH39" s="95"/>
      <c r="AI39" s="95">
        <v>50</v>
      </c>
      <c r="AJ39" s="95">
        <v>201</v>
      </c>
      <c r="AL39" t="s">
        <v>583</v>
      </c>
      <c r="AM39" t="s">
        <v>605</v>
      </c>
      <c r="AN39" s="22" t="s">
        <v>2450</v>
      </c>
      <c r="AO39" s="205"/>
      <c r="AP39" s="95" t="s">
        <v>1696</v>
      </c>
      <c r="AQ39" s="205"/>
      <c r="AR39" s="95" t="s">
        <v>1703</v>
      </c>
      <c r="AS39" s="205"/>
      <c r="AU39" s="205"/>
      <c r="AV39" s="205"/>
      <c r="AW39" s="205"/>
      <c r="AY39" s="22">
        <v>400</v>
      </c>
      <c r="AZ39" s="22">
        <v>455</v>
      </c>
      <c r="BA39" s="22" t="s">
        <v>809</v>
      </c>
      <c r="BB39" s="22">
        <v>400</v>
      </c>
      <c r="BC39" s="22">
        <v>456</v>
      </c>
      <c r="BD39" s="22" t="s">
        <v>810</v>
      </c>
      <c r="BH39" s="22">
        <v>600</v>
      </c>
      <c r="BI39" s="22">
        <v>665</v>
      </c>
      <c r="BJ39" s="22" t="s">
        <v>1445</v>
      </c>
      <c r="BL39" s="95" t="s">
        <v>2132</v>
      </c>
      <c r="BM39" s="95">
        <v>4060624</v>
      </c>
      <c r="BN39" s="95">
        <v>0.1</v>
      </c>
      <c r="BO39" s="95" t="s">
        <v>516</v>
      </c>
      <c r="BX39" t="s">
        <v>603</v>
      </c>
      <c r="BY39" t="s">
        <v>605</v>
      </c>
      <c r="BZ39" t="s">
        <v>775</v>
      </c>
      <c r="CA39">
        <v>32</v>
      </c>
      <c r="CC39" t="s">
        <v>143</v>
      </c>
      <c r="CD39" t="s">
        <v>571</v>
      </c>
      <c r="CE39" t="s">
        <v>659</v>
      </c>
      <c r="CF39" t="s">
        <v>141</v>
      </c>
      <c r="CG39">
        <v>39</v>
      </c>
      <c r="CH39" t="s">
        <v>810</v>
      </c>
    </row>
    <row r="40" spans="1:86" ht="12.75" customHeight="1" x14ac:dyDescent="0.25">
      <c r="A40" s="541">
        <v>4020510</v>
      </c>
      <c r="B40" s="543" t="s">
        <v>2440</v>
      </c>
      <c r="C40" s="541" t="s">
        <v>2438</v>
      </c>
      <c r="D40" s="541" t="s">
        <v>148</v>
      </c>
      <c r="E40" s="541" t="s">
        <v>2438</v>
      </c>
      <c r="F40" s="541" t="s">
        <v>2438</v>
      </c>
      <c r="G40" s="541" t="s">
        <v>148</v>
      </c>
      <c r="H40" s="541" t="s">
        <v>2437</v>
      </c>
      <c r="I40" s="541" t="s">
        <v>2437</v>
      </c>
      <c r="J40" s="541"/>
      <c r="K40" s="543"/>
      <c r="L40" s="541">
        <v>2</v>
      </c>
      <c r="M40" s="544">
        <v>45292</v>
      </c>
      <c r="N40" s="541"/>
      <c r="O40" s="541" t="s">
        <v>512</v>
      </c>
      <c r="P40" s="541">
        <v>30</v>
      </c>
      <c r="Q40" s="541">
        <v>948.48</v>
      </c>
      <c r="R40" s="541"/>
      <c r="S40" s="541"/>
      <c r="T40" s="541"/>
      <c r="U40" s="541"/>
      <c r="V40" s="541"/>
      <c r="W40" s="541"/>
      <c r="X40" s="541"/>
      <c r="Y40" s="541"/>
      <c r="Z40" s="541" t="s">
        <v>119</v>
      </c>
      <c r="AA40" s="541">
        <v>1</v>
      </c>
      <c r="AB40" s="541" t="s">
        <v>2439</v>
      </c>
      <c r="AC40" s="95" t="s">
        <v>2446</v>
      </c>
      <c r="AD40" s="95"/>
      <c r="AE40" s="95"/>
      <c r="AF40" s="95"/>
      <c r="AG40" s="95" t="s">
        <v>2443</v>
      </c>
      <c r="AH40" s="95"/>
      <c r="AI40" s="95">
        <v>1</v>
      </c>
      <c r="AJ40" s="95">
        <v>4</v>
      </c>
      <c r="AL40" t="s">
        <v>1425</v>
      </c>
      <c r="AM40" t="s">
        <v>1430</v>
      </c>
      <c r="AN40" s="22" t="s">
        <v>811</v>
      </c>
      <c r="AO40" s="205"/>
      <c r="AP40" s="95" t="s">
        <v>1667</v>
      </c>
      <c r="AQ40" s="205"/>
      <c r="AR40" s="95" t="s">
        <v>1704</v>
      </c>
      <c r="AS40" s="205"/>
      <c r="AU40" s="205"/>
      <c r="AV40" s="205"/>
      <c r="AW40" s="205"/>
      <c r="AY40" s="22">
        <v>1000</v>
      </c>
      <c r="AZ40" s="22">
        <v>1080</v>
      </c>
      <c r="BA40" s="22" t="s">
        <v>809</v>
      </c>
      <c r="BB40" s="22">
        <v>450</v>
      </c>
      <c r="BC40" s="22">
        <v>506</v>
      </c>
      <c r="BD40" s="22" t="s">
        <v>810</v>
      </c>
      <c r="BH40" s="22">
        <v>750</v>
      </c>
      <c r="BI40" s="22">
        <v>835</v>
      </c>
      <c r="BJ40" s="22" t="s">
        <v>810</v>
      </c>
      <c r="BL40" s="95" t="s">
        <v>2131</v>
      </c>
      <c r="BM40" s="95">
        <v>4060625</v>
      </c>
      <c r="BN40" s="95">
        <v>0.1</v>
      </c>
      <c r="BO40" s="95" t="s">
        <v>516</v>
      </c>
      <c r="BX40" t="s">
        <v>603</v>
      </c>
      <c r="BY40" t="s">
        <v>1430</v>
      </c>
      <c r="BZ40" t="s">
        <v>1470</v>
      </c>
      <c r="CA40">
        <v>48</v>
      </c>
      <c r="CC40" t="s">
        <v>143</v>
      </c>
      <c r="CD40" t="s">
        <v>571</v>
      </c>
      <c r="CE40" t="s">
        <v>662</v>
      </c>
      <c r="CF40" t="s">
        <v>141</v>
      </c>
      <c r="CG40">
        <v>40</v>
      </c>
      <c r="CH40" t="s">
        <v>810</v>
      </c>
    </row>
    <row r="41" spans="1:86" ht="12.75" customHeight="1" x14ac:dyDescent="0.25">
      <c r="A41" s="541">
        <v>4020511</v>
      </c>
      <c r="B41" s="543" t="s">
        <v>2441</v>
      </c>
      <c r="C41" s="541" t="s">
        <v>2438</v>
      </c>
      <c r="D41" s="541" t="s">
        <v>148</v>
      </c>
      <c r="E41" s="541" t="s">
        <v>2438</v>
      </c>
      <c r="F41" s="541" t="s">
        <v>2438</v>
      </c>
      <c r="G41" s="541" t="s">
        <v>148</v>
      </c>
      <c r="H41" s="541" t="s">
        <v>2437</v>
      </c>
      <c r="I41" s="541" t="s">
        <v>2437</v>
      </c>
      <c r="J41" s="541"/>
      <c r="K41" s="543"/>
      <c r="L41" s="541">
        <v>2</v>
      </c>
      <c r="M41" s="544">
        <v>45292</v>
      </c>
      <c r="N41" s="541"/>
      <c r="O41" s="541" t="s">
        <v>512</v>
      </c>
      <c r="P41" s="541">
        <v>10</v>
      </c>
      <c r="Q41" s="541">
        <v>326.04000000000002</v>
      </c>
      <c r="R41" s="541"/>
      <c r="S41" s="541"/>
      <c r="T41" s="541"/>
      <c r="U41" s="541"/>
      <c r="V41" s="541"/>
      <c r="W41" s="541"/>
      <c r="X41" s="541"/>
      <c r="Y41" s="541"/>
      <c r="Z41" s="541" t="s">
        <v>119</v>
      </c>
      <c r="AA41" s="541">
        <v>1</v>
      </c>
      <c r="AB41" s="541" t="s">
        <v>2439</v>
      </c>
      <c r="AC41" s="95" t="s">
        <v>2446</v>
      </c>
      <c r="AD41" s="95"/>
      <c r="AE41" s="95"/>
      <c r="AF41" s="95"/>
      <c r="AG41" s="95" t="s">
        <v>2444</v>
      </c>
      <c r="AH41" s="95"/>
      <c r="AI41" s="95">
        <v>1</v>
      </c>
      <c r="AJ41" s="95">
        <v>4</v>
      </c>
      <c r="AL41" t="s">
        <v>1426</v>
      </c>
      <c r="AM41" t="s">
        <v>1431</v>
      </c>
      <c r="AN41" s="22" t="s">
        <v>812</v>
      </c>
      <c r="AO41" s="205"/>
      <c r="AP41" s="205"/>
      <c r="AQ41" s="205"/>
      <c r="AR41" s="95" t="s">
        <v>1705</v>
      </c>
      <c r="AS41" s="205"/>
      <c r="AU41" s="205"/>
      <c r="AV41" s="205"/>
      <c r="AW41" s="205"/>
      <c r="AY41" s="22">
        <v>1500</v>
      </c>
      <c r="AZ41" s="22">
        <v>1610</v>
      </c>
      <c r="BA41" s="22" t="s">
        <v>810</v>
      </c>
      <c r="BB41" s="22">
        <v>750</v>
      </c>
      <c r="BC41" s="22">
        <v>818</v>
      </c>
      <c r="BD41" s="22" t="s">
        <v>810</v>
      </c>
      <c r="BH41" s="22">
        <v>1000</v>
      </c>
      <c r="BI41" s="22">
        <v>1100</v>
      </c>
      <c r="BJ41" s="22" t="s">
        <v>809</v>
      </c>
      <c r="BL41" s="95" t="s">
        <v>2135</v>
      </c>
      <c r="BM41" s="95">
        <v>4060720</v>
      </c>
      <c r="BN41" s="95">
        <v>0.1</v>
      </c>
      <c r="BO41" s="95" t="s">
        <v>516</v>
      </c>
      <c r="BX41" t="s">
        <v>603</v>
      </c>
      <c r="BY41" t="s">
        <v>1431</v>
      </c>
      <c r="BZ41" t="s">
        <v>1471</v>
      </c>
      <c r="CA41">
        <v>64</v>
      </c>
      <c r="CC41" t="s">
        <v>143</v>
      </c>
      <c r="CD41" t="s">
        <v>571</v>
      </c>
      <c r="CE41" t="s">
        <v>663</v>
      </c>
      <c r="CF41" t="s">
        <v>141</v>
      </c>
      <c r="CG41">
        <v>41</v>
      </c>
      <c r="CH41" t="s">
        <v>810</v>
      </c>
    </row>
    <row r="42" spans="1:86" ht="12.75" customHeight="1" x14ac:dyDescent="0.25">
      <c r="A42" s="541">
        <v>4020512</v>
      </c>
      <c r="B42" s="543" t="s">
        <v>2442</v>
      </c>
      <c r="C42" s="541" t="s">
        <v>2438</v>
      </c>
      <c r="D42" s="541" t="s">
        <v>148</v>
      </c>
      <c r="E42" s="541" t="s">
        <v>2438</v>
      </c>
      <c r="F42" s="541" t="s">
        <v>2438</v>
      </c>
      <c r="G42" s="541" t="s">
        <v>148</v>
      </c>
      <c r="H42" s="541" t="s">
        <v>2437</v>
      </c>
      <c r="I42" s="541" t="s">
        <v>2437</v>
      </c>
      <c r="J42" s="541"/>
      <c r="K42" s="543"/>
      <c r="L42" s="541">
        <v>2</v>
      </c>
      <c r="M42" s="544">
        <v>45292</v>
      </c>
      <c r="N42" s="541"/>
      <c r="O42" s="541" t="s">
        <v>512</v>
      </c>
      <c r="P42" s="541">
        <v>30</v>
      </c>
      <c r="Q42" s="541">
        <v>954.41</v>
      </c>
      <c r="R42" s="541"/>
      <c r="S42" s="541"/>
      <c r="T42" s="541"/>
      <c r="U42" s="541"/>
      <c r="V42" s="541"/>
      <c r="W42" s="541"/>
      <c r="X42" s="541"/>
      <c r="Y42" s="541"/>
      <c r="Z42" s="541" t="s">
        <v>119</v>
      </c>
      <c r="AA42" s="541">
        <v>1</v>
      </c>
      <c r="AB42" s="541" t="s">
        <v>2439</v>
      </c>
      <c r="AC42" s="95" t="s">
        <v>2446</v>
      </c>
      <c r="AD42" s="95"/>
      <c r="AE42" s="95"/>
      <c r="AF42" s="95"/>
      <c r="AG42" s="95" t="s">
        <v>2445</v>
      </c>
      <c r="AH42" s="95"/>
      <c r="AI42" s="95">
        <v>1</v>
      </c>
      <c r="AJ42" s="95">
        <v>4</v>
      </c>
      <c r="AL42" t="s">
        <v>584</v>
      </c>
      <c r="AM42" t="s">
        <v>606</v>
      </c>
      <c r="AN42" s="22" t="s">
        <v>1441</v>
      </c>
      <c r="AO42" s="205"/>
      <c r="AP42" s="205"/>
      <c r="AQ42" s="205"/>
      <c r="AR42" s="95" t="s">
        <v>1706</v>
      </c>
      <c r="AS42" s="205"/>
      <c r="AU42" s="205"/>
      <c r="AV42" s="205"/>
      <c r="AW42" s="205"/>
      <c r="AY42" s="22">
        <v>1650</v>
      </c>
      <c r="AZ42" s="22">
        <v>1765</v>
      </c>
      <c r="BA42" s="22" t="s">
        <v>1445</v>
      </c>
      <c r="BB42" s="22">
        <v>1000</v>
      </c>
      <c r="BC42" s="22">
        <v>1080</v>
      </c>
      <c r="BD42" s="22" t="s">
        <v>810</v>
      </c>
      <c r="BL42" s="95" t="s">
        <v>2136</v>
      </c>
      <c r="BM42" s="95">
        <v>4060721</v>
      </c>
      <c r="BN42" s="95">
        <v>0.1</v>
      </c>
      <c r="BO42" s="95" t="s">
        <v>516</v>
      </c>
      <c r="BX42" t="s">
        <v>603</v>
      </c>
      <c r="BY42" t="s">
        <v>606</v>
      </c>
      <c r="BZ42" t="s">
        <v>1467</v>
      </c>
      <c r="CA42">
        <v>23</v>
      </c>
      <c r="CC42" t="s">
        <v>143</v>
      </c>
      <c r="CD42" t="s">
        <v>660</v>
      </c>
      <c r="CE42" t="s">
        <v>574</v>
      </c>
      <c r="CF42" t="s">
        <v>141</v>
      </c>
      <c r="CG42">
        <v>42</v>
      </c>
      <c r="CH42" t="s">
        <v>810</v>
      </c>
    </row>
    <row r="43" spans="1:86" ht="12.75" customHeight="1" x14ac:dyDescent="0.25">
      <c r="AL43" t="s">
        <v>585</v>
      </c>
      <c r="AM43" t="s">
        <v>607</v>
      </c>
      <c r="AN43" s="22" t="s">
        <v>813</v>
      </c>
      <c r="AO43" s="205"/>
      <c r="AP43" s="205"/>
      <c r="AQ43" s="205"/>
      <c r="AR43" s="288" t="s">
        <v>1707</v>
      </c>
      <c r="AS43" s="205"/>
      <c r="AU43" s="205"/>
      <c r="AV43" s="205"/>
      <c r="AW43" s="205"/>
      <c r="AY43" s="22">
        <v>2000</v>
      </c>
      <c r="AZ43" s="22">
        <v>2140</v>
      </c>
      <c r="BA43" s="22" t="s">
        <v>1445</v>
      </c>
      <c r="BL43" s="95" t="s">
        <v>2133</v>
      </c>
      <c r="BM43" s="95">
        <v>4060722</v>
      </c>
      <c r="BN43" s="95">
        <v>0.1</v>
      </c>
      <c r="BO43" s="95" t="s">
        <v>516</v>
      </c>
      <c r="BX43" t="s">
        <v>603</v>
      </c>
      <c r="BY43" t="s">
        <v>607</v>
      </c>
      <c r="BZ43" t="s">
        <v>1472</v>
      </c>
      <c r="CA43">
        <v>46</v>
      </c>
      <c r="CC43" t="s">
        <v>143</v>
      </c>
      <c r="CD43" t="s">
        <v>660</v>
      </c>
      <c r="CE43" t="s">
        <v>659</v>
      </c>
      <c r="CF43" t="s">
        <v>141</v>
      </c>
      <c r="CG43">
        <v>43</v>
      </c>
      <c r="CH43" t="s">
        <v>810</v>
      </c>
    </row>
    <row r="44" spans="1:86" ht="12.75" customHeight="1" x14ac:dyDescent="0.25">
      <c r="A44" s="123" t="s">
        <v>1080</v>
      </c>
      <c r="B44" s="123" t="s">
        <v>1081</v>
      </c>
      <c r="C44" s="123" t="s">
        <v>1082</v>
      </c>
      <c r="D44" s="123" t="s">
        <v>1083</v>
      </c>
      <c r="E44" s="123" t="s">
        <v>1084</v>
      </c>
      <c r="F44" s="123" t="s">
        <v>128</v>
      </c>
      <c r="G44" s="123" t="s">
        <v>1085</v>
      </c>
      <c r="H44" s="123" t="s">
        <v>1086</v>
      </c>
      <c r="I44" s="123" t="s">
        <v>129</v>
      </c>
      <c r="J44" s="123" t="s">
        <v>1087</v>
      </c>
      <c r="K44" s="124" t="s">
        <v>1088</v>
      </c>
      <c r="L44" s="123" t="s">
        <v>132</v>
      </c>
      <c r="M44" s="125" t="s">
        <v>1089</v>
      </c>
      <c r="N44" s="123" t="s">
        <v>136</v>
      </c>
      <c r="O44" s="123" t="s">
        <v>716</v>
      </c>
      <c r="P44" s="123" t="s">
        <v>131</v>
      </c>
      <c r="Q44" s="123" t="s">
        <v>134</v>
      </c>
      <c r="R44" s="123" t="s">
        <v>1090</v>
      </c>
      <c r="S44" s="123" t="s">
        <v>1091</v>
      </c>
      <c r="T44" s="123" t="s">
        <v>1092</v>
      </c>
      <c r="U44" s="123" t="s">
        <v>126</v>
      </c>
      <c r="V44" s="123" t="s">
        <v>0</v>
      </c>
      <c r="W44" s="123" t="s">
        <v>1093</v>
      </c>
      <c r="X44" s="123" t="s">
        <v>473</v>
      </c>
      <c r="Y44" s="123" t="s">
        <v>135</v>
      </c>
      <c r="Z44" s="123" t="s">
        <v>991</v>
      </c>
      <c r="AA44" s="123" t="s">
        <v>1094</v>
      </c>
      <c r="AB44" s="123" t="s">
        <v>90</v>
      </c>
      <c r="AC44" s="21" t="s">
        <v>156</v>
      </c>
      <c r="AD44" s="21" t="s">
        <v>157</v>
      </c>
      <c r="AE44" s="21" t="s">
        <v>160</v>
      </c>
      <c r="AF44" s="21" t="s">
        <v>209</v>
      </c>
      <c r="AG44" s="21" t="s">
        <v>158</v>
      </c>
      <c r="AH44" s="21" t="s">
        <v>159</v>
      </c>
      <c r="AI44" s="21" t="s">
        <v>161</v>
      </c>
      <c r="AJ44" s="21" t="s">
        <v>895</v>
      </c>
      <c r="AL44" t="s">
        <v>1427</v>
      </c>
      <c r="AM44" t="s">
        <v>1432</v>
      </c>
      <c r="AN44" s="22" t="s">
        <v>814</v>
      </c>
      <c r="AO44" s="205"/>
      <c r="AP44" s="205"/>
      <c r="AQ44" s="205"/>
      <c r="AR44" s="288" t="s">
        <v>141</v>
      </c>
      <c r="AS44" s="205"/>
      <c r="AT44" s="205"/>
      <c r="AU44" s="205"/>
      <c r="AV44" s="205"/>
      <c r="AW44" s="205"/>
      <c r="BL44" s="95" t="s">
        <v>2134</v>
      </c>
      <c r="BM44" s="95">
        <v>4060723</v>
      </c>
      <c r="BN44" s="95">
        <v>0.1</v>
      </c>
      <c r="BO44" s="95" t="s">
        <v>516</v>
      </c>
      <c r="BX44" t="s">
        <v>603</v>
      </c>
      <c r="BY44" t="s">
        <v>1432</v>
      </c>
      <c r="BZ44" t="s">
        <v>1468</v>
      </c>
      <c r="CA44">
        <v>69</v>
      </c>
      <c r="CC44" t="s">
        <v>143</v>
      </c>
      <c r="CD44" t="s">
        <v>660</v>
      </c>
      <c r="CE44" t="s">
        <v>662</v>
      </c>
      <c r="CF44" t="s">
        <v>141</v>
      </c>
      <c r="CG44">
        <v>44</v>
      </c>
      <c r="CH44" t="s">
        <v>810</v>
      </c>
    </row>
    <row r="45" spans="1:86" ht="12.75" customHeight="1" x14ac:dyDescent="0.25">
      <c r="A45" s="123">
        <v>4030613</v>
      </c>
      <c r="B45" s="124" t="s">
        <v>1769</v>
      </c>
      <c r="C45" s="123" t="s">
        <v>1770</v>
      </c>
      <c r="D45" s="123" t="s">
        <v>514</v>
      </c>
      <c r="E45" s="123" t="s">
        <v>1769</v>
      </c>
      <c r="F45" s="123" t="s">
        <v>1769</v>
      </c>
      <c r="G45" s="123" t="s">
        <v>514</v>
      </c>
      <c r="H45" s="123" t="s">
        <v>1114</v>
      </c>
      <c r="I45" s="123" t="s">
        <v>1114</v>
      </c>
      <c r="K45" s="124" t="s">
        <v>1771</v>
      </c>
      <c r="L45" s="123">
        <v>12</v>
      </c>
      <c r="M45" s="125">
        <v>43525</v>
      </c>
      <c r="N45" s="123" t="s">
        <v>1682</v>
      </c>
      <c r="O45" s="123" t="s">
        <v>514</v>
      </c>
      <c r="P45" s="123">
        <v>671</v>
      </c>
      <c r="Q45" s="123">
        <v>7856.3</v>
      </c>
      <c r="R45" s="123">
        <v>2.2364241412000001</v>
      </c>
      <c r="S45" s="123">
        <v>5.9974973185555953E-2</v>
      </c>
      <c r="T45" s="123">
        <v>300.03253302388379</v>
      </c>
      <c r="U45" s="123" t="s">
        <v>137</v>
      </c>
      <c r="V45" s="123" t="s">
        <v>1096</v>
      </c>
      <c r="W45" s="123" t="s">
        <v>1102</v>
      </c>
      <c r="X45" s="123" t="s">
        <v>1097</v>
      </c>
      <c r="Y45" s="123" t="s">
        <v>140</v>
      </c>
      <c r="Z45" s="123" t="s">
        <v>119</v>
      </c>
      <c r="AA45" s="123">
        <v>1</v>
      </c>
      <c r="AB45" s="123" t="s">
        <v>130</v>
      </c>
      <c r="AC45" s="22" t="s">
        <v>896</v>
      </c>
      <c r="AD45" s="22" t="s">
        <v>149</v>
      </c>
      <c r="AG45" s="22" t="s">
        <v>1117</v>
      </c>
      <c r="AH45" s="22" t="s">
        <v>149</v>
      </c>
      <c r="AL45" t="s">
        <v>1428</v>
      </c>
      <c r="AM45" t="s">
        <v>1433</v>
      </c>
      <c r="AN45" s="22" t="s">
        <v>815</v>
      </c>
      <c r="AO45" s="205"/>
      <c r="AP45" s="205"/>
      <c r="AQ45" s="205"/>
      <c r="AR45" s="95" t="s">
        <v>1708</v>
      </c>
      <c r="AS45" s="205"/>
      <c r="AT45" s="205"/>
      <c r="AU45" s="205"/>
      <c r="AV45" s="205"/>
      <c r="AW45" s="205"/>
      <c r="BL45" s="95" t="s">
        <v>2137</v>
      </c>
      <c r="BM45" s="95">
        <v>4060724</v>
      </c>
      <c r="BN45" s="95">
        <v>0.1</v>
      </c>
      <c r="BO45" s="95" t="s">
        <v>516</v>
      </c>
      <c r="BX45" t="s">
        <v>603</v>
      </c>
      <c r="BY45" t="s">
        <v>1433</v>
      </c>
      <c r="BZ45" t="s">
        <v>1473</v>
      </c>
      <c r="CA45">
        <v>92</v>
      </c>
      <c r="CC45" t="s">
        <v>143</v>
      </c>
      <c r="CD45" t="s">
        <v>660</v>
      </c>
      <c r="CE45" t="s">
        <v>663</v>
      </c>
      <c r="CF45" t="s">
        <v>141</v>
      </c>
      <c r="CG45">
        <v>45</v>
      </c>
      <c r="CH45" t="s">
        <v>810</v>
      </c>
    </row>
    <row r="46" spans="1:86" ht="12.75" customHeight="1" x14ac:dyDescent="0.25">
      <c r="A46" s="123">
        <v>4030614</v>
      </c>
      <c r="B46" s="124" t="s">
        <v>1772</v>
      </c>
      <c r="C46" s="123" t="s">
        <v>1773</v>
      </c>
      <c r="D46" s="123" t="s">
        <v>514</v>
      </c>
      <c r="E46" s="123" t="s">
        <v>1772</v>
      </c>
      <c r="F46" s="123" t="s">
        <v>1772</v>
      </c>
      <c r="G46" s="123" t="s">
        <v>514</v>
      </c>
      <c r="H46" s="123" t="s">
        <v>1114</v>
      </c>
      <c r="I46" s="123" t="s">
        <v>1114</v>
      </c>
      <c r="K46" s="124" t="s">
        <v>1774</v>
      </c>
      <c r="L46" s="123">
        <v>12</v>
      </c>
      <c r="M46" s="125">
        <v>43525</v>
      </c>
      <c r="N46" s="123" t="s">
        <v>1682</v>
      </c>
      <c r="O46" s="123" t="s">
        <v>514</v>
      </c>
      <c r="P46" s="123">
        <v>729</v>
      </c>
      <c r="Q46" s="123">
        <v>9213.5</v>
      </c>
      <c r="R46" s="123">
        <v>2.43056206808</v>
      </c>
      <c r="S46" s="123">
        <v>5.9955588452997782E-2</v>
      </c>
      <c r="T46" s="123">
        <v>299.93062492572625</v>
      </c>
      <c r="U46" s="123" t="s">
        <v>137</v>
      </c>
      <c r="V46" s="123" t="s">
        <v>1096</v>
      </c>
      <c r="W46" s="123" t="s">
        <v>1102</v>
      </c>
      <c r="X46" s="123" t="s">
        <v>1097</v>
      </c>
      <c r="Y46" s="123" t="s">
        <v>140</v>
      </c>
      <c r="Z46" s="123" t="s">
        <v>119</v>
      </c>
      <c r="AA46" s="123">
        <v>1</v>
      </c>
      <c r="AB46" s="123" t="s">
        <v>130</v>
      </c>
      <c r="AC46" s="22" t="s">
        <v>896</v>
      </c>
      <c r="AD46" s="22" t="s">
        <v>150</v>
      </c>
      <c r="AG46" s="22" t="s">
        <v>1118</v>
      </c>
      <c r="AH46" s="22" t="s">
        <v>150</v>
      </c>
      <c r="AL46" t="s">
        <v>586</v>
      </c>
      <c r="AM46" t="s">
        <v>608</v>
      </c>
      <c r="AN46" s="22" t="s">
        <v>816</v>
      </c>
      <c r="AO46" s="205"/>
      <c r="AP46" s="205"/>
      <c r="AQ46" s="205"/>
      <c r="AR46" s="205"/>
      <c r="AS46" s="205"/>
      <c r="AT46" s="205"/>
      <c r="AU46" s="205"/>
      <c r="AV46" s="205"/>
      <c r="AW46" s="205"/>
      <c r="AY46" s="261" t="s">
        <v>125</v>
      </c>
      <c r="AZ46" s="261" t="s">
        <v>830</v>
      </c>
      <c r="BA46" s="261" t="s">
        <v>2047</v>
      </c>
      <c r="BB46" s="564" t="s">
        <v>131</v>
      </c>
      <c r="BC46" s="564" t="s">
        <v>2042</v>
      </c>
      <c r="BD46" s="564" t="s">
        <v>133</v>
      </c>
      <c r="BE46" s="261" t="s">
        <v>2041</v>
      </c>
      <c r="BF46" s="261" t="s">
        <v>2060</v>
      </c>
      <c r="BL46" s="95" t="s">
        <v>2138</v>
      </c>
      <c r="BM46" s="95">
        <v>4060725</v>
      </c>
      <c r="BN46" s="95">
        <v>0.1</v>
      </c>
      <c r="BO46" s="95" t="s">
        <v>516</v>
      </c>
      <c r="BX46" t="s">
        <v>603</v>
      </c>
      <c r="BY46" t="s">
        <v>608</v>
      </c>
      <c r="BZ46" t="s">
        <v>169</v>
      </c>
      <c r="CA46">
        <v>32</v>
      </c>
      <c r="CC46" t="s">
        <v>143</v>
      </c>
      <c r="CD46" t="s">
        <v>661</v>
      </c>
      <c r="CE46" t="s">
        <v>574</v>
      </c>
      <c r="CF46" t="s">
        <v>141</v>
      </c>
      <c r="CG46">
        <v>46</v>
      </c>
      <c r="CH46" t="s">
        <v>810</v>
      </c>
    </row>
    <row r="47" spans="1:86" ht="12.75" customHeight="1" x14ac:dyDescent="0.25">
      <c r="A47" s="123">
        <v>4030615</v>
      </c>
      <c r="B47" s="124" t="s">
        <v>1775</v>
      </c>
      <c r="C47" s="123" t="s">
        <v>1776</v>
      </c>
      <c r="D47" s="123" t="s">
        <v>514</v>
      </c>
      <c r="E47" s="123" t="s">
        <v>1775</v>
      </c>
      <c r="F47" s="123" t="s">
        <v>1775</v>
      </c>
      <c r="G47" s="123" t="s">
        <v>514</v>
      </c>
      <c r="H47" s="123" t="s">
        <v>1114</v>
      </c>
      <c r="I47" s="123" t="s">
        <v>1114</v>
      </c>
      <c r="K47" s="124" t="s">
        <v>1777</v>
      </c>
      <c r="L47" s="123">
        <v>12</v>
      </c>
      <c r="M47" s="125">
        <v>43525</v>
      </c>
      <c r="N47" s="123" t="s">
        <v>1682</v>
      </c>
      <c r="O47" s="123" t="s">
        <v>514</v>
      </c>
      <c r="P47" s="123">
        <v>788</v>
      </c>
      <c r="Q47" s="123">
        <v>10513</v>
      </c>
      <c r="R47" s="123">
        <v>2.6263991016100001</v>
      </c>
      <c r="S47" s="123">
        <v>5.9974122840398811E-2</v>
      </c>
      <c r="T47" s="123">
        <v>300.03056257403938</v>
      </c>
      <c r="U47" s="123" t="s">
        <v>137</v>
      </c>
      <c r="V47" s="123" t="s">
        <v>1096</v>
      </c>
      <c r="W47" s="123" t="s">
        <v>1102</v>
      </c>
      <c r="X47" s="123" t="s">
        <v>1097</v>
      </c>
      <c r="Y47" s="123" t="s">
        <v>140</v>
      </c>
      <c r="Z47" s="123" t="s">
        <v>119</v>
      </c>
      <c r="AA47" s="123">
        <v>1</v>
      </c>
      <c r="AB47" s="123" t="s">
        <v>130</v>
      </c>
      <c r="AC47" s="22" t="s">
        <v>896</v>
      </c>
      <c r="AD47" s="22" t="s">
        <v>151</v>
      </c>
      <c r="AG47" s="22" t="s">
        <v>1119</v>
      </c>
      <c r="AH47" s="22" t="s">
        <v>151</v>
      </c>
      <c r="AL47" t="s">
        <v>587</v>
      </c>
      <c r="AM47" t="s">
        <v>609</v>
      </c>
      <c r="AN47" s="22" t="s">
        <v>1504</v>
      </c>
      <c r="AO47" s="205"/>
      <c r="AP47" s="205"/>
      <c r="AQ47" s="205"/>
      <c r="AR47" s="95" t="s">
        <v>2310</v>
      </c>
      <c r="AS47" s="95">
        <v>0.48</v>
      </c>
      <c r="AT47" s="205"/>
      <c r="AU47" s="205"/>
      <c r="AV47" s="205"/>
      <c r="AW47" s="205"/>
      <c r="AY47" s="95">
        <v>4060220</v>
      </c>
      <c r="AZ47" s="95" t="s">
        <v>2061</v>
      </c>
      <c r="BA47" s="95" t="s">
        <v>2048</v>
      </c>
      <c r="BB47" s="562">
        <v>0.09</v>
      </c>
      <c r="BC47" s="562">
        <v>0.24</v>
      </c>
      <c r="BD47" s="562">
        <v>10</v>
      </c>
      <c r="BE47" s="95" t="s">
        <v>138</v>
      </c>
      <c r="BF47" s="95">
        <v>60</v>
      </c>
      <c r="BL47" s="95" t="s">
        <v>2139</v>
      </c>
      <c r="BM47" s="95">
        <v>4060820</v>
      </c>
      <c r="BN47" s="95">
        <v>0.1</v>
      </c>
      <c r="BO47" s="95" t="s">
        <v>516</v>
      </c>
      <c r="BX47" t="s">
        <v>603</v>
      </c>
      <c r="BY47" t="s">
        <v>609</v>
      </c>
      <c r="BZ47" t="s">
        <v>1469</v>
      </c>
      <c r="CA47">
        <v>59</v>
      </c>
      <c r="CC47" t="s">
        <v>143</v>
      </c>
      <c r="CD47" t="s">
        <v>661</v>
      </c>
      <c r="CE47" t="s">
        <v>659</v>
      </c>
      <c r="CF47" t="s">
        <v>141</v>
      </c>
      <c r="CG47">
        <v>47</v>
      </c>
      <c r="CH47" t="s">
        <v>810</v>
      </c>
    </row>
    <row r="48" spans="1:86" ht="12.75" customHeight="1" x14ac:dyDescent="0.25">
      <c r="A48" s="123">
        <v>4030616</v>
      </c>
      <c r="B48" s="124" t="s">
        <v>1778</v>
      </c>
      <c r="C48" s="123" t="s">
        <v>1779</v>
      </c>
      <c r="D48" s="123" t="s">
        <v>514</v>
      </c>
      <c r="E48" s="123" t="s">
        <v>1778</v>
      </c>
      <c r="F48" s="123" t="s">
        <v>1778</v>
      </c>
      <c r="G48" s="123" t="s">
        <v>514</v>
      </c>
      <c r="H48" s="123" t="s">
        <v>1114</v>
      </c>
      <c r="I48" s="123" t="s">
        <v>1114</v>
      </c>
      <c r="K48" s="124" t="s">
        <v>1780</v>
      </c>
      <c r="L48" s="123">
        <v>12</v>
      </c>
      <c r="M48" s="125">
        <v>43525</v>
      </c>
      <c r="N48" s="123" t="s">
        <v>1682</v>
      </c>
      <c r="O48" s="123" t="s">
        <v>514</v>
      </c>
      <c r="P48" s="123">
        <v>910</v>
      </c>
      <c r="Q48" s="123">
        <v>11818.6</v>
      </c>
      <c r="R48" s="123">
        <v>3.0322856960599998</v>
      </c>
      <c r="S48" s="123">
        <v>5.9990770650669129E-2</v>
      </c>
      <c r="T48" s="123">
        <v>300.10364827509773</v>
      </c>
      <c r="U48" s="123" t="s">
        <v>137</v>
      </c>
      <c r="V48" s="123" t="s">
        <v>1096</v>
      </c>
      <c r="W48" s="123" t="s">
        <v>1102</v>
      </c>
      <c r="X48" s="123" t="s">
        <v>1097</v>
      </c>
      <c r="Y48" s="123" t="s">
        <v>140</v>
      </c>
      <c r="Z48" s="123" t="s">
        <v>119</v>
      </c>
      <c r="AA48" s="123">
        <v>1</v>
      </c>
      <c r="AB48" s="123" t="s">
        <v>130</v>
      </c>
      <c r="AC48" s="22" t="s">
        <v>896</v>
      </c>
      <c r="AD48" s="22" t="s">
        <v>152</v>
      </c>
      <c r="AG48" s="22" t="s">
        <v>1120</v>
      </c>
      <c r="AH48" s="22" t="s">
        <v>152</v>
      </c>
      <c r="AL48" t="s">
        <v>588</v>
      </c>
      <c r="AM48" t="s">
        <v>610</v>
      </c>
      <c r="AN48" s="22" t="s">
        <v>1505</v>
      </c>
      <c r="AO48" s="205"/>
      <c r="AP48" s="205"/>
      <c r="AQ48" s="205"/>
      <c r="AR48" s="95" t="s">
        <v>2350</v>
      </c>
      <c r="AS48" s="95">
        <v>4061500</v>
      </c>
      <c r="AT48" s="205"/>
      <c r="AU48" s="205"/>
      <c r="AV48" s="205"/>
      <c r="AW48" s="205"/>
      <c r="AY48" s="95">
        <v>4060221</v>
      </c>
      <c r="AZ48" s="95" t="s">
        <v>2071</v>
      </c>
      <c r="BA48" s="95" t="s">
        <v>2048</v>
      </c>
      <c r="BB48" s="563">
        <v>0.09</v>
      </c>
      <c r="BC48" s="563">
        <v>0.24</v>
      </c>
      <c r="BD48" s="563">
        <v>10</v>
      </c>
      <c r="BE48" s="95" t="s">
        <v>138</v>
      </c>
      <c r="BF48" s="95">
        <v>150</v>
      </c>
      <c r="BL48" s="95" t="s">
        <v>2140</v>
      </c>
      <c r="BM48" s="95">
        <v>4060821</v>
      </c>
      <c r="BN48" s="95">
        <v>0.1</v>
      </c>
      <c r="BO48" s="95" t="s">
        <v>516</v>
      </c>
      <c r="BX48" t="s">
        <v>603</v>
      </c>
      <c r="BY48" t="s">
        <v>610</v>
      </c>
      <c r="BZ48" t="s">
        <v>171</v>
      </c>
      <c r="CA48">
        <v>88</v>
      </c>
      <c r="CC48" t="s">
        <v>143</v>
      </c>
      <c r="CD48" t="s">
        <v>661</v>
      </c>
      <c r="CE48" t="s">
        <v>662</v>
      </c>
      <c r="CF48" t="s">
        <v>141</v>
      </c>
      <c r="CG48">
        <v>48</v>
      </c>
      <c r="CH48" t="s">
        <v>810</v>
      </c>
    </row>
    <row r="49" spans="1:86" ht="12.75" customHeight="1" x14ac:dyDescent="0.25">
      <c r="A49" s="123">
        <v>4030510</v>
      </c>
      <c r="B49" s="124" t="s">
        <v>1781</v>
      </c>
      <c r="C49" s="123" t="s">
        <v>1782</v>
      </c>
      <c r="D49" s="123" t="s">
        <v>514</v>
      </c>
      <c r="E49" s="123" t="s">
        <v>1781</v>
      </c>
      <c r="F49" s="123" t="s">
        <v>1781</v>
      </c>
      <c r="G49" s="123" t="s">
        <v>514</v>
      </c>
      <c r="H49" s="123" t="s">
        <v>1114</v>
      </c>
      <c r="I49" s="123" t="s">
        <v>1114</v>
      </c>
      <c r="K49" s="124" t="s">
        <v>1783</v>
      </c>
      <c r="L49" s="123">
        <v>12</v>
      </c>
      <c r="M49" s="125">
        <v>43525</v>
      </c>
      <c r="N49" s="123" t="s">
        <v>1682</v>
      </c>
      <c r="O49" s="123" t="s">
        <v>514</v>
      </c>
      <c r="P49" s="123">
        <v>397</v>
      </c>
      <c r="Q49" s="123">
        <v>4438.3</v>
      </c>
      <c r="R49" s="123">
        <v>1.3241038176</v>
      </c>
      <c r="S49" s="123">
        <v>5.9933574879227056E-2</v>
      </c>
      <c r="T49" s="123">
        <v>299.82543266099862</v>
      </c>
      <c r="U49" s="123" t="s">
        <v>137</v>
      </c>
      <c r="V49" s="123" t="s">
        <v>1096</v>
      </c>
      <c r="W49" s="123" t="s">
        <v>1102</v>
      </c>
      <c r="X49" s="123" t="s">
        <v>1097</v>
      </c>
      <c r="Y49" s="123" t="s">
        <v>140</v>
      </c>
      <c r="Z49" s="123" t="s">
        <v>119</v>
      </c>
      <c r="AA49" s="123">
        <v>1</v>
      </c>
      <c r="AB49" s="123" t="s">
        <v>130</v>
      </c>
      <c r="AC49" s="22" t="s">
        <v>896</v>
      </c>
      <c r="AD49" s="22" t="s">
        <v>897</v>
      </c>
      <c r="AG49" s="22" t="s">
        <v>1680</v>
      </c>
      <c r="AH49" s="22" t="s">
        <v>1681</v>
      </c>
      <c r="AL49" t="s">
        <v>589</v>
      </c>
      <c r="AM49" t="s">
        <v>611</v>
      </c>
      <c r="AN49" s="22" t="s">
        <v>910</v>
      </c>
      <c r="AO49" s="205"/>
      <c r="AP49" s="205"/>
      <c r="AQ49" s="205"/>
      <c r="AR49" s="95" t="s">
        <v>2351</v>
      </c>
      <c r="AS49" s="95">
        <v>4061501</v>
      </c>
      <c r="AT49" s="205"/>
      <c r="AU49" s="205"/>
      <c r="AV49" s="205"/>
      <c r="AW49" s="205"/>
      <c r="BL49" s="95" t="s">
        <v>2141</v>
      </c>
      <c r="BM49" s="95">
        <v>4060822</v>
      </c>
      <c r="BN49" s="95">
        <v>0.1</v>
      </c>
      <c r="BO49" s="95" t="s">
        <v>516</v>
      </c>
      <c r="BX49" t="s">
        <v>603</v>
      </c>
      <c r="BY49" t="s">
        <v>611</v>
      </c>
      <c r="BZ49" t="s">
        <v>172</v>
      </c>
      <c r="CA49">
        <v>114</v>
      </c>
      <c r="CC49" t="s">
        <v>143</v>
      </c>
      <c r="CD49" t="s">
        <v>661</v>
      </c>
      <c r="CE49" t="s">
        <v>663</v>
      </c>
      <c r="CF49" t="s">
        <v>141</v>
      </c>
      <c r="CG49">
        <v>49</v>
      </c>
      <c r="CH49" t="s">
        <v>810</v>
      </c>
    </row>
    <row r="50" spans="1:86" ht="12.75" customHeight="1" x14ac:dyDescent="0.25">
      <c r="A50" s="541">
        <v>4030710</v>
      </c>
      <c r="B50" s="543" t="s">
        <v>2053</v>
      </c>
      <c r="C50" s="541" t="s">
        <v>2054</v>
      </c>
      <c r="D50" s="541" t="s">
        <v>514</v>
      </c>
      <c r="E50" s="541"/>
      <c r="F50" s="541"/>
      <c r="G50" s="541" t="s">
        <v>514</v>
      </c>
      <c r="H50" s="541" t="s">
        <v>2055</v>
      </c>
      <c r="I50" s="541" t="s">
        <v>2055</v>
      </c>
      <c r="J50" s="541"/>
      <c r="K50" s="543" t="s">
        <v>2056</v>
      </c>
      <c r="L50" s="541">
        <v>15</v>
      </c>
      <c r="M50" s="544">
        <v>44013</v>
      </c>
      <c r="N50" s="541" t="s">
        <v>1682</v>
      </c>
      <c r="O50" s="545" t="s">
        <v>514</v>
      </c>
      <c r="P50" s="545">
        <v>275</v>
      </c>
      <c r="Q50" s="541">
        <v>4197</v>
      </c>
      <c r="R50" s="541"/>
      <c r="S50" s="541"/>
      <c r="T50" s="541"/>
      <c r="U50" s="541"/>
      <c r="V50" s="541"/>
      <c r="W50" s="541"/>
      <c r="X50" s="541"/>
      <c r="Y50" s="541"/>
      <c r="Z50" s="541" t="s">
        <v>119</v>
      </c>
      <c r="AA50" s="541"/>
      <c r="AB50" s="541" t="s">
        <v>1660</v>
      </c>
      <c r="AC50" s="95" t="s">
        <v>2057</v>
      </c>
      <c r="AD50" s="95"/>
      <c r="AE50" s="95"/>
      <c r="AF50" s="95"/>
      <c r="AG50" s="95" t="s">
        <v>2053</v>
      </c>
      <c r="AH50" s="95"/>
      <c r="AI50" s="95"/>
      <c r="AJ50" s="95"/>
      <c r="AL50" t="s">
        <v>1338</v>
      </c>
      <c r="AM50" t="s">
        <v>1434</v>
      </c>
      <c r="AN50" s="22" t="s">
        <v>911</v>
      </c>
      <c r="AO50" s="205"/>
      <c r="AP50" s="205"/>
      <c r="AQ50" s="205"/>
      <c r="AR50" s="95" t="s">
        <v>2356</v>
      </c>
      <c r="AS50" s="95">
        <v>4110200</v>
      </c>
      <c r="AT50" s="205"/>
      <c r="AU50" s="205"/>
      <c r="AV50" s="205"/>
      <c r="AW50" s="205"/>
      <c r="BL50" s="95" t="s">
        <v>2142</v>
      </c>
      <c r="BM50" s="95">
        <v>4060823</v>
      </c>
      <c r="BN50" s="95">
        <v>0.1</v>
      </c>
      <c r="BO50" s="95" t="s">
        <v>516</v>
      </c>
      <c r="BX50" t="s">
        <v>603</v>
      </c>
      <c r="BY50" t="s">
        <v>1434</v>
      </c>
      <c r="BZ50" t="s">
        <v>1335</v>
      </c>
      <c r="CA50">
        <v>175</v>
      </c>
      <c r="CC50" t="s">
        <v>143</v>
      </c>
      <c r="CD50" t="s">
        <v>661</v>
      </c>
      <c r="CE50" t="s">
        <v>669</v>
      </c>
      <c r="CF50" t="s">
        <v>141</v>
      </c>
      <c r="CG50">
        <v>50</v>
      </c>
      <c r="CH50" t="s">
        <v>810</v>
      </c>
    </row>
    <row r="51" spans="1:86" ht="12.75" customHeight="1" x14ac:dyDescent="0.25">
      <c r="AL51" t="s">
        <v>1515</v>
      </c>
      <c r="AM51" t="s">
        <v>1435</v>
      </c>
      <c r="AN51" s="22" t="s">
        <v>1439</v>
      </c>
      <c r="AO51" s="205"/>
      <c r="AP51" s="205"/>
      <c r="AQ51" s="205"/>
      <c r="AR51" s="205"/>
      <c r="AS51" s="205"/>
      <c r="AT51" s="205"/>
      <c r="AU51" s="205"/>
      <c r="AV51" s="205"/>
      <c r="AW51" s="205"/>
      <c r="BL51" s="95" t="s">
        <v>2143</v>
      </c>
      <c r="BM51" s="95">
        <v>4060824</v>
      </c>
      <c r="BN51" s="95">
        <v>0.1</v>
      </c>
      <c r="BO51" s="95" t="s">
        <v>516</v>
      </c>
      <c r="BX51" t="s">
        <v>603</v>
      </c>
      <c r="BY51" t="s">
        <v>1435</v>
      </c>
      <c r="BZ51" t="s">
        <v>1420</v>
      </c>
      <c r="CA51">
        <v>221</v>
      </c>
      <c r="CC51" t="s">
        <v>143</v>
      </c>
      <c r="CD51" t="s">
        <v>661</v>
      </c>
      <c r="CE51" t="s">
        <v>669</v>
      </c>
      <c r="CF51" t="s">
        <v>141</v>
      </c>
      <c r="CG51">
        <v>51</v>
      </c>
      <c r="CH51" t="s">
        <v>809</v>
      </c>
    </row>
    <row r="52" spans="1:86" ht="12.75" customHeight="1" x14ac:dyDescent="0.25">
      <c r="A52" s="123" t="s">
        <v>1647</v>
      </c>
      <c r="B52" s="124" t="s">
        <v>1643</v>
      </c>
      <c r="D52" s="123" t="s">
        <v>830</v>
      </c>
      <c r="E52" s="123" t="s">
        <v>1080</v>
      </c>
      <c r="F52" s="123" t="s">
        <v>1679</v>
      </c>
      <c r="G52" s="123" t="s">
        <v>131</v>
      </c>
      <c r="H52" s="123" t="s">
        <v>1684</v>
      </c>
      <c r="I52" s="123" t="s">
        <v>1683</v>
      </c>
      <c r="J52" s="123" t="s">
        <v>1645</v>
      </c>
      <c r="K52" s="123" t="s">
        <v>1646</v>
      </c>
      <c r="L52" s="123" t="s">
        <v>716</v>
      </c>
      <c r="M52" s="123" t="s">
        <v>156</v>
      </c>
      <c r="N52" s="123" t="s">
        <v>130</v>
      </c>
      <c r="AL52" s="292" t="s">
        <v>1516</v>
      </c>
      <c r="AM52" t="s">
        <v>1436</v>
      </c>
      <c r="AN52" s="22" t="s">
        <v>912</v>
      </c>
      <c r="AO52" s="205"/>
      <c r="AP52" s="205"/>
      <c r="AQ52" s="205"/>
      <c r="AR52" s="205"/>
      <c r="AS52" s="205"/>
      <c r="AT52" s="205"/>
      <c r="AU52" s="205"/>
      <c r="AV52" s="205"/>
      <c r="AW52" s="205"/>
      <c r="BL52" s="95" t="s">
        <v>2144</v>
      </c>
      <c r="BM52" s="95">
        <v>4060825</v>
      </c>
      <c r="BN52" s="95">
        <v>0.1</v>
      </c>
      <c r="BO52" s="95" t="s">
        <v>516</v>
      </c>
      <c r="BX52" t="s">
        <v>603</v>
      </c>
      <c r="BY52" t="s">
        <v>1436</v>
      </c>
      <c r="BZ52" t="s">
        <v>1475</v>
      </c>
      <c r="CA52">
        <v>292</v>
      </c>
      <c r="CC52" t="s">
        <v>143</v>
      </c>
      <c r="CD52" t="s">
        <v>661</v>
      </c>
      <c r="CE52" t="s">
        <v>670</v>
      </c>
      <c r="CF52" t="s">
        <v>141</v>
      </c>
      <c r="CG52">
        <v>52</v>
      </c>
      <c r="CH52" t="s">
        <v>809</v>
      </c>
    </row>
    <row r="53" spans="1:86" ht="12.75" customHeight="1" x14ac:dyDescent="0.25">
      <c r="A53" s="123" t="s">
        <v>1934</v>
      </c>
      <c r="B53" s="124" t="s">
        <v>1644</v>
      </c>
      <c r="D53" s="541" t="s">
        <v>2472</v>
      </c>
      <c r="E53" s="541">
        <v>4051920</v>
      </c>
      <c r="F53" s="542">
        <v>69.400000000000006</v>
      </c>
      <c r="G53" s="541">
        <v>45</v>
      </c>
      <c r="H53" s="541">
        <v>14</v>
      </c>
      <c r="I53" s="541">
        <v>100</v>
      </c>
      <c r="J53" s="541">
        <v>0</v>
      </c>
      <c r="K53" s="541">
        <v>64</v>
      </c>
      <c r="L53" s="541" t="s">
        <v>515</v>
      </c>
      <c r="M53" s="541" t="s">
        <v>2413</v>
      </c>
      <c r="N53" s="541" t="s">
        <v>1992</v>
      </c>
      <c r="AL53" t="s">
        <v>1494</v>
      </c>
      <c r="AM53" t="s">
        <v>1519</v>
      </c>
      <c r="AN53" s="22" t="s">
        <v>913</v>
      </c>
      <c r="AO53" s="205"/>
      <c r="AP53" s="205"/>
      <c r="AQ53" s="205"/>
      <c r="AR53" s="205"/>
      <c r="AS53" s="205"/>
      <c r="AT53" s="205"/>
      <c r="AU53" s="205"/>
      <c r="AV53" s="205"/>
      <c r="AW53" s="205"/>
      <c r="BL53" s="95" t="s">
        <v>2145</v>
      </c>
      <c r="BM53" s="95">
        <v>4060921</v>
      </c>
      <c r="BN53" s="95">
        <v>0.1</v>
      </c>
      <c r="BO53" s="95" t="s">
        <v>516</v>
      </c>
      <c r="BX53" t="s">
        <v>603</v>
      </c>
      <c r="BY53" t="s">
        <v>1519</v>
      </c>
      <c r="BZ53" t="s">
        <v>1523</v>
      </c>
      <c r="CA53">
        <v>39</v>
      </c>
      <c r="CC53" t="s">
        <v>143</v>
      </c>
      <c r="CD53" t="s">
        <v>1501</v>
      </c>
      <c r="CE53" t="s">
        <v>574</v>
      </c>
      <c r="CF53" t="s">
        <v>141</v>
      </c>
      <c r="CG53">
        <v>53</v>
      </c>
      <c r="CH53" t="s">
        <v>1445</v>
      </c>
    </row>
    <row r="54" spans="1:86" ht="12.75" customHeight="1" x14ac:dyDescent="0.25">
      <c r="A54" s="123" t="s">
        <v>1935</v>
      </c>
      <c r="D54" s="123" t="s">
        <v>2473</v>
      </c>
      <c r="E54" s="541">
        <v>4051920</v>
      </c>
      <c r="G54" s="123">
        <v>45</v>
      </c>
      <c r="H54" s="123">
        <v>13.4</v>
      </c>
      <c r="I54" s="123">
        <v>100</v>
      </c>
      <c r="J54" s="123">
        <v>0</v>
      </c>
      <c r="K54" s="123">
        <v>64</v>
      </c>
      <c r="L54" s="123" t="s">
        <v>515</v>
      </c>
      <c r="M54" s="123" t="s">
        <v>2470</v>
      </c>
      <c r="N54" s="123" t="s">
        <v>1992</v>
      </c>
      <c r="AL54" t="s">
        <v>1495</v>
      </c>
      <c r="AM54" t="s">
        <v>1520</v>
      </c>
      <c r="AN54" s="22" t="s">
        <v>1440</v>
      </c>
      <c r="AO54" s="205"/>
      <c r="AP54" s="205"/>
      <c r="AQ54" s="205"/>
      <c r="AR54" s="205"/>
      <c r="AS54" s="205"/>
      <c r="AT54" s="205"/>
      <c r="AU54" s="205"/>
      <c r="AV54" s="205"/>
      <c r="AW54" s="205"/>
      <c r="BL54" s="95" t="s">
        <v>2146</v>
      </c>
      <c r="BM54" s="95">
        <v>4060922</v>
      </c>
      <c r="BN54" s="95">
        <v>0.1</v>
      </c>
      <c r="BO54" s="95" t="s">
        <v>516</v>
      </c>
      <c r="BX54" t="s">
        <v>603</v>
      </c>
      <c r="BY54" t="s">
        <v>1520</v>
      </c>
      <c r="BZ54" t="s">
        <v>1524</v>
      </c>
      <c r="CA54">
        <v>75</v>
      </c>
      <c r="CC54" t="s">
        <v>143</v>
      </c>
      <c r="CD54" t="s">
        <v>1501</v>
      </c>
      <c r="CE54" t="s">
        <v>659</v>
      </c>
      <c r="CF54" t="s">
        <v>141</v>
      </c>
      <c r="CG54">
        <v>54</v>
      </c>
      <c r="CH54" t="s">
        <v>1445</v>
      </c>
    </row>
    <row r="55" spans="1:86" ht="12.75" customHeight="1" x14ac:dyDescent="0.25">
      <c r="A55" s="123" t="s">
        <v>1936</v>
      </c>
      <c r="D55" s="123" t="s">
        <v>2474</v>
      </c>
      <c r="E55" s="123">
        <v>4051925</v>
      </c>
      <c r="G55" s="123">
        <v>45</v>
      </c>
      <c r="H55" s="123">
        <v>13</v>
      </c>
      <c r="I55" s="123">
        <v>100</v>
      </c>
      <c r="J55" s="123">
        <v>0</v>
      </c>
      <c r="K55" s="123">
        <v>64</v>
      </c>
      <c r="L55" s="123" t="s">
        <v>515</v>
      </c>
      <c r="M55" s="541" t="s">
        <v>2076</v>
      </c>
      <c r="N55" s="123" t="s">
        <v>1992</v>
      </c>
      <c r="AL55" t="s">
        <v>590</v>
      </c>
      <c r="AM55" t="s">
        <v>1521</v>
      </c>
      <c r="AN55" s="22" t="s">
        <v>1529</v>
      </c>
      <c r="BL55" s="95" t="s">
        <v>2147</v>
      </c>
      <c r="BM55" s="95">
        <v>4060923</v>
      </c>
      <c r="BN55" s="95">
        <v>0.1</v>
      </c>
      <c r="BO55" s="95" t="s">
        <v>516</v>
      </c>
      <c r="BX55" t="s">
        <v>603</v>
      </c>
      <c r="BY55" t="s">
        <v>1521</v>
      </c>
      <c r="BZ55" t="s">
        <v>1525</v>
      </c>
      <c r="CA55">
        <v>107</v>
      </c>
      <c r="CC55" t="s">
        <v>143</v>
      </c>
      <c r="CD55" t="s">
        <v>1501</v>
      </c>
      <c r="CE55" t="s">
        <v>662</v>
      </c>
      <c r="CF55" t="s">
        <v>141</v>
      </c>
      <c r="CG55">
        <v>55</v>
      </c>
      <c r="CH55" t="s">
        <v>1445</v>
      </c>
    </row>
    <row r="56" spans="1:86" ht="12.75" customHeight="1" x14ac:dyDescent="0.25">
      <c r="A56" s="123" t="s">
        <v>1937</v>
      </c>
      <c r="D56" s="123" t="s">
        <v>2475</v>
      </c>
      <c r="E56" s="123">
        <v>4051925</v>
      </c>
      <c r="G56" s="123">
        <v>45</v>
      </c>
      <c r="H56" s="123">
        <v>12.4</v>
      </c>
      <c r="I56" s="123">
        <v>100</v>
      </c>
      <c r="J56" s="123">
        <v>0</v>
      </c>
      <c r="K56" s="123">
        <v>64</v>
      </c>
      <c r="L56" s="123" t="s">
        <v>515</v>
      </c>
      <c r="M56" s="123" t="s">
        <v>2471</v>
      </c>
      <c r="N56" s="123" t="s">
        <v>1992</v>
      </c>
      <c r="AL56" t="s">
        <v>591</v>
      </c>
      <c r="AM56" t="s">
        <v>1522</v>
      </c>
      <c r="AN56" s="22" t="s">
        <v>1530</v>
      </c>
      <c r="BL56" s="95" t="s">
        <v>1383</v>
      </c>
      <c r="BM56" s="95">
        <v>4060350</v>
      </c>
      <c r="BN56" s="95">
        <v>0.1</v>
      </c>
      <c r="BO56" s="95" t="s">
        <v>516</v>
      </c>
      <c r="BX56" t="s">
        <v>603</v>
      </c>
      <c r="BY56" t="s">
        <v>1522</v>
      </c>
      <c r="BZ56" t="s">
        <v>1526</v>
      </c>
      <c r="CA56">
        <v>116</v>
      </c>
      <c r="CC56" t="s">
        <v>143</v>
      </c>
      <c r="CD56" t="s">
        <v>1501</v>
      </c>
      <c r="CE56" t="s">
        <v>663</v>
      </c>
      <c r="CF56" t="s">
        <v>141</v>
      </c>
      <c r="CG56">
        <v>56</v>
      </c>
      <c r="CH56" t="s">
        <v>1445</v>
      </c>
    </row>
    <row r="57" spans="1:86" ht="12.75" customHeight="1" x14ac:dyDescent="0.25">
      <c r="A57" s="123" t="s">
        <v>1938</v>
      </c>
      <c r="D57" s="123" t="s">
        <v>1935</v>
      </c>
      <c r="E57" s="123">
        <v>4051921</v>
      </c>
      <c r="F57" s="123">
        <v>92.5</v>
      </c>
      <c r="G57" s="123">
        <v>45</v>
      </c>
      <c r="H57" s="123">
        <v>12.6</v>
      </c>
      <c r="I57" s="123">
        <v>100</v>
      </c>
      <c r="J57" s="123">
        <v>65</v>
      </c>
      <c r="K57" s="123">
        <v>134</v>
      </c>
      <c r="L57" s="123" t="s">
        <v>515</v>
      </c>
      <c r="M57" s="123" t="s">
        <v>2414</v>
      </c>
      <c r="N57" s="123" t="s">
        <v>1992</v>
      </c>
      <c r="AL57" t="s">
        <v>592</v>
      </c>
      <c r="AM57" t="s">
        <v>1499</v>
      </c>
      <c r="AQ57" s="22">
        <v>0.375</v>
      </c>
      <c r="BL57" s="95" t="s">
        <v>1384</v>
      </c>
      <c r="BM57" s="95">
        <v>4060420</v>
      </c>
      <c r="BN57" s="95">
        <v>0.1</v>
      </c>
      <c r="BO57" s="95" t="s">
        <v>516</v>
      </c>
      <c r="BX57" t="s">
        <v>603</v>
      </c>
      <c r="BY57" t="s">
        <v>1499</v>
      </c>
      <c r="BZ57" t="s">
        <v>1527</v>
      </c>
      <c r="CA57">
        <v>50</v>
      </c>
      <c r="CC57" t="s">
        <v>143</v>
      </c>
      <c r="CD57" t="s">
        <v>1498</v>
      </c>
      <c r="CE57" t="s">
        <v>574</v>
      </c>
      <c r="CF57" t="s">
        <v>141</v>
      </c>
      <c r="CG57">
        <v>57</v>
      </c>
      <c r="CH57" t="s">
        <v>1445</v>
      </c>
    </row>
    <row r="58" spans="1:86" ht="12.75" customHeight="1" x14ac:dyDescent="0.25">
      <c r="A58" s="123" t="s">
        <v>1837</v>
      </c>
      <c r="D58" s="123" t="s">
        <v>1936</v>
      </c>
      <c r="E58" s="123">
        <v>4051922</v>
      </c>
      <c r="F58" s="123">
        <v>95.7</v>
      </c>
      <c r="G58" s="123">
        <v>55</v>
      </c>
      <c r="H58" s="123">
        <v>12.2</v>
      </c>
      <c r="I58" s="123">
        <v>100</v>
      </c>
      <c r="J58" s="123">
        <v>135</v>
      </c>
      <c r="K58" s="123">
        <v>239</v>
      </c>
      <c r="L58" s="123" t="s">
        <v>515</v>
      </c>
      <c r="M58" s="123" t="s">
        <v>2415</v>
      </c>
      <c r="N58" s="123" t="s">
        <v>1992</v>
      </c>
      <c r="AL58" t="s">
        <v>593</v>
      </c>
      <c r="AM58" t="s">
        <v>1500</v>
      </c>
      <c r="BL58" s="95" t="s">
        <v>992</v>
      </c>
      <c r="BM58" s="95">
        <v>4060520</v>
      </c>
      <c r="BN58" s="95">
        <v>0.1</v>
      </c>
      <c r="BO58" s="95" t="s">
        <v>516</v>
      </c>
      <c r="BX58" t="s">
        <v>603</v>
      </c>
      <c r="BY58" t="s">
        <v>1500</v>
      </c>
      <c r="BZ58" t="s">
        <v>1528</v>
      </c>
      <c r="CA58">
        <v>88</v>
      </c>
      <c r="CC58" t="s">
        <v>143</v>
      </c>
      <c r="CD58" t="s">
        <v>1498</v>
      </c>
      <c r="CE58" t="s">
        <v>659</v>
      </c>
      <c r="CF58" t="s">
        <v>141</v>
      </c>
      <c r="CG58">
        <v>58</v>
      </c>
      <c r="CH58" t="s">
        <v>1445</v>
      </c>
    </row>
    <row r="59" spans="1:86" ht="12.75" customHeight="1" x14ac:dyDescent="0.25">
      <c r="A59" s="123" t="s">
        <v>1905</v>
      </c>
      <c r="D59" s="123" t="s">
        <v>1937</v>
      </c>
      <c r="E59" s="123">
        <v>4051923</v>
      </c>
      <c r="F59" s="123">
        <v>114.9</v>
      </c>
      <c r="G59" s="123">
        <v>55</v>
      </c>
      <c r="H59" s="123">
        <v>11.4</v>
      </c>
      <c r="I59" s="123">
        <v>100</v>
      </c>
      <c r="J59" s="123">
        <v>240</v>
      </c>
      <c r="K59" s="123">
        <v>759</v>
      </c>
      <c r="L59" s="123" t="s">
        <v>515</v>
      </c>
      <c r="M59" s="123" t="s">
        <v>2416</v>
      </c>
      <c r="N59" s="123" t="s">
        <v>1992</v>
      </c>
      <c r="AL59" s="450" t="s">
        <v>1857</v>
      </c>
      <c r="AM59" t="s">
        <v>612</v>
      </c>
      <c r="BL59" s="95"/>
      <c r="BM59" s="95"/>
      <c r="BN59" s="95"/>
      <c r="BO59" s="95"/>
      <c r="BX59" t="s">
        <v>603</v>
      </c>
      <c r="BY59" t="s">
        <v>612</v>
      </c>
      <c r="BZ59" t="s">
        <v>776</v>
      </c>
      <c r="CA59">
        <v>62</v>
      </c>
      <c r="CC59" t="s">
        <v>143</v>
      </c>
      <c r="CD59" t="s">
        <v>664</v>
      </c>
      <c r="CE59" t="s">
        <v>574</v>
      </c>
      <c r="CF59" t="s">
        <v>141</v>
      </c>
      <c r="CG59">
        <v>59</v>
      </c>
      <c r="CH59" t="s">
        <v>810</v>
      </c>
    </row>
    <row r="60" spans="1:86" ht="12.75" customHeight="1" x14ac:dyDescent="0.25">
      <c r="A60" s="123" t="s">
        <v>1906</v>
      </c>
      <c r="D60" s="123" t="s">
        <v>1938</v>
      </c>
      <c r="E60" s="123">
        <v>4051924</v>
      </c>
      <c r="F60" s="123">
        <v>121.7</v>
      </c>
      <c r="G60" s="123">
        <v>55</v>
      </c>
      <c r="H60" s="123">
        <v>11</v>
      </c>
      <c r="I60" s="123">
        <v>100</v>
      </c>
      <c r="J60" s="123">
        <v>760</v>
      </c>
      <c r="K60" s="123">
        <v>99999</v>
      </c>
      <c r="L60" s="123" t="s">
        <v>515</v>
      </c>
      <c r="M60" s="123" t="s">
        <v>2077</v>
      </c>
      <c r="N60" s="123" t="s">
        <v>1992</v>
      </c>
      <c r="AL60" s="450" t="s">
        <v>1858</v>
      </c>
      <c r="AM60" t="s">
        <v>613</v>
      </c>
      <c r="BX60" t="s">
        <v>603</v>
      </c>
      <c r="BY60" t="s">
        <v>613</v>
      </c>
      <c r="BZ60" t="s">
        <v>777</v>
      </c>
      <c r="CA60">
        <v>124</v>
      </c>
      <c r="CC60" t="s">
        <v>143</v>
      </c>
      <c r="CD60" t="s">
        <v>664</v>
      </c>
      <c r="CE60" t="s">
        <v>659</v>
      </c>
      <c r="CF60" t="s">
        <v>141</v>
      </c>
      <c r="CG60">
        <v>60</v>
      </c>
      <c r="CH60" t="s">
        <v>810</v>
      </c>
    </row>
    <row r="61" spans="1:86" ht="12.75" customHeight="1" x14ac:dyDescent="0.25">
      <c r="A61" s="123" t="s">
        <v>1907</v>
      </c>
      <c r="D61" s="123" t="s">
        <v>2477</v>
      </c>
      <c r="E61" s="123">
        <v>4050310</v>
      </c>
      <c r="F61" s="123">
        <v>69.400000000000006</v>
      </c>
      <c r="G61" s="123">
        <v>30</v>
      </c>
      <c r="H61" s="123">
        <v>14</v>
      </c>
      <c r="I61" s="123">
        <v>100</v>
      </c>
      <c r="J61" s="123">
        <v>0</v>
      </c>
      <c r="K61" s="123">
        <v>64</v>
      </c>
      <c r="L61" s="123" t="s">
        <v>515</v>
      </c>
      <c r="M61" s="123" t="s">
        <v>2417</v>
      </c>
      <c r="N61" s="123" t="s">
        <v>1992</v>
      </c>
      <c r="AL61" s="450" t="s">
        <v>1859</v>
      </c>
      <c r="AM61" t="s">
        <v>614</v>
      </c>
      <c r="BX61" t="s">
        <v>603</v>
      </c>
      <c r="BY61" t="s">
        <v>614</v>
      </c>
      <c r="BZ61" t="s">
        <v>778</v>
      </c>
      <c r="CA61">
        <v>186</v>
      </c>
      <c r="CC61" t="s">
        <v>143</v>
      </c>
      <c r="CD61" t="s">
        <v>664</v>
      </c>
      <c r="CE61" t="s">
        <v>662</v>
      </c>
      <c r="CF61" t="s">
        <v>141</v>
      </c>
      <c r="CG61">
        <v>61</v>
      </c>
      <c r="CH61" t="s">
        <v>810</v>
      </c>
    </row>
    <row r="62" spans="1:86" ht="12.75" customHeight="1" x14ac:dyDescent="0.25">
      <c r="A62" s="123" t="s">
        <v>1677</v>
      </c>
      <c r="D62" s="123" t="s">
        <v>2478</v>
      </c>
      <c r="E62" s="123">
        <v>4050310</v>
      </c>
      <c r="F62" s="123">
        <v>69.400000000000006</v>
      </c>
      <c r="G62" s="123">
        <v>30</v>
      </c>
      <c r="H62" s="123">
        <v>13.4</v>
      </c>
      <c r="I62" s="123">
        <v>100</v>
      </c>
      <c r="J62" s="123">
        <v>0</v>
      </c>
      <c r="K62" s="123">
        <v>64</v>
      </c>
      <c r="L62" s="123" t="s">
        <v>515</v>
      </c>
      <c r="M62" s="123" t="s">
        <v>2479</v>
      </c>
      <c r="N62" s="123" t="s">
        <v>1992</v>
      </c>
      <c r="AL62" t="s">
        <v>595</v>
      </c>
      <c r="AM62" t="s">
        <v>615</v>
      </c>
      <c r="BX62" t="s">
        <v>603</v>
      </c>
      <c r="BY62" t="s">
        <v>615</v>
      </c>
      <c r="BZ62" t="s">
        <v>779</v>
      </c>
      <c r="CA62">
        <v>248</v>
      </c>
      <c r="CC62" t="s">
        <v>143</v>
      </c>
      <c r="CD62" t="s">
        <v>664</v>
      </c>
      <c r="CE62" t="s">
        <v>663</v>
      </c>
      <c r="CF62" t="s">
        <v>141</v>
      </c>
      <c r="CG62">
        <v>62</v>
      </c>
      <c r="CH62" t="s">
        <v>810</v>
      </c>
    </row>
    <row r="63" spans="1:86" ht="12.75" customHeight="1" x14ac:dyDescent="0.25">
      <c r="A63" s="123" t="s">
        <v>1676</v>
      </c>
      <c r="D63" s="123" t="s">
        <v>1905</v>
      </c>
      <c r="E63" s="123">
        <v>4050321</v>
      </c>
      <c r="F63" s="123">
        <v>95.7</v>
      </c>
      <c r="G63" s="123">
        <v>40</v>
      </c>
      <c r="H63" s="123">
        <v>11.8</v>
      </c>
      <c r="I63" s="123">
        <v>100</v>
      </c>
      <c r="J63" s="123">
        <v>65</v>
      </c>
      <c r="K63" s="123">
        <v>134</v>
      </c>
      <c r="L63" s="123" t="s">
        <v>515</v>
      </c>
      <c r="M63" s="123" t="s">
        <v>2418</v>
      </c>
      <c r="N63" s="123" t="s">
        <v>1992</v>
      </c>
      <c r="AL63" t="s">
        <v>596</v>
      </c>
      <c r="AM63" t="s">
        <v>1532</v>
      </c>
      <c r="BX63" t="s">
        <v>603</v>
      </c>
      <c r="BY63" t="s">
        <v>1532</v>
      </c>
      <c r="BZ63" t="s">
        <v>1337</v>
      </c>
      <c r="CA63">
        <v>328</v>
      </c>
      <c r="CC63" t="s">
        <v>143</v>
      </c>
      <c r="CD63" t="s">
        <v>664</v>
      </c>
      <c r="CE63" t="s">
        <v>1336</v>
      </c>
      <c r="CF63" t="s">
        <v>141</v>
      </c>
      <c r="CG63">
        <v>63</v>
      </c>
      <c r="CH63" t="s">
        <v>810</v>
      </c>
    </row>
    <row r="64" spans="1:86" ht="12.75" customHeight="1" x14ac:dyDescent="0.25">
      <c r="A64" s="123" t="s">
        <v>1959</v>
      </c>
      <c r="D64" s="123" t="s">
        <v>1906</v>
      </c>
      <c r="E64" s="123">
        <v>4050322</v>
      </c>
      <c r="F64" s="123">
        <v>102.8</v>
      </c>
      <c r="G64" s="123">
        <v>40</v>
      </c>
      <c r="H64" s="123">
        <v>11.4</v>
      </c>
      <c r="I64" s="123">
        <v>100</v>
      </c>
      <c r="J64" s="123">
        <v>135</v>
      </c>
      <c r="K64" s="123">
        <v>239</v>
      </c>
      <c r="L64" s="123" t="s">
        <v>515</v>
      </c>
      <c r="M64" s="123" t="s">
        <v>2419</v>
      </c>
      <c r="N64" s="123" t="s">
        <v>1992</v>
      </c>
      <c r="AL64" t="s">
        <v>597</v>
      </c>
      <c r="AM64" t="s">
        <v>617</v>
      </c>
      <c r="BN64" s="22" t="s">
        <v>2148</v>
      </c>
      <c r="BX64" t="s">
        <v>616</v>
      </c>
      <c r="BY64" t="s">
        <v>617</v>
      </c>
      <c r="BZ64" t="s">
        <v>780</v>
      </c>
      <c r="CA64">
        <v>85</v>
      </c>
      <c r="CC64" t="s">
        <v>668</v>
      </c>
      <c r="CD64" t="s">
        <v>664</v>
      </c>
      <c r="CE64" t="s">
        <v>574</v>
      </c>
      <c r="CF64" t="s">
        <v>141</v>
      </c>
      <c r="CG64">
        <v>64</v>
      </c>
      <c r="CH64" t="s">
        <v>810</v>
      </c>
    </row>
    <row r="65" spans="1:86" ht="12.75" customHeight="1" x14ac:dyDescent="0.25">
      <c r="A65" s="123" t="s">
        <v>1984</v>
      </c>
      <c r="C65" s="591"/>
      <c r="D65" s="123" t="s">
        <v>1907</v>
      </c>
      <c r="E65" s="123">
        <v>4050323</v>
      </c>
      <c r="F65" s="123">
        <v>126.7</v>
      </c>
      <c r="G65" s="123">
        <v>40</v>
      </c>
      <c r="H65" s="123">
        <v>9.4</v>
      </c>
      <c r="I65" s="123">
        <v>100</v>
      </c>
      <c r="J65" s="123">
        <v>240</v>
      </c>
      <c r="K65" s="123">
        <v>999999</v>
      </c>
      <c r="L65" s="123" t="s">
        <v>515</v>
      </c>
      <c r="M65" s="123" t="s">
        <v>2420</v>
      </c>
      <c r="N65" s="123" t="s">
        <v>1992</v>
      </c>
      <c r="AL65" t="s">
        <v>598</v>
      </c>
      <c r="AM65" t="s">
        <v>618</v>
      </c>
      <c r="BX65" t="s">
        <v>616</v>
      </c>
      <c r="BY65" t="s">
        <v>618</v>
      </c>
      <c r="BZ65" t="s">
        <v>781</v>
      </c>
      <c r="CA65">
        <v>160</v>
      </c>
      <c r="CC65" t="s">
        <v>668</v>
      </c>
      <c r="CD65" t="s">
        <v>664</v>
      </c>
      <c r="CE65" t="s">
        <v>659</v>
      </c>
      <c r="CF65" t="s">
        <v>141</v>
      </c>
      <c r="CG65">
        <v>65</v>
      </c>
      <c r="CH65" t="s">
        <v>810</v>
      </c>
    </row>
    <row r="66" spans="1:86" ht="12.75" customHeight="1" x14ac:dyDescent="0.25">
      <c r="A66" s="123" t="s">
        <v>1986</v>
      </c>
      <c r="D66" s="123" t="s">
        <v>1677</v>
      </c>
      <c r="E66" s="123">
        <v>4050210</v>
      </c>
      <c r="F66" s="123">
        <v>10.5</v>
      </c>
      <c r="G66" s="123">
        <v>4</v>
      </c>
      <c r="H66" s="123">
        <v>-0.876</v>
      </c>
      <c r="I66" s="123">
        <v>0.876</v>
      </c>
      <c r="J66" s="123">
        <v>0</v>
      </c>
      <c r="K66" s="123">
        <v>1799</v>
      </c>
      <c r="L66" s="123" t="s">
        <v>515</v>
      </c>
      <c r="M66" s="123" t="s">
        <v>2421</v>
      </c>
      <c r="N66" s="123" t="s">
        <v>1992</v>
      </c>
      <c r="AL66" t="s">
        <v>600</v>
      </c>
      <c r="AM66" t="s">
        <v>619</v>
      </c>
      <c r="BX66" t="s">
        <v>616</v>
      </c>
      <c r="BY66" t="s">
        <v>619</v>
      </c>
      <c r="BZ66" t="s">
        <v>782</v>
      </c>
      <c r="CA66">
        <v>285</v>
      </c>
      <c r="CC66" t="s">
        <v>668</v>
      </c>
      <c r="CD66" t="s">
        <v>664</v>
      </c>
      <c r="CE66" t="s">
        <v>662</v>
      </c>
      <c r="CF66" t="s">
        <v>141</v>
      </c>
      <c r="CG66">
        <v>66</v>
      </c>
      <c r="CH66" t="s">
        <v>822</v>
      </c>
    </row>
    <row r="67" spans="1:86" ht="12.75" customHeight="1" x14ac:dyDescent="0.25">
      <c r="A67" s="123" t="s">
        <v>1985</v>
      </c>
      <c r="D67" s="123" t="s">
        <v>1676</v>
      </c>
      <c r="E67" s="123">
        <v>4050211</v>
      </c>
      <c r="F67" s="123">
        <v>10.5</v>
      </c>
      <c r="G67" s="123">
        <v>4</v>
      </c>
      <c r="H67" s="123">
        <v>-0.85699999999999998</v>
      </c>
      <c r="I67" s="123">
        <v>857</v>
      </c>
      <c r="J67" s="123">
        <v>1800</v>
      </c>
      <c r="K67" s="123">
        <v>999999</v>
      </c>
      <c r="L67" s="123" t="s">
        <v>515</v>
      </c>
      <c r="M67" s="123" t="s">
        <v>2422</v>
      </c>
      <c r="N67" s="123" t="s">
        <v>1992</v>
      </c>
      <c r="AL67" t="s">
        <v>601</v>
      </c>
      <c r="AM67" t="s">
        <v>620</v>
      </c>
      <c r="BX67" t="s">
        <v>616</v>
      </c>
      <c r="BY67" t="s">
        <v>620</v>
      </c>
      <c r="BZ67" t="s">
        <v>783</v>
      </c>
      <c r="CA67">
        <v>320</v>
      </c>
      <c r="CC67" t="s">
        <v>668</v>
      </c>
      <c r="CD67" t="s">
        <v>664</v>
      </c>
      <c r="CE67" t="s">
        <v>663</v>
      </c>
      <c r="CF67" t="s">
        <v>141</v>
      </c>
      <c r="CG67">
        <v>67</v>
      </c>
      <c r="CH67" t="s">
        <v>810</v>
      </c>
    </row>
    <row r="68" spans="1:86" ht="12.75" customHeight="1" x14ac:dyDescent="0.25">
      <c r="D68" s="123" t="s">
        <v>2346</v>
      </c>
      <c r="E68" s="123">
        <v>4052220</v>
      </c>
      <c r="G68" s="123">
        <v>4</v>
      </c>
      <c r="H68" s="123">
        <v>-0.6</v>
      </c>
      <c r="I68" s="123">
        <v>0.6</v>
      </c>
      <c r="J68" s="123">
        <v>0</v>
      </c>
      <c r="K68" s="123">
        <v>899</v>
      </c>
      <c r="L68" s="123" t="s">
        <v>515</v>
      </c>
      <c r="M68" s="123" t="s">
        <v>2322</v>
      </c>
      <c r="N68" s="123" t="s">
        <v>1992</v>
      </c>
      <c r="AL68" t="s">
        <v>602</v>
      </c>
      <c r="AM68" t="s">
        <v>621</v>
      </c>
      <c r="BX68" t="s">
        <v>603</v>
      </c>
      <c r="BY68" t="s">
        <v>621</v>
      </c>
      <c r="BZ68" t="s">
        <v>784</v>
      </c>
      <c r="CA68">
        <v>28</v>
      </c>
      <c r="CC68" t="s">
        <v>143</v>
      </c>
      <c r="CD68" t="s">
        <v>661</v>
      </c>
      <c r="CE68" t="s">
        <v>574</v>
      </c>
      <c r="CF68" t="s">
        <v>141</v>
      </c>
      <c r="CG68">
        <v>68</v>
      </c>
      <c r="CH68" t="s">
        <v>810</v>
      </c>
    </row>
    <row r="69" spans="1:86" ht="12.75" customHeight="1" x14ac:dyDescent="0.25">
      <c r="D69" s="123" t="s">
        <v>2347</v>
      </c>
      <c r="E69" s="123">
        <v>4052221</v>
      </c>
      <c r="G69" s="123">
        <v>4</v>
      </c>
      <c r="H69" s="123">
        <v>-0.56000000000000005</v>
      </c>
      <c r="I69" s="123">
        <v>0.56000000000000005</v>
      </c>
      <c r="J69" s="123">
        <v>900</v>
      </c>
      <c r="K69" s="123">
        <v>1799</v>
      </c>
      <c r="L69" s="123" t="s">
        <v>515</v>
      </c>
      <c r="M69" s="123" t="s">
        <v>2423</v>
      </c>
      <c r="N69" s="123" t="s">
        <v>1992</v>
      </c>
      <c r="AL69" t="s">
        <v>575</v>
      </c>
      <c r="AM69" t="s">
        <v>622</v>
      </c>
      <c r="BX69" t="s">
        <v>603</v>
      </c>
      <c r="BY69" t="s">
        <v>622</v>
      </c>
      <c r="BZ69" t="s">
        <v>785</v>
      </c>
      <c r="CA69">
        <v>56</v>
      </c>
      <c r="CC69" t="s">
        <v>143</v>
      </c>
      <c r="CD69" t="s">
        <v>661</v>
      </c>
      <c r="CE69" t="s">
        <v>659</v>
      </c>
      <c r="CF69" t="s">
        <v>141</v>
      </c>
      <c r="CG69">
        <v>69</v>
      </c>
      <c r="CH69" t="s">
        <v>810</v>
      </c>
    </row>
    <row r="70" spans="1:86" ht="12.75" customHeight="1" x14ac:dyDescent="0.25">
      <c r="D70" s="123" t="s">
        <v>2348</v>
      </c>
      <c r="E70" s="123">
        <v>4052222</v>
      </c>
      <c r="G70" s="123">
        <v>4</v>
      </c>
      <c r="H70" s="123">
        <v>-0.54</v>
      </c>
      <c r="I70" s="123">
        <v>0.54</v>
      </c>
      <c r="J70" s="123">
        <v>1800</v>
      </c>
      <c r="K70" s="123">
        <v>3599</v>
      </c>
      <c r="L70" s="123" t="s">
        <v>515</v>
      </c>
      <c r="M70" s="123" t="s">
        <v>2321</v>
      </c>
      <c r="N70" s="123" t="s">
        <v>1992</v>
      </c>
      <c r="AL70" t="s">
        <v>167</v>
      </c>
      <c r="AM70" t="s">
        <v>1438</v>
      </c>
      <c r="BX70" t="s">
        <v>603</v>
      </c>
      <c r="BY70" t="s">
        <v>1438</v>
      </c>
      <c r="BZ70" t="s">
        <v>1474</v>
      </c>
      <c r="CA70">
        <v>89</v>
      </c>
      <c r="CC70" t="s">
        <v>143</v>
      </c>
      <c r="CD70" t="s">
        <v>661</v>
      </c>
      <c r="CE70" t="s">
        <v>662</v>
      </c>
      <c r="CF70" t="s">
        <v>141</v>
      </c>
      <c r="CG70">
        <v>70</v>
      </c>
      <c r="CH70" t="s">
        <v>810</v>
      </c>
    </row>
    <row r="71" spans="1:86" ht="12.75" customHeight="1" x14ac:dyDescent="0.25">
      <c r="D71" s="123" t="s">
        <v>2410</v>
      </c>
      <c r="E71" s="123">
        <v>4052224</v>
      </c>
      <c r="G71" s="123">
        <v>4</v>
      </c>
      <c r="H71" s="123">
        <v>-0.52</v>
      </c>
      <c r="I71" s="123">
        <v>0.52</v>
      </c>
      <c r="J71" s="123">
        <v>3600</v>
      </c>
      <c r="K71" s="123">
        <v>7199</v>
      </c>
      <c r="L71" s="123" t="s">
        <v>515</v>
      </c>
      <c r="M71" s="123" t="s">
        <v>2424</v>
      </c>
      <c r="N71" s="123" t="s">
        <v>1992</v>
      </c>
      <c r="AL71" t="s">
        <v>168</v>
      </c>
      <c r="AN71" s="263"/>
      <c r="BY71" t="s">
        <v>1227</v>
      </c>
      <c r="CA71" t="s">
        <v>761</v>
      </c>
      <c r="CG71">
        <v>71</v>
      </c>
    </row>
    <row r="72" spans="1:86" x14ac:dyDescent="0.25">
      <c r="D72" s="123" t="s">
        <v>2409</v>
      </c>
      <c r="E72" s="123">
        <v>4052225</v>
      </c>
      <c r="G72" s="123">
        <v>4</v>
      </c>
      <c r="H72" s="123">
        <v>-0.5</v>
      </c>
      <c r="I72" s="123">
        <v>0.5</v>
      </c>
      <c r="J72" s="123">
        <v>7200</v>
      </c>
      <c r="K72" s="123">
        <v>999999</v>
      </c>
      <c r="L72" s="123" t="s">
        <v>515</v>
      </c>
      <c r="M72" s="123" t="s">
        <v>2425</v>
      </c>
      <c r="N72" s="123" t="s">
        <v>1992</v>
      </c>
      <c r="AL72" t="s">
        <v>1437</v>
      </c>
      <c r="BX72" t="s">
        <v>623</v>
      </c>
      <c r="BY72" t="s">
        <v>1504</v>
      </c>
      <c r="BZ72" t="s">
        <v>1506</v>
      </c>
      <c r="CA72">
        <v>28</v>
      </c>
      <c r="CC72" t="s">
        <v>142</v>
      </c>
      <c r="CD72" t="s">
        <v>571</v>
      </c>
      <c r="CE72" t="s">
        <v>574</v>
      </c>
      <c r="CF72" t="s">
        <v>141</v>
      </c>
      <c r="CG72">
        <v>72</v>
      </c>
      <c r="CH72" t="s">
        <v>809</v>
      </c>
    </row>
    <row r="73" spans="1:86" x14ac:dyDescent="0.25">
      <c r="D73" s="123" t="s">
        <v>2455</v>
      </c>
      <c r="E73" s="123">
        <v>4052233</v>
      </c>
      <c r="G73" s="123">
        <v>4</v>
      </c>
      <c r="H73" s="123">
        <v>-0.55000000000000004</v>
      </c>
      <c r="I73" s="123">
        <v>0.55000000000000004</v>
      </c>
      <c r="J73" s="123">
        <v>0</v>
      </c>
      <c r="K73" s="123">
        <v>1799</v>
      </c>
      <c r="L73" s="123" t="s">
        <v>515</v>
      </c>
      <c r="M73" s="123" t="s">
        <v>2323</v>
      </c>
      <c r="N73" s="123" t="s">
        <v>1992</v>
      </c>
      <c r="AL73" s="292"/>
      <c r="BX73" t="s">
        <v>623</v>
      </c>
      <c r="BY73" t="s">
        <v>1505</v>
      </c>
      <c r="BZ73" t="s">
        <v>1507</v>
      </c>
      <c r="CA73">
        <v>54</v>
      </c>
      <c r="CC73" t="s">
        <v>142</v>
      </c>
      <c r="CD73" t="s">
        <v>571</v>
      </c>
      <c r="CE73" t="s">
        <v>659</v>
      </c>
      <c r="CF73" t="s">
        <v>141</v>
      </c>
      <c r="CG73">
        <v>73</v>
      </c>
      <c r="CH73" t="s">
        <v>809</v>
      </c>
    </row>
    <row r="74" spans="1:86" x14ac:dyDescent="0.25">
      <c r="D74" s="123" t="s">
        <v>2456</v>
      </c>
      <c r="E74" s="123">
        <v>4052234</v>
      </c>
      <c r="G74" s="123">
        <v>4</v>
      </c>
      <c r="H74" s="123">
        <v>-0.55000000000000004</v>
      </c>
      <c r="I74" s="123">
        <v>0.55000000000000004</v>
      </c>
      <c r="J74" s="123">
        <v>1800</v>
      </c>
      <c r="K74" s="123">
        <v>3599</v>
      </c>
      <c r="L74" s="123" t="s">
        <v>515</v>
      </c>
      <c r="M74" s="123" t="s">
        <v>2323</v>
      </c>
      <c r="N74" s="123" t="s">
        <v>1992</v>
      </c>
      <c r="AL74" s="292"/>
      <c r="AM74"/>
      <c r="BX74" t="s">
        <v>623</v>
      </c>
      <c r="BY74" t="s">
        <v>910</v>
      </c>
      <c r="BZ74" t="s">
        <v>1476</v>
      </c>
      <c r="CA74">
        <v>32</v>
      </c>
      <c r="CC74" t="s">
        <v>142</v>
      </c>
      <c r="CD74" t="s">
        <v>661</v>
      </c>
      <c r="CE74" t="s">
        <v>574</v>
      </c>
      <c r="CF74" t="s">
        <v>141</v>
      </c>
      <c r="CG74">
        <v>74</v>
      </c>
      <c r="CH74" t="s">
        <v>809</v>
      </c>
    </row>
    <row r="75" spans="1:86" x14ac:dyDescent="0.25">
      <c r="D75" s="123" t="s">
        <v>2411</v>
      </c>
      <c r="E75" s="123">
        <v>4052235</v>
      </c>
      <c r="G75" s="123">
        <v>4</v>
      </c>
      <c r="H75" s="123">
        <v>-0.52</v>
      </c>
      <c r="I75" s="123">
        <v>0.52</v>
      </c>
      <c r="J75" s="123">
        <v>3600</v>
      </c>
      <c r="K75" s="123">
        <v>4799</v>
      </c>
      <c r="L75" s="123" t="s">
        <v>515</v>
      </c>
      <c r="M75" s="123" t="s">
        <v>2424</v>
      </c>
      <c r="N75" s="123" t="s">
        <v>1992</v>
      </c>
      <c r="BX75" t="s">
        <v>623</v>
      </c>
      <c r="BY75" t="s">
        <v>911</v>
      </c>
      <c r="BZ75" t="s">
        <v>1477</v>
      </c>
      <c r="CA75">
        <v>64</v>
      </c>
      <c r="CC75" t="s">
        <v>142</v>
      </c>
      <c r="CD75" t="s">
        <v>661</v>
      </c>
      <c r="CE75" t="s">
        <v>659</v>
      </c>
      <c r="CF75" t="s">
        <v>141</v>
      </c>
      <c r="CG75">
        <v>75</v>
      </c>
      <c r="CH75" t="s">
        <v>809</v>
      </c>
    </row>
    <row r="76" spans="1:86" x14ac:dyDescent="0.25">
      <c r="D76" s="123" t="s">
        <v>2412</v>
      </c>
      <c r="E76" s="123">
        <v>4052236</v>
      </c>
      <c r="G76" s="123">
        <v>4</v>
      </c>
      <c r="H76" s="123">
        <v>-0.5</v>
      </c>
      <c r="I76" s="123">
        <v>0.5</v>
      </c>
      <c r="J76" s="123">
        <v>4800</v>
      </c>
      <c r="K76" s="123">
        <v>999999</v>
      </c>
      <c r="L76" s="123" t="s">
        <v>515</v>
      </c>
      <c r="M76" s="123" t="s">
        <v>2425</v>
      </c>
      <c r="N76" s="123" t="s">
        <v>1992</v>
      </c>
      <c r="BX76" t="s">
        <v>623</v>
      </c>
      <c r="BY76" t="s">
        <v>1439</v>
      </c>
      <c r="BZ76" t="s">
        <v>1480</v>
      </c>
      <c r="CA76">
        <v>96</v>
      </c>
      <c r="CC76" t="s">
        <v>142</v>
      </c>
      <c r="CD76" t="s">
        <v>661</v>
      </c>
      <c r="CE76" t="s">
        <v>662</v>
      </c>
      <c r="CF76" t="s">
        <v>141</v>
      </c>
      <c r="CG76">
        <v>76</v>
      </c>
      <c r="CH76" t="s">
        <v>809</v>
      </c>
    </row>
    <row r="77" spans="1:86" x14ac:dyDescent="0.25">
      <c r="D77" s="123" t="s">
        <v>2317</v>
      </c>
      <c r="E77" s="123">
        <v>4052410</v>
      </c>
      <c r="F77" s="123">
        <v>205.3</v>
      </c>
      <c r="G77" s="123">
        <v>190</v>
      </c>
      <c r="H77" s="123">
        <v>0</v>
      </c>
      <c r="I77" s="123">
        <v>999</v>
      </c>
      <c r="J77" s="123">
        <v>48</v>
      </c>
      <c r="K77" s="123">
        <v>999999</v>
      </c>
      <c r="L77" s="123" t="s">
        <v>515</v>
      </c>
      <c r="M77" s="123" t="s">
        <v>2320</v>
      </c>
      <c r="N77" s="123" t="s">
        <v>1992</v>
      </c>
      <c r="BX77" t="s">
        <v>623</v>
      </c>
      <c r="BY77" t="s">
        <v>912</v>
      </c>
      <c r="BZ77" t="s">
        <v>1478</v>
      </c>
      <c r="CA77">
        <v>128</v>
      </c>
      <c r="CC77" t="s">
        <v>142</v>
      </c>
      <c r="CD77" t="s">
        <v>661</v>
      </c>
      <c r="CE77" t="s">
        <v>663</v>
      </c>
      <c r="CF77" t="s">
        <v>141</v>
      </c>
      <c r="CG77">
        <v>77</v>
      </c>
      <c r="CH77" t="s">
        <v>809</v>
      </c>
    </row>
    <row r="78" spans="1:86" x14ac:dyDescent="0.25">
      <c r="D78" s="123" t="s">
        <v>2318</v>
      </c>
      <c r="E78" s="123">
        <v>4052411</v>
      </c>
      <c r="F78" s="123">
        <v>205.3</v>
      </c>
      <c r="G78" s="123">
        <v>46</v>
      </c>
      <c r="H78" s="123">
        <v>0</v>
      </c>
      <c r="I78" s="123">
        <v>999</v>
      </c>
      <c r="J78" s="123">
        <v>0</v>
      </c>
      <c r="K78" s="123">
        <v>47</v>
      </c>
      <c r="L78" s="123" t="s">
        <v>515</v>
      </c>
      <c r="M78" s="123" t="s">
        <v>2319</v>
      </c>
      <c r="N78" s="123" t="s">
        <v>1992</v>
      </c>
      <c r="BX78" t="s">
        <v>623</v>
      </c>
      <c r="BY78" t="s">
        <v>913</v>
      </c>
      <c r="BZ78" t="s">
        <v>1479</v>
      </c>
      <c r="CA78">
        <v>192</v>
      </c>
      <c r="CC78" t="s">
        <v>142</v>
      </c>
      <c r="CD78" t="s">
        <v>661</v>
      </c>
      <c r="CE78" t="s">
        <v>669</v>
      </c>
      <c r="CF78" t="s">
        <v>141</v>
      </c>
      <c r="CG78">
        <v>78</v>
      </c>
      <c r="CH78" t="s">
        <v>810</v>
      </c>
    </row>
    <row r="79" spans="1:86" x14ac:dyDescent="0.25">
      <c r="D79" s="123" t="s">
        <v>1959</v>
      </c>
      <c r="E79" s="123">
        <v>4050110</v>
      </c>
      <c r="F79" s="123">
        <v>377.93340000000001</v>
      </c>
      <c r="G79" s="123">
        <v>150</v>
      </c>
      <c r="H79" s="123">
        <v>0</v>
      </c>
      <c r="I79" s="123">
        <v>999</v>
      </c>
      <c r="J79" s="123">
        <v>0</v>
      </c>
      <c r="K79" s="123">
        <v>999999</v>
      </c>
      <c r="L79" s="123" t="s">
        <v>144</v>
      </c>
      <c r="M79" s="123" t="s">
        <v>1995</v>
      </c>
      <c r="N79" s="123" t="s">
        <v>1992</v>
      </c>
      <c r="BX79" t="s">
        <v>623</v>
      </c>
      <c r="BY79" t="s">
        <v>1440</v>
      </c>
      <c r="BZ79" t="s">
        <v>1481</v>
      </c>
      <c r="CA79">
        <v>256</v>
      </c>
      <c r="CC79" t="s">
        <v>142</v>
      </c>
      <c r="CD79" t="s">
        <v>661</v>
      </c>
      <c r="CE79" t="s">
        <v>670</v>
      </c>
      <c r="CF79" t="s">
        <v>141</v>
      </c>
      <c r="CG79">
        <v>79</v>
      </c>
      <c r="CH79" t="s">
        <v>810</v>
      </c>
    </row>
    <row r="80" spans="1:86" x14ac:dyDescent="0.25">
      <c r="C80"/>
      <c r="D80" s="123" t="s">
        <v>1984</v>
      </c>
      <c r="E80" s="123">
        <v>4050710</v>
      </c>
      <c r="F80" s="123">
        <v>665</v>
      </c>
      <c r="G80" s="123">
        <v>200</v>
      </c>
      <c r="H80" s="123">
        <v>0</v>
      </c>
      <c r="I80" s="123">
        <v>999</v>
      </c>
      <c r="J80" s="123">
        <v>0</v>
      </c>
      <c r="K80" s="123">
        <v>999999</v>
      </c>
      <c r="L80" s="123" t="s">
        <v>515</v>
      </c>
      <c r="M80" s="123" t="s">
        <v>1990</v>
      </c>
      <c r="N80" s="123" t="s">
        <v>1991</v>
      </c>
      <c r="BX80" t="s">
        <v>623</v>
      </c>
      <c r="BY80" t="s">
        <v>1529</v>
      </c>
      <c r="BZ80" t="s">
        <v>1502</v>
      </c>
      <c r="CA80">
        <v>40</v>
      </c>
      <c r="CC80" t="s">
        <v>142</v>
      </c>
      <c r="CD80" t="s">
        <v>1501</v>
      </c>
      <c r="CE80" t="s">
        <v>574</v>
      </c>
      <c r="CF80" t="s">
        <v>141</v>
      </c>
      <c r="CG80">
        <v>80</v>
      </c>
      <c r="CH80" t="s">
        <v>1445</v>
      </c>
    </row>
    <row r="81" spans="3:86" x14ac:dyDescent="0.25">
      <c r="C81"/>
      <c r="D81" s="123" t="s">
        <v>1986</v>
      </c>
      <c r="E81" s="123">
        <v>4050710</v>
      </c>
      <c r="F81" s="123">
        <v>1895</v>
      </c>
      <c r="G81" s="123">
        <v>200</v>
      </c>
      <c r="H81" s="123">
        <v>0</v>
      </c>
      <c r="I81" s="123">
        <v>999</v>
      </c>
      <c r="J81" s="123">
        <v>0</v>
      </c>
      <c r="K81" s="123">
        <v>999999</v>
      </c>
      <c r="L81" s="123" t="s">
        <v>144</v>
      </c>
      <c r="M81" s="123" t="s">
        <v>1990</v>
      </c>
      <c r="N81" s="123" t="s">
        <v>1991</v>
      </c>
      <c r="BX81" t="s">
        <v>623</v>
      </c>
      <c r="BY81" t="s">
        <v>1530</v>
      </c>
      <c r="BZ81" t="s">
        <v>1503</v>
      </c>
      <c r="CA81">
        <v>77</v>
      </c>
      <c r="CC81" t="s">
        <v>142</v>
      </c>
      <c r="CD81" t="s">
        <v>1501</v>
      </c>
      <c r="CE81" t="s">
        <v>659</v>
      </c>
      <c r="CF81" t="s">
        <v>141</v>
      </c>
      <c r="CG81">
        <v>81</v>
      </c>
      <c r="CH81" t="s">
        <v>1445</v>
      </c>
    </row>
    <row r="82" spans="3:86" x14ac:dyDescent="0.25">
      <c r="C82"/>
      <c r="D82" s="123" t="s">
        <v>1985</v>
      </c>
      <c r="E82" s="123">
        <v>4050710</v>
      </c>
      <c r="F82" s="123">
        <v>1075</v>
      </c>
      <c r="G82" s="123">
        <v>200</v>
      </c>
      <c r="H82" s="123">
        <v>0</v>
      </c>
      <c r="I82" s="123">
        <v>999</v>
      </c>
      <c r="J82" s="123">
        <v>0</v>
      </c>
      <c r="K82" s="123">
        <v>999999</v>
      </c>
      <c r="L82" s="123" t="s">
        <v>144</v>
      </c>
      <c r="M82" s="123" t="s">
        <v>1990</v>
      </c>
      <c r="N82" s="123" t="s">
        <v>1991</v>
      </c>
      <c r="BX82" t="s">
        <v>624</v>
      </c>
      <c r="BY82" t="s">
        <v>2449</v>
      </c>
      <c r="BZ82" t="s">
        <v>2452</v>
      </c>
      <c r="CA82">
        <v>42</v>
      </c>
      <c r="CC82" t="s">
        <v>817</v>
      </c>
      <c r="CD82" t="s">
        <v>660</v>
      </c>
      <c r="CE82" t="s">
        <v>574</v>
      </c>
      <c r="CF82" t="s">
        <v>141</v>
      </c>
      <c r="CG82">
        <v>82</v>
      </c>
      <c r="CH82" t="s">
        <v>1445</v>
      </c>
    </row>
    <row r="83" spans="3:86" x14ac:dyDescent="0.25">
      <c r="C83"/>
      <c r="D83"/>
      <c r="E83"/>
      <c r="F83"/>
      <c r="G83"/>
      <c r="H83"/>
      <c r="I83"/>
      <c r="J83"/>
      <c r="K83"/>
      <c r="BX83" t="s">
        <v>624</v>
      </c>
      <c r="BY83" t="s">
        <v>2450</v>
      </c>
      <c r="BZ83" t="s">
        <v>2451</v>
      </c>
      <c r="CA83">
        <v>85</v>
      </c>
      <c r="CC83" t="s">
        <v>817</v>
      </c>
      <c r="CD83" t="s">
        <v>660</v>
      </c>
      <c r="CE83" t="s">
        <v>659</v>
      </c>
      <c r="CF83" t="s">
        <v>141</v>
      </c>
      <c r="CG83">
        <v>83</v>
      </c>
      <c r="CH83" t="s">
        <v>1445</v>
      </c>
    </row>
    <row r="84" spans="3:86" x14ac:dyDescent="0.25">
      <c r="C84"/>
      <c r="D84"/>
      <c r="E84"/>
      <c r="F84"/>
      <c r="G84"/>
      <c r="H84"/>
      <c r="I84"/>
      <c r="J84"/>
      <c r="K84"/>
      <c r="BX84" t="s">
        <v>624</v>
      </c>
      <c r="BY84" t="s">
        <v>811</v>
      </c>
      <c r="BZ84" t="s">
        <v>184</v>
      </c>
      <c r="CA84">
        <v>59</v>
      </c>
      <c r="CC84" t="s">
        <v>817</v>
      </c>
      <c r="CD84" t="s">
        <v>661</v>
      </c>
      <c r="CE84" t="s">
        <v>574</v>
      </c>
      <c r="CF84" t="s">
        <v>141</v>
      </c>
      <c r="CG84">
        <v>84</v>
      </c>
      <c r="CH84" t="s">
        <v>809</v>
      </c>
    </row>
    <row r="85" spans="3:86" x14ac:dyDescent="0.25">
      <c r="C85"/>
      <c r="D85"/>
      <c r="E85"/>
      <c r="F85"/>
      <c r="G85"/>
      <c r="H85"/>
      <c r="I85"/>
      <c r="J85"/>
      <c r="K85"/>
      <c r="BX85" t="s">
        <v>624</v>
      </c>
      <c r="BY85" t="s">
        <v>812</v>
      </c>
      <c r="BZ85" t="s">
        <v>185</v>
      </c>
      <c r="CA85">
        <v>120</v>
      </c>
      <c r="CC85" t="s">
        <v>817</v>
      </c>
      <c r="CD85" t="s">
        <v>661</v>
      </c>
      <c r="CE85" t="s">
        <v>659</v>
      </c>
      <c r="CF85" t="s">
        <v>141</v>
      </c>
      <c r="CG85">
        <v>85</v>
      </c>
      <c r="CH85" t="s">
        <v>809</v>
      </c>
    </row>
    <row r="86" spans="3:86" x14ac:dyDescent="0.25">
      <c r="C86"/>
      <c r="D86"/>
      <c r="E86"/>
      <c r="F86"/>
      <c r="G86"/>
      <c r="H86"/>
      <c r="I86"/>
      <c r="J86"/>
      <c r="K86"/>
      <c r="BX86" t="s">
        <v>624</v>
      </c>
      <c r="BY86" t="s">
        <v>1441</v>
      </c>
      <c r="BZ86" t="s">
        <v>1482</v>
      </c>
      <c r="CA86">
        <v>180</v>
      </c>
      <c r="CC86" t="s">
        <v>817</v>
      </c>
      <c r="CD86" t="s">
        <v>661</v>
      </c>
      <c r="CE86" t="s">
        <v>662</v>
      </c>
      <c r="CF86" t="s">
        <v>141</v>
      </c>
      <c r="CG86">
        <v>86</v>
      </c>
      <c r="CH86" t="s">
        <v>809</v>
      </c>
    </row>
    <row r="87" spans="3:86" x14ac:dyDescent="0.25">
      <c r="C87"/>
      <c r="D87"/>
      <c r="E87"/>
      <c r="F87"/>
      <c r="G87"/>
      <c r="H87"/>
      <c r="I87"/>
      <c r="J87"/>
      <c r="K87"/>
      <c r="BX87" t="s">
        <v>624</v>
      </c>
      <c r="BY87" t="s">
        <v>813</v>
      </c>
      <c r="BZ87" t="s">
        <v>186</v>
      </c>
      <c r="CA87">
        <v>234</v>
      </c>
      <c r="CC87" t="s">
        <v>817</v>
      </c>
      <c r="CD87" t="s">
        <v>661</v>
      </c>
      <c r="CE87" t="s">
        <v>663</v>
      </c>
      <c r="CF87" t="s">
        <v>141</v>
      </c>
      <c r="CG87">
        <v>87</v>
      </c>
      <c r="CH87" t="s">
        <v>809</v>
      </c>
    </row>
    <row r="88" spans="3:86" x14ac:dyDescent="0.25">
      <c r="C88"/>
      <c r="D88"/>
      <c r="E88"/>
      <c r="F88"/>
      <c r="G88"/>
      <c r="H88"/>
      <c r="I88"/>
      <c r="J88"/>
      <c r="K88"/>
      <c r="BX88" t="s">
        <v>624</v>
      </c>
      <c r="BY88" t="s">
        <v>814</v>
      </c>
      <c r="BZ88" t="s">
        <v>187</v>
      </c>
      <c r="CA88">
        <v>360</v>
      </c>
      <c r="CC88" t="s">
        <v>817</v>
      </c>
      <c r="CD88" t="s">
        <v>661</v>
      </c>
      <c r="CE88" t="s">
        <v>669</v>
      </c>
      <c r="CF88" t="s">
        <v>141</v>
      </c>
      <c r="CG88">
        <v>88</v>
      </c>
      <c r="CH88" t="s">
        <v>810</v>
      </c>
    </row>
    <row r="89" spans="3:86" x14ac:dyDescent="0.25">
      <c r="C89"/>
      <c r="D89"/>
      <c r="E89"/>
      <c r="F89"/>
      <c r="G89"/>
      <c r="H89"/>
      <c r="I89"/>
      <c r="J89"/>
      <c r="K89"/>
      <c r="BX89" t="s">
        <v>624</v>
      </c>
      <c r="BY89" t="s">
        <v>815</v>
      </c>
      <c r="BZ89" t="s">
        <v>188</v>
      </c>
      <c r="CA89">
        <v>468</v>
      </c>
      <c r="CC89" t="s">
        <v>817</v>
      </c>
      <c r="CD89" t="s">
        <v>661</v>
      </c>
      <c r="CE89" t="s">
        <v>670</v>
      </c>
      <c r="CF89" t="s">
        <v>141</v>
      </c>
      <c r="CG89">
        <v>89</v>
      </c>
      <c r="CH89" t="s">
        <v>810</v>
      </c>
    </row>
    <row r="90" spans="3:86" x14ac:dyDescent="0.25">
      <c r="C90"/>
      <c r="D90"/>
      <c r="E90"/>
      <c r="F90"/>
      <c r="G90"/>
      <c r="H90"/>
      <c r="I90"/>
      <c r="J90"/>
      <c r="K90"/>
      <c r="BX90" t="s">
        <v>624</v>
      </c>
      <c r="BY90" t="s">
        <v>816</v>
      </c>
      <c r="BZ90" t="s">
        <v>189</v>
      </c>
      <c r="CA90">
        <v>577</v>
      </c>
      <c r="CC90" t="s">
        <v>817</v>
      </c>
      <c r="CD90" t="s">
        <v>661</v>
      </c>
      <c r="CE90" t="s">
        <v>671</v>
      </c>
      <c r="CF90" t="s">
        <v>141</v>
      </c>
      <c r="CG90">
        <v>90</v>
      </c>
    </row>
    <row r="91" spans="3:86" x14ac:dyDescent="0.25">
      <c r="C91"/>
      <c r="D91"/>
      <c r="E91"/>
      <c r="F91"/>
      <c r="G91"/>
      <c r="H91"/>
      <c r="I91"/>
      <c r="J91"/>
      <c r="K91"/>
      <c r="BY91" t="s">
        <v>1227</v>
      </c>
      <c r="CA91" t="s">
        <v>761</v>
      </c>
      <c r="CG91">
        <v>91</v>
      </c>
    </row>
    <row r="92" spans="3:86" x14ac:dyDescent="0.25">
      <c r="C92"/>
      <c r="D92"/>
      <c r="E92"/>
      <c r="F92"/>
      <c r="G92"/>
      <c r="H92"/>
      <c r="I92"/>
      <c r="J92"/>
      <c r="K92"/>
      <c r="BX92" t="s">
        <v>631</v>
      </c>
      <c r="BY92" t="s">
        <v>1442</v>
      </c>
      <c r="BZ92" t="s">
        <v>1483</v>
      </c>
      <c r="CA92">
        <v>72</v>
      </c>
      <c r="CC92" t="s">
        <v>672</v>
      </c>
      <c r="CD92" t="s">
        <v>684</v>
      </c>
      <c r="CF92" t="s">
        <v>141</v>
      </c>
      <c r="CG92">
        <v>92</v>
      </c>
      <c r="CH92" t="s">
        <v>810</v>
      </c>
    </row>
    <row r="93" spans="3:86" x14ac:dyDescent="0.25">
      <c r="C93"/>
      <c r="D93"/>
      <c r="E93"/>
      <c r="F93"/>
      <c r="G93"/>
      <c r="H93"/>
      <c r="I93"/>
      <c r="J93"/>
      <c r="K93"/>
      <c r="BX93" t="s">
        <v>631</v>
      </c>
      <c r="BY93" t="s">
        <v>625</v>
      </c>
      <c r="BZ93" t="s">
        <v>802</v>
      </c>
      <c r="CA93">
        <v>95</v>
      </c>
      <c r="CC93" t="s">
        <v>672</v>
      </c>
      <c r="CD93" t="s">
        <v>673</v>
      </c>
      <c r="CF93" t="s">
        <v>141</v>
      </c>
      <c r="CG93">
        <v>93</v>
      </c>
      <c r="CH93" t="s">
        <v>809</v>
      </c>
    </row>
    <row r="94" spans="3:86" x14ac:dyDescent="0.25">
      <c r="D94"/>
      <c r="E94"/>
      <c r="F94"/>
      <c r="G94"/>
      <c r="H94"/>
      <c r="I94"/>
      <c r="J94"/>
      <c r="K94"/>
      <c r="BX94" t="s">
        <v>631</v>
      </c>
      <c r="BY94" t="s">
        <v>626</v>
      </c>
      <c r="BZ94" t="s">
        <v>803</v>
      </c>
      <c r="CA94">
        <v>114</v>
      </c>
      <c r="CC94" t="s">
        <v>672</v>
      </c>
      <c r="CD94" t="s">
        <v>674</v>
      </c>
      <c r="CF94" t="s">
        <v>141</v>
      </c>
      <c r="CG94">
        <v>94</v>
      </c>
      <c r="CH94" t="s">
        <v>809</v>
      </c>
    </row>
    <row r="95" spans="3:86" x14ac:dyDescent="0.25">
      <c r="BX95" t="s">
        <v>631</v>
      </c>
      <c r="BY95" t="s">
        <v>1412</v>
      </c>
      <c r="BZ95" t="s">
        <v>1484</v>
      </c>
      <c r="CA95">
        <v>190</v>
      </c>
      <c r="CC95" t="s">
        <v>672</v>
      </c>
      <c r="CD95" t="s">
        <v>686</v>
      </c>
      <c r="CF95" t="s">
        <v>141</v>
      </c>
      <c r="CG95">
        <v>95</v>
      </c>
      <c r="CH95" t="s">
        <v>810</v>
      </c>
    </row>
    <row r="96" spans="3:86" x14ac:dyDescent="0.25">
      <c r="BX96" t="s">
        <v>631</v>
      </c>
      <c r="BY96" t="s">
        <v>627</v>
      </c>
      <c r="BZ96" t="s">
        <v>804</v>
      </c>
      <c r="CA96">
        <v>199</v>
      </c>
      <c r="CC96" t="s">
        <v>672</v>
      </c>
      <c r="CD96" t="s">
        <v>675</v>
      </c>
      <c r="CF96" t="s">
        <v>141</v>
      </c>
      <c r="CG96">
        <v>96</v>
      </c>
      <c r="CH96" t="s">
        <v>809</v>
      </c>
    </row>
    <row r="97" spans="4:86" x14ac:dyDescent="0.25">
      <c r="D97" s="559" t="s">
        <v>830</v>
      </c>
      <c r="E97" s="559" t="s">
        <v>1080</v>
      </c>
      <c r="F97" s="559" t="s">
        <v>134</v>
      </c>
      <c r="G97" s="559" t="s">
        <v>131</v>
      </c>
      <c r="H97" s="559" t="s">
        <v>1429</v>
      </c>
      <c r="I97" s="559" t="s">
        <v>2044</v>
      </c>
      <c r="J97" s="559" t="s">
        <v>2045</v>
      </c>
      <c r="K97" s="560" t="s">
        <v>2046</v>
      </c>
      <c r="L97" s="559" t="s">
        <v>2041</v>
      </c>
      <c r="M97" s="561" t="s">
        <v>156</v>
      </c>
      <c r="N97" s="559" t="s">
        <v>130</v>
      </c>
      <c r="BX97" t="s">
        <v>631</v>
      </c>
      <c r="BY97" t="s">
        <v>628</v>
      </c>
      <c r="BZ97" t="s">
        <v>805</v>
      </c>
      <c r="CA97">
        <v>284</v>
      </c>
      <c r="CC97" t="s">
        <v>672</v>
      </c>
      <c r="CD97" t="s">
        <v>676</v>
      </c>
      <c r="CF97" t="s">
        <v>141</v>
      </c>
      <c r="CG97">
        <v>97</v>
      </c>
      <c r="CH97" t="s">
        <v>809</v>
      </c>
    </row>
    <row r="98" spans="4:86" x14ac:dyDescent="0.25">
      <c r="D98" s="541" t="s">
        <v>2067</v>
      </c>
      <c r="E98" s="541">
        <v>4052510</v>
      </c>
      <c r="F98" s="541">
        <v>6577</v>
      </c>
      <c r="G98" s="541">
        <v>940</v>
      </c>
      <c r="H98" s="541"/>
      <c r="I98" s="541"/>
      <c r="J98" s="541"/>
      <c r="K98" s="543"/>
      <c r="L98" s="541" t="s">
        <v>144</v>
      </c>
      <c r="M98" s="544" t="s">
        <v>2078</v>
      </c>
      <c r="N98" s="541" t="s">
        <v>2070</v>
      </c>
      <c r="BX98" t="s">
        <v>631</v>
      </c>
      <c r="BY98" t="s">
        <v>629</v>
      </c>
      <c r="BZ98" t="s">
        <v>806</v>
      </c>
      <c r="CA98">
        <v>455</v>
      </c>
      <c r="CC98" t="s">
        <v>672</v>
      </c>
      <c r="CD98" t="s">
        <v>677</v>
      </c>
      <c r="CF98" t="s">
        <v>141</v>
      </c>
      <c r="CG98">
        <v>98</v>
      </c>
      <c r="CH98" t="s">
        <v>809</v>
      </c>
    </row>
    <row r="99" spans="4:86" x14ac:dyDescent="0.25">
      <c r="D99" s="541" t="s">
        <v>2068</v>
      </c>
      <c r="E99" s="541">
        <v>4052511</v>
      </c>
      <c r="F99" s="541">
        <v>8543</v>
      </c>
      <c r="G99" s="541">
        <v>1250</v>
      </c>
      <c r="H99" s="541"/>
      <c r="I99" s="541"/>
      <c r="J99" s="541"/>
      <c r="K99" s="543"/>
      <c r="L99" s="541" t="s">
        <v>144</v>
      </c>
      <c r="M99" s="544" t="s">
        <v>2078</v>
      </c>
      <c r="N99" s="541" t="s">
        <v>2070</v>
      </c>
      <c r="BX99" t="s">
        <v>631</v>
      </c>
      <c r="BY99" t="s">
        <v>630</v>
      </c>
      <c r="BZ99" t="s">
        <v>807</v>
      </c>
      <c r="CA99">
        <v>1080</v>
      </c>
      <c r="CC99" t="s">
        <v>672</v>
      </c>
      <c r="CD99" t="s">
        <v>678</v>
      </c>
      <c r="CF99" t="s">
        <v>141</v>
      </c>
      <c r="CG99">
        <v>99</v>
      </c>
      <c r="CH99" t="s">
        <v>809</v>
      </c>
    </row>
    <row r="100" spans="4:86" x14ac:dyDescent="0.25">
      <c r="D100" s="541" t="s">
        <v>2069</v>
      </c>
      <c r="E100" s="541">
        <v>4052512</v>
      </c>
      <c r="F100" s="541">
        <v>10018</v>
      </c>
      <c r="G100" s="541">
        <v>1500</v>
      </c>
      <c r="H100" s="541"/>
      <c r="I100" s="541"/>
      <c r="J100" s="541"/>
      <c r="K100" s="543"/>
      <c r="L100" s="541" t="s">
        <v>144</v>
      </c>
      <c r="M100" s="544" t="s">
        <v>2078</v>
      </c>
      <c r="N100" s="541" t="s">
        <v>2070</v>
      </c>
      <c r="BX100" t="s">
        <v>631</v>
      </c>
      <c r="BY100" t="s">
        <v>1508</v>
      </c>
      <c r="BZ100" t="s">
        <v>1509</v>
      </c>
      <c r="CA100">
        <v>1610</v>
      </c>
      <c r="CC100" t="s">
        <v>672</v>
      </c>
      <c r="CD100" t="s">
        <v>1510</v>
      </c>
      <c r="CF100" t="s">
        <v>141</v>
      </c>
      <c r="CG100">
        <v>100</v>
      </c>
      <c r="CH100" t="s">
        <v>810</v>
      </c>
    </row>
    <row r="101" spans="4:86" x14ac:dyDescent="0.25">
      <c r="BX101" t="s">
        <v>631</v>
      </c>
      <c r="BY101" t="s">
        <v>1511</v>
      </c>
      <c r="BZ101" t="s">
        <v>1512</v>
      </c>
      <c r="CA101">
        <v>2140</v>
      </c>
      <c r="CC101" t="s">
        <v>672</v>
      </c>
      <c r="CD101" t="s">
        <v>1513</v>
      </c>
      <c r="CF101" t="s">
        <v>141</v>
      </c>
      <c r="CG101">
        <v>101</v>
      </c>
      <c r="CH101" t="s">
        <v>1445</v>
      </c>
    </row>
    <row r="102" spans="4:86" x14ac:dyDescent="0.25">
      <c r="BX102" t="s">
        <v>644</v>
      </c>
      <c r="BY102" t="s">
        <v>577</v>
      </c>
      <c r="CA102">
        <v>227</v>
      </c>
      <c r="CC102" t="s">
        <v>679</v>
      </c>
      <c r="CD102" t="s">
        <v>680</v>
      </c>
      <c r="CF102" t="s">
        <v>141</v>
      </c>
      <c r="CG102">
        <v>102</v>
      </c>
      <c r="CH102" t="s">
        <v>809</v>
      </c>
    </row>
    <row r="103" spans="4:86" x14ac:dyDescent="0.25">
      <c r="BX103" t="s">
        <v>644</v>
      </c>
      <c r="BY103" t="s">
        <v>632</v>
      </c>
      <c r="CA103">
        <v>364</v>
      </c>
      <c r="CC103" t="s">
        <v>679</v>
      </c>
      <c r="CD103" t="s">
        <v>681</v>
      </c>
      <c r="CF103" t="s">
        <v>141</v>
      </c>
      <c r="CG103">
        <v>103</v>
      </c>
      <c r="CH103" t="s">
        <v>809</v>
      </c>
    </row>
    <row r="104" spans="4:86" x14ac:dyDescent="0.25">
      <c r="BX104" t="s">
        <v>644</v>
      </c>
      <c r="BY104" t="s">
        <v>1443</v>
      </c>
      <c r="CA104">
        <v>398</v>
      </c>
      <c r="CC104" t="s">
        <v>679</v>
      </c>
      <c r="CD104" t="s">
        <v>1485</v>
      </c>
      <c r="CF104" t="s">
        <v>141</v>
      </c>
      <c r="CG104">
        <v>104</v>
      </c>
      <c r="CH104" t="s">
        <v>809</v>
      </c>
    </row>
    <row r="105" spans="4:86" x14ac:dyDescent="0.25">
      <c r="BX105" t="s">
        <v>644</v>
      </c>
      <c r="BY105" t="s">
        <v>633</v>
      </c>
      <c r="CA105">
        <v>456</v>
      </c>
      <c r="CC105" t="s">
        <v>679</v>
      </c>
      <c r="CD105" t="s">
        <v>677</v>
      </c>
      <c r="CF105" t="s">
        <v>141</v>
      </c>
      <c r="CG105">
        <v>105</v>
      </c>
      <c r="CH105" t="s">
        <v>810</v>
      </c>
    </row>
    <row r="106" spans="4:86" x14ac:dyDescent="0.25">
      <c r="BX106" t="s">
        <v>644</v>
      </c>
      <c r="BY106" t="s">
        <v>1413</v>
      </c>
      <c r="CA106">
        <v>1080</v>
      </c>
      <c r="CC106" t="s">
        <v>679</v>
      </c>
      <c r="CD106" t="s">
        <v>678</v>
      </c>
      <c r="CF106" t="s">
        <v>141</v>
      </c>
      <c r="CG106">
        <v>106</v>
      </c>
      <c r="CH106" t="s">
        <v>810</v>
      </c>
    </row>
    <row r="107" spans="4:86" x14ac:dyDescent="0.25">
      <c r="BY107" t="s">
        <v>1227</v>
      </c>
      <c r="CA107" t="s">
        <v>761</v>
      </c>
      <c r="CG107">
        <v>107</v>
      </c>
    </row>
    <row r="108" spans="4:86" x14ac:dyDescent="0.25">
      <c r="BX108" t="s">
        <v>579</v>
      </c>
      <c r="BY108" t="s">
        <v>635</v>
      </c>
      <c r="BZ108" t="s">
        <v>793</v>
      </c>
      <c r="CA108">
        <v>46</v>
      </c>
      <c r="CC108" t="s">
        <v>682</v>
      </c>
      <c r="CD108" t="s">
        <v>683</v>
      </c>
      <c r="CF108" t="s">
        <v>141</v>
      </c>
      <c r="CG108">
        <v>108</v>
      </c>
      <c r="CH108" t="s">
        <v>809</v>
      </c>
    </row>
    <row r="109" spans="4:86" x14ac:dyDescent="0.25">
      <c r="BX109" t="s">
        <v>579</v>
      </c>
      <c r="BY109" t="s">
        <v>636</v>
      </c>
      <c r="BZ109" t="s">
        <v>794</v>
      </c>
      <c r="CA109">
        <v>66</v>
      </c>
      <c r="CC109" t="s">
        <v>682</v>
      </c>
      <c r="CD109" t="s">
        <v>684</v>
      </c>
      <c r="CF109" t="s">
        <v>141</v>
      </c>
      <c r="CG109">
        <v>109</v>
      </c>
      <c r="CH109" t="s">
        <v>809</v>
      </c>
    </row>
    <row r="110" spans="4:86" x14ac:dyDescent="0.25">
      <c r="BX110" t="s">
        <v>579</v>
      </c>
      <c r="BY110" t="s">
        <v>637</v>
      </c>
      <c r="BZ110" t="s">
        <v>795</v>
      </c>
      <c r="CA110">
        <v>95</v>
      </c>
      <c r="CC110" t="s">
        <v>682</v>
      </c>
      <c r="CD110" t="s">
        <v>685</v>
      </c>
      <c r="CF110" t="s">
        <v>141</v>
      </c>
      <c r="CG110">
        <v>110</v>
      </c>
      <c r="CH110" t="s">
        <v>809</v>
      </c>
    </row>
    <row r="111" spans="4:86" x14ac:dyDescent="0.25">
      <c r="BX111" t="s">
        <v>579</v>
      </c>
      <c r="BY111" t="s">
        <v>638</v>
      </c>
      <c r="BZ111" t="s">
        <v>796</v>
      </c>
      <c r="CA111">
        <v>138</v>
      </c>
      <c r="CC111" t="s">
        <v>682</v>
      </c>
      <c r="CD111" t="s">
        <v>674</v>
      </c>
      <c r="CF111" t="s">
        <v>141</v>
      </c>
      <c r="CG111">
        <v>111</v>
      </c>
      <c r="CH111" t="s">
        <v>809</v>
      </c>
    </row>
    <row r="112" spans="4:86" x14ac:dyDescent="0.25">
      <c r="BX112" t="s">
        <v>579</v>
      </c>
      <c r="BY112" t="s">
        <v>639</v>
      </c>
      <c r="BZ112" t="s">
        <v>797</v>
      </c>
      <c r="CA112">
        <v>188</v>
      </c>
      <c r="CC112" t="s">
        <v>682</v>
      </c>
      <c r="CD112" t="s">
        <v>686</v>
      </c>
      <c r="CF112" t="s">
        <v>141</v>
      </c>
      <c r="CG112">
        <v>112</v>
      </c>
      <c r="CH112" t="s">
        <v>809</v>
      </c>
    </row>
    <row r="113" spans="51:86" x14ac:dyDescent="0.25">
      <c r="BX113" t="s">
        <v>579</v>
      </c>
      <c r="BY113" t="s">
        <v>640</v>
      </c>
      <c r="BZ113" t="s">
        <v>798</v>
      </c>
      <c r="CA113">
        <v>250</v>
      </c>
      <c r="CC113" t="s">
        <v>682</v>
      </c>
      <c r="CD113" t="s">
        <v>680</v>
      </c>
      <c r="CF113" t="s">
        <v>141</v>
      </c>
      <c r="CG113">
        <v>113</v>
      </c>
      <c r="CH113" t="s">
        <v>809</v>
      </c>
    </row>
    <row r="114" spans="51:86" x14ac:dyDescent="0.25">
      <c r="BX114" t="s">
        <v>579</v>
      </c>
      <c r="BY114" t="s">
        <v>641</v>
      </c>
      <c r="BZ114" t="s">
        <v>799</v>
      </c>
      <c r="CA114">
        <v>295</v>
      </c>
      <c r="CC114" t="s">
        <v>682</v>
      </c>
      <c r="CD114" t="s">
        <v>676</v>
      </c>
      <c r="CF114" t="s">
        <v>141</v>
      </c>
      <c r="CG114">
        <v>114</v>
      </c>
      <c r="CH114" t="s">
        <v>809</v>
      </c>
    </row>
    <row r="115" spans="51:86" x14ac:dyDescent="0.25">
      <c r="BX115" t="s">
        <v>579</v>
      </c>
      <c r="BY115" t="s">
        <v>642</v>
      </c>
      <c r="BZ115" t="s">
        <v>800</v>
      </c>
      <c r="CA115">
        <v>465</v>
      </c>
      <c r="CC115" t="s">
        <v>682</v>
      </c>
      <c r="CD115" t="s">
        <v>677</v>
      </c>
      <c r="CF115" t="s">
        <v>141</v>
      </c>
      <c r="CG115">
        <v>115</v>
      </c>
      <c r="CH115" t="s">
        <v>809</v>
      </c>
    </row>
    <row r="116" spans="51:86" x14ac:dyDescent="0.25">
      <c r="BX116" t="s">
        <v>579</v>
      </c>
      <c r="BY116" t="s">
        <v>643</v>
      </c>
      <c r="BZ116" t="s">
        <v>801</v>
      </c>
      <c r="CA116">
        <v>1100</v>
      </c>
      <c r="CC116" t="s">
        <v>682</v>
      </c>
      <c r="CD116" t="s">
        <v>678</v>
      </c>
      <c r="CF116" t="s">
        <v>141</v>
      </c>
      <c r="CG116">
        <v>116</v>
      </c>
      <c r="CH116" t="s">
        <v>809</v>
      </c>
    </row>
    <row r="117" spans="51:86" x14ac:dyDescent="0.25">
      <c r="BY117" t="s">
        <v>1227</v>
      </c>
      <c r="CA117" t="s">
        <v>761</v>
      </c>
      <c r="CF117" t="s">
        <v>141</v>
      </c>
      <c r="CG117">
        <v>117</v>
      </c>
    </row>
    <row r="118" spans="51:86" x14ac:dyDescent="0.25">
      <c r="BX118" t="s">
        <v>634</v>
      </c>
      <c r="BY118" t="s">
        <v>645</v>
      </c>
      <c r="BZ118" t="s">
        <v>786</v>
      </c>
      <c r="CA118">
        <v>50</v>
      </c>
      <c r="CC118" t="s">
        <v>687</v>
      </c>
      <c r="CD118" t="s">
        <v>688</v>
      </c>
      <c r="CF118" t="s">
        <v>141</v>
      </c>
      <c r="CG118">
        <v>118</v>
      </c>
      <c r="CH118" t="s">
        <v>809</v>
      </c>
    </row>
    <row r="119" spans="51:86" x14ac:dyDescent="0.25">
      <c r="BX119" t="s">
        <v>634</v>
      </c>
      <c r="BY119" t="s">
        <v>646</v>
      </c>
      <c r="BZ119" t="s">
        <v>787</v>
      </c>
      <c r="CA119">
        <v>74</v>
      </c>
      <c r="CC119" t="s">
        <v>687</v>
      </c>
      <c r="CD119" t="s">
        <v>684</v>
      </c>
      <c r="CF119" t="s">
        <v>141</v>
      </c>
      <c r="CG119">
        <v>119</v>
      </c>
      <c r="CH119" t="s">
        <v>809</v>
      </c>
    </row>
    <row r="120" spans="51:86" x14ac:dyDescent="0.25">
      <c r="BX120" t="s">
        <v>634</v>
      </c>
      <c r="BY120" t="s">
        <v>647</v>
      </c>
      <c r="BZ120" t="s">
        <v>788</v>
      </c>
      <c r="CA120">
        <v>93</v>
      </c>
      <c r="CC120" t="s">
        <v>687</v>
      </c>
      <c r="CD120" t="s">
        <v>689</v>
      </c>
      <c r="CF120" t="s">
        <v>141</v>
      </c>
      <c r="CG120">
        <v>120</v>
      </c>
      <c r="CH120" t="s">
        <v>809</v>
      </c>
    </row>
    <row r="121" spans="51:86" x14ac:dyDescent="0.25">
      <c r="AY121" s="22">
        <v>0.24</v>
      </c>
      <c r="AZ121" s="22">
        <v>0.3</v>
      </c>
      <c r="BA121" s="22">
        <v>0.3</v>
      </c>
      <c r="BB121" s="22">
        <v>0.24</v>
      </c>
      <c r="BC121" s="22">
        <v>0.24</v>
      </c>
      <c r="BD121" s="22">
        <v>0.3</v>
      </c>
      <c r="BE121" s="22">
        <v>0.3</v>
      </c>
      <c r="BF121" s="22">
        <v>0.35</v>
      </c>
      <c r="BG121" s="22">
        <v>0.35</v>
      </c>
      <c r="BH121" s="22">
        <v>0.35</v>
      </c>
      <c r="BI121" s="22">
        <v>0.35</v>
      </c>
      <c r="BJ121" s="22">
        <v>0.4</v>
      </c>
      <c r="BK121" s="22">
        <v>0.4</v>
      </c>
      <c r="BL121" s="22">
        <v>0.4</v>
      </c>
      <c r="BM121" s="22">
        <v>0.4</v>
      </c>
      <c r="BN121" s="22">
        <v>0.45</v>
      </c>
      <c r="BO121" s="22">
        <v>0.45</v>
      </c>
      <c r="BP121" s="22">
        <v>0.45</v>
      </c>
      <c r="BQ121" s="22">
        <v>0.45</v>
      </c>
      <c r="BR121" s="22">
        <v>0.5</v>
      </c>
      <c r="BS121" s="22">
        <v>0.5</v>
      </c>
      <c r="BT121" s="22">
        <v>0.5</v>
      </c>
      <c r="BU121" s="22">
        <v>0.5</v>
      </c>
      <c r="BV121" s="22">
        <v>0.4</v>
      </c>
      <c r="BW121" s="22">
        <v>0.5</v>
      </c>
      <c r="BX121" t="s">
        <v>634</v>
      </c>
      <c r="BY121" t="s">
        <v>648</v>
      </c>
      <c r="BZ121" t="s">
        <v>789</v>
      </c>
      <c r="CA121">
        <v>125</v>
      </c>
      <c r="CC121" t="s">
        <v>687</v>
      </c>
      <c r="CD121" t="s">
        <v>674</v>
      </c>
      <c r="CF121" t="s">
        <v>141</v>
      </c>
      <c r="CG121">
        <v>121</v>
      </c>
      <c r="CH121" t="s">
        <v>809</v>
      </c>
    </row>
    <row r="122" spans="51:86" x14ac:dyDescent="0.25">
      <c r="BX122" t="s">
        <v>634</v>
      </c>
      <c r="BY122" t="s">
        <v>649</v>
      </c>
      <c r="BZ122" t="s">
        <v>790</v>
      </c>
      <c r="CA122">
        <v>205</v>
      </c>
      <c r="CC122" t="s">
        <v>687</v>
      </c>
      <c r="CD122" t="s">
        <v>675</v>
      </c>
      <c r="CF122" t="s">
        <v>141</v>
      </c>
      <c r="CG122">
        <v>122</v>
      </c>
      <c r="CH122" t="s">
        <v>809</v>
      </c>
    </row>
    <row r="123" spans="51:86" x14ac:dyDescent="0.25">
      <c r="BX123" t="s">
        <v>634</v>
      </c>
      <c r="BY123" t="s">
        <v>650</v>
      </c>
      <c r="BZ123" t="s">
        <v>791</v>
      </c>
      <c r="CA123">
        <v>290</v>
      </c>
      <c r="CC123" t="s">
        <v>687</v>
      </c>
      <c r="CD123" t="s">
        <v>676</v>
      </c>
      <c r="CF123" t="s">
        <v>141</v>
      </c>
      <c r="CG123">
        <v>123</v>
      </c>
      <c r="CH123" t="s">
        <v>809</v>
      </c>
    </row>
    <row r="124" spans="51:86" x14ac:dyDescent="0.25">
      <c r="BX124" t="s">
        <v>634</v>
      </c>
      <c r="BY124" t="s">
        <v>651</v>
      </c>
      <c r="BZ124" t="s">
        <v>792</v>
      </c>
      <c r="CA124">
        <v>455</v>
      </c>
      <c r="CC124" t="s">
        <v>687</v>
      </c>
      <c r="CD124" t="s">
        <v>677</v>
      </c>
      <c r="CF124" t="s">
        <v>141</v>
      </c>
      <c r="CG124">
        <v>124</v>
      </c>
      <c r="CH124" t="s">
        <v>809</v>
      </c>
    </row>
    <row r="125" spans="51:86" x14ac:dyDescent="0.25">
      <c r="BX125" t="s">
        <v>634</v>
      </c>
      <c r="BY125" t="s">
        <v>1448</v>
      </c>
      <c r="BZ125" t="s">
        <v>1486</v>
      </c>
      <c r="CA125">
        <v>1075</v>
      </c>
      <c r="CC125" t="s">
        <v>687</v>
      </c>
      <c r="CD125" t="s">
        <v>678</v>
      </c>
      <c r="CF125" t="s">
        <v>141</v>
      </c>
      <c r="CG125">
        <v>125</v>
      </c>
      <c r="CH125" t="s">
        <v>810</v>
      </c>
    </row>
  </sheetData>
  <sheetProtection algorithmName="SHA-512" hashValue="I6BYCpycmBX51PZPTyn+NHzgRYPvtsFUlBVKWnrX4Prjc0IPR2I3rcrUDVebJq+UglF/PQjuoc7b0q3wvGRO5g==" saltValue="eOs00OeRRd2kklDCFdQZCw==" spinCount="100000" sheet="1" objects="1" scenarios="1"/>
  <phoneticPr fontId="163" type="noConversion"/>
  <pageMargins left="0.7" right="0.7" top="0.75" bottom="0.75" header="0.3" footer="0.3"/>
  <pageSetup scale="11" orientation="landscape" r:id="rId1"/>
  <tableParts count="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97EC-2015-4C01-A393-26321BC8DB20}">
  <sheetPr codeName="Sheet10">
    <pageSetUpPr fitToPage="1"/>
  </sheetPr>
  <dimension ref="B1:CC203"/>
  <sheetViews>
    <sheetView showGridLines="0" showRowColHeaders="0" zoomScale="85" zoomScaleNormal="85" workbookViewId="0">
      <selection activeCell="C18" sqref="C18:D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80" width="9.140625" style="69" hidden="1" customWidth="1"/>
    <col min="81" max="81" width="9.140625" hidden="1" customWidth="1"/>
  </cols>
  <sheetData>
    <row r="1" spans="2:6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6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64" ht="15.95" customHeight="1" x14ac:dyDescent="0.25">
      <c r="AH3" s="604"/>
      <c r="AI3" s="605"/>
      <c r="AJ3" s="605"/>
      <c r="AK3" s="605"/>
      <c r="AL3" s="614"/>
      <c r="AM3" s="614"/>
      <c r="AN3" s="614"/>
      <c r="AO3" s="614"/>
      <c r="AP3" s="614"/>
      <c r="AQ3" s="610"/>
      <c r="AR3" s="611"/>
    </row>
    <row r="4" spans="2:64" ht="15.95" customHeight="1" x14ac:dyDescent="0.25"/>
    <row r="5" spans="2:64"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4"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4"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64" ht="15.95" customHeight="1" x14ac:dyDescent="0.25"/>
    <row r="9" spans="2:64" ht="15.95" customHeight="1" x14ac:dyDescent="0.25">
      <c r="B9" s="69"/>
      <c r="C9" s="69"/>
      <c r="D9" s="69"/>
      <c r="E9" s="69"/>
      <c r="F9" s="69"/>
      <c r="G9" s="69"/>
      <c r="H9" s="69"/>
      <c r="I9" s="69"/>
      <c r="J9" s="69"/>
      <c r="K9" s="69"/>
      <c r="L9" s="69"/>
      <c r="M9" s="69"/>
      <c r="N9" s="69"/>
      <c r="O9" s="794" t="str">
        <f>IF(INCENSTATUS="---",CONCATENATE(M3S2," ","Summary"),IF(INCENSTATUS&gt;15000,"This project may require an inspection. Please submit photos of existing equipment and of new efficient equipment once installed.",CONCATENATE(M3S2," ","Summary")))</f>
        <v>Interior Fast Track Linear-LED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64" ht="15.95" customHeight="1" x14ac:dyDescent="0.25">
      <c r="B10" s="69"/>
      <c r="C10" s="69"/>
      <c r="D10" s="69"/>
      <c r="E10" s="69"/>
      <c r="F10" s="257"/>
      <c r="G10" s="257"/>
      <c r="I10" s="257"/>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64" ht="15.95" customHeight="1" x14ac:dyDescent="0.3">
      <c r="B11" s="69"/>
      <c r="C11" s="69"/>
      <c r="D11" s="69"/>
      <c r="E11" s="69"/>
      <c r="F11" s="257"/>
      <c r="G11" s="257"/>
      <c r="H11" s="257"/>
      <c r="I11" s="257"/>
      <c r="J11" s="876" t="str">
        <f>IF(COUNTIF(BG18:BG77,"Yes")&gt;0,"The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V11" s="469"/>
    </row>
    <row r="12" spans="2:64" ht="15.95" customHeight="1" x14ac:dyDescent="0.25">
      <c r="B12" s="69"/>
      <c r="D12" s="69"/>
      <c r="E12" s="69"/>
      <c r="F12" s="257"/>
      <c r="G12" s="257"/>
      <c r="H12" s="257"/>
      <c r="I12" s="257"/>
      <c r="J12" s="876"/>
      <c r="K12" s="876"/>
      <c r="L12" s="876"/>
      <c r="M12" s="876"/>
      <c r="N12" s="876"/>
      <c r="O12" s="876"/>
      <c r="P12" s="876"/>
      <c r="Q12" s="876"/>
      <c r="R12" s="1040">
        <f>SUM(AN18:AQ199)</f>
        <v>0</v>
      </c>
      <c r="S12" s="1040"/>
      <c r="T12" s="1040"/>
      <c r="U12" s="1040"/>
      <c r="V12" s="1040">
        <f>AU200</f>
        <v>0</v>
      </c>
      <c r="W12" s="1040"/>
      <c r="X12" s="1040"/>
      <c r="Y12" s="1040"/>
      <c r="Z12" s="1041">
        <f>SUM(AL18:AN199)</f>
        <v>0</v>
      </c>
      <c r="AA12" s="1041"/>
      <c r="AB12" s="1041"/>
      <c r="AC12" s="1041"/>
      <c r="AD12" s="69"/>
      <c r="AE12" s="69"/>
      <c r="AF12" s="69"/>
      <c r="AG12" s="69"/>
      <c r="AH12" s="69"/>
      <c r="AI12" s="69"/>
      <c r="AJ12" s="69"/>
      <c r="AK12" s="69"/>
      <c r="AL12" s="69"/>
      <c r="AM12" s="69"/>
      <c r="AN12" s="69"/>
      <c r="AO12" s="69"/>
      <c r="AP12" s="69"/>
      <c r="AQ12" s="69"/>
      <c r="AR12" s="69"/>
      <c r="AV12" s="469"/>
    </row>
    <row r="13" spans="2:64" ht="15.95" customHeight="1" x14ac:dyDescent="0.25">
      <c r="B13" s="69"/>
      <c r="D13" s="69"/>
      <c r="E13" s="69"/>
      <c r="F13" s="266"/>
      <c r="G13" s="266"/>
      <c r="H13" s="266"/>
      <c r="I13" s="266"/>
      <c r="J13" s="876"/>
      <c r="K13" s="876"/>
      <c r="L13" s="876"/>
      <c r="M13" s="876"/>
      <c r="N13" s="876"/>
      <c r="O13" s="876"/>
      <c r="P13" s="876"/>
      <c r="Q13" s="876"/>
      <c r="R13" s="1040"/>
      <c r="S13" s="1040"/>
      <c r="T13" s="1040"/>
      <c r="U13" s="1040"/>
      <c r="V13" s="1040"/>
      <c r="W13" s="1040"/>
      <c r="X13" s="1040"/>
      <c r="Y13" s="1040"/>
      <c r="Z13" s="1041"/>
      <c r="AA13" s="1041"/>
      <c r="AB13" s="1041"/>
      <c r="AC13" s="1041"/>
      <c r="AD13" s="69"/>
      <c r="AE13" s="69"/>
      <c r="AF13" s="69"/>
      <c r="AG13" s="69"/>
      <c r="AH13" s="69"/>
      <c r="AI13" s="69"/>
      <c r="AJ13" s="69"/>
      <c r="AK13" s="69"/>
      <c r="AL13" s="69"/>
      <c r="AM13" s="69"/>
      <c r="AN13" s="69"/>
      <c r="AO13" s="69"/>
      <c r="AP13" s="69"/>
      <c r="AQ13" s="69"/>
      <c r="AR13" s="69"/>
      <c r="AU13" s="69">
        <f>SUMPRODUCT(--(LEN(C18:AK77)&gt;0))</f>
        <v>0</v>
      </c>
    </row>
    <row r="14" spans="2:64" ht="15.95" customHeight="1" x14ac:dyDescent="0.25">
      <c r="B14" s="69"/>
      <c r="D14" s="262"/>
      <c r="E14" s="262"/>
      <c r="F14" s="262"/>
      <c r="G14" s="262"/>
      <c r="H14" s="262"/>
      <c r="I14" s="262"/>
      <c r="J14" s="262"/>
      <c r="K14" s="262"/>
      <c r="L14" s="262"/>
      <c r="M14" s="253"/>
      <c r="N14" s="253"/>
      <c r="P14" s="262"/>
      <c r="Q14" s="262"/>
      <c r="R14" s="262"/>
      <c r="S14" s="262"/>
      <c r="T14" s="262"/>
      <c r="U14" s="262"/>
      <c r="V14" s="262"/>
      <c r="W14" s="262"/>
      <c r="X14" s="262"/>
      <c r="Y14" s="262"/>
      <c r="Z14" s="262"/>
      <c r="AA14" s="262"/>
      <c r="AB14" s="253"/>
      <c r="AC14" s="253"/>
      <c r="AD14" s="253"/>
      <c r="AE14" s="253"/>
      <c r="AF14" s="253"/>
      <c r="AG14" s="262"/>
      <c r="AH14" s="262"/>
      <c r="AI14" s="262"/>
      <c r="AJ14" s="262"/>
      <c r="AK14" s="262"/>
      <c r="AL14" s="262"/>
      <c r="AM14" s="262"/>
      <c r="AN14" s="262"/>
      <c r="AO14" s="262"/>
      <c r="AP14" s="262"/>
      <c r="AQ14" s="262"/>
      <c r="AR14" s="69"/>
      <c r="AU14" s="253" t="str">
        <f>IF(M02S02F44="","CLICK HERE to update install status.",IF(M02S02F44="Yes","You ARE eligible to receive Fast Track Incentives", IF(M02S02F44="No", "Have you already installed? CLICK HERE")))</f>
        <v>CLICK HERE to update install status.</v>
      </c>
      <c r="AV14" s="253"/>
      <c r="AW14" s="253"/>
      <c r="AX14" s="253"/>
      <c r="AY14" s="253"/>
      <c r="AZ14" s="253"/>
      <c r="BA14" s="253"/>
      <c r="BB14" s="253"/>
      <c r="BC14" s="253"/>
      <c r="BD14" s="253"/>
      <c r="BE14" s="253"/>
      <c r="BF14" s="253"/>
      <c r="BG14" s="253"/>
    </row>
    <row r="15" spans="2:64" ht="15.95" customHeight="1" thickBot="1" x14ac:dyDescent="0.3">
      <c r="B15" s="69"/>
      <c r="C15" s="1037" t="s">
        <v>85</v>
      </c>
      <c r="D15" s="1037"/>
      <c r="E15" s="1037"/>
      <c r="F15" s="1037"/>
      <c r="G15" s="1037"/>
      <c r="H15" s="1037"/>
      <c r="I15" s="1037"/>
      <c r="J15" s="1037"/>
      <c r="K15" s="1037"/>
      <c r="L15" s="1037"/>
      <c r="M15" s="277"/>
      <c r="N15" s="264"/>
      <c r="O15" s="1038" t="s">
        <v>1380</v>
      </c>
      <c r="P15" s="1037"/>
      <c r="Q15" s="1037"/>
      <c r="R15" s="1037"/>
      <c r="S15" s="1037"/>
      <c r="T15" s="1037"/>
      <c r="U15" s="1037"/>
      <c r="V15" s="1037"/>
      <c r="W15" s="1037"/>
      <c r="X15" s="1037"/>
      <c r="Y15" s="1037"/>
      <c r="Z15" s="1037"/>
      <c r="AA15" s="1037"/>
      <c r="AB15" s="1037"/>
      <c r="AC15" s="1037"/>
      <c r="AD15" s="1037"/>
      <c r="AE15" s="1037"/>
      <c r="AF15" s="1037"/>
      <c r="AG15" s="1046"/>
      <c r="AH15" s="1038" t="s">
        <v>1368</v>
      </c>
      <c r="AI15" s="1037"/>
      <c r="AJ15" s="1037"/>
      <c r="AK15" s="1046"/>
      <c r="AL15" s="1038" t="s">
        <v>1369</v>
      </c>
      <c r="AM15" s="1037"/>
      <c r="AN15" s="1037"/>
      <c r="AO15" s="1037"/>
      <c r="AP15" s="1037"/>
      <c r="AQ15" s="1037"/>
      <c r="AR15" s="69"/>
      <c r="AU15" s="253"/>
      <c r="AV15" s="253"/>
      <c r="AW15" s="253"/>
      <c r="AX15" s="253"/>
      <c r="AY15" s="386" t="s">
        <v>1657</v>
      </c>
      <c r="AZ15" s="253"/>
      <c r="BA15" s="253"/>
      <c r="BB15" s="253"/>
      <c r="BC15" s="253"/>
      <c r="BD15" s="253"/>
      <c r="BE15" s="253"/>
      <c r="BF15" s="253"/>
      <c r="BG15" s="253"/>
    </row>
    <row r="16" spans="2:64" ht="15.95" customHeight="1" x14ac:dyDescent="0.25">
      <c r="B16" s="1193"/>
      <c r="C16" s="799" t="s">
        <v>1392</v>
      </c>
      <c r="D16" s="799"/>
      <c r="E16" s="1068" t="s">
        <v>1393</v>
      </c>
      <c r="F16" s="1068"/>
      <c r="G16" s="1068"/>
      <c r="H16" s="1068" t="s">
        <v>1395</v>
      </c>
      <c r="I16" s="1068"/>
      <c r="J16" s="1068"/>
      <c r="K16" s="1068" t="s">
        <v>1492</v>
      </c>
      <c r="L16" s="1068"/>
      <c r="M16" s="1068" t="s">
        <v>1365</v>
      </c>
      <c r="N16" s="1068"/>
      <c r="O16" s="798" t="s">
        <v>1394</v>
      </c>
      <c r="P16" s="798"/>
      <c r="Q16" s="798"/>
      <c r="R16" s="798" t="s">
        <v>1364</v>
      </c>
      <c r="S16" s="798"/>
      <c r="T16" s="798"/>
      <c r="U16" s="798" t="s">
        <v>1488</v>
      </c>
      <c r="V16" s="798"/>
      <c r="W16" s="798" t="s">
        <v>1410</v>
      </c>
      <c r="X16" s="798"/>
      <c r="Y16" s="798" t="s">
        <v>1365</v>
      </c>
      <c r="Z16" s="798"/>
      <c r="AA16" s="798" t="s">
        <v>1357</v>
      </c>
      <c r="AB16" s="798"/>
      <c r="AC16" s="798"/>
      <c r="AD16" s="798" t="s">
        <v>1147</v>
      </c>
      <c r="AE16" s="798"/>
      <c r="AF16" s="1025" t="s">
        <v>1674</v>
      </c>
      <c r="AG16" s="798"/>
      <c r="AH16" s="1024" t="s">
        <v>1225</v>
      </c>
      <c r="AI16" s="798"/>
      <c r="AJ16" s="1024" t="s">
        <v>1145</v>
      </c>
      <c r="AK16" s="798"/>
      <c r="AL16" s="798" t="s">
        <v>88</v>
      </c>
      <c r="AM16" s="798"/>
      <c r="AN16" s="798"/>
      <c r="AO16" s="798" t="s">
        <v>448</v>
      </c>
      <c r="AP16" s="798"/>
      <c r="AQ16" s="798"/>
      <c r="AU16" s="799" t="s">
        <v>191</v>
      </c>
      <c r="AV16" s="799" t="s">
        <v>192</v>
      </c>
      <c r="AW16" s="799" t="s">
        <v>207</v>
      </c>
      <c r="AX16" s="799" t="s">
        <v>193</v>
      </c>
      <c r="AY16" s="799" t="s">
        <v>1361</v>
      </c>
      <c r="AZ16" s="799" t="s">
        <v>1362</v>
      </c>
      <c r="BA16" s="799" t="s">
        <v>1228</v>
      </c>
      <c r="BB16" s="799" t="s">
        <v>125</v>
      </c>
      <c r="BC16" s="1196" t="s">
        <v>1363</v>
      </c>
      <c r="BD16" s="965" t="s">
        <v>1655</v>
      </c>
      <c r="BE16" s="965" t="s">
        <v>1656</v>
      </c>
      <c r="BF16" s="799" t="s">
        <v>473</v>
      </c>
      <c r="BG16" s="1197" t="s">
        <v>1710</v>
      </c>
      <c r="BH16" s="745" t="s">
        <v>2251</v>
      </c>
      <c r="BI16" s="1197"/>
      <c r="BJ16" s="745" t="s">
        <v>2006</v>
      </c>
      <c r="BK16" s="745" t="s">
        <v>2007</v>
      </c>
      <c r="BL16" s="745" t="s">
        <v>2008</v>
      </c>
    </row>
    <row r="17" spans="2:64" ht="15.95" customHeight="1" thickBot="1" x14ac:dyDescent="0.3">
      <c r="B17" s="1193"/>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U17" s="746"/>
      <c r="AV17" s="746"/>
      <c r="AW17" s="746"/>
      <c r="AX17" s="746"/>
      <c r="AY17" s="746" t="s">
        <v>1360</v>
      </c>
      <c r="AZ17" s="746"/>
      <c r="BA17" s="746"/>
      <c r="BB17" s="746"/>
      <c r="BC17" s="746"/>
      <c r="BD17" s="746"/>
      <c r="BE17" s="746"/>
      <c r="BF17" s="746"/>
      <c r="BG17" s="746"/>
      <c r="BH17" s="746"/>
      <c r="BI17" s="746"/>
      <c r="BJ17" s="746"/>
      <c r="BK17" s="746"/>
      <c r="BL17" s="746"/>
    </row>
    <row r="18" spans="2:64" ht="15.95" customHeight="1" x14ac:dyDescent="0.25">
      <c r="B18" s="1204">
        <v>1</v>
      </c>
      <c r="C18" s="1205"/>
      <c r="D18" s="1206"/>
      <c r="E18" s="888"/>
      <c r="F18" s="889"/>
      <c r="G18" s="890"/>
      <c r="H18" s="881"/>
      <c r="I18" s="894"/>
      <c r="J18" s="895"/>
      <c r="K18" s="1194"/>
      <c r="L18" s="1195"/>
      <c r="M18" s="831" t="str">
        <f>IF(OR($E18="",ISNUMBER(SEARCH("Other",$E18))),"",INDEX(CMLIGHTBASE[Base Watt 1],MATCH($E18,CMLIGHTBASE[Base Desc 1],0)))</f>
        <v/>
      </c>
      <c r="N18" s="832"/>
      <c r="O18" s="906"/>
      <c r="P18" s="907"/>
      <c r="Q18" s="908"/>
      <c r="R18" s="881"/>
      <c r="S18" s="894"/>
      <c r="T18" s="895"/>
      <c r="U18" s="881"/>
      <c r="V18" s="894"/>
      <c r="W18" s="843" t="str">
        <f t="shared" ref="W18" si="0">IF(O18="","",IF(ISNUMBER(SEARCH("Type",O18)),"","N/A"))</f>
        <v/>
      </c>
      <c r="X18" s="844"/>
      <c r="Y18" s="912"/>
      <c r="Z18" s="913"/>
      <c r="AA18" s="880"/>
      <c r="AB18" s="880"/>
      <c r="AC18" s="880"/>
      <c r="AD18" s="916"/>
      <c r="AE18" s="916"/>
      <c r="AF18" s="1059"/>
      <c r="AG18" s="1059"/>
      <c r="AH18" s="1198"/>
      <c r="AI18" s="1199"/>
      <c r="AJ18" s="1199"/>
      <c r="AK18" s="1202"/>
      <c r="AL18" s="973" t="str">
        <f>IF(OR(C18="",E18="",M18="",K18="",O18="",Y18="",R18="",AA18="",AH18="",AJ18="",AD18="",U18="",W18=""),"",IFERROR(ROUND(IF((AW18-AX18)&lt;=0,0,BH18*(AW18-AX18)),0),""))</f>
        <v/>
      </c>
      <c r="AM18" s="870"/>
      <c r="AN18" s="870"/>
      <c r="AO18" s="872" t="str">
        <f>IF(M02S02F44="","Update Install Status",IF(M02S02F44="No","Submit for Pre-Approval",IF(OR(C18="",E18="",M18="",K18="",O18="",Y18="",R18="",AA18="",AF18="",AH18="",AD18="",U18="",W18="",AJ18=""),"",IF(BF18&lt;&gt;"",BF18,IF(OR(BD18&lt;0,BE18&lt;0),"No Incentive Savings",IF(ISNUMBER(SEARCH("Type",O18)),MIN(BD18,AU18),MIN(BE18,AU18)))))))</f>
        <v>Update Install Status</v>
      </c>
      <c r="AP18" s="872"/>
      <c r="AQ18" s="872"/>
      <c r="AU18" s="804" t="str">
        <f>IF(OR(C18="",E18="",M18="",K18="",O18="",Y18="",R18="",AA18="",AH18="",AJ18="",AD18="", U18="",W18=""),"",IF(AND(ISNUMBER(SEARCH("Other",E18)),OR(H18="",ISBLANK(H18),ISNUMBER(SEARCH("Description",H18)))),"",(ROUND((AH18+AJ18)*U18,2))))</f>
        <v/>
      </c>
      <c r="AV18" s="806" t="str">
        <f>IF(OR(C18="",E18="",M18="",K18="",O18="",Y18="",R18="",AA18="",AH18="",AJ18="",AD18="", U18="",W18=""),"",IF(AND(ISNUMBER(SEARCH("Other",E18)),OR(H18="",ISBLANK(H18),ISNUMBER(SEARCH("Description",H18)))),"",ROUND(AL18*INDEX(ENDUSEALL[Factor],MATCH(IF(ISNUMBER(SEARCH("24/7",AA18)),"Miscellaneous","Lighting"),ENDUSEALL[End Use to Coincident Peak Demand Factors],0)),4)))</f>
        <v/>
      </c>
      <c r="AW18" s="802" t="str">
        <f>IF(OR(C18="",E18="",M18="",K18="",O18="",Y18="",R18="",AA18="",AH18="",AJ18="",AD18="", U18="",W18=""),"",IF(AND(ISNUMBER(SEARCH("Other",E18)),OR(H18="",ISBLANK(H18),ISNUMBER(SEARCH("Description",H18)))),"",ROUND(M18*AD18*K18/1000,0)))</f>
        <v/>
      </c>
      <c r="AX18" s="802" t="str">
        <f>IF(OR(C18="",E18="",M18="",K18="",O18="",Y18="",R18="",AA18="",AH18="",AJ18="",AD18="", U18="",W18=""),"",IF(AND(ISNUMBER(SEARCH("Other",E18)),OR(H18="",ISBLANK(H18),ISNUMBER(SEARCH("Description",H18)))),"",IF(ISNUMBER(SEARCH("Network",O18)),ROUND(0.76*Y18*AD18*U18/1000,0),ROUND(Y18*AD18*U18/1000,0))))</f>
        <v/>
      </c>
      <c r="AY18" s="802" t="str">
        <f>IF(OR(C18="",E18="",M18="",K18="",O18="",Y18="",R18="",AA18="",AH18="",AJ18="",AD18="", U18="",W18=""),"",IF(AND(ISNUMBER(SEARCH("Other",E18)),OR(H18="",ISBLANK(H18),ISNUMBER(SEARCH("Description",H18)))),"",ROUND(K18*M18,0)))</f>
        <v/>
      </c>
      <c r="AZ18" s="802" t="str">
        <f>IF(OR(C18="",E18="",M18="",K18="",O18="",Y18="",R18="",AA18="",AH18="",AJ18="",AD18="", U18="",W18=""),"",IF(AND(K18&gt;=U18,ISNUMBER(SEARCH("Type",O18))),ROUND(U18*LEFT(INDEX(CMLIGHTBASE[Measure Subgroup 2], MATCH(E18,CMLIGHTBASE[Base Desc 1],0)),2)*Y18/W18,0),IF(AND(K18&lt;U18,ISNUMBER(SEARCH("Type",O18))),ROUND(K18*LEFT(INDEX(CMLIGHTBASE[Measure Subgroup 2], MATCH(E18,CMLIGHTBASE[Base Desc 1],0)),2)*Y18/W18,0),IF(OR(ISNUMBER(SEARCH("Fixture",O18)),ISNUMBER(SEARCH("Kit",O18))),U18*Y18))))</f>
        <v/>
      </c>
      <c r="BA18" s="800" t="str">
        <f>CONCATENATE(C18,"-","LED","-",O18)</f>
        <v>-LED-</v>
      </c>
      <c r="BB18" s="808" t="str">
        <f>IF(OR(C18="",E18="",M18="",K18="",O18="",Y18="",R18="",AA18="",AH18="",AJ18="",AD18="", U18="",W18=""),"",IF(AND(ISNUMBER(SEARCH("Other",E18)),OR(H18="",ISBLANK(H18),ISNUMBER(SEARCH("Description",H18)))),"",INDEX(PMELIGHTLIN[Measure '#],MATCH(BA18,PMELIGHTLIN[Measure Validator],0))))</f>
        <v/>
      </c>
      <c r="BC18" s="808" t="str">
        <f>IFERROR(IF(OR(C18="",AH18=""),"",IF(BB18="","",INDEX(PMELIGHTLIN[Inc Rate Unit FT],MATCH(BA18,PMELIGHTLIN[Measure Validator],0)))),"")</f>
        <v/>
      </c>
      <c r="BD18" s="808">
        <f>IFERROR(ROUND(IF(OR(C18="",AH18=""),"",IF(BB18="","",IF(AND(K18&gt;=U18,ISNUMBER(SEARCH("Type",BA18))),BC18*(U18*W18)*LEFT(INDEX(CMLIGHTBASE[Measure Subgroup 1], MATCH(E18,CMLIGHTBASE[Base Desc 1],0)),1),IF(AND(K18&lt;U18,ISNUMBER(SEARCH("Type",BA18))),BC18*(W18*K18)*LEFT(INDEX(CMLIGHTBASE[Measure Subgroup 1], MATCH(E18,CMLIGHTBASE[Base Desc 1],0)),1),0)))),2),0)</f>
        <v>0</v>
      </c>
      <c r="BE18" s="1192">
        <f t="shared" ref="BE18:BE76" si="1">IFERROR((IF(ISNUMBER(SEARCH("Type",O18)),0,IF(K18&gt;=U18,((U18*M18)-(U18*Y18)),((K18*M18)-(U18*Y18)))))*BC18,0)</f>
        <v>0</v>
      </c>
      <c r="BF18" s="800" t="str">
        <f>IF(OR(C18="",E18="",M18="",K18="",O18="",Y18="",R18="",AA18="",AH18="",AJ18="",AD18="", U18="",W18=""),"",IF(AND(ISNUMBER(SEARCH("Other",E18)),OR(H18="",ISBLANK(H18),ISNUMBER(SEARCH("Description",H18)))),"",IFERROR(IF(AD18&lt;INDEX(PMELIGHTLIN[Eff Watt 2],MATCH(BA18,PMELIGHTLIN[Measure Validator],0)),"Operating Hours Invalid",IF(ISNUMBER(SEARCH("SPILLOVER",AA18)),PROJSTATELI,IF((AW18-AX18)&lt;0,"No Savings",IF(AF18&lt;50000,"Lamp Life Too Short","")))),"ERROR")))</f>
        <v/>
      </c>
      <c r="BG18" s="802" t="str">
        <f>IF(AND(ISBLANK(AH18),ISBLANK(AJ18)),"",IF(BD18&gt;AU18,"Yes","No"))</f>
        <v/>
      </c>
      <c r="BH18" s="1051">
        <f>IF(M02S02F32&lt;&gt;"",INDEX(SPACEHEAT[HIF],MATCH(M02S02F32,SHEAT,0)),1)</f>
        <v>1</v>
      </c>
      <c r="BI18" s="802"/>
      <c r="BJ18" s="1225">
        <f>IFERROR(ROUND(BL18*1.1,2),0)</f>
        <v>0</v>
      </c>
      <c r="BK18" s="804" t="str">
        <f>IF(M02S02F44="","Update Install Status",IF(M02S02F44="No","Submit for Pre-Approval",IF(OR(C18="",E18="",M18="",K18="",O18="",Y18="",R18="",AA18="",AF18="",AH18="",AD18="",U18="",W18="",AJ18=""),"",IF(BF18&lt;&gt;"",BF18,ROUND(BJ18*BONUSADJ,2)))))</f>
        <v>Update Install Status</v>
      </c>
      <c r="BL18" s="804" t="str">
        <f>IF(M02S02F44="","Update Install Status",IF(M02S02F44="No","Submit for Pre-Approval",IF(OR(C18="",E18="",M18="",K18="",O18="",Y18="",R18="",AA18="",AF18="",AH18="",AD18="",U18="",W18="",AJ18=""),"",IF(BF18&lt;&gt;"",BF18,IF(OR(BD18&lt;0,BE18&lt;0),"No Incentive Savings",IF(ISNUMBER(SEARCH("Type",O18)),MIN(BD18,AU18),MIN(BE18,AU18)))))))</f>
        <v>Update Install Status</v>
      </c>
    </row>
    <row r="19" spans="2:64" ht="15.95" customHeight="1" x14ac:dyDescent="0.25">
      <c r="B19" s="1204"/>
      <c r="C19" s="1207"/>
      <c r="D19" s="1208"/>
      <c r="E19" s="891"/>
      <c r="F19" s="892"/>
      <c r="G19" s="893"/>
      <c r="H19" s="896"/>
      <c r="I19" s="897"/>
      <c r="J19" s="898"/>
      <c r="K19" s="1194"/>
      <c r="L19" s="1195"/>
      <c r="M19" s="833"/>
      <c r="N19" s="834"/>
      <c r="O19" s="909"/>
      <c r="P19" s="910"/>
      <c r="Q19" s="911"/>
      <c r="R19" s="896"/>
      <c r="S19" s="897"/>
      <c r="T19" s="898"/>
      <c r="U19" s="896"/>
      <c r="V19" s="897"/>
      <c r="W19" s="845"/>
      <c r="X19" s="846"/>
      <c r="Y19" s="914"/>
      <c r="Z19" s="915"/>
      <c r="AA19" s="880"/>
      <c r="AB19" s="880"/>
      <c r="AC19" s="880"/>
      <c r="AD19" s="916"/>
      <c r="AE19" s="916"/>
      <c r="AF19" s="1060"/>
      <c r="AG19" s="1060"/>
      <c r="AH19" s="1200"/>
      <c r="AI19" s="1201"/>
      <c r="AJ19" s="1201"/>
      <c r="AK19" s="1203"/>
      <c r="AL19" s="973"/>
      <c r="AM19" s="870"/>
      <c r="AN19" s="870"/>
      <c r="AO19" s="872"/>
      <c r="AP19" s="872"/>
      <c r="AQ19" s="872"/>
      <c r="AU19" s="805"/>
      <c r="AV19" s="807"/>
      <c r="AW19" s="803"/>
      <c r="AX19" s="803"/>
      <c r="AY19" s="803"/>
      <c r="AZ19" s="803"/>
      <c r="BA19" s="801"/>
      <c r="BB19" s="797"/>
      <c r="BC19" s="797"/>
      <c r="BD19" s="797"/>
      <c r="BE19" s="1192"/>
      <c r="BF19" s="801"/>
      <c r="BG19" s="803"/>
      <c r="BH19" s="1052"/>
      <c r="BI19" s="803"/>
      <c r="BJ19" s="1226"/>
      <c r="BK19" s="805"/>
      <c r="BL19" s="805"/>
    </row>
    <row r="20" spans="2:64" ht="15.95" customHeight="1" x14ac:dyDescent="0.25">
      <c r="B20" s="1204">
        <v>2</v>
      </c>
      <c r="C20" s="1205"/>
      <c r="D20" s="1206"/>
      <c r="E20" s="888"/>
      <c r="F20" s="889"/>
      <c r="G20" s="890"/>
      <c r="H20" s="881"/>
      <c r="I20" s="894"/>
      <c r="J20" s="895"/>
      <c r="K20" s="1194"/>
      <c r="L20" s="1195"/>
      <c r="M20" s="831" t="str">
        <f>IF(OR($E20="",ISNUMBER(SEARCH("Other",$E20))),"",INDEX(CMLIGHTBASE[Base Watt 1],MATCH($E20,CMLIGHTBASE[Base Desc 1],0)))</f>
        <v/>
      </c>
      <c r="N20" s="832"/>
      <c r="O20" s="906"/>
      <c r="P20" s="907"/>
      <c r="Q20" s="908"/>
      <c r="R20" s="881"/>
      <c r="S20" s="894"/>
      <c r="T20" s="895"/>
      <c r="U20" s="881"/>
      <c r="V20" s="894"/>
      <c r="W20" s="843" t="str">
        <f t="shared" ref="W20" si="2">IF(O20="","",IF(ISNUMBER(SEARCH("Type",O20)),"","N/A"))</f>
        <v/>
      </c>
      <c r="X20" s="844"/>
      <c r="Y20" s="912"/>
      <c r="Z20" s="913"/>
      <c r="AA20" s="880"/>
      <c r="AB20" s="880"/>
      <c r="AC20" s="880"/>
      <c r="AD20" s="916"/>
      <c r="AE20" s="916"/>
      <c r="AF20" s="1059"/>
      <c r="AG20" s="1059"/>
      <c r="AH20" s="1198"/>
      <c r="AI20" s="1199"/>
      <c r="AJ20" s="1199"/>
      <c r="AK20" s="1202"/>
      <c r="AL20" s="973" t="str">
        <f t="shared" ref="AL20" si="3">IF(OR(C20="",E20="",M20="",K20="",O20="",Y20="",R20="",AA20="",AH20="",AJ20="",AD20="",U20="",W20=""),"",IFERROR(ROUND(IF((AW20-AX20)&lt;=0,0,BH20*(AW20-AX20)),0),""))</f>
        <v/>
      </c>
      <c r="AM20" s="870"/>
      <c r="AN20" s="870"/>
      <c r="AO20" s="872" t="str">
        <f>IF(M02S02F44="","Update Install Status",IF(M02S02F44="No","Submit for Pre-Approval",IF(OR(C20="",E20="",M20="",K20="",O20="",Y20="",R20="",AA20="",AF20="",AH20="",AD20="",U20="",W20="",AJ20=""),"",IF(BF20&lt;&gt;"",BF20,IF(OR(BD20&lt;0,BE20&lt;0),"No Incentive Savings",IF(ISNUMBER(SEARCH("Type",O20)),MIN(BD20,AU20),MIN(BE20,AU20)))))))</f>
        <v>Update Install Status</v>
      </c>
      <c r="AP20" s="872"/>
      <c r="AQ20" s="872"/>
      <c r="AU20" s="804" t="str">
        <f>IF(OR(C20="",E20="",M20="",K20="",O20="",Y20="",R20="",AA20="",AH20="",AJ20="",AD20="", U20="",W20=""),"",IF(AND(ISNUMBER(SEARCH("Other",E20)),OR(H20="",ISBLANK(H20),ISNUMBER(SEARCH("Description",H20)))),"",(ROUND((AH20+AJ20)*U20,2))))</f>
        <v/>
      </c>
      <c r="AV20" s="806" t="str">
        <f>IF(OR(C20="",E20="",M20="",K20="",O20="",Y20="",R20="",AA20="",AH20="",AJ20="",AD20="", U20="",W20=""),"",IF(AND(ISNUMBER(SEARCH("Other",E20)),OR(H20="",ISBLANK(H20),ISNUMBER(SEARCH("Description",H20)))),"",ROUND(AL20*INDEX(ENDUSEALL[Factor],MATCH(IF(ISNUMBER(SEARCH("24/7",AA20)),"Miscellaneous","Lighting"),ENDUSEALL[End Use to Coincident Peak Demand Factors],0)),4)))</f>
        <v/>
      </c>
      <c r="AW20" s="802" t="str">
        <f>IF(OR(C20="",E20="",M20="",K20="",O20="",Y20="",R20="",AA20="",AH20="",AJ20="",AD20="", U20="",W20=""),"",IF(AND(ISNUMBER(SEARCH("Other",E20)),OR(H20="",ISBLANK(H20),ISNUMBER(SEARCH("Description",H20)))),"",ROUND(M20*AD20*K20/1000,0)))</f>
        <v/>
      </c>
      <c r="AX20" s="802" t="str">
        <f>IF(OR(C20="",E20="",M20="",K20="",O20="",Y20="",R20="",AA20="",AH20="",AJ20="",AD20="", U20="",W20=""),"",IF(AND(ISNUMBER(SEARCH("Other",E20)),OR(H20="",ISBLANK(H20),ISNUMBER(SEARCH("Description",H20)))),"",IF(ISNUMBER(SEARCH("Network",O20)),ROUND(0.76*Y20*AD20*U20/1000,0),ROUND(Y20*AD20*U20/1000,0))))</f>
        <v/>
      </c>
      <c r="AY20" s="802" t="str">
        <f>IF(OR(C20="",E20="",M20="",K20="",O20="",Y20="",R20="",AA20="",AH20="",AJ20="",AD20="", U20="",W20=""),"",IF(AND(ISNUMBER(SEARCH("Other",E20)),OR(H20="",ISBLANK(H20),ISNUMBER(SEARCH("Description",H20)))),"",ROUND(K20*M20,0)))</f>
        <v/>
      </c>
      <c r="AZ20" s="802" t="str">
        <f>IF(OR(C20="",E20="",M20="",K20="",O20="",Y20="",R20="",AA20="",AH20="",AJ20="",AD20="", U20="",W20=""),"",IF(AND(K20&gt;=U20,ISNUMBER(SEARCH("Type",O20))),ROUND(U20*LEFT(INDEX(CMLIGHTBASE[Measure Subgroup 2], MATCH(E20,CMLIGHTBASE[Base Desc 1],0)),2)*Y20/W20,0),IF(AND(K20&lt;U20,ISNUMBER(SEARCH("Type",O20))),ROUND(K20*LEFT(INDEX(CMLIGHTBASE[Measure Subgroup 2], MATCH(E20,CMLIGHTBASE[Base Desc 1],0)),2)*Y20/W20,0),IF(OR(ISNUMBER(SEARCH("Fixture",O20)),ISNUMBER(SEARCH("Kit",O20))),U20*Y20))))</f>
        <v/>
      </c>
      <c r="BA20" s="800" t="str">
        <f>CONCATENATE(C20,"-","LED","-",O20)</f>
        <v>-LED-</v>
      </c>
      <c r="BB20" s="808" t="str">
        <f>IF(OR(C20="",E20="",M20="",K20="",O20="",Y20="",R20="",AA20="",AH20="",AJ20="",AD20="", U20="",W20=""),"",IF(AND(ISNUMBER(SEARCH("Other",E20)),OR(H20="",ISBLANK(H20),ISNUMBER(SEARCH("Description",H20)))),"",INDEX(PMELIGHTLIN[Measure '#],MATCH(BA20,PMELIGHTLIN[Measure Validator],0))))</f>
        <v/>
      </c>
      <c r="BC20" s="808" t="str">
        <f>IFERROR(IF(OR(C20="",AH20=""),"",IF(BB20="","",INDEX(PMELIGHTLIN[Inc Rate Unit FT],MATCH(BA20,PMELIGHTLIN[Measure Validator],0)))),"")</f>
        <v/>
      </c>
      <c r="BD20" s="808">
        <f>IFERROR(ROUND(IF(OR(C20="",AH20=""),"",IF(BB20="","",IF(AND(K20&gt;=U20,ISNUMBER(SEARCH("Type",BA20))),BC20*(U20*W20)*LEFT(INDEX(CMLIGHTBASE[Measure Subgroup 1], MATCH(E20,CMLIGHTBASE[Base Desc 1],0)),1),IF(AND(K20&lt;U20,ISNUMBER(SEARCH("Type",BA20))),BC20*(W20*K20)*LEFT(INDEX(CMLIGHTBASE[Measure Subgroup 1], MATCH(E20,CMLIGHTBASE[Base Desc 1],0)),1),0)))),2),0)</f>
        <v>0</v>
      </c>
      <c r="BE20" s="1192">
        <f t="shared" si="1"/>
        <v>0</v>
      </c>
      <c r="BF20" s="800" t="str">
        <f>IF(OR(C20="",E20="",M20="",K20="",O20="",Y20="",R20="",AA20="",AH20="",AJ20="",AD20="", U20="",W20=""),"",IF(AND(ISNUMBER(SEARCH("Other",E20)),OR(H20="",ISBLANK(H20),ISNUMBER(SEARCH("Description",H20)))),"",IFERROR(IF(AD20&lt;INDEX(PMELIGHTLIN[Eff Watt 2],MATCH(BA20,PMELIGHTLIN[Measure Validator],0)),"Operating Hours Invalid",IF(ISNUMBER(SEARCH("SPILLOVER",AA20)),PROJSTATELI,IF((AW20-AX20)&lt;0,"No Savings",IF(AF20&lt;50000,"Lamp Life Too Short","")))),"ERROR")))</f>
        <v/>
      </c>
      <c r="BG20" s="802" t="str">
        <f>IF(AND(ISBLANK(AH20),ISBLANK(AJ20)),"",IF(BD20&gt;AU20,"Yes","No"))</f>
        <v/>
      </c>
      <c r="BH20" s="1051">
        <f>IF(M02S02F32&lt;&gt;"",INDEX(SPACEHEAT[HIF],MATCH(M02S02F32,SHEAT,0)),1)</f>
        <v>1</v>
      </c>
      <c r="BI20" s="802"/>
      <c r="BJ20" s="1225">
        <f t="shared" ref="BJ20" si="4">IFERROR(ROUND(BL20*1.1,2),0)</f>
        <v>0</v>
      </c>
      <c r="BK20" s="804" t="str">
        <f>IF(M02S02F44="","Update Install Status",IF(M02S02F44="No","Submit for Pre-Approval",IF(OR(C20="",E20="",M20="",K20="",O20="",Y20="",R20="",AA20="",AF20="",AH20="",AD20="",U20="",W20="",AJ20=""),"",IF(BF20&lt;&gt;"",BF20,ROUND(BJ20*BONUSADJ,2)))))</f>
        <v>Update Install Status</v>
      </c>
      <c r="BL20" s="804" t="str">
        <f>IF(M02S02F44="","Update Install Status",IF(M02S02F44="No","Submit for Pre-Approval",IF(OR(C20="",E20="",M20="",K20="",O20="",Y20="",R20="",AA20="",AF20="",AH20="",AD20="",U20="",W20="",AJ20=""),"",IF(BF20&lt;&gt;"",BF20,IF(OR(BD20&lt;0,BE20&lt;0),"No Incentive Savings",IF(ISNUMBER(SEARCH("Type",O20)),MIN(BD20,AU20),MIN(BE20,AU20)))))))</f>
        <v>Update Install Status</v>
      </c>
    </row>
    <row r="21" spans="2:64" ht="15.95" customHeight="1" x14ac:dyDescent="0.25">
      <c r="B21" s="1204"/>
      <c r="C21" s="1207"/>
      <c r="D21" s="1208"/>
      <c r="E21" s="891"/>
      <c r="F21" s="892"/>
      <c r="G21" s="893"/>
      <c r="H21" s="896"/>
      <c r="I21" s="897"/>
      <c r="J21" s="898"/>
      <c r="K21" s="1194"/>
      <c r="L21" s="1195"/>
      <c r="M21" s="833"/>
      <c r="N21" s="834"/>
      <c r="O21" s="909"/>
      <c r="P21" s="910"/>
      <c r="Q21" s="911"/>
      <c r="R21" s="896"/>
      <c r="S21" s="897"/>
      <c r="T21" s="898"/>
      <c r="U21" s="896"/>
      <c r="V21" s="897"/>
      <c r="W21" s="845"/>
      <c r="X21" s="846"/>
      <c r="Y21" s="914"/>
      <c r="Z21" s="915"/>
      <c r="AA21" s="880"/>
      <c r="AB21" s="880"/>
      <c r="AC21" s="880"/>
      <c r="AD21" s="916"/>
      <c r="AE21" s="916"/>
      <c r="AF21" s="1060"/>
      <c r="AG21" s="1060"/>
      <c r="AH21" s="1200"/>
      <c r="AI21" s="1201"/>
      <c r="AJ21" s="1201"/>
      <c r="AK21" s="1203"/>
      <c r="AL21" s="973"/>
      <c r="AM21" s="870"/>
      <c r="AN21" s="870"/>
      <c r="AO21" s="872"/>
      <c r="AP21" s="872"/>
      <c r="AQ21" s="872"/>
      <c r="AU21" s="805"/>
      <c r="AV21" s="807"/>
      <c r="AW21" s="803"/>
      <c r="AX21" s="803"/>
      <c r="AY21" s="803"/>
      <c r="AZ21" s="803"/>
      <c r="BA21" s="801"/>
      <c r="BB21" s="797"/>
      <c r="BC21" s="797"/>
      <c r="BD21" s="797"/>
      <c r="BE21" s="1192"/>
      <c r="BF21" s="801"/>
      <c r="BG21" s="803"/>
      <c r="BH21" s="1052"/>
      <c r="BI21" s="803"/>
      <c r="BJ21" s="1226"/>
      <c r="BK21" s="805"/>
      <c r="BL21" s="805"/>
    </row>
    <row r="22" spans="2:64" ht="15.95" customHeight="1" x14ac:dyDescent="0.25">
      <c r="B22" s="1204">
        <v>3</v>
      </c>
      <c r="C22" s="1205"/>
      <c r="D22" s="1206"/>
      <c r="E22" s="888"/>
      <c r="F22" s="889"/>
      <c r="G22" s="890"/>
      <c r="H22" s="881"/>
      <c r="I22" s="894"/>
      <c r="J22" s="895"/>
      <c r="K22" s="1194"/>
      <c r="L22" s="1195"/>
      <c r="M22" s="831" t="str">
        <f>IF(OR($E22="",ISNUMBER(SEARCH("Other",$E22))),"",INDEX(CMLIGHTBASE[Base Watt 1],MATCH($E22,CMLIGHTBASE[Base Desc 1],0)))</f>
        <v/>
      </c>
      <c r="N22" s="832"/>
      <c r="O22" s="906"/>
      <c r="P22" s="907"/>
      <c r="Q22" s="908"/>
      <c r="R22" s="881"/>
      <c r="S22" s="894"/>
      <c r="T22" s="895"/>
      <c r="U22" s="881"/>
      <c r="V22" s="894"/>
      <c r="W22" s="843" t="str">
        <f t="shared" ref="W22" si="5">IF(O22="","",IF(ISNUMBER(SEARCH("Type",O22)),"","N/A"))</f>
        <v/>
      </c>
      <c r="X22" s="844"/>
      <c r="Y22" s="912"/>
      <c r="Z22" s="913"/>
      <c r="AA22" s="880"/>
      <c r="AB22" s="880"/>
      <c r="AC22" s="880"/>
      <c r="AD22" s="916"/>
      <c r="AE22" s="916"/>
      <c r="AF22" s="1059"/>
      <c r="AG22" s="1059"/>
      <c r="AH22" s="1198"/>
      <c r="AI22" s="1199"/>
      <c r="AJ22" s="1199"/>
      <c r="AK22" s="1202"/>
      <c r="AL22" s="973" t="str">
        <f t="shared" ref="AL22" si="6">IF(OR(C22="",E22="",M22="",K22="",O22="",Y22="",R22="",AA22="",AH22="",AJ22="",AD22="",U22="",W22=""),"",IFERROR(ROUND(IF((AW22-AX22)&lt;=0,0,BH22*(AW22-AX22)),0),""))</f>
        <v/>
      </c>
      <c r="AM22" s="870"/>
      <c r="AN22" s="870"/>
      <c r="AO22" s="872" t="str">
        <f>IF(M02S02F44="","Update Install Status",IF(M02S02F44="No","Submit for Pre-Approval",IF(OR(C22="",E22="",M22="",K22="",O22="",Y22="",R22="",AA22="",AF22="",AH22="",AD22="",U22="",W22="",AJ22=""),"",IF(BF22&lt;&gt;"",BF22,IF(OR(BD22&lt;0,BE22&lt;0),"No Incentive Savings",IF(ISNUMBER(SEARCH("Type",O22)),MIN(BD22,AU22),MIN(BE22,AU22)))))))</f>
        <v>Update Install Status</v>
      </c>
      <c r="AP22" s="872"/>
      <c r="AQ22" s="872"/>
      <c r="AU22" s="804" t="str">
        <f>IF(OR(C22="",E22="",M22="",K22="",O22="",Y22="",R22="",AA22="",AH22="",AJ22="",AD22="", U22="",W22=""),"",IF(AND(ISNUMBER(SEARCH("Other",E22)),OR(H22="",ISBLANK(H22),ISNUMBER(SEARCH("Description",H22)))),"",(ROUND((AH22+AJ22)*U22,2))))</f>
        <v/>
      </c>
      <c r="AV22" s="806" t="str">
        <f>IF(OR(C22="",E22="",M22="",K22="",O22="",Y22="",R22="",AA22="",AH22="",AJ22="",AD22="", U22="",W22=""),"",IF(AND(ISNUMBER(SEARCH("Other",E22)),OR(H22="",ISBLANK(H22),ISNUMBER(SEARCH("Description",H22)))),"",ROUND(AL22*INDEX(ENDUSEALL[Factor],MATCH(IF(ISNUMBER(SEARCH("24/7",AA22)),"Miscellaneous","Lighting"),ENDUSEALL[End Use to Coincident Peak Demand Factors],0)),4)))</f>
        <v/>
      </c>
      <c r="AW22" s="802" t="str">
        <f>IF(OR(C22="",E22="",M22="",K22="",O22="",Y22="",R22="",AA22="",AH22="",AJ22="",AD22="", U22="",W22=""),"",IF(AND(ISNUMBER(SEARCH("Other",E22)),OR(H22="",ISBLANK(H22),ISNUMBER(SEARCH("Description",H22)))),"",ROUND(M22*AD22*K22/1000,0)))</f>
        <v/>
      </c>
      <c r="AX22" s="802" t="str">
        <f>IF(OR(C22="",E22="",M22="",K22="",O22="",Y22="",R22="",AA22="",AH22="",AJ22="",AD22="", U22="",W22=""),"",IF(AND(ISNUMBER(SEARCH("Other",E22)),OR(H22="",ISBLANK(H22),ISNUMBER(SEARCH("Description",H22)))),"",IF(ISNUMBER(SEARCH("Network",O22)),ROUND(0.76*Y22*AD22*U22/1000,0),ROUND(Y22*AD22*U22/1000,0))))</f>
        <v/>
      </c>
      <c r="AY22" s="802" t="str">
        <f>IF(OR(C22="",E22="",M22="",K22="",O22="",Y22="",R22="",AA22="",AH22="",AJ22="",AD22="", U22="",W22=""),"",IF(AND(ISNUMBER(SEARCH("Other",E22)),OR(H22="",ISBLANK(H22),ISNUMBER(SEARCH("Description",H22)))),"",ROUND(K22*M22,0)))</f>
        <v/>
      </c>
      <c r="AZ22" s="802" t="str">
        <f>IF(OR(C22="",E22="",M22="",K22="",O22="",Y22="",R22="",AA22="",AH22="",AJ22="",AD22="", U22="",W22=""),"",IF(AND(K22&gt;=U22,ISNUMBER(SEARCH("Type",O22))),ROUND(U22*LEFT(INDEX(CMLIGHTBASE[Measure Subgroup 2], MATCH(E22,CMLIGHTBASE[Base Desc 1],0)),2)*Y22/W22,0),IF(AND(K22&lt;U22,ISNUMBER(SEARCH("Type",O22))),ROUND(K22*LEFT(INDEX(CMLIGHTBASE[Measure Subgroup 2], MATCH(E22,CMLIGHTBASE[Base Desc 1],0)),2)*Y22/W22,0),IF(OR(ISNUMBER(SEARCH("Fixture",O22)),ISNUMBER(SEARCH("Kit",O22))),U22*Y22))))</f>
        <v/>
      </c>
      <c r="BA22" s="800" t="str">
        <f>CONCATENATE(C22,"-","LED","-",O22)</f>
        <v>-LED-</v>
      </c>
      <c r="BB22" s="808" t="str">
        <f>IF(OR(C22="",E22="",M22="",K22="",O22="",Y22="",R22="",AA22="",AH22="",AJ22="",AD22="", U22="",W22=""),"",IF(AND(ISNUMBER(SEARCH("Other",E22)),OR(H22="",ISBLANK(H22),ISNUMBER(SEARCH("Description",H22)))),"",INDEX(PMELIGHTLIN[Measure '#],MATCH(BA22,PMELIGHTLIN[Measure Validator],0))))</f>
        <v/>
      </c>
      <c r="BC22" s="808" t="str">
        <f>IFERROR(IF(OR(C22="",AH22=""),"",IF(BB22="","",INDEX(PMELIGHTLIN[Inc Rate Unit FT],MATCH(BA22,PMELIGHTLIN[Measure Validator],0)))),"")</f>
        <v/>
      </c>
      <c r="BD22" s="808">
        <f>IFERROR(ROUND(IF(OR(C22="",AH22=""),"",IF(BB22="","",IF(AND(K22&gt;=U22,ISNUMBER(SEARCH("Type",BA22))),BC22*(U22*W22)*LEFT(INDEX(CMLIGHTBASE[Measure Subgroup 1], MATCH(E22,CMLIGHTBASE[Base Desc 1],0)),1),IF(AND(K22&lt;U22,ISNUMBER(SEARCH("Type",BA22))),BC22*(W22*K22)*LEFT(INDEX(CMLIGHTBASE[Measure Subgroup 1], MATCH(E22,CMLIGHTBASE[Base Desc 1],0)),1),0)))),2),0)</f>
        <v>0</v>
      </c>
      <c r="BE22" s="1192">
        <f t="shared" si="1"/>
        <v>0</v>
      </c>
      <c r="BF22" s="800" t="str">
        <f>IF(OR(C22="",E22="",M22="",K22="",O22="",Y22="",R22="",AA22="",AH22="",AJ22="",AD22="", U22="",W22=""),"",IF(AND(ISNUMBER(SEARCH("Other",E22)),OR(H22="",ISBLANK(H22),ISNUMBER(SEARCH("Description",H22)))),"",IFERROR(IF(AD22&lt;INDEX(PMELIGHTLIN[Eff Watt 2],MATCH(BA22,PMELIGHTLIN[Measure Validator],0)),"Operating Hours Invalid",IF(ISNUMBER(SEARCH("SPILLOVER",AA22)),PROJSTATELI,IF((AW22-AX22)&lt;0,"No Savings",IF(AF22&lt;50000,"Lamp Life Too Short","")))),"ERROR")))</f>
        <v/>
      </c>
      <c r="BG22" s="802" t="str">
        <f>IF(AND(ISBLANK(AH22),ISBLANK(AJ22)),"",IF(BD22&gt;AU22,"Yes","No"))</f>
        <v/>
      </c>
      <c r="BH22" s="1051">
        <f>IF(M02S02F32&lt;&gt;"",INDEX(SPACEHEAT[HIF],MATCH(M02S02F32,SHEAT,0)),1)</f>
        <v>1</v>
      </c>
      <c r="BI22" s="802"/>
      <c r="BJ22" s="1225">
        <f t="shared" ref="BJ22" si="7">IFERROR(ROUND(BL22*1.1,2),0)</f>
        <v>0</v>
      </c>
      <c r="BK22" s="804" t="str">
        <f>IF(M02S02F44="","Update Install Status",IF(M02S02F44="No","Submit for Pre-Approval",IF(OR(C22="",E22="",M22="",K22="",O22="",Y22="",R22="",AA22="",AF22="",AH22="",AD22="",U22="",W22="",AJ22=""),"",IF(BF22&lt;&gt;"",BF22,ROUND(BJ22*BONUSADJ,2)))))</f>
        <v>Update Install Status</v>
      </c>
      <c r="BL22" s="804" t="str">
        <f>IF(M02S02F44="","Update Install Status",IF(M02S02F44="No","Submit for Pre-Approval",IF(OR(C22="",E22="",M22="",K22="",O22="",Y22="",R22="",AA22="",AF22="",AH22="",AD22="",U22="",W22="",AJ22=""),"",IF(BF22&lt;&gt;"",BF22,IF(OR(BD22&lt;0,BE22&lt;0),"No Incentive Savings",IF(ISNUMBER(SEARCH("Type",O22)),MIN(BD22,AU22),MIN(BE22,AU22)))))))</f>
        <v>Update Install Status</v>
      </c>
    </row>
    <row r="23" spans="2:64" ht="15.95" customHeight="1" x14ac:dyDescent="0.25">
      <c r="B23" s="1204"/>
      <c r="C23" s="1207"/>
      <c r="D23" s="1208"/>
      <c r="E23" s="891"/>
      <c r="F23" s="892"/>
      <c r="G23" s="893"/>
      <c r="H23" s="896"/>
      <c r="I23" s="897"/>
      <c r="J23" s="898"/>
      <c r="K23" s="1194"/>
      <c r="L23" s="1195"/>
      <c r="M23" s="833"/>
      <c r="N23" s="834"/>
      <c r="O23" s="909"/>
      <c r="P23" s="910"/>
      <c r="Q23" s="911"/>
      <c r="R23" s="896"/>
      <c r="S23" s="897"/>
      <c r="T23" s="898"/>
      <c r="U23" s="896"/>
      <c r="V23" s="897"/>
      <c r="W23" s="845"/>
      <c r="X23" s="846"/>
      <c r="Y23" s="914"/>
      <c r="Z23" s="915"/>
      <c r="AA23" s="880"/>
      <c r="AB23" s="880"/>
      <c r="AC23" s="880"/>
      <c r="AD23" s="916"/>
      <c r="AE23" s="916"/>
      <c r="AF23" s="1060"/>
      <c r="AG23" s="1060"/>
      <c r="AH23" s="1200"/>
      <c r="AI23" s="1201"/>
      <c r="AJ23" s="1201"/>
      <c r="AK23" s="1203"/>
      <c r="AL23" s="973"/>
      <c r="AM23" s="870"/>
      <c r="AN23" s="870"/>
      <c r="AO23" s="872"/>
      <c r="AP23" s="872"/>
      <c r="AQ23" s="872"/>
      <c r="AU23" s="805"/>
      <c r="AV23" s="807"/>
      <c r="AW23" s="803"/>
      <c r="AX23" s="803"/>
      <c r="AY23" s="803"/>
      <c r="AZ23" s="803"/>
      <c r="BA23" s="801"/>
      <c r="BB23" s="797"/>
      <c r="BC23" s="797"/>
      <c r="BD23" s="797"/>
      <c r="BE23" s="1192"/>
      <c r="BF23" s="801"/>
      <c r="BG23" s="803"/>
      <c r="BH23" s="1052"/>
      <c r="BI23" s="803"/>
      <c r="BJ23" s="1226"/>
      <c r="BK23" s="805"/>
      <c r="BL23" s="805"/>
    </row>
    <row r="24" spans="2:64" ht="15.95" customHeight="1" x14ac:dyDescent="0.25">
      <c r="B24" s="1204">
        <v>4</v>
      </c>
      <c r="C24" s="1205"/>
      <c r="D24" s="1206"/>
      <c r="E24" s="888"/>
      <c r="F24" s="889"/>
      <c r="G24" s="890"/>
      <c r="H24" s="881"/>
      <c r="I24" s="894"/>
      <c r="J24" s="895"/>
      <c r="K24" s="1194"/>
      <c r="L24" s="1195"/>
      <c r="M24" s="831" t="str">
        <f>IF(OR($E24="",ISNUMBER(SEARCH("Other",$E24))),"",INDEX(CMLIGHTBASE[Base Watt 1],MATCH($E24,CMLIGHTBASE[Base Desc 1],0)))</f>
        <v/>
      </c>
      <c r="N24" s="832"/>
      <c r="O24" s="906"/>
      <c r="P24" s="907"/>
      <c r="Q24" s="908"/>
      <c r="R24" s="881"/>
      <c r="S24" s="894"/>
      <c r="T24" s="895"/>
      <c r="U24" s="881"/>
      <c r="V24" s="894"/>
      <c r="W24" s="843" t="str">
        <f t="shared" ref="W24" si="8">IF(O24="","",IF(ISNUMBER(SEARCH("Type",O24)),"","N/A"))</f>
        <v/>
      </c>
      <c r="X24" s="844"/>
      <c r="Y24" s="912"/>
      <c r="Z24" s="913"/>
      <c r="AA24" s="880"/>
      <c r="AB24" s="880"/>
      <c r="AC24" s="880"/>
      <c r="AD24" s="916"/>
      <c r="AE24" s="916"/>
      <c r="AF24" s="1059"/>
      <c r="AG24" s="1059"/>
      <c r="AH24" s="1198"/>
      <c r="AI24" s="1199"/>
      <c r="AJ24" s="1199"/>
      <c r="AK24" s="1202"/>
      <c r="AL24" s="973" t="str">
        <f t="shared" ref="AL24" si="9">IF(OR(C24="",E24="",M24="",K24="",O24="",Y24="",R24="",AA24="",AH24="",AJ24="",AD24="",U24="",W24=""),"",IFERROR(ROUND(IF((AW24-AX24)&lt;=0,0,BH24*(AW24-AX24)),0),""))</f>
        <v/>
      </c>
      <c r="AM24" s="870"/>
      <c r="AN24" s="870"/>
      <c r="AO24" s="872" t="str">
        <f>IF(M02S02F44="","Update Install Status",IF(M02S02F44="No","Submit for Pre-Approval",IF(OR(C24="",E24="",M24="",K24="",O24="",Y24="",R24="",AA24="",AF24="",AH24="",AD24="",U24="",W24="",AJ24=""),"",IF(BF24&lt;&gt;"",BF24,IF(OR(BD24&lt;0,BE24&lt;0),"No Incentive Savings",IF(ISNUMBER(SEARCH("Type",O24)),MIN(BD24,AU24),MIN(BE24,AU24)))))))</f>
        <v>Update Install Status</v>
      </c>
      <c r="AP24" s="872"/>
      <c r="AQ24" s="872"/>
      <c r="AU24" s="804" t="str">
        <f>IF(OR(C24="",E24="",M24="",K24="",O24="",Y24="",R24="",AA24="",AH24="",AJ24="",AD24="", U24="",W24=""),"",IF(AND(ISNUMBER(SEARCH("Other",E24)),OR(H24="",ISBLANK(H24),ISNUMBER(SEARCH("Description",H24)))),"",(ROUND((AH24+AJ24)*U24,2))))</f>
        <v/>
      </c>
      <c r="AV24" s="806" t="str">
        <f>IF(OR(C24="",E24="",M24="",K24="",O24="",Y24="",R24="",AA24="",AH24="",AJ24="",AD24="", U24="",W24=""),"",IF(AND(ISNUMBER(SEARCH("Other",E24)),OR(H24="",ISBLANK(H24),ISNUMBER(SEARCH("Description",H24)))),"",ROUND(AL24*INDEX(ENDUSEALL[Factor],MATCH(IF(ISNUMBER(SEARCH("24/7",AA24)),"Miscellaneous","Lighting"),ENDUSEALL[End Use to Coincident Peak Demand Factors],0)),4)))</f>
        <v/>
      </c>
      <c r="AW24" s="802" t="str">
        <f>IF(OR(C24="",E24="",M24="",K24="",O24="",Y24="",R24="",AA24="",AH24="",AJ24="",AD24="", U24="",W24=""),"",IF(AND(ISNUMBER(SEARCH("Other",E24)),OR(H24="",ISBLANK(H24),ISNUMBER(SEARCH("Description",H24)))),"",ROUND(M24*AD24*K24/1000,0)))</f>
        <v/>
      </c>
      <c r="AX24" s="802" t="str">
        <f>IF(OR(C24="",E24="",M24="",K24="",O24="",Y24="",R24="",AA24="",AH24="",AJ24="",AD24="", U24="",W24=""),"",IF(AND(ISNUMBER(SEARCH("Other",E24)),OR(H24="",ISBLANK(H24),ISNUMBER(SEARCH("Description",H24)))),"",IF(ISNUMBER(SEARCH("Network",O24)),ROUND(0.76*Y24*AD24*U24/1000,0),ROUND(Y24*AD24*U24/1000,0))))</f>
        <v/>
      </c>
      <c r="AY24" s="802" t="str">
        <f>IF(OR(C24="",E24="",M24="",K24="",O24="",Y24="",R24="",AA24="",AH24="",AJ24="",AD24="", U24="",W24=""),"",IF(AND(ISNUMBER(SEARCH("Other",E24)),OR(H24="",ISBLANK(H24),ISNUMBER(SEARCH("Description",H24)))),"",ROUND(K24*M24,0)))</f>
        <v/>
      </c>
      <c r="AZ24" s="802" t="str">
        <f>IF(OR(C24="",E24="",M24="",K24="",O24="",Y24="",R24="",AA24="",AH24="",AJ24="",AD24="", U24="",W24=""),"",IF(AND(K24&gt;=U24,ISNUMBER(SEARCH("Type",O24))),ROUND(U24*LEFT(INDEX(CMLIGHTBASE[Measure Subgroup 2], MATCH(E24,CMLIGHTBASE[Base Desc 1],0)),2)*Y24/W24,0),IF(AND(K24&lt;U24,ISNUMBER(SEARCH("Type",O24))),ROUND(K24*LEFT(INDEX(CMLIGHTBASE[Measure Subgroup 2], MATCH(E24,CMLIGHTBASE[Base Desc 1],0)),2)*Y24/W24,0),IF(OR(ISNUMBER(SEARCH("Fixture",O24)),ISNUMBER(SEARCH("Kit",O24))),U24*Y24))))</f>
        <v/>
      </c>
      <c r="BA24" s="800" t="str">
        <f>CONCATENATE(C24,"-","LED","-",O24)</f>
        <v>-LED-</v>
      </c>
      <c r="BB24" s="808" t="str">
        <f>IF(OR(C24="",E24="",M24="",K24="",O24="",Y24="",R24="",AA24="",AH24="",AJ24="",AD24="", U24="",W24=""),"",IF(AND(ISNUMBER(SEARCH("Other",E24)),OR(H24="",ISBLANK(H24),ISNUMBER(SEARCH("Description",H24)))),"",INDEX(PMELIGHTLIN[Measure '#],MATCH(BA24,PMELIGHTLIN[Measure Validator],0))))</f>
        <v/>
      </c>
      <c r="BC24" s="808" t="str">
        <f>IFERROR(IF(OR(C24="",AH24=""),"",IF(BB24="","",INDEX(PMELIGHTLIN[Inc Rate Unit FT],MATCH(BA24,PMELIGHTLIN[Measure Validator],0)))),"")</f>
        <v/>
      </c>
      <c r="BD24" s="808">
        <f>IFERROR(ROUND(IF(OR(C24="",AH24=""),"",IF(BB24="","",IF(AND(K24&gt;=U24,ISNUMBER(SEARCH("Type",BA24))),BC24*(U24*W24)*LEFT(INDEX(CMLIGHTBASE[Measure Subgroup 1], MATCH(E24,CMLIGHTBASE[Base Desc 1],0)),1),IF(AND(K24&lt;U24,ISNUMBER(SEARCH("Type",BA24))),BC24*(W24*K24)*LEFT(INDEX(CMLIGHTBASE[Measure Subgroup 1], MATCH(E24,CMLIGHTBASE[Base Desc 1],0)),1),0)))),2),0)</f>
        <v>0</v>
      </c>
      <c r="BE24" s="1192">
        <f t="shared" si="1"/>
        <v>0</v>
      </c>
      <c r="BF24" s="800" t="str">
        <f>IF(OR(C24="",E24="",M24="",K24="",O24="",Y24="",R24="",AA24="",AH24="",AJ24="",AD24="", U24="",W24=""),"",IF(AND(ISNUMBER(SEARCH("Other",E24)),OR(H24="",ISBLANK(H24),ISNUMBER(SEARCH("Description",H24)))),"",IFERROR(IF(AD24&lt;INDEX(PMELIGHTLIN[Eff Watt 2],MATCH(BA24,PMELIGHTLIN[Measure Validator],0)),"Operating Hours Invalid",IF(ISNUMBER(SEARCH("SPILLOVER",AA24)),PROJSTATELI,IF((AW24-AX24)&lt;0,"No Savings",IF(AF24&lt;50000,"Lamp Life Too Short","")))),"ERROR")))</f>
        <v/>
      </c>
      <c r="BG24" s="802" t="str">
        <f>IF(AND(ISBLANK(AH24),ISBLANK(AJ24)),"",IF(BD24&gt;AU24,"Yes","No"))</f>
        <v/>
      </c>
      <c r="BH24" s="1051">
        <f>IF(M02S02F32&lt;&gt;"",INDEX(SPACEHEAT[HIF],MATCH(M02S02F32,SHEAT,0)),1)</f>
        <v>1</v>
      </c>
      <c r="BI24" s="802"/>
      <c r="BJ24" s="1225">
        <f t="shared" ref="BJ24" si="10">IFERROR(ROUND(BL24*1.1,2),0)</f>
        <v>0</v>
      </c>
      <c r="BK24" s="804" t="str">
        <f>IF(M02S02F44="","Update Install Status",IF(M02S02F44="No","Submit for Pre-Approval",IF(OR(C24="",E24="",M24="",K24="",O24="",Y24="",R24="",AA24="",AF24="",AH24="",AD24="",U24="",W24="",AJ24=""),"",IF(BF24&lt;&gt;"",BF24,ROUND(BJ24*BONUSADJ,2)))))</f>
        <v>Update Install Status</v>
      </c>
      <c r="BL24" s="804" t="str">
        <f>IF(M02S02F44="","Update Install Status",IF(M02S02F44="No","Submit for Pre-Approval",IF(OR(C24="",E24="",M24="",K24="",O24="",Y24="",R24="",AA24="",AF24="",AH24="",AD24="",U24="",W24="",AJ24=""),"",IF(BF24&lt;&gt;"",BF24,IF(OR(BD24&lt;0,BE24&lt;0),"No Incentive Savings",IF(ISNUMBER(SEARCH("Type",O24)),MIN(BD24,AU24),MIN(BE24,AU24)))))))</f>
        <v>Update Install Status</v>
      </c>
    </row>
    <row r="25" spans="2:64" ht="15.95" customHeight="1" x14ac:dyDescent="0.25">
      <c r="B25" s="1204"/>
      <c r="C25" s="1207"/>
      <c r="D25" s="1208"/>
      <c r="E25" s="891"/>
      <c r="F25" s="892"/>
      <c r="G25" s="893"/>
      <c r="H25" s="896"/>
      <c r="I25" s="897"/>
      <c r="J25" s="898"/>
      <c r="K25" s="1194"/>
      <c r="L25" s="1195"/>
      <c r="M25" s="833"/>
      <c r="N25" s="834"/>
      <c r="O25" s="909"/>
      <c r="P25" s="910"/>
      <c r="Q25" s="911"/>
      <c r="R25" s="896"/>
      <c r="S25" s="897"/>
      <c r="T25" s="898"/>
      <c r="U25" s="896"/>
      <c r="V25" s="897"/>
      <c r="W25" s="845"/>
      <c r="X25" s="846"/>
      <c r="Y25" s="914"/>
      <c r="Z25" s="915"/>
      <c r="AA25" s="880"/>
      <c r="AB25" s="880"/>
      <c r="AC25" s="880"/>
      <c r="AD25" s="916"/>
      <c r="AE25" s="916"/>
      <c r="AF25" s="1060"/>
      <c r="AG25" s="1060"/>
      <c r="AH25" s="1200"/>
      <c r="AI25" s="1201"/>
      <c r="AJ25" s="1201"/>
      <c r="AK25" s="1203"/>
      <c r="AL25" s="973"/>
      <c r="AM25" s="870"/>
      <c r="AN25" s="870"/>
      <c r="AO25" s="872"/>
      <c r="AP25" s="872"/>
      <c r="AQ25" s="872"/>
      <c r="AU25" s="805"/>
      <c r="AV25" s="807"/>
      <c r="AW25" s="803"/>
      <c r="AX25" s="803"/>
      <c r="AY25" s="803"/>
      <c r="AZ25" s="803"/>
      <c r="BA25" s="801"/>
      <c r="BB25" s="797"/>
      <c r="BC25" s="797"/>
      <c r="BD25" s="797"/>
      <c r="BE25" s="1192"/>
      <c r="BF25" s="801"/>
      <c r="BG25" s="803"/>
      <c r="BH25" s="1052"/>
      <c r="BI25" s="803"/>
      <c r="BJ25" s="1226"/>
      <c r="BK25" s="805"/>
      <c r="BL25" s="805"/>
    </row>
    <row r="26" spans="2:64" ht="15.95" customHeight="1" x14ac:dyDescent="0.25">
      <c r="B26" s="1204">
        <v>5</v>
      </c>
      <c r="C26" s="1205"/>
      <c r="D26" s="1206"/>
      <c r="E26" s="888"/>
      <c r="F26" s="889"/>
      <c r="G26" s="890"/>
      <c r="H26" s="881"/>
      <c r="I26" s="894"/>
      <c r="J26" s="895"/>
      <c r="K26" s="1194"/>
      <c r="L26" s="1195"/>
      <c r="M26" s="831" t="str">
        <f>IF(OR($E26="",ISNUMBER(SEARCH("Other",$E26))),"",INDEX(CMLIGHTBASE[Base Watt 1],MATCH($E26,CMLIGHTBASE[Base Desc 1],0)))</f>
        <v/>
      </c>
      <c r="N26" s="832"/>
      <c r="O26" s="906"/>
      <c r="P26" s="907"/>
      <c r="Q26" s="908"/>
      <c r="R26" s="881"/>
      <c r="S26" s="894"/>
      <c r="T26" s="895"/>
      <c r="U26" s="881"/>
      <c r="V26" s="894"/>
      <c r="W26" s="843" t="str">
        <f t="shared" ref="W26" si="11">IF(O26="","",IF(ISNUMBER(SEARCH("Type",O26)),"","N/A"))</f>
        <v/>
      </c>
      <c r="X26" s="844"/>
      <c r="Y26" s="912"/>
      <c r="Z26" s="913"/>
      <c r="AA26" s="880"/>
      <c r="AB26" s="880"/>
      <c r="AC26" s="880"/>
      <c r="AD26" s="916"/>
      <c r="AE26" s="916"/>
      <c r="AF26" s="1059"/>
      <c r="AG26" s="1059"/>
      <c r="AH26" s="1198"/>
      <c r="AI26" s="1199"/>
      <c r="AJ26" s="1199"/>
      <c r="AK26" s="1202"/>
      <c r="AL26" s="973" t="str">
        <f t="shared" ref="AL26" si="12">IF(OR(C26="",E26="",M26="",K26="",O26="",Y26="",R26="",AA26="",AH26="",AJ26="",AD26="",U26="",W26=""),"",IFERROR(ROUND(IF((AW26-AX26)&lt;=0,0,BH26*(AW26-AX26)),0),""))</f>
        <v/>
      </c>
      <c r="AM26" s="870"/>
      <c r="AN26" s="870"/>
      <c r="AO26" s="872" t="str">
        <f>IF(M02S02F44="","Update Install Status",IF(M02S02F44="No","Submit for Pre-Approval",IF(OR(C26="",E26="",M26="",K26="",O26="",Y26="",R26="",AA26="",AF26="",AH26="",AD26="",U26="",W26="",AJ26=""),"",IF(BF26&lt;&gt;"",BF26,IF(OR(BD26&lt;0,BE26&lt;0),"No Incentive Savings",IF(ISNUMBER(SEARCH("Type",O26)),MIN(BD26,AU26),MIN(BE26,AU26)))))))</f>
        <v>Update Install Status</v>
      </c>
      <c r="AP26" s="872"/>
      <c r="AQ26" s="872"/>
      <c r="AU26" s="804" t="str">
        <f>IF(OR(C26="",E26="",M26="",K26="",O26="",Y26="",R26="",AA26="",AH26="",AJ26="",AD26="", U26="",W26=""),"",IF(AND(ISNUMBER(SEARCH("Other",E26)),OR(H26="",ISBLANK(H26),ISNUMBER(SEARCH("Description",H26)))),"",(ROUND((AH26+AJ26)*U26,2))))</f>
        <v/>
      </c>
      <c r="AV26" s="806" t="str">
        <f>IF(OR(C26="",E26="",M26="",K26="",O26="",Y26="",R26="",AA26="",AH26="",AJ26="",AD26="", U26="",W26=""),"",IF(AND(ISNUMBER(SEARCH("Other",E26)),OR(H26="",ISBLANK(H26),ISNUMBER(SEARCH("Description",H26)))),"",ROUND(AL26*INDEX(ENDUSEALL[Factor],MATCH(IF(ISNUMBER(SEARCH("24/7",AA26)),"Miscellaneous","Lighting"),ENDUSEALL[End Use to Coincident Peak Demand Factors],0)),4)))</f>
        <v/>
      </c>
      <c r="AW26" s="802" t="str">
        <f>IF(OR(C26="",E26="",M26="",K26="",O26="",Y26="",R26="",AA26="",AH26="",AJ26="",AD26="", U26="",W26=""),"",IF(AND(ISNUMBER(SEARCH("Other",E26)),OR(H26="",ISBLANK(H26),ISNUMBER(SEARCH("Description",H26)))),"",ROUND(M26*AD26*K26/1000,0)))</f>
        <v/>
      </c>
      <c r="AX26" s="802" t="str">
        <f>IF(OR(C26="",E26="",M26="",K26="",O26="",Y26="",R26="",AA26="",AH26="",AJ26="",AD26="", U26="",W26=""),"",IF(AND(ISNUMBER(SEARCH("Other",E26)),OR(H26="",ISBLANK(H26),ISNUMBER(SEARCH("Description",H26)))),"",IF(ISNUMBER(SEARCH("Network",O26)),ROUND(0.76*Y26*AD26*U26/1000,0),ROUND(Y26*AD26*U26/1000,0))))</f>
        <v/>
      </c>
      <c r="AY26" s="802" t="str">
        <f>IF(OR(C26="",E26="",M26="",K26="",O26="",Y26="",R26="",AA26="",AH26="",AJ26="",AD26="", U26="",W26=""),"",IF(AND(ISNUMBER(SEARCH("Other",E26)),OR(H26="",ISBLANK(H26),ISNUMBER(SEARCH("Description",H26)))),"",ROUND(K26*M26,0)))</f>
        <v/>
      </c>
      <c r="AZ26" s="802" t="str">
        <f>IF(OR(C26="",E26="",M26="",K26="",O26="",Y26="",R26="",AA26="",AH26="",AJ26="",AD26="", U26="",W26=""),"",IF(AND(K26&gt;=U26,ISNUMBER(SEARCH("Type",O26))),ROUND(U26*LEFT(INDEX(CMLIGHTBASE[Measure Subgroup 2], MATCH(E26,CMLIGHTBASE[Base Desc 1],0)),2)*Y26/W26,0),IF(AND(K26&lt;U26,ISNUMBER(SEARCH("Type",O26))),ROUND(K26*LEFT(INDEX(CMLIGHTBASE[Measure Subgroup 2], MATCH(E26,CMLIGHTBASE[Base Desc 1],0)),2)*Y26/W26,0),IF(OR(ISNUMBER(SEARCH("Fixture",O26)),ISNUMBER(SEARCH("Kit",O26))),U26*Y26))))</f>
        <v/>
      </c>
      <c r="BA26" s="800" t="str">
        <f>CONCATENATE(C26,"-","LED","-",O26)</f>
        <v>-LED-</v>
      </c>
      <c r="BB26" s="808" t="str">
        <f>IF(OR(C26="",E26="",M26="",K26="",O26="",Y26="",R26="",AA26="",AH26="",AJ26="",AD26="", U26="",W26=""),"",IF(AND(ISNUMBER(SEARCH("Other",E26)),OR(H26="",ISBLANK(H26),ISNUMBER(SEARCH("Description",H26)))),"",INDEX(PMELIGHTLIN[Measure '#],MATCH(BA26,PMELIGHTLIN[Measure Validator],0))))</f>
        <v/>
      </c>
      <c r="BC26" s="808" t="str">
        <f>IFERROR(IF(OR(C26="",AH26=""),"",IF(BB26="","",INDEX(PMELIGHTLIN[Inc Rate Unit FT],MATCH(BA26,PMELIGHTLIN[Measure Validator],0)))),"")</f>
        <v/>
      </c>
      <c r="BD26" s="808">
        <f>IFERROR(ROUND(IF(OR(C26="",AH26=""),"",IF(BB26="","",IF(AND(K26&gt;=U26,ISNUMBER(SEARCH("Type",BA26))),BC26*(U26*W26)*LEFT(INDEX(CMLIGHTBASE[Measure Subgroup 1], MATCH(E26,CMLIGHTBASE[Base Desc 1],0)),1),IF(AND(K26&lt;U26,ISNUMBER(SEARCH("Type",BA26))),BC26*(W26*K26)*LEFT(INDEX(CMLIGHTBASE[Measure Subgroup 1], MATCH(E26,CMLIGHTBASE[Base Desc 1],0)),1),0)))),2),0)</f>
        <v>0</v>
      </c>
      <c r="BE26" s="1192">
        <f t="shared" si="1"/>
        <v>0</v>
      </c>
      <c r="BF26" s="800" t="str">
        <f>IF(OR(C26="",E26="",M26="",K26="",O26="",Y26="",R26="",AA26="",AH26="",AJ26="",AD26="", U26="",W26=""),"",IF(AND(ISNUMBER(SEARCH("Other",E26)),OR(H26="",ISBLANK(H26),ISNUMBER(SEARCH("Description",H26)))),"",IFERROR(IF(AD26&lt;INDEX(PMELIGHTLIN[Eff Watt 2],MATCH(BA26,PMELIGHTLIN[Measure Validator],0)),"Operating Hours Invalid",IF(ISNUMBER(SEARCH("SPILLOVER",AA26)),PROJSTATELI,IF((AW26-AX26)&lt;0,"No Savings",IF(AF26&lt;50000,"Lamp Life Too Short","")))),"ERROR")))</f>
        <v/>
      </c>
      <c r="BG26" s="802" t="str">
        <f>IF(AND(ISBLANK(AH26),ISBLANK(AJ26)),"",IF(BD26&gt;AU26,"Yes","No"))</f>
        <v/>
      </c>
      <c r="BH26" s="1051">
        <f>IF(M02S02F32&lt;&gt;"",INDEX(SPACEHEAT[HIF],MATCH(M02S02F32,SHEAT,0)),1)</f>
        <v>1</v>
      </c>
      <c r="BI26" s="802"/>
      <c r="BJ26" s="1225">
        <f t="shared" ref="BJ26" si="13">IFERROR(ROUND(BL26*1.1,2),0)</f>
        <v>0</v>
      </c>
      <c r="BK26" s="804" t="str">
        <f>IF(M02S02F44="","Update Install Status",IF(M02S02F44="No","Submit for Pre-Approval",IF(OR(C26="",E26="",M26="",K26="",O26="",Y26="",R26="",AA26="",AF26="",AH26="",AD26="",U26="",W26="",AJ26=""),"",IF(BF26&lt;&gt;"",BF26,ROUND(BJ26*BONUSADJ,2)))))</f>
        <v>Update Install Status</v>
      </c>
      <c r="BL26" s="804" t="str">
        <f>IF(M02S02F44="","Update Install Status",IF(M02S02F44="No","Submit for Pre-Approval",IF(OR(C26="",E26="",M26="",K26="",O26="",Y26="",R26="",AA26="",AF26="",AH26="",AD26="",U26="",W26="",AJ26=""),"",IF(BF26&lt;&gt;"",BF26,IF(OR(BD26&lt;0,BE26&lt;0),"No Incentive Savings",IF(ISNUMBER(SEARCH("Type",O26)),MIN(BD26,AU26),MIN(BE26,AU26)))))))</f>
        <v>Update Install Status</v>
      </c>
    </row>
    <row r="27" spans="2:64" ht="15.95" customHeight="1" x14ac:dyDescent="0.25">
      <c r="B27" s="1204"/>
      <c r="C27" s="1207"/>
      <c r="D27" s="1208"/>
      <c r="E27" s="891"/>
      <c r="F27" s="892"/>
      <c r="G27" s="893"/>
      <c r="H27" s="896"/>
      <c r="I27" s="897"/>
      <c r="J27" s="898"/>
      <c r="K27" s="1194"/>
      <c r="L27" s="1195"/>
      <c r="M27" s="833"/>
      <c r="N27" s="834"/>
      <c r="O27" s="909"/>
      <c r="P27" s="910"/>
      <c r="Q27" s="911"/>
      <c r="R27" s="896"/>
      <c r="S27" s="897"/>
      <c r="T27" s="898"/>
      <c r="U27" s="896"/>
      <c r="V27" s="897"/>
      <c r="W27" s="845"/>
      <c r="X27" s="846"/>
      <c r="Y27" s="914"/>
      <c r="Z27" s="915"/>
      <c r="AA27" s="880"/>
      <c r="AB27" s="880"/>
      <c r="AC27" s="880"/>
      <c r="AD27" s="916"/>
      <c r="AE27" s="916"/>
      <c r="AF27" s="1060"/>
      <c r="AG27" s="1060"/>
      <c r="AH27" s="1200"/>
      <c r="AI27" s="1201"/>
      <c r="AJ27" s="1201"/>
      <c r="AK27" s="1203"/>
      <c r="AL27" s="973"/>
      <c r="AM27" s="870"/>
      <c r="AN27" s="870"/>
      <c r="AO27" s="872"/>
      <c r="AP27" s="872"/>
      <c r="AQ27" s="872"/>
      <c r="AU27" s="805"/>
      <c r="AV27" s="807"/>
      <c r="AW27" s="803"/>
      <c r="AX27" s="803"/>
      <c r="AY27" s="803"/>
      <c r="AZ27" s="803"/>
      <c r="BA27" s="801"/>
      <c r="BB27" s="797"/>
      <c r="BC27" s="797"/>
      <c r="BD27" s="797"/>
      <c r="BE27" s="1192"/>
      <c r="BF27" s="801"/>
      <c r="BG27" s="803"/>
      <c r="BH27" s="1052"/>
      <c r="BI27" s="803"/>
      <c r="BJ27" s="1226"/>
      <c r="BK27" s="805"/>
      <c r="BL27" s="805"/>
    </row>
    <row r="28" spans="2:64" ht="15.95" customHeight="1" x14ac:dyDescent="0.25">
      <c r="B28" s="1204">
        <v>6</v>
      </c>
      <c r="C28" s="1205"/>
      <c r="D28" s="1206"/>
      <c r="E28" s="888"/>
      <c r="F28" s="889"/>
      <c r="G28" s="890"/>
      <c r="H28" s="881"/>
      <c r="I28" s="894"/>
      <c r="J28" s="895"/>
      <c r="K28" s="1194"/>
      <c r="L28" s="1195"/>
      <c r="M28" s="831" t="str">
        <f>IF(OR($E28="",ISNUMBER(SEARCH("Other",$E28))),"",INDEX(CMLIGHTBASE[Base Watt 1],MATCH($E28,CMLIGHTBASE[Base Desc 1],0)))</f>
        <v/>
      </c>
      <c r="N28" s="832"/>
      <c r="O28" s="906"/>
      <c r="P28" s="907"/>
      <c r="Q28" s="908"/>
      <c r="R28" s="881"/>
      <c r="S28" s="894"/>
      <c r="T28" s="895"/>
      <c r="U28" s="881"/>
      <c r="V28" s="894"/>
      <c r="W28" s="843" t="str">
        <f t="shared" ref="W28" si="14">IF(O28="","",IF(ISNUMBER(SEARCH("Type",O28)),"","N/A"))</f>
        <v/>
      </c>
      <c r="X28" s="844"/>
      <c r="Y28" s="912"/>
      <c r="Z28" s="913"/>
      <c r="AA28" s="880"/>
      <c r="AB28" s="880"/>
      <c r="AC28" s="880"/>
      <c r="AD28" s="916"/>
      <c r="AE28" s="916"/>
      <c r="AF28" s="1059"/>
      <c r="AG28" s="1059"/>
      <c r="AH28" s="1198"/>
      <c r="AI28" s="1199"/>
      <c r="AJ28" s="1199"/>
      <c r="AK28" s="1202"/>
      <c r="AL28" s="973" t="str">
        <f t="shared" ref="AL28" si="15">IF(OR(C28="",E28="",M28="",K28="",O28="",Y28="",R28="",AA28="",AH28="",AJ28="",AD28="",U28="",W28=""),"",IFERROR(ROUND(IF((AW28-AX28)&lt;=0,0,BH28*(AW28-AX28)),0),""))</f>
        <v/>
      </c>
      <c r="AM28" s="870"/>
      <c r="AN28" s="870"/>
      <c r="AO28" s="872" t="str">
        <f>IF(M02S02F44="","Update Install Status",IF(M02S02F44="No","Submit for Pre-Approval",IF(OR(C28="",E28="",M28="",K28="",O28="",Y28="",R28="",AA28="",AF28="",AH28="",AD28="",U28="",W28="",AJ28=""),"",IF(BF28&lt;&gt;"",BF28,IF(OR(BD28&lt;0,BE28&lt;0),"No Incentive Savings",IF(ISNUMBER(SEARCH("Type",O28)),MIN(BD28,AU28),MIN(BE28,AU28)))))))</f>
        <v>Update Install Status</v>
      </c>
      <c r="AP28" s="872"/>
      <c r="AQ28" s="872"/>
      <c r="AU28" s="804" t="str">
        <f>IF(OR(C28="",E28="",M28="",K28="",O28="",Y28="",R28="",AA28="",AH28="",AJ28="",AD28="", U28="",W28=""),"",IF(AND(ISNUMBER(SEARCH("Other",E28)),OR(H28="",ISBLANK(H28),ISNUMBER(SEARCH("Description",H28)))),"",(ROUND((AH28+AJ28)*U28,2))))</f>
        <v/>
      </c>
      <c r="AV28" s="806" t="str">
        <f>IF(OR(C28="",E28="",M28="",K28="",O28="",Y28="",R28="",AA28="",AH28="",AJ28="",AD28="", U28="",W28=""),"",IF(AND(ISNUMBER(SEARCH("Other",E28)),OR(H28="",ISBLANK(H28),ISNUMBER(SEARCH("Description",H28)))),"",ROUND(AL28*INDEX(ENDUSEALL[Factor],MATCH(IF(ISNUMBER(SEARCH("24/7",AA28)),"Miscellaneous","Lighting"),ENDUSEALL[End Use to Coincident Peak Demand Factors],0)),4)))</f>
        <v/>
      </c>
      <c r="AW28" s="802" t="str">
        <f>IF(OR(C28="",E28="",M28="",K28="",O28="",Y28="",R28="",AA28="",AH28="",AJ28="",AD28="", U28="",W28=""),"",IF(AND(ISNUMBER(SEARCH("Other",E28)),OR(H28="",ISBLANK(H28),ISNUMBER(SEARCH("Description",H28)))),"",ROUND(M28*AD28*K28/1000,0)))</f>
        <v/>
      </c>
      <c r="AX28" s="802" t="str">
        <f>IF(OR(C28="",E28="",M28="",K28="",O28="",Y28="",R28="",AA28="",AH28="",AJ28="",AD28="", U28="",W28=""),"",IF(AND(ISNUMBER(SEARCH("Other",E28)),OR(H28="",ISBLANK(H28),ISNUMBER(SEARCH("Description",H28)))),"",IF(ISNUMBER(SEARCH("Network",O28)),ROUND(0.76*Y28*AD28*U28/1000,0),ROUND(Y28*AD28*U28/1000,0))))</f>
        <v/>
      </c>
      <c r="AY28" s="802" t="str">
        <f>IF(OR(C28="",E28="",M28="",K28="",O28="",Y28="",R28="",AA28="",AH28="",AJ28="",AD28="", U28="",W28=""),"",IF(AND(ISNUMBER(SEARCH("Other",E28)),OR(H28="",ISBLANK(H28),ISNUMBER(SEARCH("Description",H28)))),"",ROUND(K28*M28,0)))</f>
        <v/>
      </c>
      <c r="AZ28" s="802" t="str">
        <f>IF(OR(C28="",E28="",M28="",K28="",O28="",Y28="",R28="",AA28="",AH28="",AJ28="",AD28="", U28="",W28=""),"",IF(AND(K28&gt;=U28,ISNUMBER(SEARCH("Type",O28))),ROUND(U28*LEFT(INDEX(CMLIGHTBASE[Measure Subgroup 2], MATCH(E28,CMLIGHTBASE[Base Desc 1],0)),2)*Y28/W28,0),IF(AND(K28&lt;U28,ISNUMBER(SEARCH("Type",O28))),ROUND(K28*LEFT(INDEX(CMLIGHTBASE[Measure Subgroup 2], MATCH(E28,CMLIGHTBASE[Base Desc 1],0)),2)*Y28/W28,0),IF(OR(ISNUMBER(SEARCH("Fixture",O28)),ISNUMBER(SEARCH("Kit",O28))),U28*Y28))))</f>
        <v/>
      </c>
      <c r="BA28" s="800" t="str">
        <f>CONCATENATE(C28,"-","LED","-",O28)</f>
        <v>-LED-</v>
      </c>
      <c r="BB28" s="808" t="str">
        <f>IF(OR(C28="",E28="",M28="",K28="",O28="",Y28="",R28="",AA28="",AH28="",AJ28="",AD28="", U28="",W28=""),"",IF(AND(ISNUMBER(SEARCH("Other",E28)),OR(H28="",ISBLANK(H28),ISNUMBER(SEARCH("Description",H28)))),"",INDEX(PMELIGHTLIN[Measure '#],MATCH(BA28,PMELIGHTLIN[Measure Validator],0))))</f>
        <v/>
      </c>
      <c r="BC28" s="808" t="str">
        <f>IFERROR(IF(OR(C28="",AH28=""),"",IF(BB28="","",INDEX(PMELIGHTLIN[Inc Rate Unit FT],MATCH(BA28,PMELIGHTLIN[Measure Validator],0)))),"")</f>
        <v/>
      </c>
      <c r="BD28" s="808">
        <f>IFERROR(ROUND(IF(OR(C28="",AH28=""),"",IF(BB28="","",IF(AND(K28&gt;=U28,ISNUMBER(SEARCH("Type",BA28))),BC28*(U28*W28)*LEFT(INDEX(CMLIGHTBASE[Measure Subgroup 1], MATCH(E28,CMLIGHTBASE[Base Desc 1],0)),1),IF(AND(K28&lt;U28,ISNUMBER(SEARCH("Type",BA28))),BC28*(W28*K28)*LEFT(INDEX(CMLIGHTBASE[Measure Subgroup 1], MATCH(E28,CMLIGHTBASE[Base Desc 1],0)),1),0)))),2),0)</f>
        <v>0</v>
      </c>
      <c r="BE28" s="1192">
        <f t="shared" si="1"/>
        <v>0</v>
      </c>
      <c r="BF28" s="800" t="str">
        <f>IF(OR(C28="",E28="",M28="",K28="",O28="",Y28="",R28="",AA28="",AH28="",AJ28="",AD28="", U28="",W28=""),"",IF(AND(ISNUMBER(SEARCH("Other",E28)),OR(H28="",ISBLANK(H28),ISNUMBER(SEARCH("Description",H28)))),"",IFERROR(IF(AD28&lt;INDEX(PMELIGHTLIN[Eff Watt 2],MATCH(BA28,PMELIGHTLIN[Measure Validator],0)),"Operating Hours Invalid",IF(ISNUMBER(SEARCH("SPILLOVER",AA28)),PROJSTATELI,IF((AW28-AX28)&lt;0,"No Savings",IF(AF28&lt;50000,"Lamp Life Too Short","")))),"ERROR")))</f>
        <v/>
      </c>
      <c r="BG28" s="802" t="str">
        <f>IF(AND(ISBLANK(AH28),ISBLANK(AJ28)),"",IF(BD28&gt;AU28,"Yes","No"))</f>
        <v/>
      </c>
      <c r="BH28" s="1051">
        <f>IF(M02S02F32&lt;&gt;"",INDEX(SPACEHEAT[HIF],MATCH(M02S02F32,SHEAT,0)),1)</f>
        <v>1</v>
      </c>
      <c r="BI28" s="802"/>
      <c r="BJ28" s="1225">
        <f t="shared" ref="BJ28" si="16">IFERROR(ROUND(BL28*1.1,2),0)</f>
        <v>0</v>
      </c>
      <c r="BK28" s="804" t="str">
        <f>IF(M02S02F44="","Update Install Status",IF(M02S02F44="No","Submit for Pre-Approval",IF(OR(C28="",E28="",M28="",K28="",O28="",Y28="",R28="",AA28="",AF28="",AH28="",AD28="",U28="",W28="",AJ28=""),"",IF(BF28&lt;&gt;"",BF28,ROUND(BJ28*BONUSADJ,2)))))</f>
        <v>Update Install Status</v>
      </c>
      <c r="BL28" s="804" t="str">
        <f>IF(M02S02F44="","Update Install Status",IF(M02S02F44="No","Submit for Pre-Approval",IF(OR(C28="",E28="",M28="",K28="",O28="",Y28="",R28="",AA28="",AF28="",AH28="",AD28="",U28="",W28="",AJ28=""),"",IF(BF28&lt;&gt;"",BF28,IF(OR(BD28&lt;0,BE28&lt;0),"No Incentive Savings",IF(ISNUMBER(SEARCH("Type",O28)),MIN(BD28,AU28),MIN(BE28,AU28)))))))</f>
        <v>Update Install Status</v>
      </c>
    </row>
    <row r="29" spans="2:64" ht="15.95" customHeight="1" x14ac:dyDescent="0.25">
      <c r="B29" s="1204"/>
      <c r="C29" s="1207"/>
      <c r="D29" s="1208"/>
      <c r="E29" s="891"/>
      <c r="F29" s="892"/>
      <c r="G29" s="893"/>
      <c r="H29" s="896"/>
      <c r="I29" s="897"/>
      <c r="J29" s="898"/>
      <c r="K29" s="1194"/>
      <c r="L29" s="1195"/>
      <c r="M29" s="833"/>
      <c r="N29" s="834"/>
      <c r="O29" s="909"/>
      <c r="P29" s="910"/>
      <c r="Q29" s="911"/>
      <c r="R29" s="896"/>
      <c r="S29" s="897"/>
      <c r="T29" s="898"/>
      <c r="U29" s="896"/>
      <c r="V29" s="897"/>
      <c r="W29" s="845"/>
      <c r="X29" s="846"/>
      <c r="Y29" s="914"/>
      <c r="Z29" s="915"/>
      <c r="AA29" s="880"/>
      <c r="AB29" s="880"/>
      <c r="AC29" s="880"/>
      <c r="AD29" s="916"/>
      <c r="AE29" s="916"/>
      <c r="AF29" s="1060"/>
      <c r="AG29" s="1060"/>
      <c r="AH29" s="1200"/>
      <c r="AI29" s="1201"/>
      <c r="AJ29" s="1201"/>
      <c r="AK29" s="1203"/>
      <c r="AL29" s="973"/>
      <c r="AM29" s="870"/>
      <c r="AN29" s="870"/>
      <c r="AO29" s="872"/>
      <c r="AP29" s="872"/>
      <c r="AQ29" s="872"/>
      <c r="AU29" s="805"/>
      <c r="AV29" s="807"/>
      <c r="AW29" s="803"/>
      <c r="AX29" s="803"/>
      <c r="AY29" s="803"/>
      <c r="AZ29" s="803"/>
      <c r="BA29" s="801"/>
      <c r="BB29" s="797"/>
      <c r="BC29" s="797"/>
      <c r="BD29" s="797"/>
      <c r="BE29" s="1192"/>
      <c r="BF29" s="801"/>
      <c r="BG29" s="803"/>
      <c r="BH29" s="1052"/>
      <c r="BI29" s="803"/>
      <c r="BJ29" s="1226"/>
      <c r="BK29" s="805"/>
      <c r="BL29" s="805"/>
    </row>
    <row r="30" spans="2:64" ht="15.95" customHeight="1" x14ac:dyDescent="0.25">
      <c r="B30" s="1204">
        <v>7</v>
      </c>
      <c r="C30" s="1205"/>
      <c r="D30" s="1206"/>
      <c r="E30" s="888"/>
      <c r="F30" s="889"/>
      <c r="G30" s="890"/>
      <c r="H30" s="881"/>
      <c r="I30" s="894"/>
      <c r="J30" s="895"/>
      <c r="K30" s="1194"/>
      <c r="L30" s="1195"/>
      <c r="M30" s="831" t="str">
        <f>IF(OR($E30="",ISNUMBER(SEARCH("Other",$E30))),"",INDEX(CMLIGHTBASE[Base Watt 1],MATCH($E30,CMLIGHTBASE[Base Desc 1],0)))</f>
        <v/>
      </c>
      <c r="N30" s="832"/>
      <c r="O30" s="906"/>
      <c r="P30" s="907"/>
      <c r="Q30" s="908"/>
      <c r="R30" s="881"/>
      <c r="S30" s="894"/>
      <c r="T30" s="895"/>
      <c r="U30" s="881"/>
      <c r="V30" s="894"/>
      <c r="W30" s="843" t="str">
        <f t="shared" ref="W30" si="17">IF(O30="","",IF(ISNUMBER(SEARCH("Type",O30)),"","N/A"))</f>
        <v/>
      </c>
      <c r="X30" s="844"/>
      <c r="Y30" s="912"/>
      <c r="Z30" s="913"/>
      <c r="AA30" s="880"/>
      <c r="AB30" s="880"/>
      <c r="AC30" s="880"/>
      <c r="AD30" s="916"/>
      <c r="AE30" s="916"/>
      <c r="AF30" s="1059"/>
      <c r="AG30" s="1059"/>
      <c r="AH30" s="1198"/>
      <c r="AI30" s="1199"/>
      <c r="AJ30" s="1199"/>
      <c r="AK30" s="1202"/>
      <c r="AL30" s="973" t="str">
        <f t="shared" ref="AL30" si="18">IF(OR(C30="",E30="",M30="",K30="",O30="",Y30="",R30="",AA30="",AH30="",AJ30="",AD30="",U30="",W30=""),"",IFERROR(ROUND(IF((AW30-AX30)&lt;=0,0,BH30*(AW30-AX30)),0),""))</f>
        <v/>
      </c>
      <c r="AM30" s="870"/>
      <c r="AN30" s="870"/>
      <c r="AO30" s="872" t="str">
        <f>IF(M02S02F44="","Update Install Status",IF(M02S02F44="No","Submit for Pre-Approval",IF(OR(C30="",E30="",M30="",K30="",O30="",Y30="",R30="",AA30="",AF30="",AH30="",AD30="",U30="",W30="",AJ30=""),"",IF(BF30&lt;&gt;"",BF30,IF(OR(BD30&lt;0,BE30&lt;0),"No Incentive Savings",IF(ISNUMBER(SEARCH("Type",O30)),MIN(BD30,AU30),MIN(BE30,AU30)))))))</f>
        <v>Update Install Status</v>
      </c>
      <c r="AP30" s="872"/>
      <c r="AQ30" s="872"/>
      <c r="AU30" s="804" t="str">
        <f>IF(OR(C30="",E30="",M30="",K30="",O30="",Y30="",R30="",AA30="",AH30="",AJ30="",AD30="", U30="",W30=""),"",IF(AND(ISNUMBER(SEARCH("Other",E30)),OR(H30="",ISBLANK(H30),ISNUMBER(SEARCH("Description",H30)))),"",(ROUND((AH30+AJ30)*U30,2))))</f>
        <v/>
      </c>
      <c r="AV30" s="806" t="str">
        <f>IF(OR(C30="",E30="",M30="",K30="",O30="",Y30="",R30="",AA30="",AH30="",AJ30="",AD30="", U30="",W30=""),"",IF(AND(ISNUMBER(SEARCH("Other",E30)),OR(H30="",ISBLANK(H30),ISNUMBER(SEARCH("Description",H30)))),"",ROUND(AL30*INDEX(ENDUSEALL[Factor],MATCH(IF(ISNUMBER(SEARCH("24/7",AA30)),"Miscellaneous","Lighting"),ENDUSEALL[End Use to Coincident Peak Demand Factors],0)),4)))</f>
        <v/>
      </c>
      <c r="AW30" s="802" t="str">
        <f>IF(OR(C30="",E30="",M30="",K30="",O30="",Y30="",R30="",AA30="",AH30="",AJ30="",AD30="", U30="",W30=""),"",IF(AND(ISNUMBER(SEARCH("Other",E30)),OR(H30="",ISBLANK(H30),ISNUMBER(SEARCH("Description",H30)))),"",ROUND(M30*AD30*K30/1000,0)))</f>
        <v/>
      </c>
      <c r="AX30" s="802" t="str">
        <f>IF(OR(C30="",E30="",M30="",K30="",O30="",Y30="",R30="",AA30="",AH30="",AJ30="",AD30="", U30="",W30=""),"",IF(AND(ISNUMBER(SEARCH("Other",E30)),OR(H30="",ISBLANK(H30),ISNUMBER(SEARCH("Description",H30)))),"",IF(ISNUMBER(SEARCH("Network",O30)),ROUND(0.76*Y30*AD30*U30/1000,0),ROUND(Y30*AD30*U30/1000,0))))</f>
        <v/>
      </c>
      <c r="AY30" s="802" t="str">
        <f>IF(OR(C30="",E30="",M30="",K30="",O30="",Y30="",R30="",AA30="",AH30="",AJ30="",AD30="", U30="",W30=""),"",IF(AND(ISNUMBER(SEARCH("Other",E30)),OR(H30="",ISBLANK(H30),ISNUMBER(SEARCH("Description",H30)))),"",ROUND(K30*M30,0)))</f>
        <v/>
      </c>
      <c r="AZ30" s="802" t="str">
        <f>IF(OR(C30="",E30="",M30="",K30="",O30="",Y30="",R30="",AA30="",AH30="",AJ30="",AD30="", U30="",W30=""),"",IF(AND(K30&gt;=U30,ISNUMBER(SEARCH("Type",O30))),ROUND(U30*LEFT(INDEX(CMLIGHTBASE[Measure Subgroup 2], MATCH(E30,CMLIGHTBASE[Base Desc 1],0)),2)*Y30/W30,0),IF(AND(K30&lt;U30,ISNUMBER(SEARCH("Type",O30))),ROUND(K30*LEFT(INDEX(CMLIGHTBASE[Measure Subgroup 2], MATCH(E30,CMLIGHTBASE[Base Desc 1],0)),2)*Y30/W30,0),IF(OR(ISNUMBER(SEARCH("Fixture",O30)),ISNUMBER(SEARCH("Kit",O30))),U30*Y30))))</f>
        <v/>
      </c>
      <c r="BA30" s="800" t="str">
        <f>CONCATENATE(C30,"-","LED","-",O30)</f>
        <v>-LED-</v>
      </c>
      <c r="BB30" s="808" t="str">
        <f>IF(OR(C30="",E30="",M30="",K30="",O30="",Y30="",R30="",AA30="",AH30="",AJ30="",AD30="", U30="",W30=""),"",IF(AND(ISNUMBER(SEARCH("Other",E30)),OR(H30="",ISBLANK(H30),ISNUMBER(SEARCH("Description",H30)))),"",INDEX(PMELIGHTLIN[Measure '#],MATCH(BA30,PMELIGHTLIN[Measure Validator],0))))</f>
        <v/>
      </c>
      <c r="BC30" s="808" t="str">
        <f>IFERROR(IF(OR(C30="",AH30=""),"",IF(BB30="","",INDEX(PMELIGHTLIN[Inc Rate Unit FT],MATCH(BA30,PMELIGHTLIN[Measure Validator],0)))),"")</f>
        <v/>
      </c>
      <c r="BD30" s="808">
        <f>IFERROR(ROUND(IF(OR(C30="",AH30=""),"",IF(BB30="","",IF(AND(K30&gt;=U30,ISNUMBER(SEARCH("Type",BA30))),BC30*(U30*W30)*LEFT(INDEX(CMLIGHTBASE[Measure Subgroup 1], MATCH(E30,CMLIGHTBASE[Base Desc 1],0)),1),IF(AND(K30&lt;U30,ISNUMBER(SEARCH("Type",BA30))),BC30*(W30*K30)*LEFT(INDEX(CMLIGHTBASE[Measure Subgroup 1], MATCH(E30,CMLIGHTBASE[Base Desc 1],0)),1),0)))),2),0)</f>
        <v>0</v>
      </c>
      <c r="BE30" s="1192">
        <f t="shared" si="1"/>
        <v>0</v>
      </c>
      <c r="BF30" s="800" t="str">
        <f>IF(OR(C30="",E30="",M30="",K30="",O30="",Y30="",R30="",AA30="",AH30="",AJ30="",AD30="", U30="",W30=""),"",IF(AND(ISNUMBER(SEARCH("Other",E30)),OR(H30="",ISBLANK(H30),ISNUMBER(SEARCH("Description",H30)))),"",IFERROR(IF(AD30&lt;INDEX(PMELIGHTLIN[Eff Watt 2],MATCH(BA30,PMELIGHTLIN[Measure Validator],0)),"Operating Hours Invalid",IF(ISNUMBER(SEARCH("SPILLOVER",AA30)),PROJSTATELI,IF((AW30-AX30)&lt;0,"No Savings",IF(AF30&lt;50000,"Lamp Life Too Short","")))),"ERROR")))</f>
        <v/>
      </c>
      <c r="BG30" s="802" t="str">
        <f>IF(AND(ISBLANK(AH30),ISBLANK(AJ30)),"",IF(BD30&gt;AU30,"Yes","No"))</f>
        <v/>
      </c>
      <c r="BH30" s="1051">
        <f>IF(M02S02F32&lt;&gt;"",INDEX(SPACEHEAT[HIF],MATCH(M02S02F32,SHEAT,0)),1)</f>
        <v>1</v>
      </c>
      <c r="BI30" s="802"/>
      <c r="BJ30" s="1225">
        <f t="shared" ref="BJ30" si="19">IFERROR(ROUND(BL30*1.1,2),0)</f>
        <v>0</v>
      </c>
      <c r="BK30" s="804" t="str">
        <f>IF(M02S02F44="","Update Install Status",IF(M02S02F44="No","Submit for Pre-Approval",IF(OR(C30="",E30="",M30="",K30="",O30="",Y30="",R30="",AA30="",AF30="",AH30="",AD30="",U30="",W30="",AJ30=""),"",IF(BF30&lt;&gt;"",BF30,ROUND(BJ30*BONUSADJ,2)))))</f>
        <v>Update Install Status</v>
      </c>
      <c r="BL30" s="804" t="str">
        <f>IF(M02S02F44="","Update Install Status",IF(M02S02F44="No","Submit for Pre-Approval",IF(OR(C30="",E30="",M30="",K30="",O30="",Y30="",R30="",AA30="",AF30="",AH30="",AD30="",U30="",W30="",AJ30=""),"",IF(BF30&lt;&gt;"",BF30,IF(OR(BD30&lt;0,BE30&lt;0),"No Incentive Savings",IF(ISNUMBER(SEARCH("Type",O30)),MIN(BD30,AU30),MIN(BE30,AU30)))))))</f>
        <v>Update Install Status</v>
      </c>
    </row>
    <row r="31" spans="2:64" ht="15.95" customHeight="1" x14ac:dyDescent="0.25">
      <c r="B31" s="1204"/>
      <c r="C31" s="1207"/>
      <c r="D31" s="1208"/>
      <c r="E31" s="891"/>
      <c r="F31" s="892"/>
      <c r="G31" s="893"/>
      <c r="H31" s="896"/>
      <c r="I31" s="897"/>
      <c r="J31" s="898"/>
      <c r="K31" s="1194"/>
      <c r="L31" s="1195"/>
      <c r="M31" s="833"/>
      <c r="N31" s="834"/>
      <c r="O31" s="909"/>
      <c r="P31" s="910"/>
      <c r="Q31" s="911"/>
      <c r="R31" s="896"/>
      <c r="S31" s="897"/>
      <c r="T31" s="898"/>
      <c r="U31" s="896"/>
      <c r="V31" s="897"/>
      <c r="W31" s="845"/>
      <c r="X31" s="846"/>
      <c r="Y31" s="914"/>
      <c r="Z31" s="915"/>
      <c r="AA31" s="880"/>
      <c r="AB31" s="880"/>
      <c r="AC31" s="880"/>
      <c r="AD31" s="916"/>
      <c r="AE31" s="916"/>
      <c r="AF31" s="1060"/>
      <c r="AG31" s="1060"/>
      <c r="AH31" s="1200"/>
      <c r="AI31" s="1201"/>
      <c r="AJ31" s="1201"/>
      <c r="AK31" s="1203"/>
      <c r="AL31" s="973"/>
      <c r="AM31" s="870"/>
      <c r="AN31" s="870"/>
      <c r="AO31" s="872"/>
      <c r="AP31" s="872"/>
      <c r="AQ31" s="872"/>
      <c r="AU31" s="805"/>
      <c r="AV31" s="807"/>
      <c r="AW31" s="803"/>
      <c r="AX31" s="803"/>
      <c r="AY31" s="803"/>
      <c r="AZ31" s="803"/>
      <c r="BA31" s="801"/>
      <c r="BB31" s="797"/>
      <c r="BC31" s="797"/>
      <c r="BD31" s="797"/>
      <c r="BE31" s="1192"/>
      <c r="BF31" s="801"/>
      <c r="BG31" s="803"/>
      <c r="BH31" s="1052"/>
      <c r="BI31" s="803"/>
      <c r="BJ31" s="1226"/>
      <c r="BK31" s="805"/>
      <c r="BL31" s="805"/>
    </row>
    <row r="32" spans="2:64" ht="15.95" customHeight="1" x14ac:dyDescent="0.25">
      <c r="B32" s="1204">
        <v>8</v>
      </c>
      <c r="C32" s="843"/>
      <c r="D32" s="844"/>
      <c r="E32" s="815"/>
      <c r="F32" s="816"/>
      <c r="G32" s="817"/>
      <c r="H32" s="821"/>
      <c r="I32" s="822"/>
      <c r="J32" s="823"/>
      <c r="K32" s="1210"/>
      <c r="L32" s="1211"/>
      <c r="M32" s="831" t="str">
        <f>IF(OR($E32="",ISNUMBER(SEARCH("Other",$E32))),"",INDEX(CMLIGHTBASE[Base Watt 1],MATCH($E32,CMLIGHTBASE[Base Desc 1],0)))</f>
        <v/>
      </c>
      <c r="N32" s="832"/>
      <c r="O32" s="1209"/>
      <c r="P32" s="836"/>
      <c r="Q32" s="837"/>
      <c r="R32" s="841"/>
      <c r="S32" s="822"/>
      <c r="T32" s="823"/>
      <c r="U32" s="842"/>
      <c r="V32" s="822"/>
      <c r="W32" s="843" t="str">
        <f>IF(O32="","",IF(ISNUMBER(SEARCH("Type",O32)),"","N/A"))</f>
        <v/>
      </c>
      <c r="X32" s="844"/>
      <c r="Y32" s="847"/>
      <c r="Z32" s="848"/>
      <c r="AA32" s="851"/>
      <c r="AB32" s="852"/>
      <c r="AC32" s="852"/>
      <c r="AD32" s="853"/>
      <c r="AE32" s="853"/>
      <c r="AF32" s="1086"/>
      <c r="AG32" s="1086"/>
      <c r="AH32" s="1212"/>
      <c r="AI32" s="1213"/>
      <c r="AJ32" s="1213"/>
      <c r="AK32" s="1216"/>
      <c r="AL32" s="973" t="str">
        <f t="shared" ref="AL32" si="20">IF(OR(C32="",E32="",M32="",K32="",O32="",Y32="",R32="",AA32="",AH32="",AJ32="",AD32="",U32="",W32=""),"",IFERROR(ROUND(IF((AW32-AX32)&lt;=0,0,BH32*(AW32-AX32)),0),""))</f>
        <v/>
      </c>
      <c r="AM32" s="870"/>
      <c r="AN32" s="870"/>
      <c r="AO32" s="872" t="str">
        <f>IF(M02S02F44="","Update Install Status",IF(M02S02F44="No","Submit for Pre-Approval",IF(OR(C32="",E32="",M32="",K32="",O32="",Y32="",R32="",AA32="",AF32="",AH32="",AD32="",U32="",W32="",AJ32=""),"",IF(BF32&lt;&gt;"",BF32,IF(OR(BD32&lt;0,BE32&lt;0),"No Incentive Savings",IF(ISNUMBER(SEARCH("Type",O32)),MIN(BD32,AU32),MIN(BE32,AU32)))))))</f>
        <v>Update Install Status</v>
      </c>
      <c r="AP32" s="872"/>
      <c r="AQ32" s="872"/>
      <c r="AU32" s="804" t="str">
        <f>IF(OR(C32="",E32="",M32="",K32="",O32="",Y32="",R32="",AA32="",AH32="",AJ32="",AD32="", U32="",W32=""),"",IF(AND(ISNUMBER(SEARCH("Other",E32)),OR(H32="",ISBLANK(H32),ISNUMBER(SEARCH("Description",H32)))),"",(ROUND((AH32+AJ32)*U32,2))))</f>
        <v/>
      </c>
      <c r="AV32" s="806" t="str">
        <f>IF(OR(C32="",E32="",M32="",K32="",O32="",Y32="",R32="",AA32="",AH32="",AJ32="",AD32="", U32="",W32=""),"",IF(AND(ISNUMBER(SEARCH("Other",E32)),OR(H32="",ISBLANK(H32),ISNUMBER(SEARCH("Description",H32)))),"",ROUND(AL32*INDEX(ENDUSEALL[Factor],MATCH(IF(ISNUMBER(SEARCH("24/7",AA32)),"Miscellaneous","Lighting"),ENDUSEALL[End Use to Coincident Peak Demand Factors],0)),4)))</f>
        <v/>
      </c>
      <c r="AW32" s="802" t="str">
        <f>IF(OR(C32="",E32="",M32="",K32="",O32="",Y32="",R32="",AA32="",AH32="",AJ32="",AD32="", U32="",W32=""),"",IF(AND(ISNUMBER(SEARCH("Other",E32)),OR(H32="",ISBLANK(H32),ISNUMBER(SEARCH("Description",H32)))),"",ROUND(M32*AD32*K32/1000,0)))</f>
        <v/>
      </c>
      <c r="AX32" s="802" t="str">
        <f>IF(OR(C32="",E32="",M32="",K32="",O32="",Y32="",R32="",AA32="",AH32="",AJ32="",AD32="", U32="",W32=""),"",IF(AND(ISNUMBER(SEARCH("Other",E32)),OR(H32="",ISBLANK(H32),ISNUMBER(SEARCH("Description",H32)))),"",IF(ISNUMBER(SEARCH("Network",O32)),ROUND(0.76*Y32*AD32*U32/1000,0),ROUND(Y32*AD32*U32/1000,0))))</f>
        <v/>
      </c>
      <c r="AY32" s="802" t="str">
        <f>IF(OR(C32="",E32="",M32="",K32="",O32="",Y32="",R32="",AA32="",AH32="",AJ32="",AD32="", U32="",W32=""),"",IF(AND(ISNUMBER(SEARCH("Other",E32)),OR(H32="",ISBLANK(H32),ISNUMBER(SEARCH("Description",H32)))),"",ROUND(K32*M32,0)))</f>
        <v/>
      </c>
      <c r="AZ32" s="802" t="str">
        <f>IF(OR(C32="",E32="",M32="",K32="",O32="",Y32="",R32="",AA32="",AH32="",AJ32="",AD32="", U32="",W32=""),"",IF(AND(K32&gt;=U32,ISNUMBER(SEARCH("Type",O32))),ROUND(U32*LEFT(INDEX(CMLIGHTBASE[Measure Subgroup 2], MATCH(E32,CMLIGHTBASE[Base Desc 1],0)),2)*Y32/W32,0),IF(AND(K32&lt;U32,ISNUMBER(SEARCH("Type",O32))),ROUND(K32*LEFT(INDEX(CMLIGHTBASE[Measure Subgroup 2], MATCH(E32,CMLIGHTBASE[Base Desc 1],0)),2)*Y32/W32,0),IF(OR(ISNUMBER(SEARCH("Fixture",O32)),ISNUMBER(SEARCH("Kit",O32))),U32*Y32))))</f>
        <v/>
      </c>
      <c r="BA32" s="800" t="str">
        <f>CONCATENATE(C32,"-","LED","-",O32)</f>
        <v>-LED-</v>
      </c>
      <c r="BB32" s="808" t="str">
        <f>IF(OR(C32="",E32="",M32="",K32="",O32="",Y32="",R32="",AA32="",AH32="",AJ32="",AD32="", U32="",W32=""),"",IF(AND(ISNUMBER(SEARCH("Other",E32)),OR(H32="",ISBLANK(H32),ISNUMBER(SEARCH("Description",H32)))),"",INDEX(PMELIGHTLIN[Measure '#],MATCH(BA32,PMELIGHTLIN[Measure Validator],0))))</f>
        <v/>
      </c>
      <c r="BC32" s="808" t="str">
        <f>IFERROR(IF(OR(C32="",AH32=""),"",IF(BB32="","",INDEX(PMELIGHTLIN[Inc Rate Unit FT],MATCH(BA32,PMELIGHTLIN[Measure Validator],0)))),"")</f>
        <v/>
      </c>
      <c r="BD32" s="808">
        <f>IFERROR(ROUND(IF(OR(C32="",AH32=""),"",IF(BB32="","",IF(AND(K32&gt;=U32,ISNUMBER(SEARCH("Type",BA32))),BC32*(U32*W32)*LEFT(INDEX(CMLIGHTBASE[Measure Subgroup 1], MATCH(E32,CMLIGHTBASE[Base Desc 1],0)),1),IF(AND(K32&lt;U32,ISNUMBER(SEARCH("Type",BA32))),BC32*(W32*K32)*LEFT(INDEX(CMLIGHTBASE[Measure Subgroup 1], MATCH(E32,CMLIGHTBASE[Base Desc 1],0)),1),0)))),2),0)</f>
        <v>0</v>
      </c>
      <c r="BE32" s="1192">
        <f t="shared" si="1"/>
        <v>0</v>
      </c>
      <c r="BF32" s="800" t="str">
        <f>IF(OR(C32="",E32="",M32="",K32="",O32="",Y32="",R32="",AA32="",AH32="",AJ32="",AD32="", U32="",W32=""),"",IF(AND(ISNUMBER(SEARCH("Other",E32)),OR(H32="",ISBLANK(H32),ISNUMBER(SEARCH("Description",H32)))),"",IFERROR(IF(AD32&lt;INDEX(PMELIGHTLIN[Eff Watt 2],MATCH(BA32,PMELIGHTLIN[Measure Validator],0)),"Operating Hours Invalid",IF(ISNUMBER(SEARCH("SPILLOVER",AA32)),PROJSTATELI,IF((AW32-AX32)&lt;0,"No Savings",IF(AF32&lt;50000,"Lamp Life Too Short","")))),"ERROR")))</f>
        <v/>
      </c>
      <c r="BG32" s="802" t="str">
        <f>IF(AND(ISBLANK(AH32),ISBLANK(AJ32)),"",IF(BD32&gt;AU32,"Yes","No"))</f>
        <v/>
      </c>
      <c r="BH32" s="1051">
        <f>IF(M02S02F32&lt;&gt;"",INDEX(SPACEHEAT[HIF],MATCH(M02S02F32,SHEAT,0)),1)</f>
        <v>1</v>
      </c>
      <c r="BI32" s="802"/>
      <c r="BJ32" s="1225">
        <f t="shared" ref="BJ32" si="21">IFERROR(ROUND(BL32*1.1,2),0)</f>
        <v>0</v>
      </c>
      <c r="BK32" s="804" t="str">
        <f>IF(M02S02F44="","Update Install Status",IF(M02S02F44="No","Submit for Pre-Approval",IF(OR(C32="",E32="",M32="",K32="",O32="",Y32="",R32="",AA32="",AF32="",AH32="",AD32="",U32="",W32="",AJ32=""),"",IF(BF32&lt;&gt;"",BF32,ROUND(BJ32*BONUSADJ,2)))))</f>
        <v>Update Install Status</v>
      </c>
      <c r="BL32" s="804" t="str">
        <f>IF(M02S02F44="","Update Install Status",IF(M02S02F44="No","Submit for Pre-Approval",IF(OR(C32="",E32="",M32="",K32="",O32="",Y32="",R32="",AA32="",AF32="",AH32="",AD32="",U32="",W32="",AJ32=""),"",IF(BF32&lt;&gt;"",BF32,IF(OR(BD32&lt;0,BE32&lt;0),"No Incentive Savings",IF(ISNUMBER(SEARCH("Type",O32)),MIN(BD32,AU32),MIN(BE32,AU32)))))))</f>
        <v>Update Install Status</v>
      </c>
    </row>
    <row r="33" spans="2:64" ht="15.95" customHeight="1" x14ac:dyDescent="0.25">
      <c r="B33" s="1204"/>
      <c r="C33" s="845"/>
      <c r="D33" s="846"/>
      <c r="E33" s="818"/>
      <c r="F33" s="819"/>
      <c r="G33" s="820"/>
      <c r="H33" s="824"/>
      <c r="I33" s="825"/>
      <c r="J33" s="826"/>
      <c r="K33" s="1210"/>
      <c r="L33" s="1211"/>
      <c r="M33" s="833"/>
      <c r="N33" s="834"/>
      <c r="O33" s="838"/>
      <c r="P33" s="839"/>
      <c r="Q33" s="840"/>
      <c r="R33" s="824"/>
      <c r="S33" s="825"/>
      <c r="T33" s="826"/>
      <c r="U33" s="824"/>
      <c r="V33" s="825"/>
      <c r="W33" s="845"/>
      <c r="X33" s="846"/>
      <c r="Y33" s="849"/>
      <c r="Z33" s="850"/>
      <c r="AA33" s="852"/>
      <c r="AB33" s="852"/>
      <c r="AC33" s="852"/>
      <c r="AD33" s="853"/>
      <c r="AE33" s="853"/>
      <c r="AF33" s="1087"/>
      <c r="AG33" s="1087"/>
      <c r="AH33" s="1214"/>
      <c r="AI33" s="1215"/>
      <c r="AJ33" s="1215"/>
      <c r="AK33" s="1217"/>
      <c r="AL33" s="973"/>
      <c r="AM33" s="870"/>
      <c r="AN33" s="870"/>
      <c r="AO33" s="872"/>
      <c r="AP33" s="872"/>
      <c r="AQ33" s="872"/>
      <c r="AU33" s="805"/>
      <c r="AV33" s="807"/>
      <c r="AW33" s="803"/>
      <c r="AX33" s="803"/>
      <c r="AY33" s="803"/>
      <c r="AZ33" s="803"/>
      <c r="BA33" s="801"/>
      <c r="BB33" s="797"/>
      <c r="BC33" s="797"/>
      <c r="BD33" s="797"/>
      <c r="BE33" s="1192"/>
      <c r="BF33" s="801"/>
      <c r="BG33" s="803"/>
      <c r="BH33" s="1052"/>
      <c r="BI33" s="803"/>
      <c r="BJ33" s="1226"/>
      <c r="BK33" s="805"/>
      <c r="BL33" s="805"/>
    </row>
    <row r="34" spans="2:64" ht="15.95" customHeight="1" x14ac:dyDescent="0.25">
      <c r="B34" s="1204">
        <v>9</v>
      </c>
      <c r="C34" s="843"/>
      <c r="D34" s="844"/>
      <c r="E34" s="815"/>
      <c r="F34" s="816"/>
      <c r="G34" s="817"/>
      <c r="H34" s="821"/>
      <c r="I34" s="822"/>
      <c r="J34" s="823"/>
      <c r="K34" s="1210"/>
      <c r="L34" s="1211"/>
      <c r="M34" s="831" t="str">
        <f>IF(OR($E34="",ISNUMBER(SEARCH("Other",$E34))),"",INDEX(CMLIGHTBASE[Base Watt 1],MATCH($E34,CMLIGHTBASE[Base Desc 1],0)))</f>
        <v/>
      </c>
      <c r="N34" s="832"/>
      <c r="O34" s="1209"/>
      <c r="P34" s="836"/>
      <c r="Q34" s="837"/>
      <c r="R34" s="841"/>
      <c r="S34" s="822"/>
      <c r="T34" s="823"/>
      <c r="U34" s="842"/>
      <c r="V34" s="822"/>
      <c r="W34" s="843" t="str">
        <f>IF(O34="","",IF(ISNUMBER(SEARCH("Type",O34)),"","N/A"))</f>
        <v/>
      </c>
      <c r="X34" s="844"/>
      <c r="Y34" s="847"/>
      <c r="Z34" s="848"/>
      <c r="AA34" s="851"/>
      <c r="AB34" s="852"/>
      <c r="AC34" s="852"/>
      <c r="AD34" s="853"/>
      <c r="AE34" s="853"/>
      <c r="AF34" s="1086"/>
      <c r="AG34" s="1086"/>
      <c r="AH34" s="1212"/>
      <c r="AI34" s="1213"/>
      <c r="AJ34" s="1213"/>
      <c r="AK34" s="1216"/>
      <c r="AL34" s="973" t="str">
        <f t="shared" ref="AL34" si="22">IF(OR(C34="",E34="",M34="",K34="",O34="",Y34="",R34="",AA34="",AH34="",AJ34="",AD34="",U34="",W34=""),"",IFERROR(ROUND(IF((AW34-AX34)&lt;=0,0,BH34*(AW34-AX34)),0),""))</f>
        <v/>
      </c>
      <c r="AM34" s="870"/>
      <c r="AN34" s="870"/>
      <c r="AO34" s="872" t="str">
        <f>IF(M02S02F44="","Update Install Status",IF(M02S02F44="No","Submit for Pre-Approval",IF(OR(C34="",E34="",M34="",K34="",O34="",Y34="",R34="",AA34="",AF34="",AH34="",AD34="",U34="",W34="",AJ34=""),"",IF(BF34&lt;&gt;"",BF34,IF(OR(BD34&lt;0,BE34&lt;0),"No Incentive Savings",IF(ISNUMBER(SEARCH("Type",O34)),MIN(BD34,AU34),MIN(BE34,AU34)))))))</f>
        <v>Update Install Status</v>
      </c>
      <c r="AP34" s="872"/>
      <c r="AQ34" s="872"/>
      <c r="AU34" s="804" t="str">
        <f>IF(OR(C34="",E34="",M34="",K34="",O34="",Y34="",R34="",AA34="",AH34="",AJ34="",AD34="", U34="",W34=""),"",IF(AND(ISNUMBER(SEARCH("Other",E34)),OR(H34="",ISBLANK(H34),ISNUMBER(SEARCH("Description",H34)))),"",(ROUND((AH34+AJ34)*U34,2))))</f>
        <v/>
      </c>
      <c r="AV34" s="806" t="str">
        <f>IF(OR(C34="",E34="",M34="",K34="",O34="",Y34="",R34="",AA34="",AH34="",AJ34="",AD34="", U34="",W34=""),"",IF(AND(ISNUMBER(SEARCH("Other",E34)),OR(H34="",ISBLANK(H34),ISNUMBER(SEARCH("Description",H34)))),"",ROUND(AL34*INDEX(ENDUSEALL[Factor],MATCH(IF(ISNUMBER(SEARCH("24/7",AA34)),"Miscellaneous","Lighting"),ENDUSEALL[End Use to Coincident Peak Demand Factors],0)),4)))</f>
        <v/>
      </c>
      <c r="AW34" s="802" t="str">
        <f>IF(OR(C34="",E34="",M34="",K34="",O34="",Y34="",R34="",AA34="",AH34="",AJ34="",AD34="", U34="",W34=""),"",IF(AND(ISNUMBER(SEARCH("Other",E34)),OR(H34="",ISBLANK(H34),ISNUMBER(SEARCH("Description",H34)))),"",ROUND(M34*AD34*K34/1000,0)))</f>
        <v/>
      </c>
      <c r="AX34" s="802" t="str">
        <f>IF(OR(C34="",E34="",M34="",K34="",O34="",Y34="",R34="",AA34="",AH34="",AJ34="",AD34="", U34="",W34=""),"",IF(AND(ISNUMBER(SEARCH("Other",E34)),OR(H34="",ISBLANK(H34),ISNUMBER(SEARCH("Description",H34)))),"",IF(ISNUMBER(SEARCH("Network",O34)),ROUND(0.76*Y34*AD34*U34/1000,0),ROUND(Y34*AD34*U34/1000,0))))</f>
        <v/>
      </c>
      <c r="AY34" s="802" t="str">
        <f>IF(OR(C34="",E34="",M34="",K34="",O34="",Y34="",R34="",AA34="",AH34="",AJ34="",AD34="", U34="",W34=""),"",IF(AND(ISNUMBER(SEARCH("Other",E34)),OR(H34="",ISBLANK(H34),ISNUMBER(SEARCH("Description",H34)))),"",ROUND(K34*M34,0)))</f>
        <v/>
      </c>
      <c r="AZ34" s="802" t="str">
        <f>IF(OR(C34="",E34="",M34="",K34="",O34="",Y34="",R34="",AA34="",AH34="",AJ34="",AD34="", U34="",W34=""),"",IF(AND(K34&gt;=U34,ISNUMBER(SEARCH("Type",O34))),ROUND(U34*LEFT(INDEX(CMLIGHTBASE[Measure Subgroup 2], MATCH(E34,CMLIGHTBASE[Base Desc 1],0)),2)*Y34/W34,0),IF(AND(K34&lt;U34,ISNUMBER(SEARCH("Type",O34))),ROUND(K34*LEFT(INDEX(CMLIGHTBASE[Measure Subgroup 2], MATCH(E34,CMLIGHTBASE[Base Desc 1],0)),2)*Y34/W34,0),IF(OR(ISNUMBER(SEARCH("Fixture",O34)),ISNUMBER(SEARCH("Kit",O34))),U34*Y34))))</f>
        <v/>
      </c>
      <c r="BA34" s="800" t="str">
        <f>CONCATENATE(C34,"-","LED","-",O34)</f>
        <v>-LED-</v>
      </c>
      <c r="BB34" s="808" t="str">
        <f>IF(OR(C34="",E34="",M34="",K34="",O34="",Y34="",R34="",AA34="",AH34="",AJ34="",AD34="", U34="",W34=""),"",IF(AND(ISNUMBER(SEARCH("Other",E34)),OR(H34="",ISBLANK(H34),ISNUMBER(SEARCH("Description",H34)))),"",INDEX(PMELIGHTLIN[Measure '#],MATCH(BA34,PMELIGHTLIN[Measure Validator],0))))</f>
        <v/>
      </c>
      <c r="BC34" s="808" t="str">
        <f>IFERROR(IF(OR(C34="",AH34=""),"",IF(BB34="","",INDEX(PMELIGHTLIN[Inc Rate Unit FT],MATCH(BA34,PMELIGHTLIN[Measure Validator],0)))),"")</f>
        <v/>
      </c>
      <c r="BD34" s="808">
        <f>IFERROR(ROUND(IF(OR(C34="",AH34=""),"",IF(BB34="","",IF(AND(K34&gt;=U34,ISNUMBER(SEARCH("Type",BA34))),BC34*(U34*W34)*LEFT(INDEX(CMLIGHTBASE[Measure Subgroup 1], MATCH(E34,CMLIGHTBASE[Base Desc 1],0)),1),IF(AND(K34&lt;U34,ISNUMBER(SEARCH("Type",BA34))),BC34*(W34*K34)*LEFT(INDEX(CMLIGHTBASE[Measure Subgroup 1], MATCH(E34,CMLIGHTBASE[Base Desc 1],0)),1),0)))),2),0)</f>
        <v>0</v>
      </c>
      <c r="BE34" s="1192">
        <f t="shared" si="1"/>
        <v>0</v>
      </c>
      <c r="BF34" s="800" t="str">
        <f>IF(OR(C34="",E34="",M34="",K34="",O34="",Y34="",R34="",AA34="",AH34="",AJ34="",AD34="", U34="",W34=""),"",IF(AND(ISNUMBER(SEARCH("Other",E34)),OR(H34="",ISBLANK(H34),ISNUMBER(SEARCH("Description",H34)))),"",IFERROR(IF(AD34&lt;INDEX(PMELIGHTLIN[Eff Watt 2],MATCH(BA34,PMELIGHTLIN[Measure Validator],0)),"Operating Hours Invalid",IF(ISNUMBER(SEARCH("SPILLOVER",AA34)),PROJSTATELI,IF((AW34-AX34)&lt;0,"No Savings",IF(AF34&lt;50000,"Lamp Life Too Short","")))),"ERROR")))</f>
        <v/>
      </c>
      <c r="BG34" s="802" t="str">
        <f>IF(AND(ISBLANK(AH34),ISBLANK(AJ34)),"",IF(BD34&gt;AU34,"Yes","No"))</f>
        <v/>
      </c>
      <c r="BH34" s="1051">
        <f>IF(M02S02F32&lt;&gt;"",INDEX(SPACEHEAT[HIF],MATCH(M02S02F32,SHEAT,0)),1)</f>
        <v>1</v>
      </c>
      <c r="BI34" s="802"/>
      <c r="BJ34" s="1225">
        <f t="shared" ref="BJ34" si="23">IFERROR(ROUND(BL34*1.1,2),0)</f>
        <v>0</v>
      </c>
      <c r="BK34" s="804" t="str">
        <f>IF(M02S02F44="","Update Install Status",IF(M02S02F44="No","Submit for Pre-Approval",IF(OR(C34="",E34="",M34="",K34="",O34="",Y34="",R34="",AA34="",AF34="",AH34="",AD34="",U34="",W34="",AJ34=""),"",IF(BF34&lt;&gt;"",BF34,ROUND(BJ34*BONUSADJ,2)))))</f>
        <v>Update Install Status</v>
      </c>
      <c r="BL34" s="804" t="str">
        <f>IF(M02S02F44="","Update Install Status",IF(M02S02F44="No","Submit for Pre-Approval",IF(OR(C34="",E34="",M34="",K34="",O34="",Y34="",R34="",AA34="",AF34="",AH34="",AD34="",U34="",W34="",AJ34=""),"",IF(BF34&lt;&gt;"",BF34,IF(OR(BD34&lt;0,BE34&lt;0),"No Incentive Savings",IF(ISNUMBER(SEARCH("Type",O34)),MIN(BD34,AU34),MIN(BE34,AU34)))))))</f>
        <v>Update Install Status</v>
      </c>
    </row>
    <row r="35" spans="2:64" ht="15.95" customHeight="1" x14ac:dyDescent="0.25">
      <c r="B35" s="1204"/>
      <c r="C35" s="845"/>
      <c r="D35" s="846"/>
      <c r="E35" s="818"/>
      <c r="F35" s="819"/>
      <c r="G35" s="820"/>
      <c r="H35" s="824"/>
      <c r="I35" s="825"/>
      <c r="J35" s="826"/>
      <c r="K35" s="1210"/>
      <c r="L35" s="1211"/>
      <c r="M35" s="833"/>
      <c r="N35" s="834"/>
      <c r="O35" s="838"/>
      <c r="P35" s="839"/>
      <c r="Q35" s="840"/>
      <c r="R35" s="824"/>
      <c r="S35" s="825"/>
      <c r="T35" s="826"/>
      <c r="U35" s="824"/>
      <c r="V35" s="825"/>
      <c r="W35" s="845"/>
      <c r="X35" s="846"/>
      <c r="Y35" s="849"/>
      <c r="Z35" s="850"/>
      <c r="AA35" s="852"/>
      <c r="AB35" s="852"/>
      <c r="AC35" s="852"/>
      <c r="AD35" s="853"/>
      <c r="AE35" s="853"/>
      <c r="AF35" s="1087"/>
      <c r="AG35" s="1087"/>
      <c r="AH35" s="1214"/>
      <c r="AI35" s="1215"/>
      <c r="AJ35" s="1215"/>
      <c r="AK35" s="1217"/>
      <c r="AL35" s="973"/>
      <c r="AM35" s="870"/>
      <c r="AN35" s="870"/>
      <c r="AO35" s="872"/>
      <c r="AP35" s="872"/>
      <c r="AQ35" s="872"/>
      <c r="AU35" s="805"/>
      <c r="AV35" s="807"/>
      <c r="AW35" s="803"/>
      <c r="AX35" s="803"/>
      <c r="AY35" s="803"/>
      <c r="AZ35" s="803"/>
      <c r="BA35" s="801"/>
      <c r="BB35" s="797"/>
      <c r="BC35" s="797"/>
      <c r="BD35" s="797"/>
      <c r="BE35" s="1192"/>
      <c r="BF35" s="801"/>
      <c r="BG35" s="803"/>
      <c r="BH35" s="1052"/>
      <c r="BI35" s="803"/>
      <c r="BJ35" s="1226"/>
      <c r="BK35" s="805"/>
      <c r="BL35" s="805"/>
    </row>
    <row r="36" spans="2:64" ht="15.95" customHeight="1" x14ac:dyDescent="0.25">
      <c r="B36" s="1204">
        <v>10</v>
      </c>
      <c r="C36" s="843"/>
      <c r="D36" s="844"/>
      <c r="E36" s="815"/>
      <c r="F36" s="816"/>
      <c r="G36" s="817"/>
      <c r="H36" s="821"/>
      <c r="I36" s="822"/>
      <c r="J36" s="823"/>
      <c r="K36" s="1210"/>
      <c r="L36" s="1211"/>
      <c r="M36" s="831" t="str">
        <f>IF(OR($E36="",ISNUMBER(SEARCH("Other",$E36))),"",INDEX(CMLIGHTBASE[Base Watt 1],MATCH($E36,CMLIGHTBASE[Base Desc 1],0)))</f>
        <v/>
      </c>
      <c r="N36" s="832"/>
      <c r="O36" s="1209"/>
      <c r="P36" s="836"/>
      <c r="Q36" s="837"/>
      <c r="R36" s="841"/>
      <c r="S36" s="822"/>
      <c r="T36" s="823"/>
      <c r="U36" s="842"/>
      <c r="V36" s="822"/>
      <c r="W36" s="843" t="str">
        <f>IF(O36="","",IF(ISNUMBER(SEARCH("Type",O36)),"","N/A"))</f>
        <v/>
      </c>
      <c r="X36" s="844"/>
      <c r="Y36" s="847"/>
      <c r="Z36" s="848"/>
      <c r="AA36" s="851"/>
      <c r="AB36" s="852"/>
      <c r="AC36" s="852"/>
      <c r="AD36" s="853"/>
      <c r="AE36" s="853"/>
      <c r="AF36" s="1086"/>
      <c r="AG36" s="1086"/>
      <c r="AH36" s="1212"/>
      <c r="AI36" s="1213"/>
      <c r="AJ36" s="1213"/>
      <c r="AK36" s="1216"/>
      <c r="AL36" s="973" t="str">
        <f>IF(OR(C36="",E36="",M36="",K36="",O36="",Y36="",R36="",AA36="",AH36="",AJ36="",AD36="",U36="",W36=""),"",IFERROR(ROUND(IF((AW36-AX36)&lt;=0,0,BH36*(AW36-AX36)),0),""))</f>
        <v/>
      </c>
      <c r="AM36" s="870"/>
      <c r="AN36" s="870"/>
      <c r="AO36" s="872" t="str">
        <f>IF(M02S02F44="","Update Install Status",IF(M02S02F44="No","Submit for Pre-Approval",IF(OR(C36="",E36="",M36="",K36="",O36="",Y36="",R36="",AA36="",AF36="",AH36="",AD36="",U36="",W36="",AJ36=""),"",IF(BF36&lt;&gt;"",BF36,IF(OR(BD36&lt;0,BE36&lt;0),"No Incentive Savings",IF(ISNUMBER(SEARCH("Type",O36)),MIN(BD36,AU36),MIN(BE36,AU36)))))))</f>
        <v>Update Install Status</v>
      </c>
      <c r="AP36" s="872"/>
      <c r="AQ36" s="872"/>
      <c r="AU36" s="804" t="str">
        <f>IF(OR(C36="",E36="",M36="",K36="",O36="",Y36="",R36="",AA36="",AH36="",AJ36="",AD36="", U36="",W36=""),"",IF(AND(ISNUMBER(SEARCH("Other",E36)),OR(H36="",ISBLANK(H36),ISNUMBER(SEARCH("Description",H36)))),"",(ROUND((AH36+AJ36)*U36,2))))</f>
        <v/>
      </c>
      <c r="AV36" s="806" t="str">
        <f>IF(OR(C36="",E36="",M36="",K36="",O36="",Y36="",R36="",AA36="",AH36="",AJ36="",AD36="", U36="",W36=""),"",IF(AND(ISNUMBER(SEARCH("Other",E36)),OR(H36="",ISBLANK(H36),ISNUMBER(SEARCH("Description",H36)))),"",ROUND(AL36*INDEX(ENDUSEALL[Factor],MATCH(IF(ISNUMBER(SEARCH("24/7",AA36)),"Miscellaneous","Lighting"),ENDUSEALL[End Use to Coincident Peak Demand Factors],0)),4)))</f>
        <v/>
      </c>
      <c r="AW36" s="802" t="str">
        <f>IF(OR(C36="",E36="",M36="",K36="",O36="",Y36="",R36="",AA36="",AH36="",AJ36="",AD36="", U36="",W36=""),"",IF(AND(ISNUMBER(SEARCH("Other",E36)),OR(H36="",ISBLANK(H36),ISNUMBER(SEARCH("Description",H36)))),"",ROUND(M36*AD36*K36/1000,0)))</f>
        <v/>
      </c>
      <c r="AX36" s="802" t="str">
        <f>IF(OR(C36="",E36="",M36="",K36="",O36="",Y36="",R36="",AA36="",AH36="",AJ36="",AD36="", U36="",W36=""),"",IF(AND(ISNUMBER(SEARCH("Other",E36)),OR(H36="",ISBLANK(H36),ISNUMBER(SEARCH("Description",H36)))),"",IF(ISNUMBER(SEARCH("Network",O36)),ROUND(0.76*Y36*AD36*U36/1000,0),ROUND(Y36*AD36*U36/1000,0))))</f>
        <v/>
      </c>
      <c r="AY36" s="802" t="str">
        <f>IF(OR(C36="",E36="",M36="",K36="",O36="",Y36="",R36="",AA36="",AH36="",AJ36="",AD36="", U36="",W36=""),"",IF(AND(ISNUMBER(SEARCH("Other",E36)),OR(H36="",ISBLANK(H36),ISNUMBER(SEARCH("Description",H36)))),"",ROUND(K36*M36,0)))</f>
        <v/>
      </c>
      <c r="AZ36" s="802" t="str">
        <f>IF(OR(C36="",E36="",M36="",K36="",O36="",Y36="",R36="",AA36="",AH36="",AJ36="",AD36="", U36="",W36=""),"",IF(AND(K36&gt;=U36,ISNUMBER(SEARCH("Type",O36))),ROUND(U36*LEFT(INDEX(CMLIGHTBASE[Measure Subgroup 2], MATCH(E36,CMLIGHTBASE[Base Desc 1],0)),2)*Y36/W36,0),IF(AND(K36&lt;U36,ISNUMBER(SEARCH("Type",O36))),ROUND(K36*LEFT(INDEX(CMLIGHTBASE[Measure Subgroup 2], MATCH(E36,CMLIGHTBASE[Base Desc 1],0)),2)*Y36/W36,0),IF(OR(ISNUMBER(SEARCH("Fixture",O36)),ISNUMBER(SEARCH("Kit",O36))),U36*Y36))))</f>
        <v/>
      </c>
      <c r="BA36" s="800" t="str">
        <f>CONCATENATE(C36,"-","LED","-",O36)</f>
        <v>-LED-</v>
      </c>
      <c r="BB36" s="808" t="str">
        <f>IF(OR(C36="",E36="",M36="",K36="",O36="",Y36="",R36="",AA36="",AH36="",AJ36="",AD36="", U36="",W36=""),"",IF(AND(ISNUMBER(SEARCH("Other",E36)),OR(H36="",ISBLANK(H36),ISNUMBER(SEARCH("Description",H36)))),"",INDEX(PMELIGHTLIN[Measure '#],MATCH(BA36,PMELIGHTLIN[Measure Validator],0))))</f>
        <v/>
      </c>
      <c r="BC36" s="808" t="str">
        <f>IFERROR(IF(OR(C36="",AH36=""),"",IF(BB36="","",INDEX(PMELIGHTLIN[Inc Rate Unit FT],MATCH(BA36,PMELIGHTLIN[Measure Validator],0)))),"")</f>
        <v/>
      </c>
      <c r="BD36" s="808">
        <f>IFERROR(ROUND(IF(OR(C36="",AH36=""),"",IF(BB36="","",IF(AND(K36&gt;=U36,ISNUMBER(SEARCH("Type",BA36))),BC36*(U36*W36)*LEFT(INDEX(CMLIGHTBASE[Measure Subgroup 1], MATCH(E36,CMLIGHTBASE[Base Desc 1],0)),1),IF(AND(K36&lt;U36,ISNUMBER(SEARCH("Type",BA36))),BC36*(W36*K36)*LEFT(INDEX(CMLIGHTBASE[Measure Subgroup 1], MATCH(E36,CMLIGHTBASE[Base Desc 1],0)),1),0)))),2),0)</f>
        <v>0</v>
      </c>
      <c r="BE36" s="1192">
        <f t="shared" si="1"/>
        <v>0</v>
      </c>
      <c r="BF36" s="800" t="str">
        <f>IF(OR(C36="",E36="",M36="",K36="",O36="",Y36="",R36="",AA36="",AH36="",AJ36="",AD36="", U36="",W36=""),"",IF(AND(ISNUMBER(SEARCH("Other",E36)),OR(H36="",ISBLANK(H36),ISNUMBER(SEARCH("Description",H36)))),"",IFERROR(IF(AD36&lt;INDEX(PMELIGHTLIN[Eff Watt 2],MATCH(BA36,PMELIGHTLIN[Measure Validator],0)),"Operating Hours Invalid",IF(ISNUMBER(SEARCH("SPILLOVER",AA36)),PROJSTATELI,IF((AW36-AX36)&lt;0,"No Savings",IF(AF36&lt;50000,"Lamp Life Too Short","")))),"ERROR")))</f>
        <v/>
      </c>
      <c r="BG36" s="802" t="str">
        <f>IF(AND(ISBLANK(AH36),ISBLANK(AJ36)),"",IF(BD36&gt;AU36,"Yes","No"))</f>
        <v/>
      </c>
      <c r="BH36" s="1051">
        <f>IF(M02S02F32&lt;&gt;"",INDEX(SPACEHEAT[HIF],MATCH(M02S02F32,SHEAT,0)),1)</f>
        <v>1</v>
      </c>
      <c r="BI36" s="802"/>
      <c r="BJ36" s="1225">
        <f t="shared" ref="BJ36" si="24">IFERROR(ROUND(BL36*1.1,2),0)</f>
        <v>0</v>
      </c>
      <c r="BK36" s="804" t="str">
        <f>IF(M02S02F44="","Update Install Status",IF(M02S02F44="No","Submit for Pre-Approval",IF(OR(C36="",E36="",M36="",K36="",O36="",Y36="",R36="",AA36="",AF36="",AH36="",AD36="",U36="",W36="",AJ36=""),"",IF(BF36&lt;&gt;"",BF36,ROUND(BJ36*BONUSADJ,2)))))</f>
        <v>Update Install Status</v>
      </c>
      <c r="BL36" s="804" t="str">
        <f>IF(M02S02F44="","Update Install Status",IF(M02S02F44="No","Submit for Pre-Approval",IF(OR(C36="",E36="",M36="",K36="",O36="",Y36="",R36="",AA36="",AF36="",AH36="",AD36="",U36="",W36="",AJ36=""),"",IF(BF36&lt;&gt;"",BF36,IF(OR(BD36&lt;0,BE36&lt;0),"No Incentive Savings",IF(ISNUMBER(SEARCH("Type",O36)),MIN(BD36,AU36),MIN(BE36,AU36)))))))</f>
        <v>Update Install Status</v>
      </c>
    </row>
    <row r="37" spans="2:64" ht="15.95" customHeight="1" x14ac:dyDescent="0.25">
      <c r="B37" s="1204"/>
      <c r="C37" s="845"/>
      <c r="D37" s="846"/>
      <c r="E37" s="818"/>
      <c r="F37" s="819"/>
      <c r="G37" s="820"/>
      <c r="H37" s="824"/>
      <c r="I37" s="825"/>
      <c r="J37" s="826"/>
      <c r="K37" s="1210"/>
      <c r="L37" s="1211"/>
      <c r="M37" s="833"/>
      <c r="N37" s="834"/>
      <c r="O37" s="838"/>
      <c r="P37" s="839"/>
      <c r="Q37" s="840"/>
      <c r="R37" s="824"/>
      <c r="S37" s="825"/>
      <c r="T37" s="826"/>
      <c r="U37" s="824"/>
      <c r="V37" s="825"/>
      <c r="W37" s="845"/>
      <c r="X37" s="846"/>
      <c r="Y37" s="849"/>
      <c r="Z37" s="850"/>
      <c r="AA37" s="852"/>
      <c r="AB37" s="852"/>
      <c r="AC37" s="852"/>
      <c r="AD37" s="853"/>
      <c r="AE37" s="853"/>
      <c r="AF37" s="1087"/>
      <c r="AG37" s="1087"/>
      <c r="AH37" s="1214"/>
      <c r="AI37" s="1215"/>
      <c r="AJ37" s="1215"/>
      <c r="AK37" s="1217"/>
      <c r="AL37" s="973"/>
      <c r="AM37" s="870"/>
      <c r="AN37" s="870"/>
      <c r="AO37" s="872"/>
      <c r="AP37" s="872"/>
      <c r="AQ37" s="872"/>
      <c r="AU37" s="805"/>
      <c r="AV37" s="807"/>
      <c r="AW37" s="803"/>
      <c r="AX37" s="803"/>
      <c r="AY37" s="803"/>
      <c r="AZ37" s="803"/>
      <c r="BA37" s="801"/>
      <c r="BB37" s="797"/>
      <c r="BC37" s="797"/>
      <c r="BD37" s="797"/>
      <c r="BE37" s="1192"/>
      <c r="BF37" s="801"/>
      <c r="BG37" s="803"/>
      <c r="BH37" s="1052"/>
      <c r="BI37" s="803"/>
      <c r="BJ37" s="1226"/>
      <c r="BK37" s="805"/>
      <c r="BL37" s="805"/>
    </row>
    <row r="38" spans="2:64" ht="15.95" customHeight="1" x14ac:dyDescent="0.25">
      <c r="B38" s="1204">
        <v>11</v>
      </c>
      <c r="C38" s="843"/>
      <c r="D38" s="844"/>
      <c r="E38" s="815"/>
      <c r="F38" s="816"/>
      <c r="G38" s="817"/>
      <c r="H38" s="881"/>
      <c r="I38" s="822"/>
      <c r="J38" s="823"/>
      <c r="K38" s="1210"/>
      <c r="L38" s="1211"/>
      <c r="M38" s="831" t="str">
        <f>IF(OR($E38="",ISNUMBER(SEARCH("Other",$E38))),"",INDEX(CMLIGHTBASE[Base Watt 1],MATCH($E38,CMLIGHTBASE[Base Desc 1],0)))</f>
        <v/>
      </c>
      <c r="N38" s="832"/>
      <c r="O38" s="1209"/>
      <c r="P38" s="836"/>
      <c r="Q38" s="837"/>
      <c r="R38" s="881"/>
      <c r="S38" s="822"/>
      <c r="T38" s="823"/>
      <c r="U38" s="842"/>
      <c r="V38" s="822"/>
      <c r="W38" s="843" t="str">
        <f>IF(O38="","",IF(ISNUMBER(SEARCH("Type",O38)),"","N/A"))</f>
        <v/>
      </c>
      <c r="X38" s="844"/>
      <c r="Y38" s="847"/>
      <c r="Z38" s="848"/>
      <c r="AA38" s="880"/>
      <c r="AB38" s="852"/>
      <c r="AC38" s="852"/>
      <c r="AD38" s="853"/>
      <c r="AE38" s="853"/>
      <c r="AF38" s="1086"/>
      <c r="AG38" s="1086"/>
      <c r="AH38" s="1212"/>
      <c r="AI38" s="1213"/>
      <c r="AJ38" s="1213"/>
      <c r="AK38" s="1216"/>
      <c r="AL38" s="973" t="str">
        <f t="shared" ref="AL38" si="25">IF(OR(C38="",E38="",M38="",K38="",O38="",Y38="",R38="",AA38="",AH38="",AJ38="",AD38="",U38="",W38=""),"",IFERROR(ROUND(IF((AW38-AX38)&lt;=0,0,BH38*(AW38-AX38)),0),""))</f>
        <v/>
      </c>
      <c r="AM38" s="870"/>
      <c r="AN38" s="870"/>
      <c r="AO38" s="872" t="str">
        <f>IF(M02S02F44="","Update Install Status",IF(M02S02F44="No","Submit for Pre-Approval",IF(OR(C38="",E38="",M38="",K38="",O38="",Y38="",R38="",AA38="",AF38="",AH38="",AD38="",U38="",W38="",AJ38=""),"",IF(BF38&lt;&gt;"",BF38,IF(OR(BD38&lt;0,BE38&lt;0),"No Incentive Savings",IF(ISNUMBER(SEARCH("Type",O38)),MIN(BD38,AU38),MIN(BE38,AU38)))))))</f>
        <v>Update Install Status</v>
      </c>
      <c r="AP38" s="872"/>
      <c r="AQ38" s="872"/>
      <c r="AU38" s="804" t="str">
        <f>IF(OR(C38="",E38="",M38="",K38="",O38="",Y38="",R38="",AA38="",AH38="",AJ38="",AD38="", U38="",W38=""),"",IF(AND(ISNUMBER(SEARCH("Other",E38)),OR(H38="",ISBLANK(H38),ISNUMBER(SEARCH("Description",H38)))),"",(ROUND((AH38+AJ38)*U38,2))))</f>
        <v/>
      </c>
      <c r="AV38" s="806" t="str">
        <f>IF(OR(C38="",E38="",M38="",K38="",O38="",Y38="",R38="",AA38="",AH38="",AJ38="",AD38="", U38="",W38=""),"",IF(AND(ISNUMBER(SEARCH("Other",E38)),OR(H38="",ISBLANK(H38),ISNUMBER(SEARCH("Description",H38)))),"",ROUND(AL38*INDEX(ENDUSEALL[Factor],MATCH(IF(ISNUMBER(SEARCH("24/7",AA38)),"Miscellaneous","Lighting"),ENDUSEALL[End Use to Coincident Peak Demand Factors],0)),4)))</f>
        <v/>
      </c>
      <c r="AW38" s="802" t="str">
        <f>IF(OR(C38="",E38="",M38="",K38="",O38="",Y38="",R38="",AA38="",AH38="",AJ38="",AD38="", U38="",W38=""),"",IF(AND(ISNUMBER(SEARCH("Other",E38)),OR(H38="",ISBLANK(H38),ISNUMBER(SEARCH("Description",H38)))),"",ROUND(M38*AD38*K38/1000,0)))</f>
        <v/>
      </c>
      <c r="AX38" s="802" t="str">
        <f>IF(OR(C38="",E38="",M38="",K38="",O38="",Y38="",R38="",AA38="",AH38="",AJ38="",AD38="", U38="",W38=""),"",IF(AND(ISNUMBER(SEARCH("Other",E38)),OR(H38="",ISBLANK(H38),ISNUMBER(SEARCH("Description",H38)))),"",IF(ISNUMBER(SEARCH("Network",O38)),ROUND(0.76*Y38*AD38*U38/1000,0),ROUND(Y38*AD38*U38/1000,0))))</f>
        <v/>
      </c>
      <c r="AY38" s="802" t="str">
        <f>IF(OR(C38="",E38="",M38="",K38="",O38="",Y38="",R38="",AA38="",AH38="",AJ38="",AD38="", U38="",W38=""),"",IF(AND(ISNUMBER(SEARCH("Other",E38)),OR(H38="",ISBLANK(H38),ISNUMBER(SEARCH("Description",H38)))),"",ROUND(K38*M38,0)))</f>
        <v/>
      </c>
      <c r="AZ38" s="802" t="str">
        <f>IF(OR(C38="",E38="",M38="",K38="",O38="",Y38="",R38="",AA38="",AH38="",AJ38="",AD38="", U38="",W38=""),"",IF(AND(K38&gt;=U38,ISNUMBER(SEARCH("Type",O38))),ROUND(U38*LEFT(INDEX(CMLIGHTBASE[Measure Subgroup 2], MATCH(E38,CMLIGHTBASE[Base Desc 1],0)),2)*Y38/W38,0),IF(AND(K38&lt;U38,ISNUMBER(SEARCH("Type",O38))),ROUND(K38*LEFT(INDEX(CMLIGHTBASE[Measure Subgroup 2], MATCH(E38,CMLIGHTBASE[Base Desc 1],0)),2)*Y38/W38,0),IF(OR(ISNUMBER(SEARCH("Fixture",O38)),ISNUMBER(SEARCH("Kit",O38))),U38*Y38))))</f>
        <v/>
      </c>
      <c r="BA38" s="800" t="str">
        <f>CONCATENATE(C38,"-","LED","-",O38)</f>
        <v>-LED-</v>
      </c>
      <c r="BB38" s="808" t="str">
        <f>IF(OR(C38="",E38="",M38="",K38="",O38="",Y38="",R38="",AA38="",AH38="",AJ38="",AD38="", U38="",W38=""),"",IF(AND(ISNUMBER(SEARCH("Other",E38)),OR(H38="",ISBLANK(H38),ISNUMBER(SEARCH("Description",H38)))),"",INDEX(PMELIGHTLIN[Measure '#],MATCH(BA38,PMELIGHTLIN[Measure Validator],0))))</f>
        <v/>
      </c>
      <c r="BC38" s="808" t="str">
        <f>IFERROR(IF(OR(C38="",AH38=""),"",IF(BB38="","",INDEX(PMELIGHTLIN[Inc Rate Unit FT],MATCH(BA38,PMELIGHTLIN[Measure Validator],0)))),"")</f>
        <v/>
      </c>
      <c r="BD38" s="808">
        <f>IFERROR(ROUND(IF(OR(C38="",AH38=""),"",IF(BB38="","",IF(AND(K38&gt;=U38,ISNUMBER(SEARCH("Type",BA38))),BC38*(U38*W38)*LEFT(INDEX(CMLIGHTBASE[Measure Subgroup 1], MATCH(E38,CMLIGHTBASE[Base Desc 1],0)),1),IF(AND(K38&lt;U38,ISNUMBER(SEARCH("Type",BA38))),BC38*(W38*K38)*LEFT(INDEX(CMLIGHTBASE[Measure Subgroup 1], MATCH(E38,CMLIGHTBASE[Base Desc 1],0)),1),0)))),2),0)</f>
        <v>0</v>
      </c>
      <c r="BE38" s="1192">
        <f t="shared" si="1"/>
        <v>0</v>
      </c>
      <c r="BF38" s="800" t="str">
        <f>IF(OR(C38="",E38="",M38="",K38="",O38="",Y38="",R38="",AA38="",AH38="",AJ38="",AD38="", U38="",W38=""),"",IF(AND(ISNUMBER(SEARCH("Other",E38)),OR(H38="",ISBLANK(H38),ISNUMBER(SEARCH("Description",H38)))),"",IFERROR(IF(AD38&lt;INDEX(PMELIGHTLIN[Eff Watt 2],MATCH(BA38,PMELIGHTLIN[Measure Validator],0)),"Operating Hours Invalid",IF(ISNUMBER(SEARCH("SPILLOVER",AA38)),PROJSTATELI,IF((AW38-AX38)&lt;0,"No Savings",IF(AF38&lt;50000,"Lamp Life Too Short","")))),"ERROR")))</f>
        <v/>
      </c>
      <c r="BG38" s="802" t="str">
        <f>IF(AND(ISBLANK(AH38),ISBLANK(AJ38)),"",IF(BD38&gt;AU38,"Yes","No"))</f>
        <v/>
      </c>
      <c r="BH38" s="1051">
        <f>IF(M02S02F32&lt;&gt;"",INDEX(SPACEHEAT[HIF],MATCH(M02S02F32,SHEAT,0)),1)</f>
        <v>1</v>
      </c>
      <c r="BI38" s="802"/>
      <c r="BJ38" s="1225">
        <f t="shared" ref="BJ38" si="26">IFERROR(ROUND(BL38*1.1,2),0)</f>
        <v>0</v>
      </c>
      <c r="BK38" s="804" t="str">
        <f>IF(M02S02F44="","Update Install Status",IF(M02S02F44="No","Submit for Pre-Approval",IF(OR(C38="",E38="",M38="",K38="",O38="",Y38="",R38="",AA38="",AF38="",AH38="",AD38="",U38="",W38="",AJ38=""),"",IF(BF38&lt;&gt;"",BF38,ROUND(BJ38*BONUSADJ,2)))))</f>
        <v>Update Install Status</v>
      </c>
      <c r="BL38" s="804" t="str">
        <f>IF(M02S02F44="","Update Install Status",IF(M02S02F44="No","Submit for Pre-Approval",IF(OR(C38="",E38="",M38="",K38="",O38="",Y38="",R38="",AA38="",AF38="",AH38="",AD38="",U38="",W38="",AJ38=""),"",IF(BF38&lt;&gt;"",BF38,IF(OR(BD38&lt;0,BE38&lt;0),"No Incentive Savings",IF(ISNUMBER(SEARCH("Type",O38)),MIN(BD38,AU38),MIN(BE38,AU38)))))))</f>
        <v>Update Install Status</v>
      </c>
    </row>
    <row r="39" spans="2:64" ht="15.95" customHeight="1" x14ac:dyDescent="0.25">
      <c r="B39" s="1204"/>
      <c r="C39" s="845"/>
      <c r="D39" s="846"/>
      <c r="E39" s="818"/>
      <c r="F39" s="819"/>
      <c r="G39" s="820"/>
      <c r="H39" s="824"/>
      <c r="I39" s="825"/>
      <c r="J39" s="826"/>
      <c r="K39" s="1210"/>
      <c r="L39" s="1211"/>
      <c r="M39" s="833"/>
      <c r="N39" s="834"/>
      <c r="O39" s="838"/>
      <c r="P39" s="839"/>
      <c r="Q39" s="840"/>
      <c r="R39" s="824"/>
      <c r="S39" s="825"/>
      <c r="T39" s="826"/>
      <c r="U39" s="824"/>
      <c r="V39" s="825"/>
      <c r="W39" s="845"/>
      <c r="X39" s="846"/>
      <c r="Y39" s="849"/>
      <c r="Z39" s="850"/>
      <c r="AA39" s="852"/>
      <c r="AB39" s="852"/>
      <c r="AC39" s="852"/>
      <c r="AD39" s="853"/>
      <c r="AE39" s="853"/>
      <c r="AF39" s="1087"/>
      <c r="AG39" s="1087"/>
      <c r="AH39" s="1214"/>
      <c r="AI39" s="1215"/>
      <c r="AJ39" s="1215"/>
      <c r="AK39" s="1217"/>
      <c r="AL39" s="973"/>
      <c r="AM39" s="870"/>
      <c r="AN39" s="870"/>
      <c r="AO39" s="872"/>
      <c r="AP39" s="872"/>
      <c r="AQ39" s="872"/>
      <c r="AU39" s="805"/>
      <c r="AV39" s="807"/>
      <c r="AW39" s="803"/>
      <c r="AX39" s="803"/>
      <c r="AY39" s="803"/>
      <c r="AZ39" s="803"/>
      <c r="BA39" s="801"/>
      <c r="BB39" s="797"/>
      <c r="BC39" s="797"/>
      <c r="BD39" s="797"/>
      <c r="BE39" s="1192"/>
      <c r="BF39" s="801"/>
      <c r="BG39" s="803"/>
      <c r="BH39" s="1052"/>
      <c r="BI39" s="803"/>
      <c r="BJ39" s="1226"/>
      <c r="BK39" s="805"/>
      <c r="BL39" s="805"/>
    </row>
    <row r="40" spans="2:64" ht="15.95" customHeight="1" x14ac:dyDescent="0.25">
      <c r="B40" s="1204">
        <v>12</v>
      </c>
      <c r="C40" s="843"/>
      <c r="D40" s="844"/>
      <c r="E40" s="815"/>
      <c r="F40" s="816"/>
      <c r="G40" s="817"/>
      <c r="H40" s="821"/>
      <c r="I40" s="822"/>
      <c r="J40" s="823"/>
      <c r="K40" s="1210"/>
      <c r="L40" s="1211"/>
      <c r="M40" s="831" t="str">
        <f>IF(OR($E40="",ISNUMBER(SEARCH("Other",$E40))),"",INDEX(CMLIGHTBASE[Base Watt 1],MATCH($E40,CMLIGHTBASE[Base Desc 1],0)))</f>
        <v/>
      </c>
      <c r="N40" s="832"/>
      <c r="O40" s="1209"/>
      <c r="P40" s="836"/>
      <c r="Q40" s="837"/>
      <c r="R40" s="841"/>
      <c r="S40" s="822"/>
      <c r="T40" s="823"/>
      <c r="U40" s="842"/>
      <c r="V40" s="822"/>
      <c r="W40" s="843" t="str">
        <f>IF(O40="","",IF(ISNUMBER(SEARCH("Type",O40)),"","N/A"))</f>
        <v/>
      </c>
      <c r="X40" s="844"/>
      <c r="Y40" s="847"/>
      <c r="Z40" s="848"/>
      <c r="AA40" s="851"/>
      <c r="AB40" s="852"/>
      <c r="AC40" s="852"/>
      <c r="AD40" s="853"/>
      <c r="AE40" s="853"/>
      <c r="AF40" s="1086"/>
      <c r="AG40" s="1086"/>
      <c r="AH40" s="1212"/>
      <c r="AI40" s="1213"/>
      <c r="AJ40" s="1213"/>
      <c r="AK40" s="1216"/>
      <c r="AL40" s="973" t="str">
        <f t="shared" ref="AL40" si="27">IF(OR(C40="",E40="",M40="",K40="",O40="",Y40="",R40="",AA40="",AH40="",AJ40="",AD40="",U40="",W40=""),"",IFERROR(ROUND(IF((AW40-AX40)&lt;=0,0,BH40*(AW40-AX40)),0),""))</f>
        <v/>
      </c>
      <c r="AM40" s="870"/>
      <c r="AN40" s="870"/>
      <c r="AO40" s="872" t="str">
        <f>IF(M02S02F44="","Update Install Status",IF(M02S02F44="No","Submit for Pre-Approval",IF(OR(C40="",E40="",M40="",K40="",O40="",Y40="",R40="",AA40="",AF40="",AH40="",AD40="",U40="",W40="",AJ40=""),"",IF(BF40&lt;&gt;"",BF40,IF(OR(BD40&lt;0,BE40&lt;0),"No Incentive Savings",IF(ISNUMBER(SEARCH("Type",O40)),MIN(BD40,AU40),MIN(BE40,AU40)))))))</f>
        <v>Update Install Status</v>
      </c>
      <c r="AP40" s="872"/>
      <c r="AQ40" s="872"/>
      <c r="AU40" s="804" t="str">
        <f>IF(OR(C40="",E40="",M40="",K40="",O40="",Y40="",R40="",AA40="",AH40="",AJ40="",AD40="", U40="",W40=""),"",IF(AND(ISNUMBER(SEARCH("Other",E40)),OR(H40="",ISBLANK(H40),ISNUMBER(SEARCH("Description",H40)))),"",(ROUND((AH40+AJ40)*U40,2))))</f>
        <v/>
      </c>
      <c r="AV40" s="806" t="str">
        <f>IF(OR(C40="",E40="",M40="",K40="",O40="",Y40="",R40="",AA40="",AH40="",AJ40="",AD40="", U40="",W40=""),"",IF(AND(ISNUMBER(SEARCH("Other",E40)),OR(H40="",ISBLANK(H40),ISNUMBER(SEARCH("Description",H40)))),"",ROUND(AL40*INDEX(ENDUSEALL[Factor],MATCH(IF(ISNUMBER(SEARCH("24/7",AA40)),"Miscellaneous","Lighting"),ENDUSEALL[End Use to Coincident Peak Demand Factors],0)),4)))</f>
        <v/>
      </c>
      <c r="AW40" s="802" t="str">
        <f>IF(OR(C40="",E40="",M40="",K40="",O40="",Y40="",R40="",AA40="",AH40="",AJ40="",AD40="", U40="",W40=""),"",IF(AND(ISNUMBER(SEARCH("Other",E40)),OR(H40="",ISBLANK(H40),ISNUMBER(SEARCH("Description",H40)))),"",ROUND(M40*AD40*K40/1000,0)))</f>
        <v/>
      </c>
      <c r="AX40" s="802" t="str">
        <f>IF(OR(C40="",E40="",M40="",K40="",O40="",Y40="",R40="",AA40="",AH40="",AJ40="",AD40="", U40="",W40=""),"",IF(AND(ISNUMBER(SEARCH("Other",E40)),OR(H40="",ISBLANK(H40),ISNUMBER(SEARCH("Description",H40)))),"",IF(ISNUMBER(SEARCH("Network",O40)),ROUND(0.76*Y40*AD40*U40/1000,0),ROUND(Y40*AD40*U40/1000,0))))</f>
        <v/>
      </c>
      <c r="AY40" s="802" t="str">
        <f>IF(OR(C40="",E40="",M40="",K40="",O40="",Y40="",R40="",AA40="",AH40="",AJ40="",AD40="", U40="",W40=""),"",IF(AND(ISNUMBER(SEARCH("Other",E40)),OR(H40="",ISBLANK(H40),ISNUMBER(SEARCH("Description",H40)))),"",ROUND(K40*M40,0)))</f>
        <v/>
      </c>
      <c r="AZ40" s="802" t="str">
        <f>IF(OR(C40="",E40="",M40="",K40="",O40="",Y40="",R40="",AA40="",AH40="",AJ40="",AD40="", U40="",W40=""),"",IF(AND(K40&gt;=U40,ISNUMBER(SEARCH("Type",O40))),ROUND(U40*LEFT(INDEX(CMLIGHTBASE[Measure Subgroup 2], MATCH(E40,CMLIGHTBASE[Base Desc 1],0)),2)*Y40/W40,0),IF(AND(K40&lt;U40,ISNUMBER(SEARCH("Type",O40))),ROUND(K40*LEFT(INDEX(CMLIGHTBASE[Measure Subgroup 2], MATCH(E40,CMLIGHTBASE[Base Desc 1],0)),2)*Y40/W40,0),IF(OR(ISNUMBER(SEARCH("Fixture",O40)),ISNUMBER(SEARCH("Kit",O40))),U40*Y40))))</f>
        <v/>
      </c>
      <c r="BA40" s="800" t="str">
        <f>CONCATENATE(C40,"-","LED","-",O40)</f>
        <v>-LED-</v>
      </c>
      <c r="BB40" s="808" t="str">
        <f>IF(OR(C40="",E40="",M40="",K40="",O40="",Y40="",R40="",AA40="",AH40="",AJ40="",AD40="", U40="",W40=""),"",IF(AND(ISNUMBER(SEARCH("Other",E40)),OR(H40="",ISBLANK(H40),ISNUMBER(SEARCH("Description",H40)))),"",INDEX(PMELIGHTLIN[Measure '#],MATCH(BA40,PMELIGHTLIN[Measure Validator],0))))</f>
        <v/>
      </c>
      <c r="BC40" s="808" t="str">
        <f>IFERROR(IF(OR(C40="",AH40=""),"",IF(BB40="","",INDEX(PMELIGHTLIN[Inc Rate Unit FT],MATCH(BA40,PMELIGHTLIN[Measure Validator],0)))),"")</f>
        <v/>
      </c>
      <c r="BD40" s="808">
        <f>IFERROR(ROUND(IF(OR(C40="",AH40=""),"",IF(BB40="","",IF(AND(K40&gt;=U40,ISNUMBER(SEARCH("Type",BA40))),BC40*(U40*W40)*LEFT(INDEX(CMLIGHTBASE[Measure Subgroup 1], MATCH(E40,CMLIGHTBASE[Base Desc 1],0)),1),IF(AND(K40&lt;U40,ISNUMBER(SEARCH("Type",BA40))),BC40*(W40*K40)*LEFT(INDEX(CMLIGHTBASE[Measure Subgroup 1], MATCH(E40,CMLIGHTBASE[Base Desc 1],0)),1),0)))),2),0)</f>
        <v>0</v>
      </c>
      <c r="BE40" s="1192">
        <f t="shared" si="1"/>
        <v>0</v>
      </c>
      <c r="BF40" s="800" t="str">
        <f>IF(OR(C40="",E40="",M40="",K40="",O40="",Y40="",R40="",AA40="",AH40="",AJ40="",AD40="", U40="",W40=""),"",IF(AND(ISNUMBER(SEARCH("Other",E40)),OR(H40="",ISBLANK(H40),ISNUMBER(SEARCH("Description",H40)))),"",IFERROR(IF(AD40&lt;INDEX(PMELIGHTLIN[Eff Watt 2],MATCH(BA40,PMELIGHTLIN[Measure Validator],0)),"Operating Hours Invalid",IF(ISNUMBER(SEARCH("SPILLOVER",AA40)),PROJSTATELI,IF((AW40-AX40)&lt;0,"No Savings",IF(AF40&lt;50000,"Lamp Life Too Short","")))),"ERROR")))</f>
        <v/>
      </c>
      <c r="BG40" s="802" t="str">
        <f>IF(AND(ISBLANK(AH40),ISBLANK(AJ40)),"",IF(BD40&gt;AU40,"Yes","No"))</f>
        <v/>
      </c>
      <c r="BH40" s="1051">
        <f>IF(M02S02F32&lt;&gt;"",INDEX(SPACEHEAT[HIF],MATCH(M02S02F32,SHEAT,0)),1)</f>
        <v>1</v>
      </c>
      <c r="BI40" s="802"/>
      <c r="BJ40" s="1225">
        <f t="shared" ref="BJ40" si="28">IFERROR(ROUND(BL40*1.1,2),0)</f>
        <v>0</v>
      </c>
      <c r="BK40" s="804" t="str">
        <f>IF(M02S02F44="","Update Install Status",IF(M02S02F44="No","Submit for Pre-Approval",IF(OR(C40="",E40="",M40="",K40="",O40="",Y40="",R40="",AA40="",AF40="",AH40="",AD40="",U40="",W40="",AJ40=""),"",IF(BF40&lt;&gt;"",BF40,ROUND(BJ40*BONUSADJ,2)))))</f>
        <v>Update Install Status</v>
      </c>
      <c r="BL40" s="804" t="str">
        <f>IF(M02S02F44="","Update Install Status",IF(M02S02F44="No","Submit for Pre-Approval",IF(OR(C40="",E40="",M40="",K40="",O40="",Y40="",R40="",AA40="",AF40="",AH40="",AD40="",U40="",W40="",AJ40=""),"",IF(BF40&lt;&gt;"",BF40,IF(OR(BD40&lt;0,BE40&lt;0),"No Incentive Savings",IF(ISNUMBER(SEARCH("Type",O40)),MIN(BD40,AU40),MIN(BE40,AU40)))))))</f>
        <v>Update Install Status</v>
      </c>
    </row>
    <row r="41" spans="2:64" ht="15.95" customHeight="1" x14ac:dyDescent="0.25">
      <c r="B41" s="1204"/>
      <c r="C41" s="845"/>
      <c r="D41" s="846"/>
      <c r="E41" s="818"/>
      <c r="F41" s="819"/>
      <c r="G41" s="820"/>
      <c r="H41" s="824"/>
      <c r="I41" s="825"/>
      <c r="J41" s="826"/>
      <c r="K41" s="1210"/>
      <c r="L41" s="1211"/>
      <c r="M41" s="833"/>
      <c r="N41" s="834"/>
      <c r="O41" s="838"/>
      <c r="P41" s="839"/>
      <c r="Q41" s="840"/>
      <c r="R41" s="824"/>
      <c r="S41" s="825"/>
      <c r="T41" s="826"/>
      <c r="U41" s="824"/>
      <c r="V41" s="825"/>
      <c r="W41" s="845"/>
      <c r="X41" s="846"/>
      <c r="Y41" s="849"/>
      <c r="Z41" s="850"/>
      <c r="AA41" s="852"/>
      <c r="AB41" s="852"/>
      <c r="AC41" s="852"/>
      <c r="AD41" s="853"/>
      <c r="AE41" s="853"/>
      <c r="AF41" s="1087"/>
      <c r="AG41" s="1087"/>
      <c r="AH41" s="1214"/>
      <c r="AI41" s="1215"/>
      <c r="AJ41" s="1215"/>
      <c r="AK41" s="1217"/>
      <c r="AL41" s="973"/>
      <c r="AM41" s="870"/>
      <c r="AN41" s="870"/>
      <c r="AO41" s="872"/>
      <c r="AP41" s="872"/>
      <c r="AQ41" s="872"/>
      <c r="AU41" s="805"/>
      <c r="AV41" s="807"/>
      <c r="AW41" s="803"/>
      <c r="AX41" s="803"/>
      <c r="AY41" s="803"/>
      <c r="AZ41" s="803"/>
      <c r="BA41" s="801"/>
      <c r="BB41" s="797"/>
      <c r="BC41" s="797"/>
      <c r="BD41" s="797"/>
      <c r="BE41" s="1192"/>
      <c r="BF41" s="801"/>
      <c r="BG41" s="803"/>
      <c r="BH41" s="1052"/>
      <c r="BI41" s="803"/>
      <c r="BJ41" s="1226"/>
      <c r="BK41" s="805"/>
      <c r="BL41" s="805"/>
    </row>
    <row r="42" spans="2:64" ht="15.95" customHeight="1" x14ac:dyDescent="0.25">
      <c r="B42" s="1204">
        <v>13</v>
      </c>
      <c r="C42" s="811"/>
      <c r="D42" s="812"/>
      <c r="E42" s="815"/>
      <c r="F42" s="816"/>
      <c r="G42" s="817"/>
      <c r="H42" s="881"/>
      <c r="I42" s="822"/>
      <c r="J42" s="823"/>
      <c r="K42" s="827"/>
      <c r="L42" s="828"/>
      <c r="M42" s="831" t="str">
        <f>IF(OR($E42="",ISNUMBER(SEARCH("Other",$E42))),"",INDEX(CMLIGHTBASE[Base Watt 1],MATCH($E42,CMLIGHTBASE[Base Desc 1],0)))</f>
        <v/>
      </c>
      <c r="N42" s="832"/>
      <c r="O42" s="1209"/>
      <c r="P42" s="836"/>
      <c r="Q42" s="837"/>
      <c r="R42" s="881"/>
      <c r="S42" s="822"/>
      <c r="T42" s="823"/>
      <c r="U42" s="842"/>
      <c r="V42" s="822"/>
      <c r="W42" s="843" t="str">
        <f>IF(O42="","",IF(ISNUMBER(SEARCH("Type",O42)),"","N/A"))</f>
        <v/>
      </c>
      <c r="X42" s="844"/>
      <c r="Y42" s="847"/>
      <c r="Z42" s="848"/>
      <c r="AA42" s="880"/>
      <c r="AB42" s="852"/>
      <c r="AC42" s="852"/>
      <c r="AD42" s="853"/>
      <c r="AE42" s="853"/>
      <c r="AF42" s="854"/>
      <c r="AG42" s="855"/>
      <c r="AH42" s="856"/>
      <c r="AI42" s="857"/>
      <c r="AJ42" s="857"/>
      <c r="AK42" s="867"/>
      <c r="AL42" s="973" t="str">
        <f t="shared" ref="AL42" si="29">IF(OR(C42="",E42="",M42="",K42="",O42="",Y42="",R42="",AA42="",AH42="",AJ42="",AD42="",U42="",W42=""),"",IFERROR(ROUND(IF((AW42-AX42)&lt;=0,0,BH42*(AW42-AX42)),0),""))</f>
        <v/>
      </c>
      <c r="AM42" s="870"/>
      <c r="AN42" s="870"/>
      <c r="AO42" s="872" t="str">
        <f>IF(M02S02F44="","Update Install Status",IF(M02S02F44="No","Submit for Pre-Approval",IF(OR(C42="",E42="",M42="",K42="",O42="",Y42="",R42="",AA42="",AF42="",AH42="",AD42="",U42="",W42="",AJ42=""),"",IF(BF42&lt;&gt;"",BF42,IF(OR(BD42&lt;0,BE42&lt;0),"No Incentive Savings",IF(ISNUMBER(SEARCH("Type",O42)),MIN(BD42,AU42),MIN(BE42,AU42)))))))</f>
        <v>Update Install Status</v>
      </c>
      <c r="AP42" s="872"/>
      <c r="AQ42" s="872"/>
      <c r="AU42" s="804" t="str">
        <f>IF(OR(C42="",E42="",M42="",K42="",O42="",Y42="",R42="",AA42="",AH42="",AJ42="",AD42="", U42="",W42=""),"",IF(AND(ISNUMBER(SEARCH("Other",E42)),OR(H42="",ISBLANK(H42),ISNUMBER(SEARCH("Description",H42)))),"",(ROUND((AH42+AJ42)*U42,2))))</f>
        <v/>
      </c>
      <c r="AV42" s="806" t="str">
        <f>IF(OR(C42="",E42="",M42="",K42="",O42="",Y42="",R42="",AA42="",AH42="",AJ42="",AD42="", U42="",W42=""),"",IF(AND(ISNUMBER(SEARCH("Other",E42)),OR(H42="",ISBLANK(H42),ISNUMBER(SEARCH("Description",H42)))),"",ROUND(AL42*INDEX(ENDUSEALL[Factor],MATCH(IF(ISNUMBER(SEARCH("24/7",AA42)),"Miscellaneous","Lighting"),ENDUSEALL[End Use to Coincident Peak Demand Factors],0)),4)))</f>
        <v/>
      </c>
      <c r="AW42" s="802" t="str">
        <f>IF(OR(C42="",E42="",M42="",K42="",O42="",Y42="",R42="",AA42="",AH42="",AJ42="",AD42="", U42="",W42=""),"",IF(AND(ISNUMBER(SEARCH("Other",E42)),OR(H42="",ISBLANK(H42),ISNUMBER(SEARCH("Description",H42)))),"",ROUND(M42*AD42*K42/1000,0)))</f>
        <v/>
      </c>
      <c r="AX42" s="802" t="str">
        <f>IF(OR(C42="",E42="",M42="",K42="",O42="",Y42="",R42="",AA42="",AH42="",AJ42="",AD42="", U42="",W42=""),"",IF(AND(ISNUMBER(SEARCH("Other",E42)),OR(H42="",ISBLANK(H42),ISNUMBER(SEARCH("Description",H42)))),"",IF(ISNUMBER(SEARCH("Network",O42)),ROUND(0.76*Y42*AD42*U42/1000,0),ROUND(Y42*AD42*U42/1000,0))))</f>
        <v/>
      </c>
      <c r="AY42" s="802" t="str">
        <f>IF(OR(C42="",E42="",M42="",K42="",O42="",Y42="",R42="",AA42="",AH42="",AJ42="",AD42="", U42="",W42=""),"",IF(AND(ISNUMBER(SEARCH("Other",E42)),OR(H42="",ISBLANK(H42),ISNUMBER(SEARCH("Description",H42)))),"",ROUND(K42*M42,0)))</f>
        <v/>
      </c>
      <c r="AZ42" s="802" t="str">
        <f>IF(OR(C42="",E42="",M42="",K42="",O42="",Y42="",R42="",AA42="",AH42="",AJ42="",AD42="", U42="",W42=""),"",IF(AND(K42&gt;=U42,ISNUMBER(SEARCH("Type",O42))),ROUND(U42*LEFT(INDEX(CMLIGHTBASE[Measure Subgroup 2], MATCH(E42,CMLIGHTBASE[Base Desc 1],0)),2)*Y42/W42,0),IF(AND(K42&lt;U42,ISNUMBER(SEARCH("Type",O42))),ROUND(K42*LEFT(INDEX(CMLIGHTBASE[Measure Subgroup 2], MATCH(E42,CMLIGHTBASE[Base Desc 1],0)),2)*Y42/W42,0),IF(OR(ISNUMBER(SEARCH("Fixture",O42)),ISNUMBER(SEARCH("Kit",O42))),U42*Y42))))</f>
        <v/>
      </c>
      <c r="BA42" s="800" t="str">
        <f>CONCATENATE(C42,"-","LED","-",O42)</f>
        <v>-LED-</v>
      </c>
      <c r="BB42" s="808" t="str">
        <f>IF(OR(C42="",E42="",M42="",K42="",O42="",Y42="",R42="",AA42="",AH42="",AJ42="",AD42="", U42="",W42=""),"",IF(AND(ISNUMBER(SEARCH("Other",E42)),OR(H42="",ISBLANK(H42),ISNUMBER(SEARCH("Description",H42)))),"",INDEX(PMELIGHTLIN[Measure '#],MATCH(BA42,PMELIGHTLIN[Measure Validator],0))))</f>
        <v/>
      </c>
      <c r="BC42" s="808" t="str">
        <f>IFERROR(IF(OR(C42="",AH42=""),"",IF(BB42="","",INDEX(PMELIGHTLIN[Inc Rate Unit FT],MATCH(BA42,PMELIGHTLIN[Measure Validator],0)))),"")</f>
        <v/>
      </c>
      <c r="BD42" s="808">
        <f>IFERROR(ROUND(IF(OR(C42="",AH42=""),"",IF(BB42="","",IF(AND(K42&gt;=U42,ISNUMBER(SEARCH("Type",BA42))),BC42*(U42*W42)*LEFT(INDEX(CMLIGHTBASE[Measure Subgroup 1], MATCH(E42,CMLIGHTBASE[Base Desc 1],0)),1),IF(AND(K42&lt;U42,ISNUMBER(SEARCH("Type",BA42))),BC42*(W42*K42)*LEFT(INDEX(CMLIGHTBASE[Measure Subgroup 1], MATCH(E42,CMLIGHTBASE[Base Desc 1],0)),1),0)))),2),0)</f>
        <v>0</v>
      </c>
      <c r="BE42" s="1192">
        <f t="shared" si="1"/>
        <v>0</v>
      </c>
      <c r="BF42" s="800" t="str">
        <f>IF(OR(C42="",E42="",M42="",K42="",O42="",Y42="",R42="",AA42="",AH42="",AJ42="",AD42="", U42="",W42=""),"",IF(AND(ISNUMBER(SEARCH("Other",E42)),OR(H42="",ISBLANK(H42),ISNUMBER(SEARCH("Description",H42)))),"",IFERROR(IF(AD42&lt;INDEX(PMELIGHTLIN[Eff Watt 2],MATCH(BA42,PMELIGHTLIN[Measure Validator],0)),"Operating Hours Invalid",IF(ISNUMBER(SEARCH("SPILLOVER",AA42)),PROJSTATELI,IF((AW42-AX42)&lt;0,"No Savings",IF(AF42&lt;50000,"Lamp Life Too Short","")))),"ERROR")))</f>
        <v/>
      </c>
      <c r="BG42" s="802" t="str">
        <f>IF(AND(ISBLANK(AH42),ISBLANK(AJ42)),"",IF(BD42&gt;AU42,"Yes","No"))</f>
        <v/>
      </c>
      <c r="BH42" s="1051">
        <f>IF(M02S02F32&lt;&gt;"",INDEX(SPACEHEAT[HIF],MATCH(M02S02F32,SHEAT,0)),1)</f>
        <v>1</v>
      </c>
      <c r="BI42" s="802"/>
      <c r="BJ42" s="1225">
        <f t="shared" ref="BJ42" si="30">IFERROR(ROUND(BL42*1.1,2),0)</f>
        <v>0</v>
      </c>
      <c r="BK42" s="804" t="str">
        <f>IF(M02S02F44="","Update Install Status",IF(M02S02F44="No","Submit for Pre-Approval",IF(OR(C42="",E42="",M42="",K42="",O42="",Y42="",R42="",AA42="",AF42="",AH42="",AD42="",U42="",W42="",AJ42=""),"",IF(BF42&lt;&gt;"",BF42,ROUND(BJ42*BONUSADJ,2)))))</f>
        <v>Update Install Status</v>
      </c>
      <c r="BL42" s="804" t="str">
        <f>IF(M02S02F44="","Update Install Status",IF(M02S02F44="No","Submit for Pre-Approval",IF(OR(C42="",E42="",M42="",K42="",O42="",Y42="",R42="",AA42="",AF42="",AH42="",AD42="",U42="",W42="",AJ42=""),"",IF(BF42&lt;&gt;"",BF42,IF(OR(BD42&lt;0,BE42&lt;0),"No Incentive Savings",IF(ISNUMBER(SEARCH("Type",O42)),MIN(BD42,AU42),MIN(BE42,AU42)))))))</f>
        <v>Update Install Status</v>
      </c>
    </row>
    <row r="43" spans="2:64" ht="15.95" customHeight="1" x14ac:dyDescent="0.25">
      <c r="B43" s="1204"/>
      <c r="C43" s="813"/>
      <c r="D43" s="814"/>
      <c r="E43" s="818"/>
      <c r="F43" s="819"/>
      <c r="G43" s="820"/>
      <c r="H43" s="824"/>
      <c r="I43" s="825"/>
      <c r="J43" s="826"/>
      <c r="K43" s="829"/>
      <c r="L43" s="830"/>
      <c r="M43" s="833"/>
      <c r="N43" s="834"/>
      <c r="O43" s="838"/>
      <c r="P43" s="839"/>
      <c r="Q43" s="840"/>
      <c r="R43" s="824"/>
      <c r="S43" s="825"/>
      <c r="T43" s="826"/>
      <c r="U43" s="824"/>
      <c r="V43" s="825"/>
      <c r="W43" s="845"/>
      <c r="X43" s="846"/>
      <c r="Y43" s="849"/>
      <c r="Z43" s="850"/>
      <c r="AA43" s="852"/>
      <c r="AB43" s="852"/>
      <c r="AC43" s="852"/>
      <c r="AD43" s="853"/>
      <c r="AE43" s="853"/>
      <c r="AF43" s="854"/>
      <c r="AG43" s="855"/>
      <c r="AH43" s="856"/>
      <c r="AI43" s="857"/>
      <c r="AJ43" s="857"/>
      <c r="AK43" s="867"/>
      <c r="AL43" s="973"/>
      <c r="AM43" s="870"/>
      <c r="AN43" s="870"/>
      <c r="AO43" s="872"/>
      <c r="AP43" s="872"/>
      <c r="AQ43" s="872"/>
      <c r="AU43" s="805"/>
      <c r="AV43" s="807"/>
      <c r="AW43" s="803"/>
      <c r="AX43" s="803"/>
      <c r="AY43" s="803"/>
      <c r="AZ43" s="803"/>
      <c r="BA43" s="801"/>
      <c r="BB43" s="797"/>
      <c r="BC43" s="797"/>
      <c r="BD43" s="797"/>
      <c r="BE43" s="1192"/>
      <c r="BF43" s="801"/>
      <c r="BG43" s="803"/>
      <c r="BH43" s="1052"/>
      <c r="BI43" s="803"/>
      <c r="BJ43" s="1226"/>
      <c r="BK43" s="805"/>
      <c r="BL43" s="805"/>
    </row>
    <row r="44" spans="2:64" ht="15.95" customHeight="1" x14ac:dyDescent="0.25">
      <c r="B44" s="1204">
        <v>14</v>
      </c>
      <c r="C44" s="843"/>
      <c r="D44" s="844"/>
      <c r="E44" s="815"/>
      <c r="F44" s="816"/>
      <c r="G44" s="817"/>
      <c r="H44" s="821"/>
      <c r="I44" s="822"/>
      <c r="J44" s="823"/>
      <c r="K44" s="1210"/>
      <c r="L44" s="1211"/>
      <c r="M44" s="831" t="str">
        <f>IF(OR($E44="",ISNUMBER(SEARCH("Other",$E44))),"",INDEX(CMLIGHTBASE[Base Watt 1],MATCH($E44,CMLIGHTBASE[Base Desc 1],0)))</f>
        <v/>
      </c>
      <c r="N44" s="832"/>
      <c r="O44" s="1209"/>
      <c r="P44" s="836"/>
      <c r="Q44" s="837"/>
      <c r="R44" s="841"/>
      <c r="S44" s="822"/>
      <c r="T44" s="823"/>
      <c r="U44" s="842"/>
      <c r="V44" s="822"/>
      <c r="W44" s="843" t="str">
        <f>IF(O44="","",IF(ISNUMBER(SEARCH("Type",O44)),"","N/A"))</f>
        <v/>
      </c>
      <c r="X44" s="844"/>
      <c r="Y44" s="847"/>
      <c r="Z44" s="848"/>
      <c r="AA44" s="851"/>
      <c r="AB44" s="852"/>
      <c r="AC44" s="852"/>
      <c r="AD44" s="853"/>
      <c r="AE44" s="853"/>
      <c r="AF44" s="1086"/>
      <c r="AG44" s="1086"/>
      <c r="AH44" s="1212"/>
      <c r="AI44" s="1213"/>
      <c r="AJ44" s="1213"/>
      <c r="AK44" s="1216"/>
      <c r="AL44" s="973" t="str">
        <f t="shared" ref="AL44" si="31">IF(OR(C44="",E44="",M44="",K44="",O44="",Y44="",R44="",AA44="",AH44="",AJ44="",AD44="",U44="",W44=""),"",IFERROR(ROUND(IF((AW44-AX44)&lt;=0,0,BH44*(AW44-AX44)),0),""))</f>
        <v/>
      </c>
      <c r="AM44" s="870"/>
      <c r="AN44" s="870"/>
      <c r="AO44" s="872" t="str">
        <f>IF(M02S02F44="","Update Install Status",IF(M02S02F44="No","Submit for Pre-Approval",IF(OR(C44="",E44="",M44="",K44="",O44="",Y44="",R44="",AA44="",AF44="",AH44="",AD44="",U44="",W44="",AJ44=""),"",IF(BF44&lt;&gt;"",BF44,IF(OR(BD44&lt;0,BE44&lt;0),"No Incentive Savings",IF(ISNUMBER(SEARCH("Type",O44)),MIN(BD44,AU44),MIN(BE44,AU44)))))))</f>
        <v>Update Install Status</v>
      </c>
      <c r="AP44" s="872"/>
      <c r="AQ44" s="872"/>
      <c r="AU44" s="804" t="str">
        <f>IF(OR(C44="",E44="",M44="",K44="",O44="",Y44="",R44="",AA44="",AH44="",AJ44="",AD44="", U44="",W44=""),"",IF(AND(ISNUMBER(SEARCH("Other",E44)),OR(H44="",ISBLANK(H44),ISNUMBER(SEARCH("Description",H44)))),"",(ROUND((AH44+AJ44)*U44,2))))</f>
        <v/>
      </c>
      <c r="AV44" s="806" t="str">
        <f>IF(OR(C44="",E44="",M44="",K44="",O44="",Y44="",R44="",AA44="",AH44="",AJ44="",AD44="", U44="",W44=""),"",IF(AND(ISNUMBER(SEARCH("Other",E44)),OR(H44="",ISBLANK(H44),ISNUMBER(SEARCH("Description",H44)))),"",ROUND(AL44*INDEX(ENDUSEALL[Factor],MATCH(IF(ISNUMBER(SEARCH("24/7",AA44)),"Miscellaneous","Lighting"),ENDUSEALL[End Use to Coincident Peak Demand Factors],0)),4)))</f>
        <v/>
      </c>
      <c r="AW44" s="802" t="str">
        <f>IF(OR(C44="",E44="",M44="",K44="",O44="",Y44="",R44="",AA44="",AH44="",AJ44="",AD44="", U44="",W44=""),"",IF(AND(ISNUMBER(SEARCH("Other",E44)),OR(H44="",ISBLANK(H44),ISNUMBER(SEARCH("Description",H44)))),"",ROUND(M44*AD44*K44/1000,0)))</f>
        <v/>
      </c>
      <c r="AX44" s="802" t="str">
        <f>IF(OR(C44="",E44="",M44="",K44="",O44="",Y44="",R44="",AA44="",AH44="",AJ44="",AD44="", U44="",W44=""),"",IF(AND(ISNUMBER(SEARCH("Other",E44)),OR(H44="",ISBLANK(H44),ISNUMBER(SEARCH("Description",H44)))),"",IF(ISNUMBER(SEARCH("Network",O44)),ROUND(0.76*Y44*AD44*U44/1000,0),ROUND(Y44*AD44*U44/1000,0))))</f>
        <v/>
      </c>
      <c r="AY44" s="802" t="str">
        <f>IF(OR(C44="",E44="",M44="",K44="",O44="",Y44="",R44="",AA44="",AH44="",AJ44="",AD44="", U44="",W44=""),"",IF(AND(ISNUMBER(SEARCH("Other",E44)),OR(H44="",ISBLANK(H44),ISNUMBER(SEARCH("Description",H44)))),"",ROUND(K44*M44,0)))</f>
        <v/>
      </c>
      <c r="AZ44" s="802" t="str">
        <f>IF(OR(C44="",E44="",M44="",K44="",O44="",Y44="",R44="",AA44="",AH44="",AJ44="",AD44="", U44="",W44=""),"",IF(AND(K44&gt;=U44,ISNUMBER(SEARCH("Type",O44))),ROUND(U44*LEFT(INDEX(CMLIGHTBASE[Measure Subgroup 2], MATCH(E44,CMLIGHTBASE[Base Desc 1],0)),2)*Y44/W44,0),IF(AND(K44&lt;U44,ISNUMBER(SEARCH("Type",O44))),ROUND(K44*LEFT(INDEX(CMLIGHTBASE[Measure Subgroup 2], MATCH(E44,CMLIGHTBASE[Base Desc 1],0)),2)*Y44/W44,0),IF(OR(ISNUMBER(SEARCH("Fixture",O44)),ISNUMBER(SEARCH("Kit",O44))),U44*Y44))))</f>
        <v/>
      </c>
      <c r="BA44" s="800" t="str">
        <f>CONCATENATE(C44,"-","LED","-",O44)</f>
        <v>-LED-</v>
      </c>
      <c r="BB44" s="808" t="str">
        <f>IF(OR(C44="",E44="",M44="",K44="",O44="",Y44="",R44="",AA44="",AH44="",AJ44="",AD44="", U44="",W44=""),"",IF(AND(ISNUMBER(SEARCH("Other",E44)),OR(H44="",ISBLANK(H44),ISNUMBER(SEARCH("Description",H44)))),"",INDEX(PMELIGHTLIN[Measure '#],MATCH(BA44,PMELIGHTLIN[Measure Validator],0))))</f>
        <v/>
      </c>
      <c r="BC44" s="808" t="str">
        <f>IFERROR(IF(OR(C44="",AH44=""),"",IF(BB44="","",INDEX(PMELIGHTLIN[Inc Rate Unit FT],MATCH(BA44,PMELIGHTLIN[Measure Validator],0)))),"")</f>
        <v/>
      </c>
      <c r="BD44" s="808">
        <f>IFERROR(ROUND(IF(OR(C44="",AH44=""),"",IF(BB44="","",IF(AND(K44&gt;=U44,ISNUMBER(SEARCH("Type",BA44))),BC44*(U44*W44)*LEFT(INDEX(CMLIGHTBASE[Measure Subgroup 1], MATCH(E44,CMLIGHTBASE[Base Desc 1],0)),1),IF(AND(K44&lt;U44,ISNUMBER(SEARCH("Type",BA44))),BC44*(W44*K44)*LEFT(INDEX(CMLIGHTBASE[Measure Subgroup 1], MATCH(E44,CMLIGHTBASE[Base Desc 1],0)),1),0)))),2),0)</f>
        <v>0</v>
      </c>
      <c r="BE44" s="1192">
        <f t="shared" si="1"/>
        <v>0</v>
      </c>
      <c r="BF44" s="800" t="str">
        <f>IF(OR(C44="",E44="",M44="",K44="",O44="",Y44="",R44="",AA44="",AH44="",AJ44="",AD44="", U44="",W44=""),"",IF(AND(ISNUMBER(SEARCH("Other",E44)),OR(H44="",ISBLANK(H44),ISNUMBER(SEARCH("Description",H44)))),"",IFERROR(IF(AD44&lt;INDEX(PMELIGHTLIN[Eff Watt 2],MATCH(BA44,PMELIGHTLIN[Measure Validator],0)),"Operating Hours Invalid",IF(ISNUMBER(SEARCH("SPILLOVER",AA44)),PROJSTATELI,IF((AW44-AX44)&lt;0,"No Savings",IF(AF44&lt;50000,"Lamp Life Too Short","")))),"ERROR")))</f>
        <v/>
      </c>
      <c r="BG44" s="802" t="str">
        <f>IF(AND(ISBLANK(AH44),ISBLANK(AJ44)),"",IF(BD44&gt;AU44,"Yes","No"))</f>
        <v/>
      </c>
      <c r="BH44" s="1051">
        <f>IF(M02S02F32&lt;&gt;"",INDEX(SPACEHEAT[HIF],MATCH(M02S02F32,SHEAT,0)),1)</f>
        <v>1</v>
      </c>
      <c r="BI44" s="802"/>
      <c r="BJ44" s="1225">
        <f t="shared" ref="BJ44" si="32">IFERROR(ROUND(BL44*1.1,2),0)</f>
        <v>0</v>
      </c>
      <c r="BK44" s="804" t="str">
        <f>IF(M02S02F44="","Update Install Status",IF(M02S02F44="No","Submit for Pre-Approval",IF(OR(C44="",E44="",M44="",K44="",O44="",Y44="",R44="",AA44="",AF44="",AH44="",AD44="",U44="",W44="",AJ44=""),"",IF(BF44&lt;&gt;"",BF44,ROUND(BJ44*BONUSADJ,2)))))</f>
        <v>Update Install Status</v>
      </c>
      <c r="BL44" s="804" t="str">
        <f>IF(M02S02F44="","Update Install Status",IF(M02S02F44="No","Submit for Pre-Approval",IF(OR(C44="",E44="",M44="",K44="",O44="",Y44="",R44="",AA44="",AF44="",AH44="",AD44="",U44="",W44="",AJ44=""),"",IF(BF44&lt;&gt;"",BF44,IF(OR(BD44&lt;0,BE44&lt;0),"No Incentive Savings",IF(ISNUMBER(SEARCH("Type",O44)),MIN(BD44,AU44),MIN(BE44,AU44)))))))</f>
        <v>Update Install Status</v>
      </c>
    </row>
    <row r="45" spans="2:64" ht="15.95" customHeight="1" x14ac:dyDescent="0.25">
      <c r="B45" s="1204"/>
      <c r="C45" s="845"/>
      <c r="D45" s="846"/>
      <c r="E45" s="818"/>
      <c r="F45" s="819"/>
      <c r="G45" s="820"/>
      <c r="H45" s="824"/>
      <c r="I45" s="825"/>
      <c r="J45" s="826"/>
      <c r="K45" s="1210"/>
      <c r="L45" s="1211"/>
      <c r="M45" s="833"/>
      <c r="N45" s="834"/>
      <c r="O45" s="838"/>
      <c r="P45" s="839"/>
      <c r="Q45" s="840"/>
      <c r="R45" s="824"/>
      <c r="S45" s="825"/>
      <c r="T45" s="826"/>
      <c r="U45" s="824"/>
      <c r="V45" s="825"/>
      <c r="W45" s="845"/>
      <c r="X45" s="846"/>
      <c r="Y45" s="849"/>
      <c r="Z45" s="850"/>
      <c r="AA45" s="852"/>
      <c r="AB45" s="852"/>
      <c r="AC45" s="852"/>
      <c r="AD45" s="853"/>
      <c r="AE45" s="853"/>
      <c r="AF45" s="1087"/>
      <c r="AG45" s="1087"/>
      <c r="AH45" s="1214"/>
      <c r="AI45" s="1215"/>
      <c r="AJ45" s="1215"/>
      <c r="AK45" s="1217"/>
      <c r="AL45" s="973"/>
      <c r="AM45" s="870"/>
      <c r="AN45" s="870"/>
      <c r="AO45" s="872"/>
      <c r="AP45" s="872"/>
      <c r="AQ45" s="872"/>
      <c r="AU45" s="805"/>
      <c r="AV45" s="807"/>
      <c r="AW45" s="803"/>
      <c r="AX45" s="803"/>
      <c r="AY45" s="803"/>
      <c r="AZ45" s="803"/>
      <c r="BA45" s="801"/>
      <c r="BB45" s="797"/>
      <c r="BC45" s="797"/>
      <c r="BD45" s="797"/>
      <c r="BE45" s="1192"/>
      <c r="BF45" s="801"/>
      <c r="BG45" s="803"/>
      <c r="BH45" s="1052"/>
      <c r="BI45" s="803"/>
      <c r="BJ45" s="1226"/>
      <c r="BK45" s="805"/>
      <c r="BL45" s="805"/>
    </row>
    <row r="46" spans="2:64" ht="15.95" customHeight="1" x14ac:dyDescent="0.25">
      <c r="B46" s="1204">
        <v>15</v>
      </c>
      <c r="C46" s="843"/>
      <c r="D46" s="844"/>
      <c r="E46" s="815"/>
      <c r="F46" s="816"/>
      <c r="G46" s="817"/>
      <c r="H46" s="821"/>
      <c r="I46" s="822"/>
      <c r="J46" s="823"/>
      <c r="K46" s="1210"/>
      <c r="L46" s="1211"/>
      <c r="M46" s="831" t="str">
        <f>IF(OR($E46="",ISNUMBER(SEARCH("Other",$E46))),"",INDEX(CMLIGHTBASE[Base Watt 1],MATCH($E46,CMLIGHTBASE[Base Desc 1],0)))</f>
        <v/>
      </c>
      <c r="N46" s="832"/>
      <c r="O46" s="1209"/>
      <c r="P46" s="836"/>
      <c r="Q46" s="837"/>
      <c r="R46" s="841"/>
      <c r="S46" s="822"/>
      <c r="T46" s="823"/>
      <c r="U46" s="842"/>
      <c r="V46" s="822"/>
      <c r="W46" s="843" t="str">
        <f>IF(O46="","",IF(ISNUMBER(SEARCH("Type",O46)),"","N/A"))</f>
        <v/>
      </c>
      <c r="X46" s="844"/>
      <c r="Y46" s="847"/>
      <c r="Z46" s="848"/>
      <c r="AA46" s="851"/>
      <c r="AB46" s="852"/>
      <c r="AC46" s="852"/>
      <c r="AD46" s="853"/>
      <c r="AE46" s="853"/>
      <c r="AF46" s="1086"/>
      <c r="AG46" s="1086"/>
      <c r="AH46" s="1212"/>
      <c r="AI46" s="1213"/>
      <c r="AJ46" s="1213"/>
      <c r="AK46" s="1216"/>
      <c r="AL46" s="973" t="str">
        <f t="shared" ref="AL46" si="33">IF(OR(C46="",E46="",M46="",K46="",O46="",Y46="",R46="",AA46="",AH46="",AJ46="",AD46="",U46="",W46=""),"",IFERROR(ROUND(IF((AW46-AX46)&lt;=0,0,BH46*(AW46-AX46)),0),""))</f>
        <v/>
      </c>
      <c r="AM46" s="870"/>
      <c r="AN46" s="870"/>
      <c r="AO46" s="872" t="str">
        <f>IF(M02S02F44="","Update Install Status",IF(M02S02F44="No","Submit for Pre-Approval",IF(OR(C46="",E46="",M46="",K46="",O46="",Y46="",R46="",AA46="",AF46="",AH46="",AD46="",U46="",W46="",AJ46=""),"",IF(BF46&lt;&gt;"",BF46,IF(OR(BD46&lt;0,BE46&lt;0),"No Incentive Savings",IF(ISNUMBER(SEARCH("Type",O46)),MIN(BD46,AU46),MIN(BE46,AU46)))))))</f>
        <v>Update Install Status</v>
      </c>
      <c r="AP46" s="872"/>
      <c r="AQ46" s="872"/>
      <c r="AU46" s="804" t="str">
        <f>IF(OR(C46="",E46="",M46="",K46="",O46="",Y46="",R46="",AA46="",AH46="",AJ46="",AD46="", U46="",W46=""),"",IF(AND(ISNUMBER(SEARCH("Other",E46)),OR(H46="",ISBLANK(H46),ISNUMBER(SEARCH("Description",H46)))),"",(ROUND((AH46+AJ46)*U46,2))))</f>
        <v/>
      </c>
      <c r="AV46" s="806" t="str">
        <f>IF(OR(C46="",E46="",M46="",K46="",O46="",Y46="",R46="",AA46="",AH46="",AJ46="",AD46="", U46="",W46=""),"",IF(AND(ISNUMBER(SEARCH("Other",E46)),OR(H46="",ISBLANK(H46),ISNUMBER(SEARCH("Description",H46)))),"",ROUND(AL46*INDEX(ENDUSEALL[Factor],MATCH(IF(ISNUMBER(SEARCH("24/7",AA46)),"Miscellaneous","Lighting"),ENDUSEALL[End Use to Coincident Peak Demand Factors],0)),4)))</f>
        <v/>
      </c>
      <c r="AW46" s="802" t="str">
        <f>IF(OR(C46="",E46="",M46="",K46="",O46="",Y46="",R46="",AA46="",AH46="",AJ46="",AD46="", U46="",W46=""),"",IF(AND(ISNUMBER(SEARCH("Other",E46)),OR(H46="",ISBLANK(H46),ISNUMBER(SEARCH("Description",H46)))),"",ROUND(M46*AD46*K46/1000,0)))</f>
        <v/>
      </c>
      <c r="AX46" s="802" t="str">
        <f>IF(OR(C46="",E46="",M46="",K46="",O46="",Y46="",R46="",AA46="",AH46="",AJ46="",AD46="", U46="",W46=""),"",IF(AND(ISNUMBER(SEARCH("Other",E46)),OR(H46="",ISBLANK(H46),ISNUMBER(SEARCH("Description",H46)))),"",IF(ISNUMBER(SEARCH("Network",O46)),ROUND(0.76*Y46*AD46*U46/1000,0),ROUND(Y46*AD46*U46/1000,0))))</f>
        <v/>
      </c>
      <c r="AY46" s="802" t="str">
        <f>IF(OR(C46="",E46="",M46="",K46="",O46="",Y46="",R46="",AA46="",AH46="",AJ46="",AD46="", U46="",W46=""),"",IF(AND(ISNUMBER(SEARCH("Other",E46)),OR(H46="",ISBLANK(H46),ISNUMBER(SEARCH("Description",H46)))),"",ROUND(K46*M46,0)))</f>
        <v/>
      </c>
      <c r="AZ46" s="802" t="str">
        <f>IF(OR(C46="",E46="",M46="",K46="",O46="",Y46="",R46="",AA46="",AH46="",AJ46="",AD46="", U46="",W46=""),"",IF(AND(K46&gt;=U46,ISNUMBER(SEARCH("Type",O46))),ROUND(U46*LEFT(INDEX(CMLIGHTBASE[Measure Subgroup 2], MATCH(E46,CMLIGHTBASE[Base Desc 1],0)),2)*Y46/W46,0),IF(AND(K46&lt;U46,ISNUMBER(SEARCH("Type",O46))),ROUND(K46*LEFT(INDEX(CMLIGHTBASE[Measure Subgroup 2], MATCH(E46,CMLIGHTBASE[Base Desc 1],0)),2)*Y46/W46,0),IF(OR(ISNUMBER(SEARCH("Fixture",O46)),ISNUMBER(SEARCH("Kit",O46))),U46*Y46))))</f>
        <v/>
      </c>
      <c r="BA46" s="800" t="str">
        <f>CONCATENATE(C46,"-","LED","-",O46)</f>
        <v>-LED-</v>
      </c>
      <c r="BB46" s="808" t="str">
        <f>IF(OR(C46="",E46="",M46="",K46="",O46="",Y46="",R46="",AA46="",AH46="",AJ46="",AD46="", U46="",W46=""),"",IF(AND(ISNUMBER(SEARCH("Other",E46)),OR(H46="",ISBLANK(H46),ISNUMBER(SEARCH("Description",H46)))),"",INDEX(PMELIGHTLIN[Measure '#],MATCH(BA46,PMELIGHTLIN[Measure Validator],0))))</f>
        <v/>
      </c>
      <c r="BC46" s="808" t="str">
        <f>IFERROR(IF(OR(C46="",AH46=""),"",IF(BB46="","",INDEX(PMELIGHTLIN[Inc Rate Unit FT],MATCH(BA46,PMELIGHTLIN[Measure Validator],0)))),"")</f>
        <v/>
      </c>
      <c r="BD46" s="808">
        <f>IFERROR(ROUND(IF(OR(C46="",AH46=""),"",IF(BB46="","",IF(AND(K46&gt;=U46,ISNUMBER(SEARCH("Type",BA46))),BC46*(U46*W46)*LEFT(INDEX(CMLIGHTBASE[Measure Subgroup 1], MATCH(E46,CMLIGHTBASE[Base Desc 1],0)),1),IF(AND(K46&lt;U46,ISNUMBER(SEARCH("Type",BA46))),BC46*(W46*K46)*LEFT(INDEX(CMLIGHTBASE[Measure Subgroup 1], MATCH(E46,CMLIGHTBASE[Base Desc 1],0)),1),0)))),2),0)</f>
        <v>0</v>
      </c>
      <c r="BE46" s="1192">
        <f t="shared" si="1"/>
        <v>0</v>
      </c>
      <c r="BF46" s="800" t="str">
        <f>IF(OR(C46="",E46="",M46="",K46="",O46="",Y46="",R46="",AA46="",AH46="",AJ46="",AD46="", U46="",W46=""),"",IF(AND(ISNUMBER(SEARCH("Other",E46)),OR(H46="",ISBLANK(H46),ISNUMBER(SEARCH("Description",H46)))),"",IFERROR(IF(AD46&lt;INDEX(PMELIGHTLIN[Eff Watt 2],MATCH(BA46,PMELIGHTLIN[Measure Validator],0)),"Operating Hours Invalid",IF(ISNUMBER(SEARCH("SPILLOVER",AA46)),PROJSTATELI,IF((AW46-AX46)&lt;0,"No Savings",IF(AF46&lt;50000,"Lamp Life Too Short","")))),"ERROR")))</f>
        <v/>
      </c>
      <c r="BG46" s="802" t="str">
        <f>IF(AND(ISBLANK(AH46),ISBLANK(AJ46)),"",IF(BD46&gt;AU46,"Yes","No"))</f>
        <v/>
      </c>
      <c r="BH46" s="1051">
        <f>IF(M02S02F32&lt;&gt;"",INDEX(SPACEHEAT[HIF],MATCH(M02S02F32,SHEAT,0)),1)</f>
        <v>1</v>
      </c>
      <c r="BI46" s="802"/>
      <c r="BJ46" s="1225">
        <f t="shared" ref="BJ46" si="34">IFERROR(ROUND(BL46*1.1,2),0)</f>
        <v>0</v>
      </c>
      <c r="BK46" s="804" t="str">
        <f>IF(M02S02F44="","Update Install Status",IF(M02S02F44="No","Submit for Pre-Approval",IF(OR(C46="",E46="",M46="",K46="",O46="",Y46="",R46="",AA46="",AF46="",AH46="",AD46="",U46="",W46="",AJ46=""),"",IF(BF46&lt;&gt;"",BF46,ROUND(BJ46*BONUSADJ,2)))))</f>
        <v>Update Install Status</v>
      </c>
      <c r="BL46" s="804" t="str">
        <f>IF(M02S02F44="","Update Install Status",IF(M02S02F44="No","Submit for Pre-Approval",IF(OR(C46="",E46="",M46="",K46="",O46="",Y46="",R46="",AA46="",AF46="",AH46="",AD46="",U46="",W46="",AJ46=""),"",IF(BF46&lt;&gt;"",BF46,IF(OR(BD46&lt;0,BE46&lt;0),"No Incentive Savings",IF(ISNUMBER(SEARCH("Type",O46)),MIN(BD46,AU46),MIN(BE46,AU46)))))))</f>
        <v>Update Install Status</v>
      </c>
    </row>
    <row r="47" spans="2:64" ht="15.95" customHeight="1" x14ac:dyDescent="0.25">
      <c r="B47" s="1204"/>
      <c r="C47" s="845"/>
      <c r="D47" s="846"/>
      <c r="E47" s="818"/>
      <c r="F47" s="819"/>
      <c r="G47" s="820"/>
      <c r="H47" s="824"/>
      <c r="I47" s="825"/>
      <c r="J47" s="826"/>
      <c r="K47" s="1210"/>
      <c r="L47" s="1211"/>
      <c r="M47" s="833"/>
      <c r="N47" s="834"/>
      <c r="O47" s="838"/>
      <c r="P47" s="839"/>
      <c r="Q47" s="840"/>
      <c r="R47" s="824"/>
      <c r="S47" s="825"/>
      <c r="T47" s="826"/>
      <c r="U47" s="824"/>
      <c r="V47" s="825"/>
      <c r="W47" s="845"/>
      <c r="X47" s="846"/>
      <c r="Y47" s="849"/>
      <c r="Z47" s="850"/>
      <c r="AA47" s="852"/>
      <c r="AB47" s="852"/>
      <c r="AC47" s="852"/>
      <c r="AD47" s="853"/>
      <c r="AE47" s="853"/>
      <c r="AF47" s="1087"/>
      <c r="AG47" s="1087"/>
      <c r="AH47" s="1214"/>
      <c r="AI47" s="1215"/>
      <c r="AJ47" s="1215"/>
      <c r="AK47" s="1217"/>
      <c r="AL47" s="973"/>
      <c r="AM47" s="870"/>
      <c r="AN47" s="870"/>
      <c r="AO47" s="872"/>
      <c r="AP47" s="872"/>
      <c r="AQ47" s="872"/>
      <c r="AU47" s="805"/>
      <c r="AV47" s="807"/>
      <c r="AW47" s="803"/>
      <c r="AX47" s="803"/>
      <c r="AY47" s="803"/>
      <c r="AZ47" s="803"/>
      <c r="BA47" s="801"/>
      <c r="BB47" s="797"/>
      <c r="BC47" s="797"/>
      <c r="BD47" s="797"/>
      <c r="BE47" s="1192"/>
      <c r="BF47" s="801"/>
      <c r="BG47" s="803"/>
      <c r="BH47" s="1052"/>
      <c r="BI47" s="803"/>
      <c r="BJ47" s="1226"/>
      <c r="BK47" s="805"/>
      <c r="BL47" s="805"/>
    </row>
    <row r="48" spans="2:64" ht="15.95" customHeight="1" x14ac:dyDescent="0.25">
      <c r="B48" s="1204">
        <v>16</v>
      </c>
      <c r="C48" s="843"/>
      <c r="D48" s="844"/>
      <c r="E48" s="815"/>
      <c r="F48" s="816"/>
      <c r="G48" s="817"/>
      <c r="H48" s="879"/>
      <c r="I48" s="822"/>
      <c r="J48" s="823"/>
      <c r="K48" s="1210"/>
      <c r="L48" s="1211"/>
      <c r="M48" s="831" t="str">
        <f>IF(OR($E48="",ISNUMBER(SEARCH("Other",$E48))),"",INDEX(CMLIGHTBASE[Base Watt 1],MATCH($E48,CMLIGHTBASE[Base Desc 1],0)))</f>
        <v/>
      </c>
      <c r="N48" s="832"/>
      <c r="O48" s="1209"/>
      <c r="P48" s="836"/>
      <c r="Q48" s="837"/>
      <c r="R48" s="879"/>
      <c r="S48" s="822"/>
      <c r="T48" s="823"/>
      <c r="U48" s="842"/>
      <c r="V48" s="822"/>
      <c r="W48" s="843" t="str">
        <f>IF(O48="","",IF(ISNUMBER(SEARCH("Type",O48)),"","N/A"))</f>
        <v/>
      </c>
      <c r="X48" s="844"/>
      <c r="Y48" s="847"/>
      <c r="Z48" s="848"/>
      <c r="AA48" s="851"/>
      <c r="AB48" s="852"/>
      <c r="AC48" s="852"/>
      <c r="AD48" s="853"/>
      <c r="AE48" s="853"/>
      <c r="AF48" s="1086"/>
      <c r="AG48" s="1086"/>
      <c r="AH48" s="1212"/>
      <c r="AI48" s="1213"/>
      <c r="AJ48" s="1213"/>
      <c r="AK48" s="1216"/>
      <c r="AL48" s="973" t="str">
        <f t="shared" ref="AL48" si="35">IF(OR(C48="",E48="",M48="",K48="",O48="",Y48="",R48="",AA48="",AH48="",AJ48="",AD48="",U48="",W48=""),"",IFERROR(ROUND(IF((AW48-AX48)&lt;=0,0,BH48*(AW48-AX48)),0),""))</f>
        <v/>
      </c>
      <c r="AM48" s="870"/>
      <c r="AN48" s="870"/>
      <c r="AO48" s="872" t="str">
        <f>IF(M02S02F44="","Update Install Status",IF(M02S02F44="No","Submit for Pre-Approval",IF(OR(C48="",E48="",M48="",K48="",O48="",Y48="",R48="",AA48="",AF48="",AH48="",AD48="",U48="",W48="",AJ48=""),"",IF(BF48&lt;&gt;"",BF48,IF(OR(BD48&lt;0,BE48&lt;0),"No Incentive Savings",IF(ISNUMBER(SEARCH("Type",O48)),MIN(BD48,AU48),MIN(BE48,AU48)))))))</f>
        <v>Update Install Status</v>
      </c>
      <c r="AP48" s="872"/>
      <c r="AQ48" s="872"/>
      <c r="AU48" s="804" t="str">
        <f>IF(OR(C48="",E48="",M48="",K48="",O48="",Y48="",R48="",AA48="",AH48="",AJ48="",AD48="", U48="",W48=""),"",IF(AND(ISNUMBER(SEARCH("Other",E48)),OR(H48="",ISBLANK(H48),ISNUMBER(SEARCH("Description",H48)))),"",(ROUND((AH48+AJ48)*U48,2))))</f>
        <v/>
      </c>
      <c r="AV48" s="806" t="str">
        <f>IF(OR(C48="",E48="",M48="",K48="",O48="",Y48="",R48="",AA48="",AH48="",AJ48="",AD48="", U48="",W48=""),"",IF(AND(ISNUMBER(SEARCH("Other",E48)),OR(H48="",ISBLANK(H48),ISNUMBER(SEARCH("Description",H48)))),"",ROUND(AL48*INDEX(ENDUSEALL[Factor],MATCH(IF(ISNUMBER(SEARCH("24/7",AA48)),"Miscellaneous","Lighting"),ENDUSEALL[End Use to Coincident Peak Demand Factors],0)),4)))</f>
        <v/>
      </c>
      <c r="AW48" s="802" t="str">
        <f>IF(OR(C48="",E48="",M48="",K48="",O48="",Y48="",R48="",AA48="",AH48="",AJ48="",AD48="", U48="",W48=""),"",IF(AND(ISNUMBER(SEARCH("Other",E48)),OR(H48="",ISBLANK(H48),ISNUMBER(SEARCH("Description",H48)))),"",ROUND(M48*AD48*K48/1000,0)))</f>
        <v/>
      </c>
      <c r="AX48" s="802" t="str">
        <f>IF(OR(C48="",E48="",M48="",K48="",O48="",Y48="",R48="",AA48="",AH48="",AJ48="",AD48="", U48="",W48=""),"",IF(AND(ISNUMBER(SEARCH("Other",E48)),OR(H48="",ISBLANK(H48),ISNUMBER(SEARCH("Description",H48)))),"",IF(ISNUMBER(SEARCH("Network",O48)),ROUND(0.76*Y48*AD48*U48/1000,0),ROUND(Y48*AD48*U48/1000,0))))</f>
        <v/>
      </c>
      <c r="AY48" s="802" t="str">
        <f>IF(OR(C48="",E48="",M48="",K48="",O48="",Y48="",R48="",AA48="",AH48="",AJ48="",AD48="", U48="",W48=""),"",IF(AND(ISNUMBER(SEARCH("Other",E48)),OR(H48="",ISBLANK(H48),ISNUMBER(SEARCH("Description",H48)))),"",ROUND(K48*M48,0)))</f>
        <v/>
      </c>
      <c r="AZ48" s="802" t="str">
        <f>IF(OR(C48="",E48="",M48="",K48="",O48="",Y48="",R48="",AA48="",AH48="",AJ48="",AD48="", U48="",W48=""),"",IF(AND(K48&gt;=U48,ISNUMBER(SEARCH("Type",O48))),ROUND(U48*LEFT(INDEX(CMLIGHTBASE[Measure Subgroup 2], MATCH(E48,CMLIGHTBASE[Base Desc 1],0)),2)*Y48/W48,0),IF(AND(K48&lt;U48,ISNUMBER(SEARCH("Type",O48))),ROUND(K48*LEFT(INDEX(CMLIGHTBASE[Measure Subgroup 2], MATCH(E48,CMLIGHTBASE[Base Desc 1],0)),2)*Y48/W48,0),IF(OR(ISNUMBER(SEARCH("Fixture",O48)),ISNUMBER(SEARCH("Kit",O48))),U48*Y48))))</f>
        <v/>
      </c>
      <c r="BA48" s="800" t="str">
        <f>CONCATENATE(C48,"-","LED","-",O48)</f>
        <v>-LED-</v>
      </c>
      <c r="BB48" s="808" t="str">
        <f>IF(OR(C48="",E48="",M48="",K48="",O48="",Y48="",R48="",AA48="",AH48="",AJ48="",AD48="", U48="",W48=""),"",IF(AND(ISNUMBER(SEARCH("Other",E48)),OR(H48="",ISBLANK(H48),ISNUMBER(SEARCH("Description",H48)))),"",INDEX(PMELIGHTLIN[Measure '#],MATCH(BA48,PMELIGHTLIN[Measure Validator],0))))</f>
        <v/>
      </c>
      <c r="BC48" s="808" t="str">
        <f>IFERROR(IF(OR(C48="",AH48=""),"",IF(BB48="","",INDEX(PMELIGHTLIN[Inc Rate Unit FT],MATCH(BA48,PMELIGHTLIN[Measure Validator],0)))),"")</f>
        <v/>
      </c>
      <c r="BD48" s="808">
        <f>IFERROR(ROUND(IF(OR(C48="",AH48=""),"",IF(BB48="","",IF(AND(K48&gt;=U48,ISNUMBER(SEARCH("Type",BA48))),BC48*(U48*W48)*LEFT(INDEX(CMLIGHTBASE[Measure Subgroup 1], MATCH(E48,CMLIGHTBASE[Base Desc 1],0)),1),IF(AND(K48&lt;U48,ISNUMBER(SEARCH("Type",BA48))),BC48*(W48*K48)*LEFT(INDEX(CMLIGHTBASE[Measure Subgroup 1], MATCH(E48,CMLIGHTBASE[Base Desc 1],0)),1),0)))),2),0)</f>
        <v>0</v>
      </c>
      <c r="BE48" s="1192">
        <f t="shared" si="1"/>
        <v>0</v>
      </c>
      <c r="BF48" s="800" t="str">
        <f>IF(OR(C48="",E48="",M48="",K48="",O48="",Y48="",R48="",AA48="",AH48="",AJ48="",AD48="", U48="",W48=""),"",IF(AND(ISNUMBER(SEARCH("Other",E48)),OR(H48="",ISBLANK(H48),ISNUMBER(SEARCH("Description",H48)))),"",IFERROR(IF(AD48&lt;INDEX(PMELIGHTLIN[Eff Watt 2],MATCH(BA48,PMELIGHTLIN[Measure Validator],0)),"Operating Hours Invalid",IF(ISNUMBER(SEARCH("SPILLOVER",AA48)),PROJSTATELI,IF((AW48-AX48)&lt;0,"No Savings",IF(AF48&lt;50000,"Lamp Life Too Short","")))),"ERROR")))</f>
        <v/>
      </c>
      <c r="BG48" s="802" t="str">
        <f>IF(AND(ISBLANK(AH48),ISBLANK(AJ48)),"",IF(BD48&gt;AU48,"Yes","No"))</f>
        <v/>
      </c>
      <c r="BH48" s="1051">
        <f>IF(M02S02F32&lt;&gt;"",INDEX(SPACEHEAT[HIF],MATCH(M02S02F32,SHEAT,0)),1)</f>
        <v>1</v>
      </c>
      <c r="BI48" s="802"/>
      <c r="BJ48" s="1225">
        <f t="shared" ref="BJ48" si="36">IFERROR(ROUND(BL48*1.1,2),0)</f>
        <v>0</v>
      </c>
      <c r="BK48" s="804" t="str">
        <f>IF(M02S02F44="","Update Install Status",IF(M02S02F44="No","Submit for Pre-Approval",IF(OR(C48="",E48="",M48="",K48="",O48="",Y48="",R48="",AA48="",AF48="",AH48="",AD48="",U48="",W48="",AJ48=""),"",IF(BF48&lt;&gt;"",BF48,ROUND(BJ48*BONUSADJ,2)))))</f>
        <v>Update Install Status</v>
      </c>
      <c r="BL48" s="804" t="str">
        <f>IF(M02S02F44="","Update Install Status",IF(M02S02F44="No","Submit for Pre-Approval",IF(OR(C48="",E48="",M48="",K48="",O48="",Y48="",R48="",AA48="",AF48="",AH48="",AD48="",U48="",W48="",AJ48=""),"",IF(BF48&lt;&gt;"",BF48,IF(OR(BD48&lt;0,BE48&lt;0),"No Incentive Savings",IF(ISNUMBER(SEARCH("Type",O48)),MIN(BD48,AU48),MIN(BE48,AU48)))))))</f>
        <v>Update Install Status</v>
      </c>
    </row>
    <row r="49" spans="2:64" ht="15.95" customHeight="1" x14ac:dyDescent="0.25">
      <c r="B49" s="1204"/>
      <c r="C49" s="845"/>
      <c r="D49" s="846"/>
      <c r="E49" s="818"/>
      <c r="F49" s="819"/>
      <c r="G49" s="820"/>
      <c r="H49" s="824"/>
      <c r="I49" s="825"/>
      <c r="J49" s="826"/>
      <c r="K49" s="1210"/>
      <c r="L49" s="1211"/>
      <c r="M49" s="833"/>
      <c r="N49" s="834"/>
      <c r="O49" s="838"/>
      <c r="P49" s="839"/>
      <c r="Q49" s="840"/>
      <c r="R49" s="824"/>
      <c r="S49" s="825"/>
      <c r="T49" s="826"/>
      <c r="U49" s="824"/>
      <c r="V49" s="825"/>
      <c r="W49" s="845"/>
      <c r="X49" s="846"/>
      <c r="Y49" s="849"/>
      <c r="Z49" s="850"/>
      <c r="AA49" s="852"/>
      <c r="AB49" s="852"/>
      <c r="AC49" s="852"/>
      <c r="AD49" s="853"/>
      <c r="AE49" s="853"/>
      <c r="AF49" s="1087"/>
      <c r="AG49" s="1087"/>
      <c r="AH49" s="1214"/>
      <c r="AI49" s="1215"/>
      <c r="AJ49" s="1215"/>
      <c r="AK49" s="1217"/>
      <c r="AL49" s="973"/>
      <c r="AM49" s="870"/>
      <c r="AN49" s="870"/>
      <c r="AO49" s="872"/>
      <c r="AP49" s="872"/>
      <c r="AQ49" s="872"/>
      <c r="AU49" s="805"/>
      <c r="AV49" s="807"/>
      <c r="AW49" s="803"/>
      <c r="AX49" s="803"/>
      <c r="AY49" s="803"/>
      <c r="AZ49" s="803"/>
      <c r="BA49" s="801"/>
      <c r="BB49" s="797"/>
      <c r="BC49" s="797"/>
      <c r="BD49" s="797"/>
      <c r="BE49" s="1192"/>
      <c r="BF49" s="801"/>
      <c r="BG49" s="803"/>
      <c r="BH49" s="1052"/>
      <c r="BI49" s="803"/>
      <c r="BJ49" s="1226"/>
      <c r="BK49" s="805"/>
      <c r="BL49" s="805"/>
    </row>
    <row r="50" spans="2:64" ht="15.95" customHeight="1" x14ac:dyDescent="0.25">
      <c r="B50" s="1204">
        <v>17</v>
      </c>
      <c r="C50" s="843"/>
      <c r="D50" s="844"/>
      <c r="E50" s="815"/>
      <c r="F50" s="816"/>
      <c r="G50" s="817"/>
      <c r="H50" s="821"/>
      <c r="I50" s="822"/>
      <c r="J50" s="823"/>
      <c r="K50" s="1210"/>
      <c r="L50" s="1211"/>
      <c r="M50" s="831" t="str">
        <f>IF(OR($E50="",ISNUMBER(SEARCH("Other",$E50))),"",INDEX(CMLIGHTBASE[Base Watt 1],MATCH($E50,CMLIGHTBASE[Base Desc 1],0)))</f>
        <v/>
      </c>
      <c r="N50" s="832"/>
      <c r="O50" s="1209"/>
      <c r="P50" s="836"/>
      <c r="Q50" s="837"/>
      <c r="R50" s="841"/>
      <c r="S50" s="822"/>
      <c r="T50" s="823"/>
      <c r="U50" s="842"/>
      <c r="V50" s="822"/>
      <c r="W50" s="843" t="str">
        <f>IF(O50="","",IF(ISNUMBER(SEARCH("Type",O50)),"","N/A"))</f>
        <v/>
      </c>
      <c r="X50" s="844"/>
      <c r="Y50" s="847"/>
      <c r="Z50" s="848"/>
      <c r="AA50" s="851"/>
      <c r="AB50" s="852"/>
      <c r="AC50" s="852"/>
      <c r="AD50" s="853"/>
      <c r="AE50" s="853"/>
      <c r="AF50" s="1086"/>
      <c r="AG50" s="1086"/>
      <c r="AH50" s="1212"/>
      <c r="AI50" s="1213"/>
      <c r="AJ50" s="1213"/>
      <c r="AK50" s="1216"/>
      <c r="AL50" s="973" t="str">
        <f t="shared" ref="AL50" si="37">IF(OR(C50="",E50="",M50="",K50="",O50="",Y50="",R50="",AA50="",AH50="",AJ50="",AD50="",U50="",W50=""),"",IFERROR(ROUND(IF((AW50-AX50)&lt;=0,0,BH50*(AW50-AX50)),0),""))</f>
        <v/>
      </c>
      <c r="AM50" s="870"/>
      <c r="AN50" s="870"/>
      <c r="AO50" s="872" t="str">
        <f>IF(M02S02F44="","Update Install Status",IF(M02S02F44="No","Submit for Pre-Approval",IF(OR(C50="",E50="",M50="",K50="",O50="",Y50="",R50="",AA50="",AF50="",AH50="",AD50="",U50="",W50="",AJ50=""),"",IF(BF50&lt;&gt;"",BF50,IF(OR(BD50&lt;0,BE50&lt;0),"No Incentive Savings",IF(ISNUMBER(SEARCH("Type",O50)),MIN(BD50,AU50),MIN(BE50,AU50)))))))</f>
        <v>Update Install Status</v>
      </c>
      <c r="AP50" s="872"/>
      <c r="AQ50" s="872"/>
      <c r="AU50" s="804" t="str">
        <f>IF(OR(C50="",E50="",M50="",K50="",O50="",Y50="",R50="",AA50="",AH50="",AJ50="",AD50="", U50="",W50=""),"",IF(AND(ISNUMBER(SEARCH("Other",E50)),OR(H50="",ISBLANK(H50),ISNUMBER(SEARCH("Description",H50)))),"",(ROUND((AH50+AJ50)*U50,2))))</f>
        <v/>
      </c>
      <c r="AV50" s="806" t="str">
        <f>IF(OR(C50="",E50="",M50="",K50="",O50="",Y50="",R50="",AA50="",AH50="",AJ50="",AD50="", U50="",W50=""),"",IF(AND(ISNUMBER(SEARCH("Other",E50)),OR(H50="",ISBLANK(H50),ISNUMBER(SEARCH("Description",H50)))),"",ROUND(AL50*INDEX(ENDUSEALL[Factor],MATCH(IF(ISNUMBER(SEARCH("24/7",AA50)),"Miscellaneous","Lighting"),ENDUSEALL[End Use to Coincident Peak Demand Factors],0)),4)))</f>
        <v/>
      </c>
      <c r="AW50" s="802" t="str">
        <f>IF(OR(C50="",E50="",M50="",K50="",O50="",Y50="",R50="",AA50="",AH50="",AJ50="",AD50="", U50="",W50=""),"",IF(AND(ISNUMBER(SEARCH("Other",E50)),OR(H50="",ISBLANK(H50),ISNUMBER(SEARCH("Description",H50)))),"",ROUND(M50*AD50*K50/1000,0)))</f>
        <v/>
      </c>
      <c r="AX50" s="802" t="str">
        <f>IF(OR(C50="",E50="",M50="",K50="",O50="",Y50="",R50="",AA50="",AH50="",AJ50="",AD50="", U50="",W50=""),"",IF(AND(ISNUMBER(SEARCH("Other",E50)),OR(H50="",ISBLANK(H50),ISNUMBER(SEARCH("Description",H50)))),"",IF(ISNUMBER(SEARCH("Network",O50)),ROUND(0.76*Y50*AD50*U50/1000,0),ROUND(Y50*AD50*U50/1000,0))))</f>
        <v/>
      </c>
      <c r="AY50" s="802" t="str">
        <f>IF(OR(C50="",E50="",M50="",K50="",O50="",Y50="",R50="",AA50="",AH50="",AJ50="",AD50="", U50="",W50=""),"",IF(AND(ISNUMBER(SEARCH("Other",E50)),OR(H50="",ISBLANK(H50),ISNUMBER(SEARCH("Description",H50)))),"",ROUND(K50*M50,0)))</f>
        <v/>
      </c>
      <c r="AZ50" s="802" t="str">
        <f>IF(OR(C50="",E50="",M50="",K50="",O50="",Y50="",R50="",AA50="",AH50="",AJ50="",AD50="", U50="",W50=""),"",IF(AND(K50&gt;=U50,ISNUMBER(SEARCH("Type",O50))),ROUND(U50*LEFT(INDEX(CMLIGHTBASE[Measure Subgroup 2], MATCH(E50,CMLIGHTBASE[Base Desc 1],0)),2)*Y50/W50,0),IF(AND(K50&lt;U50,ISNUMBER(SEARCH("Type",O50))),ROUND(K50*LEFT(INDEX(CMLIGHTBASE[Measure Subgroup 2], MATCH(E50,CMLIGHTBASE[Base Desc 1],0)),2)*Y50/W50,0),IF(OR(ISNUMBER(SEARCH("Fixture",O50)),ISNUMBER(SEARCH("Kit",O50))),U50*Y50))))</f>
        <v/>
      </c>
      <c r="BA50" s="800" t="str">
        <f>CONCATENATE(C50,"-","LED","-",O50)</f>
        <v>-LED-</v>
      </c>
      <c r="BB50" s="808" t="str">
        <f>IF(OR(C50="",E50="",M50="",K50="",O50="",Y50="",R50="",AA50="",AH50="",AJ50="",AD50="", U50="",W50=""),"",IF(AND(ISNUMBER(SEARCH("Other",E50)),OR(H50="",ISBLANK(H50),ISNUMBER(SEARCH("Description",H50)))),"",INDEX(PMELIGHTLIN[Measure '#],MATCH(BA50,PMELIGHTLIN[Measure Validator],0))))</f>
        <v/>
      </c>
      <c r="BC50" s="808" t="str">
        <f>IFERROR(IF(OR(C50="",AH50=""),"",IF(BB50="","",INDEX(PMELIGHTLIN[Inc Rate Unit FT],MATCH(BA50,PMELIGHTLIN[Measure Validator],0)))),"")</f>
        <v/>
      </c>
      <c r="BD50" s="808">
        <f>IFERROR(ROUND(IF(OR(C50="",AH50=""),"",IF(BB50="","",IF(AND(K50&gt;=U50,ISNUMBER(SEARCH("Type",BA50))),BC50*(U50*W50)*LEFT(INDEX(CMLIGHTBASE[Measure Subgroup 1], MATCH(E50,CMLIGHTBASE[Base Desc 1],0)),1),IF(AND(K50&lt;U50,ISNUMBER(SEARCH("Type",BA50))),BC50*(W50*K50)*LEFT(INDEX(CMLIGHTBASE[Measure Subgroup 1], MATCH(E50,CMLIGHTBASE[Base Desc 1],0)),1),0)))),2),0)</f>
        <v>0</v>
      </c>
      <c r="BE50" s="1192">
        <f t="shared" si="1"/>
        <v>0</v>
      </c>
      <c r="BF50" s="800" t="str">
        <f>IF(OR(C50="",E50="",M50="",K50="",O50="",Y50="",R50="",AA50="",AH50="",AJ50="",AD50="", U50="",W50=""),"",IF(AND(ISNUMBER(SEARCH("Other",E50)),OR(H50="",ISBLANK(H50),ISNUMBER(SEARCH("Description",H50)))),"",IFERROR(IF(AD50&lt;INDEX(PMELIGHTLIN[Eff Watt 2],MATCH(BA50,PMELIGHTLIN[Measure Validator],0)),"Operating Hours Invalid",IF(ISNUMBER(SEARCH("SPILLOVER",AA50)),PROJSTATELI,IF((AW50-AX50)&lt;0,"No Savings",IF(AF50&lt;50000,"Lamp Life Too Short","")))),"ERROR")))</f>
        <v/>
      </c>
      <c r="BG50" s="802" t="str">
        <f>IF(AND(ISBLANK(AH50),ISBLANK(AJ50)),"",IF(BD50&gt;AU50,"Yes","No"))</f>
        <v/>
      </c>
      <c r="BH50" s="1051">
        <f>IF(M02S02F32&lt;&gt;"",INDEX(SPACEHEAT[HIF],MATCH(M02S02F32,SHEAT,0)),1)</f>
        <v>1</v>
      </c>
      <c r="BI50" s="802"/>
      <c r="BJ50" s="1225">
        <f t="shared" ref="BJ50" si="38">IFERROR(ROUND(BL50*1.1,2),0)</f>
        <v>0</v>
      </c>
      <c r="BK50" s="804" t="str">
        <f>IF(M02S02F44="","Update Install Status",IF(M02S02F44="No","Submit for Pre-Approval",IF(OR(C50="",E50="",M50="",K50="",O50="",Y50="",R50="",AA50="",AF50="",AH50="",AD50="",U50="",W50="",AJ50=""),"",IF(BF50&lt;&gt;"",BF50,ROUND(BJ50*BONUSADJ,2)))))</f>
        <v>Update Install Status</v>
      </c>
      <c r="BL50" s="804" t="str">
        <f>IF(M02S02F44="","Update Install Status",IF(M02S02F44="No","Submit for Pre-Approval",IF(OR(C50="",E50="",M50="",K50="",O50="",Y50="",R50="",AA50="",AF50="",AH50="",AD50="",U50="",W50="",AJ50=""),"",IF(BF50&lt;&gt;"",BF50,IF(OR(BD50&lt;0,BE50&lt;0),"No Incentive Savings",IF(ISNUMBER(SEARCH("Type",O50)),MIN(BD50,AU50),MIN(BE50,AU50)))))))</f>
        <v>Update Install Status</v>
      </c>
    </row>
    <row r="51" spans="2:64" ht="15.95" customHeight="1" x14ac:dyDescent="0.25">
      <c r="B51" s="1204"/>
      <c r="C51" s="845"/>
      <c r="D51" s="846"/>
      <c r="E51" s="818"/>
      <c r="F51" s="819"/>
      <c r="G51" s="820"/>
      <c r="H51" s="824"/>
      <c r="I51" s="825"/>
      <c r="J51" s="826"/>
      <c r="K51" s="1210"/>
      <c r="L51" s="1211"/>
      <c r="M51" s="833"/>
      <c r="N51" s="834"/>
      <c r="O51" s="838"/>
      <c r="P51" s="839"/>
      <c r="Q51" s="840"/>
      <c r="R51" s="824"/>
      <c r="S51" s="825"/>
      <c r="T51" s="826"/>
      <c r="U51" s="824"/>
      <c r="V51" s="825"/>
      <c r="W51" s="845"/>
      <c r="X51" s="846"/>
      <c r="Y51" s="849"/>
      <c r="Z51" s="850"/>
      <c r="AA51" s="852"/>
      <c r="AB51" s="852"/>
      <c r="AC51" s="852"/>
      <c r="AD51" s="853"/>
      <c r="AE51" s="853"/>
      <c r="AF51" s="1087"/>
      <c r="AG51" s="1087"/>
      <c r="AH51" s="1214"/>
      <c r="AI51" s="1215"/>
      <c r="AJ51" s="1215"/>
      <c r="AK51" s="1217"/>
      <c r="AL51" s="973"/>
      <c r="AM51" s="870"/>
      <c r="AN51" s="870"/>
      <c r="AO51" s="872"/>
      <c r="AP51" s="872"/>
      <c r="AQ51" s="872"/>
      <c r="AU51" s="805"/>
      <c r="AV51" s="807"/>
      <c r="AW51" s="803"/>
      <c r="AX51" s="803"/>
      <c r="AY51" s="803"/>
      <c r="AZ51" s="803"/>
      <c r="BA51" s="801"/>
      <c r="BB51" s="797"/>
      <c r="BC51" s="797"/>
      <c r="BD51" s="797"/>
      <c r="BE51" s="1192"/>
      <c r="BF51" s="801"/>
      <c r="BG51" s="803"/>
      <c r="BH51" s="1052"/>
      <c r="BI51" s="803"/>
      <c r="BJ51" s="1226"/>
      <c r="BK51" s="805"/>
      <c r="BL51" s="805"/>
    </row>
    <row r="52" spans="2:64" ht="15.95" customHeight="1" x14ac:dyDescent="0.25">
      <c r="B52" s="1204">
        <v>18</v>
      </c>
      <c r="C52" s="843"/>
      <c r="D52" s="844"/>
      <c r="E52" s="815"/>
      <c r="F52" s="816"/>
      <c r="G52" s="817"/>
      <c r="H52" s="821"/>
      <c r="I52" s="822"/>
      <c r="J52" s="823"/>
      <c r="K52" s="1210"/>
      <c r="L52" s="1211"/>
      <c r="M52" s="831" t="str">
        <f>IF(OR($E52="",ISNUMBER(SEARCH("Other",$E52))),"",INDEX(CMLIGHTBASE[Base Watt 1],MATCH($E52,CMLIGHTBASE[Base Desc 1],0)))</f>
        <v/>
      </c>
      <c r="N52" s="832"/>
      <c r="O52" s="1209"/>
      <c r="P52" s="836"/>
      <c r="Q52" s="837"/>
      <c r="R52" s="841"/>
      <c r="S52" s="822"/>
      <c r="T52" s="823"/>
      <c r="U52" s="842"/>
      <c r="V52" s="822"/>
      <c r="W52" s="843" t="str">
        <f>IF(O52="","",IF(ISNUMBER(SEARCH("Type",O52)),"","N/A"))</f>
        <v/>
      </c>
      <c r="X52" s="844"/>
      <c r="Y52" s="847"/>
      <c r="Z52" s="848"/>
      <c r="AA52" s="851"/>
      <c r="AB52" s="852"/>
      <c r="AC52" s="852"/>
      <c r="AD52" s="853"/>
      <c r="AE52" s="853"/>
      <c r="AF52" s="1086"/>
      <c r="AG52" s="1086"/>
      <c r="AH52" s="1212"/>
      <c r="AI52" s="1213"/>
      <c r="AJ52" s="1213"/>
      <c r="AK52" s="1216"/>
      <c r="AL52" s="973" t="str">
        <f t="shared" ref="AL52" si="39">IF(OR(C52="",E52="",M52="",K52="",O52="",Y52="",R52="",AA52="",AH52="",AJ52="",AD52="",U52="",W52=""),"",IFERROR(ROUND(IF((AW52-AX52)&lt;=0,0,BH52*(AW52-AX52)),0),""))</f>
        <v/>
      </c>
      <c r="AM52" s="870"/>
      <c r="AN52" s="870"/>
      <c r="AO52" s="872" t="str">
        <f>IF(M02S02F44="","Update Install Status",IF(M02S02F44="No","Submit for Pre-Approval",IF(OR(C52="",E52="",M52="",K52="",O52="",Y52="",R52="",AA52="",AF52="",AH52="",AD52="",U52="",W52="",AJ52=""),"",IF(BF52&lt;&gt;"",BF52,IF(OR(BD52&lt;0,BE52&lt;0),"No Incentive Savings",IF(ISNUMBER(SEARCH("Type",O52)),MIN(BD52,AU52),MIN(BE52,AU52)))))))</f>
        <v>Update Install Status</v>
      </c>
      <c r="AP52" s="872"/>
      <c r="AQ52" s="872"/>
      <c r="AU52" s="804" t="str">
        <f>IF(OR(C52="",E52="",M52="",K52="",O52="",Y52="",R52="",AA52="",AH52="",AJ52="",AD52="", U52="",W52=""),"",IF(AND(ISNUMBER(SEARCH("Other",E52)),OR(H52="",ISBLANK(H52),ISNUMBER(SEARCH("Description",H52)))),"",(ROUND((AH52+AJ52)*U52,2))))</f>
        <v/>
      </c>
      <c r="AV52" s="806" t="str">
        <f>IF(OR(C52="",E52="",M52="",K52="",O52="",Y52="",R52="",AA52="",AH52="",AJ52="",AD52="", U52="",W52=""),"",IF(AND(ISNUMBER(SEARCH("Other",E52)),OR(H52="",ISBLANK(H52),ISNUMBER(SEARCH("Description",H52)))),"",ROUND(AL52*INDEX(ENDUSEALL[Factor],MATCH(IF(ISNUMBER(SEARCH("24/7",AA52)),"Miscellaneous","Lighting"),ENDUSEALL[End Use to Coincident Peak Demand Factors],0)),4)))</f>
        <v/>
      </c>
      <c r="AW52" s="802" t="str">
        <f>IF(OR(C52="",E52="",M52="",K52="",O52="",Y52="",R52="",AA52="",AH52="",AJ52="",AD52="", U52="",W52=""),"",IF(AND(ISNUMBER(SEARCH("Other",E52)),OR(H52="",ISBLANK(H52),ISNUMBER(SEARCH("Description",H52)))),"",ROUND(M52*AD52*K52/1000,0)))</f>
        <v/>
      </c>
      <c r="AX52" s="802" t="str">
        <f>IF(OR(C52="",E52="",M52="",K52="",O52="",Y52="",R52="",AA52="",AH52="",AJ52="",AD52="", U52="",W52=""),"",IF(AND(ISNUMBER(SEARCH("Other",E52)),OR(H52="",ISBLANK(H52),ISNUMBER(SEARCH("Description",H52)))),"",IF(ISNUMBER(SEARCH("Network",O52)),ROUND(0.76*Y52*AD52*U52/1000,0),ROUND(Y52*AD52*U52/1000,0))))</f>
        <v/>
      </c>
      <c r="AY52" s="802" t="str">
        <f>IF(OR(C52="",E52="",M52="",K52="",O52="",Y52="",R52="",AA52="",AH52="",AJ52="",AD52="", U52="",W52=""),"",IF(AND(ISNUMBER(SEARCH("Other",E52)),OR(H52="",ISBLANK(H52),ISNUMBER(SEARCH("Description",H52)))),"",ROUND(K52*M52,0)))</f>
        <v/>
      </c>
      <c r="AZ52" s="802" t="str">
        <f>IF(OR(C52="",E52="",M52="",K52="",O52="",Y52="",R52="",AA52="",AH52="",AJ52="",AD52="", U52="",W52=""),"",IF(AND(K52&gt;=U52,ISNUMBER(SEARCH("Type",O52))),ROUND(U52*LEFT(INDEX(CMLIGHTBASE[Measure Subgroup 2], MATCH(E52,CMLIGHTBASE[Base Desc 1],0)),2)*Y52/W52,0),IF(AND(K52&lt;U52,ISNUMBER(SEARCH("Type",O52))),ROUND(K52*LEFT(INDEX(CMLIGHTBASE[Measure Subgroup 2], MATCH(E52,CMLIGHTBASE[Base Desc 1],0)),2)*Y52/W52,0),IF(OR(ISNUMBER(SEARCH("Fixture",O52)),ISNUMBER(SEARCH("Kit",O52))),U52*Y52))))</f>
        <v/>
      </c>
      <c r="BA52" s="800" t="str">
        <f>CONCATENATE(C52,"-","LED","-",O52)</f>
        <v>-LED-</v>
      </c>
      <c r="BB52" s="808" t="str">
        <f>IF(OR(C52="",E52="",M52="",K52="",O52="",Y52="",R52="",AA52="",AH52="",AJ52="",AD52="", U52="",W52=""),"",IF(AND(ISNUMBER(SEARCH("Other",E52)),OR(H52="",ISBLANK(H52),ISNUMBER(SEARCH("Description",H52)))),"",INDEX(PMELIGHTLIN[Measure '#],MATCH(BA52,PMELIGHTLIN[Measure Validator],0))))</f>
        <v/>
      </c>
      <c r="BC52" s="808" t="str">
        <f>IFERROR(IF(OR(C52="",AH52=""),"",IF(BB52="","",INDEX(PMELIGHTLIN[Inc Rate Unit FT],MATCH(BA52,PMELIGHTLIN[Measure Validator],0)))),"")</f>
        <v/>
      </c>
      <c r="BD52" s="808">
        <f>IFERROR(ROUND(IF(OR(C52="",AH52=""),"",IF(BB52="","",IF(AND(K52&gt;=U52,ISNUMBER(SEARCH("Type",BA52))),BC52*(U52*W52)*LEFT(INDEX(CMLIGHTBASE[Measure Subgroup 1], MATCH(E52,CMLIGHTBASE[Base Desc 1],0)),1),IF(AND(K52&lt;U52,ISNUMBER(SEARCH("Type",BA52))),BC52*(W52*K52)*LEFT(INDEX(CMLIGHTBASE[Measure Subgroup 1], MATCH(E52,CMLIGHTBASE[Base Desc 1],0)),1),0)))),2),0)</f>
        <v>0</v>
      </c>
      <c r="BE52" s="1192">
        <f t="shared" si="1"/>
        <v>0</v>
      </c>
      <c r="BF52" s="800" t="str">
        <f>IF(OR(C52="",E52="",M52="",K52="",O52="",Y52="",R52="",AA52="",AH52="",AJ52="",AD52="", U52="",W52=""),"",IF(AND(ISNUMBER(SEARCH("Other",E52)),OR(H52="",ISBLANK(H52),ISNUMBER(SEARCH("Description",H52)))),"",IFERROR(IF(AD52&lt;INDEX(PMELIGHTLIN[Eff Watt 2],MATCH(BA52,PMELIGHTLIN[Measure Validator],0)),"Operating Hours Invalid",IF(ISNUMBER(SEARCH("SPILLOVER",AA52)),PROJSTATELI,IF((AW52-AX52)&lt;0,"No Savings",IF(AF52&lt;50000,"Lamp Life Too Short","")))),"ERROR")))</f>
        <v/>
      </c>
      <c r="BG52" s="802" t="str">
        <f>IF(AND(ISBLANK(AH52),ISBLANK(AJ52)),"",IF(BD52&gt;AU52,"Yes","No"))</f>
        <v/>
      </c>
      <c r="BH52" s="1051">
        <f>IF(M02S02F32&lt;&gt;"",INDEX(SPACEHEAT[HIF],MATCH(M02S02F32,SHEAT,0)),1)</f>
        <v>1</v>
      </c>
      <c r="BI52" s="802"/>
      <c r="BJ52" s="1225">
        <f t="shared" ref="BJ52" si="40">IFERROR(ROUND(BL52*1.1,2),0)</f>
        <v>0</v>
      </c>
      <c r="BK52" s="804" t="str">
        <f>IF(M02S02F44="","Update Install Status",IF(M02S02F44="No","Submit for Pre-Approval",IF(OR(C52="",E52="",M52="",K52="",O52="",Y52="",R52="",AA52="",AF52="",AH52="",AD52="",U52="",W52="",AJ52=""),"",IF(BF52&lt;&gt;"",BF52,ROUND(BJ52*BONUSADJ,2)))))</f>
        <v>Update Install Status</v>
      </c>
      <c r="BL52" s="804" t="str">
        <f>IF(M02S02F44="","Update Install Status",IF(M02S02F44="No","Submit for Pre-Approval",IF(OR(C52="",E52="",M52="",K52="",O52="",Y52="",R52="",AA52="",AF52="",AH52="",AD52="",U52="",W52="",AJ52=""),"",IF(BF52&lt;&gt;"",BF52,IF(OR(BD52&lt;0,BE52&lt;0),"No Incentive Savings",IF(ISNUMBER(SEARCH("Type",O52)),MIN(BD52,AU52),MIN(BE52,AU52)))))))</f>
        <v>Update Install Status</v>
      </c>
    </row>
    <row r="53" spans="2:64" ht="15.95" customHeight="1" x14ac:dyDescent="0.25">
      <c r="B53" s="1204"/>
      <c r="C53" s="845"/>
      <c r="D53" s="846"/>
      <c r="E53" s="818"/>
      <c r="F53" s="819"/>
      <c r="G53" s="820"/>
      <c r="H53" s="824"/>
      <c r="I53" s="825"/>
      <c r="J53" s="826"/>
      <c r="K53" s="1210"/>
      <c r="L53" s="1211"/>
      <c r="M53" s="833"/>
      <c r="N53" s="834"/>
      <c r="O53" s="838"/>
      <c r="P53" s="839"/>
      <c r="Q53" s="840"/>
      <c r="R53" s="824"/>
      <c r="S53" s="825"/>
      <c r="T53" s="826"/>
      <c r="U53" s="824"/>
      <c r="V53" s="825"/>
      <c r="W53" s="845"/>
      <c r="X53" s="846"/>
      <c r="Y53" s="849"/>
      <c r="Z53" s="850"/>
      <c r="AA53" s="852"/>
      <c r="AB53" s="852"/>
      <c r="AC53" s="852"/>
      <c r="AD53" s="853"/>
      <c r="AE53" s="853"/>
      <c r="AF53" s="1087"/>
      <c r="AG53" s="1087"/>
      <c r="AH53" s="1214"/>
      <c r="AI53" s="1215"/>
      <c r="AJ53" s="1215"/>
      <c r="AK53" s="1217"/>
      <c r="AL53" s="973"/>
      <c r="AM53" s="870"/>
      <c r="AN53" s="870"/>
      <c r="AO53" s="872"/>
      <c r="AP53" s="872"/>
      <c r="AQ53" s="872"/>
      <c r="AU53" s="805"/>
      <c r="AV53" s="807"/>
      <c r="AW53" s="803"/>
      <c r="AX53" s="803"/>
      <c r="AY53" s="803"/>
      <c r="AZ53" s="803"/>
      <c r="BA53" s="801"/>
      <c r="BB53" s="797"/>
      <c r="BC53" s="797"/>
      <c r="BD53" s="797"/>
      <c r="BE53" s="1192"/>
      <c r="BF53" s="801"/>
      <c r="BG53" s="803"/>
      <c r="BH53" s="1052"/>
      <c r="BI53" s="803"/>
      <c r="BJ53" s="1226"/>
      <c r="BK53" s="805"/>
      <c r="BL53" s="805"/>
    </row>
    <row r="54" spans="2:64" ht="15.95" customHeight="1" x14ac:dyDescent="0.25">
      <c r="B54" s="1204">
        <v>19</v>
      </c>
      <c r="C54" s="843"/>
      <c r="D54" s="844"/>
      <c r="E54" s="815"/>
      <c r="F54" s="816"/>
      <c r="G54" s="817"/>
      <c r="H54" s="821"/>
      <c r="I54" s="822"/>
      <c r="J54" s="823"/>
      <c r="K54" s="1210"/>
      <c r="L54" s="1211"/>
      <c r="M54" s="831" t="str">
        <f>IF(OR($E54="",ISNUMBER(SEARCH("Other",$E54))),"",INDEX(CMLIGHTBASE[Base Watt 1],MATCH($E54,CMLIGHTBASE[Base Desc 1],0)))</f>
        <v/>
      </c>
      <c r="N54" s="832"/>
      <c r="O54" s="1209"/>
      <c r="P54" s="836"/>
      <c r="Q54" s="837"/>
      <c r="R54" s="841"/>
      <c r="S54" s="822"/>
      <c r="T54" s="823"/>
      <c r="U54" s="842"/>
      <c r="V54" s="822"/>
      <c r="W54" s="843" t="str">
        <f>IF(O54="","",IF(ISNUMBER(SEARCH("Type",O54)),"","N/A"))</f>
        <v/>
      </c>
      <c r="X54" s="844"/>
      <c r="Y54" s="847"/>
      <c r="Z54" s="848"/>
      <c r="AA54" s="851"/>
      <c r="AB54" s="852"/>
      <c r="AC54" s="852"/>
      <c r="AD54" s="853"/>
      <c r="AE54" s="853"/>
      <c r="AF54" s="1086"/>
      <c r="AG54" s="1086"/>
      <c r="AH54" s="1212"/>
      <c r="AI54" s="1213"/>
      <c r="AJ54" s="1213"/>
      <c r="AK54" s="1216"/>
      <c r="AL54" s="973" t="str">
        <f t="shared" ref="AL54" si="41">IF(OR(C54="",E54="",M54="",K54="",O54="",Y54="",R54="",AA54="",AH54="",AJ54="",AD54="",U54="",W54=""),"",IFERROR(ROUND(IF((AW54-AX54)&lt;=0,0,BH54*(AW54-AX54)),0),""))</f>
        <v/>
      </c>
      <c r="AM54" s="870"/>
      <c r="AN54" s="870"/>
      <c r="AO54" s="872" t="str">
        <f>IF(M02S02F44="","Update Install Status",IF(M02S02F44="No","Submit for Pre-Approval",IF(OR(C54="",E54="",M54="",K54="",O54="",Y54="",R54="",AA54="",AF54="",AH54="",AD54="",U54="",W54="",AJ54=""),"",IF(BF54&lt;&gt;"",BF54,IF(OR(BD54&lt;0,BE54&lt;0),"No Incentive Savings",IF(ISNUMBER(SEARCH("Type",O54)),MIN(BD54,AU54),MIN(BE54,AU54)))))))</f>
        <v>Update Install Status</v>
      </c>
      <c r="AP54" s="872"/>
      <c r="AQ54" s="872"/>
      <c r="AU54" s="804" t="str">
        <f>IF(OR(C54="",E54="",M54="",K54="",O54="",Y54="",R54="",AA54="",AH54="",AJ54="",AD54="", U54="",W54=""),"",IF(AND(ISNUMBER(SEARCH("Other",E54)),OR(H54="",ISBLANK(H54),ISNUMBER(SEARCH("Description",H54)))),"",(ROUND((AH54+AJ54)*U54,2))))</f>
        <v/>
      </c>
      <c r="AV54" s="806" t="str">
        <f>IF(OR(C54="",E54="",M54="",K54="",O54="",Y54="",R54="",AA54="",AH54="",AJ54="",AD54="", U54="",W54=""),"",IF(AND(ISNUMBER(SEARCH("Other",E54)),OR(H54="",ISBLANK(H54),ISNUMBER(SEARCH("Description",H54)))),"",ROUND(AL54*INDEX(ENDUSEALL[Factor],MATCH(IF(ISNUMBER(SEARCH("24/7",AA54)),"Miscellaneous","Lighting"),ENDUSEALL[End Use to Coincident Peak Demand Factors],0)),4)))</f>
        <v/>
      </c>
      <c r="AW54" s="802" t="str">
        <f>IF(OR(C54="",E54="",M54="",K54="",O54="",Y54="",R54="",AA54="",AH54="",AJ54="",AD54="", U54="",W54=""),"",IF(AND(ISNUMBER(SEARCH("Other",E54)),OR(H54="",ISBLANK(H54),ISNUMBER(SEARCH("Description",H54)))),"",ROUND(M54*AD54*K54/1000,0)))</f>
        <v/>
      </c>
      <c r="AX54" s="802" t="str">
        <f>IF(OR(C54="",E54="",M54="",K54="",O54="",Y54="",R54="",AA54="",AH54="",AJ54="",AD54="", U54="",W54=""),"",IF(AND(ISNUMBER(SEARCH("Other",E54)),OR(H54="",ISBLANK(H54),ISNUMBER(SEARCH("Description",H54)))),"",IF(ISNUMBER(SEARCH("Network",O54)),ROUND(0.76*Y54*AD54*U54/1000,0),ROUND(Y54*AD54*U54/1000,0))))</f>
        <v/>
      </c>
      <c r="AY54" s="802" t="str">
        <f>IF(OR(C54="",E54="",M54="",K54="",O54="",Y54="",R54="",AA54="",AH54="",AJ54="",AD54="", U54="",W54=""),"",IF(AND(ISNUMBER(SEARCH("Other",E54)),OR(H54="",ISBLANK(H54),ISNUMBER(SEARCH("Description",H54)))),"",ROUND(K54*M54,0)))</f>
        <v/>
      </c>
      <c r="AZ54" s="802" t="str">
        <f>IF(OR(C54="",E54="",M54="",K54="",O54="",Y54="",R54="",AA54="",AH54="",AJ54="",AD54="", U54="",W54=""),"",IF(AND(K54&gt;=U54,ISNUMBER(SEARCH("Type",O54))),ROUND(U54*LEFT(INDEX(CMLIGHTBASE[Measure Subgroup 2], MATCH(E54,CMLIGHTBASE[Base Desc 1],0)),2)*Y54/W54,0),IF(AND(K54&lt;U54,ISNUMBER(SEARCH("Type",O54))),ROUND(K54*LEFT(INDEX(CMLIGHTBASE[Measure Subgroup 2], MATCH(E54,CMLIGHTBASE[Base Desc 1],0)),2)*Y54/W54,0),IF(OR(ISNUMBER(SEARCH("Fixture",O54)),ISNUMBER(SEARCH("Kit",O54))),U54*Y54))))</f>
        <v/>
      </c>
      <c r="BA54" s="800" t="str">
        <f>CONCATENATE(C54,"-","LED","-",O54)</f>
        <v>-LED-</v>
      </c>
      <c r="BB54" s="808" t="str">
        <f>IF(OR(C54="",E54="",M54="",K54="",O54="",Y54="",R54="",AA54="",AH54="",AJ54="",AD54="", U54="",W54=""),"",IF(AND(ISNUMBER(SEARCH("Other",E54)),OR(H54="",ISBLANK(H54),ISNUMBER(SEARCH("Description",H54)))),"",INDEX(PMELIGHTLIN[Measure '#],MATCH(BA54,PMELIGHTLIN[Measure Validator],0))))</f>
        <v/>
      </c>
      <c r="BC54" s="808" t="str">
        <f>IFERROR(IF(OR(C54="",AH54=""),"",IF(BB54="","",INDEX(PMELIGHTLIN[Inc Rate Unit FT],MATCH(BA54,PMELIGHTLIN[Measure Validator],0)))),"")</f>
        <v/>
      </c>
      <c r="BD54" s="808">
        <f>IFERROR(ROUND(IF(OR(C54="",AH54=""),"",IF(BB54="","",IF(AND(K54&gt;=U54,ISNUMBER(SEARCH("Type",BA54))),BC54*(U54*W54)*LEFT(INDEX(CMLIGHTBASE[Measure Subgroup 1], MATCH(E54,CMLIGHTBASE[Base Desc 1],0)),1),IF(AND(K54&lt;U54,ISNUMBER(SEARCH("Type",BA54))),BC54*(W54*K54)*LEFT(INDEX(CMLIGHTBASE[Measure Subgroup 1], MATCH(E54,CMLIGHTBASE[Base Desc 1],0)),1),0)))),2),0)</f>
        <v>0</v>
      </c>
      <c r="BE54" s="1192">
        <f t="shared" si="1"/>
        <v>0</v>
      </c>
      <c r="BF54" s="800" t="str">
        <f>IF(OR(C54="",E54="",M54="",K54="",O54="",Y54="",R54="",AA54="",AH54="",AJ54="",AD54="", U54="",W54=""),"",IF(AND(ISNUMBER(SEARCH("Other",E54)),OR(H54="",ISBLANK(H54),ISNUMBER(SEARCH("Description",H54)))),"",IFERROR(IF(AD54&lt;INDEX(PMELIGHTLIN[Eff Watt 2],MATCH(BA54,PMELIGHTLIN[Measure Validator],0)),"Operating Hours Invalid",IF(ISNUMBER(SEARCH("SPILLOVER",AA54)),PROJSTATELI,IF((AW54-AX54)&lt;0,"No Savings",IF(AF54&lt;50000,"Lamp Life Too Short","")))),"ERROR")))</f>
        <v/>
      </c>
      <c r="BG54" s="802" t="str">
        <f>IF(AND(ISBLANK(AH54),ISBLANK(AJ54)),"",IF(BD54&gt;AU54,"Yes","No"))</f>
        <v/>
      </c>
      <c r="BH54" s="1051">
        <f>IF(M02S02F32&lt;&gt;"",INDEX(SPACEHEAT[HIF],MATCH(M02S02F32,SHEAT,0)),1)</f>
        <v>1</v>
      </c>
      <c r="BI54" s="802"/>
      <c r="BJ54" s="1225">
        <f t="shared" ref="BJ54" si="42">IFERROR(ROUND(BL54*1.1,2),0)</f>
        <v>0</v>
      </c>
      <c r="BK54" s="804" t="str">
        <f>IF(M02S02F44="","Update Install Status",IF(M02S02F44="No","Submit for Pre-Approval",IF(OR(C54="",E54="",M54="",K54="",O54="",Y54="",R54="",AA54="",AF54="",AH54="",AD54="",U54="",W54="",AJ54=""),"",IF(BF54&lt;&gt;"",BF54,ROUND(BJ54*BONUSADJ,2)))))</f>
        <v>Update Install Status</v>
      </c>
      <c r="BL54" s="804" t="str">
        <f>IF(M02S02F44="","Update Install Status",IF(M02S02F44="No","Submit for Pre-Approval",IF(OR(C54="",E54="",M54="",K54="",O54="",Y54="",R54="",AA54="",AF54="",AH54="",AD54="",U54="",W54="",AJ54=""),"",IF(BF54&lt;&gt;"",BF54,IF(OR(BD54&lt;0,BE54&lt;0),"No Incentive Savings",IF(ISNUMBER(SEARCH("Type",O54)),MIN(BD54,AU54),MIN(BE54,AU54)))))))</f>
        <v>Update Install Status</v>
      </c>
    </row>
    <row r="55" spans="2:64" ht="15.95" customHeight="1" x14ac:dyDescent="0.25">
      <c r="B55" s="1204"/>
      <c r="C55" s="845"/>
      <c r="D55" s="846"/>
      <c r="E55" s="818"/>
      <c r="F55" s="819"/>
      <c r="G55" s="820"/>
      <c r="H55" s="824"/>
      <c r="I55" s="825"/>
      <c r="J55" s="826"/>
      <c r="K55" s="1210"/>
      <c r="L55" s="1211"/>
      <c r="M55" s="833"/>
      <c r="N55" s="834"/>
      <c r="O55" s="838"/>
      <c r="P55" s="839"/>
      <c r="Q55" s="840"/>
      <c r="R55" s="824"/>
      <c r="S55" s="825"/>
      <c r="T55" s="826"/>
      <c r="U55" s="824"/>
      <c r="V55" s="825"/>
      <c r="W55" s="845"/>
      <c r="X55" s="846"/>
      <c r="Y55" s="849"/>
      <c r="Z55" s="850"/>
      <c r="AA55" s="852"/>
      <c r="AB55" s="852"/>
      <c r="AC55" s="852"/>
      <c r="AD55" s="853"/>
      <c r="AE55" s="853"/>
      <c r="AF55" s="1087"/>
      <c r="AG55" s="1087"/>
      <c r="AH55" s="1214"/>
      <c r="AI55" s="1215"/>
      <c r="AJ55" s="1215"/>
      <c r="AK55" s="1217"/>
      <c r="AL55" s="973"/>
      <c r="AM55" s="870"/>
      <c r="AN55" s="870"/>
      <c r="AO55" s="872"/>
      <c r="AP55" s="872"/>
      <c r="AQ55" s="872"/>
      <c r="AU55" s="805"/>
      <c r="AV55" s="807"/>
      <c r="AW55" s="803"/>
      <c r="AX55" s="803"/>
      <c r="AY55" s="803"/>
      <c r="AZ55" s="803"/>
      <c r="BA55" s="801"/>
      <c r="BB55" s="797"/>
      <c r="BC55" s="797"/>
      <c r="BD55" s="797"/>
      <c r="BE55" s="1192"/>
      <c r="BF55" s="801"/>
      <c r="BG55" s="803"/>
      <c r="BH55" s="1052"/>
      <c r="BI55" s="803"/>
      <c r="BJ55" s="1226"/>
      <c r="BK55" s="805"/>
      <c r="BL55" s="805"/>
    </row>
    <row r="56" spans="2:64" ht="15.95" customHeight="1" x14ac:dyDescent="0.25">
      <c r="B56" s="1204">
        <v>20</v>
      </c>
      <c r="C56" s="843"/>
      <c r="D56" s="844"/>
      <c r="E56" s="815"/>
      <c r="F56" s="816"/>
      <c r="G56" s="817"/>
      <c r="H56" s="821"/>
      <c r="I56" s="822"/>
      <c r="J56" s="823"/>
      <c r="K56" s="1210"/>
      <c r="L56" s="1211"/>
      <c r="M56" s="831" t="str">
        <f>IF(OR($E56="",ISNUMBER(SEARCH("Other",$E56))),"",INDEX(CMLIGHTBASE[Base Watt 1],MATCH($E56,CMLIGHTBASE[Base Desc 1],0)))</f>
        <v/>
      </c>
      <c r="N56" s="832"/>
      <c r="O56" s="1209"/>
      <c r="P56" s="836"/>
      <c r="Q56" s="837"/>
      <c r="R56" s="841"/>
      <c r="S56" s="822"/>
      <c r="T56" s="823"/>
      <c r="U56" s="842"/>
      <c r="V56" s="822"/>
      <c r="W56" s="843" t="str">
        <f>IF(O56="","",IF(ISNUMBER(SEARCH("Type",O56)),"","N/A"))</f>
        <v/>
      </c>
      <c r="X56" s="844"/>
      <c r="Y56" s="847"/>
      <c r="Z56" s="848"/>
      <c r="AA56" s="851"/>
      <c r="AB56" s="852"/>
      <c r="AC56" s="852"/>
      <c r="AD56" s="853"/>
      <c r="AE56" s="853"/>
      <c r="AF56" s="1086"/>
      <c r="AG56" s="1086"/>
      <c r="AH56" s="1212"/>
      <c r="AI56" s="1213"/>
      <c r="AJ56" s="1213"/>
      <c r="AK56" s="1216"/>
      <c r="AL56" s="973" t="str">
        <f t="shared" ref="AL56" si="43">IF(OR(C56="",E56="",M56="",K56="",O56="",Y56="",R56="",AA56="",AH56="",AJ56="",AD56="",U56="",W56=""),"",IFERROR(ROUND(IF((AW56-AX56)&lt;=0,0,BH56*(AW56-AX56)),0),""))</f>
        <v/>
      </c>
      <c r="AM56" s="870"/>
      <c r="AN56" s="870"/>
      <c r="AO56" s="872" t="str">
        <f>IF(M02S02F44="","Update Install Status",IF(M02S02F44="No","Submit for Pre-Approval",IF(OR(C56="",E56="",M56="",K56="",O56="",Y56="",R56="",AA56="",AF56="",AH56="",AD56="",U56="",W56="",AJ56=""),"",IF(BF56&lt;&gt;"",BF56,IF(OR(BD56&lt;0,BE56&lt;0),"No Incentive Savings",IF(ISNUMBER(SEARCH("Type",O56)),MIN(BD56,AU56),MIN(BE56,AU56)))))))</f>
        <v>Update Install Status</v>
      </c>
      <c r="AP56" s="872"/>
      <c r="AQ56" s="872"/>
      <c r="AU56" s="804" t="str">
        <f>IF(OR(C56="",E56="",M56="",K56="",O56="",Y56="",R56="",AA56="",AH56="",AJ56="",AD56="", U56="",W56=""),"",IF(AND(ISNUMBER(SEARCH("Other",E56)),OR(H56="",ISBLANK(H56),ISNUMBER(SEARCH("Description",H56)))),"",(ROUND((AH56+AJ56)*U56,2))))</f>
        <v/>
      </c>
      <c r="AV56" s="806" t="str">
        <f>IF(OR(C56="",E56="",M56="",K56="",O56="",Y56="",R56="",AA56="",AH56="",AJ56="",AD56="", U56="",W56=""),"",IF(AND(ISNUMBER(SEARCH("Other",E56)),OR(H56="",ISBLANK(H56),ISNUMBER(SEARCH("Description",H56)))),"",ROUND(AL56*INDEX(ENDUSEALL[Factor],MATCH(IF(ISNUMBER(SEARCH("24/7",AA56)),"Miscellaneous","Lighting"),ENDUSEALL[End Use to Coincident Peak Demand Factors],0)),4)))</f>
        <v/>
      </c>
      <c r="AW56" s="802" t="str">
        <f>IF(OR(C56="",E56="",M56="",K56="",O56="",Y56="",R56="",AA56="",AH56="",AJ56="",AD56="", U56="",W56=""),"",IF(AND(ISNUMBER(SEARCH("Other",E56)),OR(H56="",ISBLANK(H56),ISNUMBER(SEARCH("Description",H56)))),"",ROUND(M56*AD56*K56/1000,0)))</f>
        <v/>
      </c>
      <c r="AX56" s="802" t="str">
        <f>IF(OR(C56="",E56="",M56="",K56="",O56="",Y56="",R56="",AA56="",AH56="",AJ56="",AD56="", U56="",W56=""),"",IF(AND(ISNUMBER(SEARCH("Other",E56)),OR(H56="",ISBLANK(H56),ISNUMBER(SEARCH("Description",H56)))),"",IF(ISNUMBER(SEARCH("Network",O56)),ROUND(0.76*Y56*AD56*U56/1000,0),ROUND(Y56*AD56*U56/1000,0))))</f>
        <v/>
      </c>
      <c r="AY56" s="802" t="str">
        <f>IF(OR(C56="",E56="",M56="",K56="",O56="",Y56="",R56="",AA56="",AH56="",AJ56="",AD56="", U56="",W56=""),"",IF(AND(ISNUMBER(SEARCH("Other",E56)),OR(H56="",ISBLANK(H56),ISNUMBER(SEARCH("Description",H56)))),"",ROUND(K56*M56,0)))</f>
        <v/>
      </c>
      <c r="AZ56" s="802" t="str">
        <f>IF(OR(C56="",E56="",M56="",K56="",O56="",Y56="",R56="",AA56="",AH56="",AJ56="",AD56="", U56="",W56=""),"",IF(AND(K56&gt;=U56,ISNUMBER(SEARCH("Type",O56))),ROUND(U56*LEFT(INDEX(CMLIGHTBASE[Measure Subgroup 2], MATCH(E56,CMLIGHTBASE[Base Desc 1],0)),2)*Y56/W56,0),IF(AND(K56&lt;U56,ISNUMBER(SEARCH("Type",O56))),ROUND(K56*LEFT(INDEX(CMLIGHTBASE[Measure Subgroup 2], MATCH(E56,CMLIGHTBASE[Base Desc 1],0)),2)*Y56/W56,0),IF(OR(ISNUMBER(SEARCH("Fixture",O56)),ISNUMBER(SEARCH("Kit",O56))),U56*Y56))))</f>
        <v/>
      </c>
      <c r="BA56" s="800" t="str">
        <f>CONCATENATE(C56,"-","LED","-",O56)</f>
        <v>-LED-</v>
      </c>
      <c r="BB56" s="808" t="str">
        <f>IF(OR(C56="",E56="",M56="",K56="",O56="",Y56="",R56="",AA56="",AH56="",AJ56="",AD56="", U56="",W56=""),"",IF(AND(ISNUMBER(SEARCH("Other",E56)),OR(H56="",ISBLANK(H56),ISNUMBER(SEARCH("Description",H56)))),"",INDEX(PMELIGHTLIN[Measure '#],MATCH(BA56,PMELIGHTLIN[Measure Validator],0))))</f>
        <v/>
      </c>
      <c r="BC56" s="808" t="str">
        <f>IFERROR(IF(OR(C56="",AH56=""),"",IF(BB56="","",INDEX(PMELIGHTLIN[Inc Rate Unit FT],MATCH(BA56,PMELIGHTLIN[Measure Validator],0)))),"")</f>
        <v/>
      </c>
      <c r="BD56" s="808">
        <f>IFERROR(ROUND(IF(OR(C56="",AH56=""),"",IF(BB56="","",IF(AND(K56&gt;=U56,ISNUMBER(SEARCH("Type",BA56))),BC56*(U56*W56)*LEFT(INDEX(CMLIGHTBASE[Measure Subgroup 1], MATCH(E56,CMLIGHTBASE[Base Desc 1],0)),1),IF(AND(K56&lt;U56,ISNUMBER(SEARCH("Type",BA56))),BC56*(W56*K56)*LEFT(INDEX(CMLIGHTBASE[Measure Subgroup 1], MATCH(E56,CMLIGHTBASE[Base Desc 1],0)),1),0)))),2),0)</f>
        <v>0</v>
      </c>
      <c r="BE56" s="1192">
        <f t="shared" si="1"/>
        <v>0</v>
      </c>
      <c r="BF56" s="800" t="str">
        <f>IF(OR(C56="",E56="",M56="",K56="",O56="",Y56="",R56="",AA56="",AH56="",AJ56="",AD56="", U56="",W56=""),"",IF(AND(ISNUMBER(SEARCH("Other",E56)),OR(H56="",ISBLANK(H56),ISNUMBER(SEARCH("Description",H56)))),"",IFERROR(IF(AD56&lt;INDEX(PMELIGHTLIN[Eff Watt 2],MATCH(BA56,PMELIGHTLIN[Measure Validator],0)),"Operating Hours Invalid",IF(ISNUMBER(SEARCH("SPILLOVER",AA56)),PROJSTATELI,IF((AW56-AX56)&lt;0,"No Savings",IF(AF56&lt;50000,"Lamp Life Too Short","")))),"ERROR")))</f>
        <v/>
      </c>
      <c r="BG56" s="802" t="str">
        <f>IF(AND(ISBLANK(AH56),ISBLANK(AJ56)),"",IF(BD56&gt;AU56,"Yes","No"))</f>
        <v/>
      </c>
      <c r="BH56" s="1051">
        <f>IF(M02S02F32&lt;&gt;"",INDEX(SPACEHEAT[HIF],MATCH(M02S02F32,SHEAT,0)),1)</f>
        <v>1</v>
      </c>
      <c r="BI56" s="802"/>
      <c r="BJ56" s="1225">
        <f t="shared" ref="BJ56" si="44">IFERROR(ROUND(BL56*1.1,2),0)</f>
        <v>0</v>
      </c>
      <c r="BK56" s="804" t="str">
        <f>IF(M02S02F44="","Update Install Status",IF(M02S02F44="No","Submit for Pre-Approval",IF(OR(C56="",E56="",M56="",K56="",O56="",Y56="",R56="",AA56="",AF56="",AH56="",AD56="",U56="",W56="",AJ56=""),"",IF(BF56&lt;&gt;"",BF56,ROUND(BJ56*BONUSADJ,2)))))</f>
        <v>Update Install Status</v>
      </c>
      <c r="BL56" s="804" t="str">
        <f>IF(M02S02F44="","Update Install Status",IF(M02S02F44="No","Submit for Pre-Approval",IF(OR(C56="",E56="",M56="",K56="",O56="",Y56="",R56="",AA56="",AF56="",AH56="",AD56="",U56="",W56="",AJ56=""),"",IF(BF56&lt;&gt;"",BF56,IF(OR(BD56&lt;0,BE56&lt;0),"No Incentive Savings",IF(ISNUMBER(SEARCH("Type",O56)),MIN(BD56,AU56),MIN(BE56,AU56)))))))</f>
        <v>Update Install Status</v>
      </c>
    </row>
    <row r="57" spans="2:64" ht="15.95" customHeight="1" x14ac:dyDescent="0.25">
      <c r="B57" s="1204"/>
      <c r="C57" s="845"/>
      <c r="D57" s="846"/>
      <c r="E57" s="818"/>
      <c r="F57" s="819"/>
      <c r="G57" s="820"/>
      <c r="H57" s="824"/>
      <c r="I57" s="825"/>
      <c r="J57" s="826"/>
      <c r="K57" s="1210"/>
      <c r="L57" s="1211"/>
      <c r="M57" s="833"/>
      <c r="N57" s="834"/>
      <c r="O57" s="838"/>
      <c r="P57" s="839"/>
      <c r="Q57" s="840"/>
      <c r="R57" s="824"/>
      <c r="S57" s="825"/>
      <c r="T57" s="826"/>
      <c r="U57" s="824"/>
      <c r="V57" s="825"/>
      <c r="W57" s="845"/>
      <c r="X57" s="846"/>
      <c r="Y57" s="849"/>
      <c r="Z57" s="850"/>
      <c r="AA57" s="852"/>
      <c r="AB57" s="852"/>
      <c r="AC57" s="852"/>
      <c r="AD57" s="853"/>
      <c r="AE57" s="853"/>
      <c r="AF57" s="1087"/>
      <c r="AG57" s="1087"/>
      <c r="AH57" s="1214"/>
      <c r="AI57" s="1215"/>
      <c r="AJ57" s="1215"/>
      <c r="AK57" s="1217"/>
      <c r="AL57" s="973"/>
      <c r="AM57" s="870"/>
      <c r="AN57" s="870"/>
      <c r="AO57" s="872"/>
      <c r="AP57" s="872"/>
      <c r="AQ57" s="872"/>
      <c r="AU57" s="805"/>
      <c r="AV57" s="807"/>
      <c r="AW57" s="803"/>
      <c r="AX57" s="803"/>
      <c r="AY57" s="803"/>
      <c r="AZ57" s="803"/>
      <c r="BA57" s="801"/>
      <c r="BB57" s="797"/>
      <c r="BC57" s="797"/>
      <c r="BD57" s="797"/>
      <c r="BE57" s="1192"/>
      <c r="BF57" s="801"/>
      <c r="BG57" s="803"/>
      <c r="BH57" s="1052"/>
      <c r="BI57" s="803"/>
      <c r="BJ57" s="1226"/>
      <c r="BK57" s="805"/>
      <c r="BL57" s="805"/>
    </row>
    <row r="58" spans="2:64" ht="15.95" customHeight="1" x14ac:dyDescent="0.25">
      <c r="B58" s="1204">
        <v>21</v>
      </c>
      <c r="C58" s="843"/>
      <c r="D58" s="844"/>
      <c r="E58" s="815"/>
      <c r="F58" s="816"/>
      <c r="G58" s="817"/>
      <c r="H58" s="821"/>
      <c r="I58" s="822"/>
      <c r="J58" s="823"/>
      <c r="K58" s="1210"/>
      <c r="L58" s="1211"/>
      <c r="M58" s="831" t="str">
        <f>IF(OR($E58="",ISNUMBER(SEARCH("Other",$E58))),"",INDEX(CMLIGHTBASE[Base Watt 1],MATCH($E58,CMLIGHTBASE[Base Desc 1],0)))</f>
        <v/>
      </c>
      <c r="N58" s="832"/>
      <c r="O58" s="1209"/>
      <c r="P58" s="836"/>
      <c r="Q58" s="837"/>
      <c r="R58" s="841"/>
      <c r="S58" s="822"/>
      <c r="T58" s="823"/>
      <c r="U58" s="842"/>
      <c r="V58" s="822"/>
      <c r="W58" s="843" t="str">
        <f>IF(O58="","",IF(ISNUMBER(SEARCH("Type",O58)),"","N/A"))</f>
        <v/>
      </c>
      <c r="X58" s="844"/>
      <c r="Y58" s="847"/>
      <c r="Z58" s="848"/>
      <c r="AA58" s="851"/>
      <c r="AB58" s="852"/>
      <c r="AC58" s="852"/>
      <c r="AD58" s="853"/>
      <c r="AE58" s="853"/>
      <c r="AF58" s="1086"/>
      <c r="AG58" s="1086"/>
      <c r="AH58" s="1212"/>
      <c r="AI58" s="1213"/>
      <c r="AJ58" s="1213"/>
      <c r="AK58" s="1216"/>
      <c r="AL58" s="973" t="str">
        <f t="shared" ref="AL58" si="45">IF(OR(C58="",E58="",M58="",K58="",O58="",Y58="",R58="",AA58="",AH58="",AJ58="",AD58="",U58="",W58=""),"",IFERROR(ROUND(IF((AW58-AX58)&lt;=0,0,BH58*(AW58-AX58)),0),""))</f>
        <v/>
      </c>
      <c r="AM58" s="870"/>
      <c r="AN58" s="870"/>
      <c r="AO58" s="872" t="str">
        <f>IF(M02S02F44="","Update Install Status",IF(M02S02F44="No","Submit for Pre-Approval",IF(OR(C58="",E58="",M58="",K58="",O58="",Y58="",R58="",AA58="",AF58="",AH58="",AD58="",U58="",W58="",AJ58=""),"",IF(BF58&lt;&gt;"",BF58,IF(OR(BD58&lt;0,BE58&lt;0),"No Incentive Savings",IF(ISNUMBER(SEARCH("Type",O58)),MIN(BD58,AU58),MIN(BE58,AU58)))))))</f>
        <v>Update Install Status</v>
      </c>
      <c r="AP58" s="872"/>
      <c r="AQ58" s="872"/>
      <c r="AU58" s="804" t="str">
        <f>IF(OR(C58="",E58="",M58="",K58="",O58="",Y58="",R58="",AA58="",AH58="",AJ58="",AD58="", U58="",W58=""),"",IF(AND(ISNUMBER(SEARCH("Other",E58)),OR(H58="",ISBLANK(H58),ISNUMBER(SEARCH("Description",H58)))),"",(ROUND((AH58+AJ58)*U58,2))))</f>
        <v/>
      </c>
      <c r="AV58" s="806" t="str">
        <f>IF(OR(C58="",E58="",M58="",K58="",O58="",Y58="",R58="",AA58="",AH58="",AJ58="",AD58="", U58="",W58=""),"",IF(AND(ISNUMBER(SEARCH("Other",E58)),OR(H58="",ISBLANK(H58),ISNUMBER(SEARCH("Description",H58)))),"",ROUND(AL58*INDEX(ENDUSEALL[Factor],MATCH(IF(ISNUMBER(SEARCH("24/7",AA58)),"Miscellaneous","Lighting"),ENDUSEALL[End Use to Coincident Peak Demand Factors],0)),4)))</f>
        <v/>
      </c>
      <c r="AW58" s="802" t="str">
        <f>IF(OR(C58="",E58="",M58="",K58="",O58="",Y58="",R58="",AA58="",AH58="",AJ58="",AD58="", U58="",W58=""),"",IF(AND(ISNUMBER(SEARCH("Other",E58)),OR(H58="",ISBLANK(H58),ISNUMBER(SEARCH("Description",H58)))),"",ROUND(M58*AD58*K58/1000,0)))</f>
        <v/>
      </c>
      <c r="AX58" s="802" t="str">
        <f>IF(OR(C58="",E58="",M58="",K58="",O58="",Y58="",R58="",AA58="",AH58="",AJ58="",AD58="", U58="",W58=""),"",IF(AND(ISNUMBER(SEARCH("Other",E58)),OR(H58="",ISBLANK(H58),ISNUMBER(SEARCH("Description",H58)))),"",IF(ISNUMBER(SEARCH("Network",O58)),ROUND(0.76*Y58*AD58*U58/1000,0),ROUND(Y58*AD58*U58/1000,0))))</f>
        <v/>
      </c>
      <c r="AY58" s="802" t="str">
        <f>IF(OR(C58="",E58="",M58="",K58="",O58="",Y58="",R58="",AA58="",AH58="",AJ58="",AD58="", U58="",W58=""),"",IF(AND(ISNUMBER(SEARCH("Other",E58)),OR(H58="",ISBLANK(H58),ISNUMBER(SEARCH("Description",H58)))),"",ROUND(K58*M58,0)))</f>
        <v/>
      </c>
      <c r="AZ58" s="802" t="str">
        <f>IF(OR(C58="",E58="",M58="",K58="",O58="",Y58="",R58="",AA58="",AH58="",AJ58="",AD58="", U58="",W58=""),"",IF(AND(K58&gt;=U58,ISNUMBER(SEARCH("Type",O58))),ROUND(U58*LEFT(INDEX(CMLIGHTBASE[Measure Subgroup 2], MATCH(E58,CMLIGHTBASE[Base Desc 1],0)),2)*Y58/W58,0),IF(AND(K58&lt;U58,ISNUMBER(SEARCH("Type",O58))),ROUND(K58*LEFT(INDEX(CMLIGHTBASE[Measure Subgroup 2], MATCH(E58,CMLIGHTBASE[Base Desc 1],0)),2)*Y58/W58,0),IF(OR(ISNUMBER(SEARCH("Fixture",O58)),ISNUMBER(SEARCH("Kit",O58))),U58*Y58))))</f>
        <v/>
      </c>
      <c r="BA58" s="800" t="str">
        <f>CONCATENATE(C58,"-","LED","-",O58)</f>
        <v>-LED-</v>
      </c>
      <c r="BB58" s="808" t="str">
        <f>IF(OR(C58="",E58="",M58="",K58="",O58="",Y58="",R58="",AA58="",AH58="",AJ58="",AD58="", U58="",W58=""),"",IF(AND(ISNUMBER(SEARCH("Other",E58)),OR(H58="",ISBLANK(H58),ISNUMBER(SEARCH("Description",H58)))),"",INDEX(PMELIGHTLIN[Measure '#],MATCH(BA58,PMELIGHTLIN[Measure Validator],0))))</f>
        <v/>
      </c>
      <c r="BC58" s="808" t="str">
        <f>IFERROR(IF(OR(C58="",AH58=""),"",IF(BB58="","",INDEX(PMELIGHTLIN[Inc Rate Unit FT],MATCH(BA58,PMELIGHTLIN[Measure Validator],0)))),"")</f>
        <v/>
      </c>
      <c r="BD58" s="808">
        <f>IFERROR(ROUND(IF(OR(C58="",AH58=""),"",IF(BB58="","",IF(AND(K58&gt;=U58,ISNUMBER(SEARCH("Type",BA58))),BC58*(U58*W58)*LEFT(INDEX(CMLIGHTBASE[Measure Subgroup 1], MATCH(E58,CMLIGHTBASE[Base Desc 1],0)),1),IF(AND(K58&lt;U58,ISNUMBER(SEARCH("Type",BA58))),BC58*(W58*K58)*LEFT(INDEX(CMLIGHTBASE[Measure Subgroup 1], MATCH(E58,CMLIGHTBASE[Base Desc 1],0)),1),0)))),2),0)</f>
        <v>0</v>
      </c>
      <c r="BE58" s="1192">
        <f t="shared" si="1"/>
        <v>0</v>
      </c>
      <c r="BF58" s="800" t="str">
        <f>IF(OR(C58="",E58="",M58="",K58="",O58="",Y58="",R58="",AA58="",AH58="",AJ58="",AD58="", U58="",W58=""),"",IF(AND(ISNUMBER(SEARCH("Other",E58)),OR(H58="",ISBLANK(H58),ISNUMBER(SEARCH("Description",H58)))),"",IFERROR(IF(AD58&lt;INDEX(PMELIGHTLIN[Eff Watt 2],MATCH(BA58,PMELIGHTLIN[Measure Validator],0)),"Operating Hours Invalid",IF(ISNUMBER(SEARCH("SPILLOVER",AA58)),PROJSTATELI,IF((AW58-AX58)&lt;0,"No Savings",IF(AF58&lt;50000,"Lamp Life Too Short","")))),"ERROR")))</f>
        <v/>
      </c>
      <c r="BG58" s="802" t="str">
        <f>IF(AND(ISBLANK(AH58),ISBLANK(AJ58)),"",IF(BD58&gt;AU58,"Yes","No"))</f>
        <v/>
      </c>
      <c r="BH58" s="1051">
        <f>IF(M02S02F32&lt;&gt;"",INDEX(SPACEHEAT[HIF],MATCH(M02S02F32,SHEAT,0)),1)</f>
        <v>1</v>
      </c>
      <c r="BI58" s="802"/>
      <c r="BJ58" s="1225">
        <f t="shared" ref="BJ58" si="46">IFERROR(ROUND(BL58*1.1,2),0)</f>
        <v>0</v>
      </c>
      <c r="BK58" s="804" t="str">
        <f>IF(M02S02F44="","Update Install Status",IF(M02S02F44="No","Submit for Pre-Approval",IF(OR(C58="",E58="",M58="",K58="",O58="",Y58="",R58="",AA58="",AF58="",AH58="",AD58="",U58="",W58="",AJ58=""),"",IF(BF58&lt;&gt;"",BF58,ROUND(BJ58*BONUSADJ,2)))))</f>
        <v>Update Install Status</v>
      </c>
      <c r="BL58" s="804" t="str">
        <f>IF(M02S02F44="","Update Install Status",IF(M02S02F44="No","Submit for Pre-Approval",IF(OR(C58="",E58="",M58="",K58="",O58="",Y58="",R58="",AA58="",AF58="",AH58="",AD58="",U58="",W58="",AJ58=""),"",IF(BF58&lt;&gt;"",BF58,IF(OR(BD58&lt;0,BE58&lt;0),"No Incentive Savings",IF(ISNUMBER(SEARCH("Type",O58)),MIN(BD58,AU58),MIN(BE58,AU58)))))))</f>
        <v>Update Install Status</v>
      </c>
    </row>
    <row r="59" spans="2:64" ht="15.95" customHeight="1" x14ac:dyDescent="0.25">
      <c r="B59" s="1204"/>
      <c r="C59" s="845"/>
      <c r="D59" s="846"/>
      <c r="E59" s="818"/>
      <c r="F59" s="819"/>
      <c r="G59" s="820"/>
      <c r="H59" s="824"/>
      <c r="I59" s="825"/>
      <c r="J59" s="826"/>
      <c r="K59" s="1210"/>
      <c r="L59" s="1211"/>
      <c r="M59" s="833"/>
      <c r="N59" s="834"/>
      <c r="O59" s="838"/>
      <c r="P59" s="839"/>
      <c r="Q59" s="840"/>
      <c r="R59" s="824"/>
      <c r="S59" s="825"/>
      <c r="T59" s="826"/>
      <c r="U59" s="824"/>
      <c r="V59" s="825"/>
      <c r="W59" s="845"/>
      <c r="X59" s="846"/>
      <c r="Y59" s="849"/>
      <c r="Z59" s="850"/>
      <c r="AA59" s="852"/>
      <c r="AB59" s="852"/>
      <c r="AC59" s="852"/>
      <c r="AD59" s="853"/>
      <c r="AE59" s="853"/>
      <c r="AF59" s="1087"/>
      <c r="AG59" s="1087"/>
      <c r="AH59" s="1214"/>
      <c r="AI59" s="1215"/>
      <c r="AJ59" s="1215"/>
      <c r="AK59" s="1217"/>
      <c r="AL59" s="973"/>
      <c r="AM59" s="870"/>
      <c r="AN59" s="870"/>
      <c r="AO59" s="872"/>
      <c r="AP59" s="872"/>
      <c r="AQ59" s="872"/>
      <c r="AU59" s="805"/>
      <c r="AV59" s="807"/>
      <c r="AW59" s="803"/>
      <c r="AX59" s="803"/>
      <c r="AY59" s="803"/>
      <c r="AZ59" s="803"/>
      <c r="BA59" s="801"/>
      <c r="BB59" s="797"/>
      <c r="BC59" s="797"/>
      <c r="BD59" s="797"/>
      <c r="BE59" s="1192"/>
      <c r="BF59" s="801"/>
      <c r="BG59" s="803"/>
      <c r="BH59" s="1052"/>
      <c r="BI59" s="803"/>
      <c r="BJ59" s="1226"/>
      <c r="BK59" s="805"/>
      <c r="BL59" s="805"/>
    </row>
    <row r="60" spans="2:64" ht="15.95" customHeight="1" x14ac:dyDescent="0.25">
      <c r="B60" s="1204">
        <v>22</v>
      </c>
      <c r="C60" s="843"/>
      <c r="D60" s="844"/>
      <c r="E60" s="815"/>
      <c r="F60" s="816"/>
      <c r="G60" s="817"/>
      <c r="H60" s="821"/>
      <c r="I60" s="822"/>
      <c r="J60" s="823"/>
      <c r="K60" s="1210"/>
      <c r="L60" s="1211"/>
      <c r="M60" s="831" t="str">
        <f>IF(OR($E60="",ISNUMBER(SEARCH("Other",$E60))),"",INDEX(CMLIGHTBASE[Base Watt 1],MATCH($E60,CMLIGHTBASE[Base Desc 1],0)))</f>
        <v/>
      </c>
      <c r="N60" s="832"/>
      <c r="O60" s="1209"/>
      <c r="P60" s="836"/>
      <c r="Q60" s="837"/>
      <c r="R60" s="841"/>
      <c r="S60" s="822"/>
      <c r="T60" s="823"/>
      <c r="U60" s="842"/>
      <c r="V60" s="822"/>
      <c r="W60" s="843" t="str">
        <f>IF(O60="","",IF(ISNUMBER(SEARCH("Type",O60)),"","N/A"))</f>
        <v/>
      </c>
      <c r="X60" s="844"/>
      <c r="Y60" s="847"/>
      <c r="Z60" s="848"/>
      <c r="AA60" s="851"/>
      <c r="AB60" s="852"/>
      <c r="AC60" s="852"/>
      <c r="AD60" s="853"/>
      <c r="AE60" s="853"/>
      <c r="AF60" s="1086"/>
      <c r="AG60" s="1086"/>
      <c r="AH60" s="1212"/>
      <c r="AI60" s="1213"/>
      <c r="AJ60" s="1213"/>
      <c r="AK60" s="1216"/>
      <c r="AL60" s="973" t="str">
        <f t="shared" ref="AL60" si="47">IF(OR(C60="",E60="",M60="",K60="",O60="",Y60="",R60="",AA60="",AH60="",AJ60="",AD60="",U60="",W60=""),"",IFERROR(ROUND(IF((AW60-AX60)&lt;=0,0,BH60*(AW60-AX60)),0),""))</f>
        <v/>
      </c>
      <c r="AM60" s="870"/>
      <c r="AN60" s="870"/>
      <c r="AO60" s="872" t="str">
        <f>IF(M02S02F44="","Update Install Status",IF(M02S02F44="No","Submit for Pre-Approval",IF(OR(C60="",E60="",M60="",K60="",O60="",Y60="",R60="",AA60="",AF60="",AH60="",AD60="",U60="",W60="",AJ60=""),"",IF(BF60&lt;&gt;"",BF60,IF(OR(BD60&lt;0,BE60&lt;0),"No Incentive Savings",IF(ISNUMBER(SEARCH("Type",O60)),MIN(BD60,AU60),MIN(BE60,AU60)))))))</f>
        <v>Update Install Status</v>
      </c>
      <c r="AP60" s="872"/>
      <c r="AQ60" s="872"/>
      <c r="AU60" s="804" t="str">
        <f>IF(OR(C60="",E60="",M60="",K60="",O60="",Y60="",R60="",AA60="",AH60="",AJ60="",AD60="", U60="",W60=""),"",IF(AND(ISNUMBER(SEARCH("Other",E60)),OR(H60="",ISBLANK(H60),ISNUMBER(SEARCH("Description",H60)))),"",(ROUND((AH60+AJ60)*U60,2))))</f>
        <v/>
      </c>
      <c r="AV60" s="806" t="str">
        <f>IF(OR(C60="",E60="",M60="",K60="",O60="",Y60="",R60="",AA60="",AH60="",AJ60="",AD60="", U60="",W60=""),"",IF(AND(ISNUMBER(SEARCH("Other",E60)),OR(H60="",ISBLANK(H60),ISNUMBER(SEARCH("Description",H60)))),"",ROUND(AL60*INDEX(ENDUSEALL[Factor],MATCH(IF(ISNUMBER(SEARCH("24/7",AA60)),"Miscellaneous","Lighting"),ENDUSEALL[End Use to Coincident Peak Demand Factors],0)),4)))</f>
        <v/>
      </c>
      <c r="AW60" s="802" t="str">
        <f>IF(OR(C60="",E60="",M60="",K60="",O60="",Y60="",R60="",AA60="",AH60="",AJ60="",AD60="", U60="",W60=""),"",IF(AND(ISNUMBER(SEARCH("Other",E60)),OR(H60="",ISBLANK(H60),ISNUMBER(SEARCH("Description",H60)))),"",ROUND(M60*AD60*K60/1000,0)))</f>
        <v/>
      </c>
      <c r="AX60" s="802" t="str">
        <f>IF(OR(C60="",E60="",M60="",K60="",O60="",Y60="",R60="",AA60="",AH60="",AJ60="",AD60="", U60="",W60=""),"",IF(AND(ISNUMBER(SEARCH("Other",E60)),OR(H60="",ISBLANK(H60),ISNUMBER(SEARCH("Description",H60)))),"",IF(ISNUMBER(SEARCH("Network",O60)),ROUND(0.76*Y60*AD60*U60/1000,0),ROUND(Y60*AD60*U60/1000,0))))</f>
        <v/>
      </c>
      <c r="AY60" s="802" t="str">
        <f>IF(OR(C60="",E60="",M60="",K60="",O60="",Y60="",R60="",AA60="",AH60="",AJ60="",AD60="", U60="",W60=""),"",IF(AND(ISNUMBER(SEARCH("Other",E60)),OR(H60="",ISBLANK(H60),ISNUMBER(SEARCH("Description",H60)))),"",ROUND(K60*M60,0)))</f>
        <v/>
      </c>
      <c r="AZ60" s="802" t="str">
        <f>IF(OR(C60="",E60="",M60="",K60="",O60="",Y60="",R60="",AA60="",AH60="",AJ60="",AD60="", U60="",W60=""),"",IF(AND(K60&gt;=U60,ISNUMBER(SEARCH("Type",O60))),ROUND(U60*LEFT(INDEX(CMLIGHTBASE[Measure Subgroup 2], MATCH(E60,CMLIGHTBASE[Base Desc 1],0)),2)*Y60/W60,0),IF(AND(K60&lt;U60,ISNUMBER(SEARCH("Type",O60))),ROUND(K60*LEFT(INDEX(CMLIGHTBASE[Measure Subgroup 2], MATCH(E60,CMLIGHTBASE[Base Desc 1],0)),2)*Y60/W60,0),IF(OR(ISNUMBER(SEARCH("Fixture",O60)),ISNUMBER(SEARCH("Kit",O60))),U60*Y60))))</f>
        <v/>
      </c>
      <c r="BA60" s="800" t="str">
        <f>CONCATENATE(C60,"-","LED","-",O60)</f>
        <v>-LED-</v>
      </c>
      <c r="BB60" s="808" t="str">
        <f>IF(OR(C60="",E60="",M60="",K60="",O60="",Y60="",R60="",AA60="",AH60="",AJ60="",AD60="", U60="",W60=""),"",IF(AND(ISNUMBER(SEARCH("Other",E60)),OR(H60="",ISBLANK(H60),ISNUMBER(SEARCH("Description",H60)))),"",INDEX(PMELIGHTLIN[Measure '#],MATCH(BA60,PMELIGHTLIN[Measure Validator],0))))</f>
        <v/>
      </c>
      <c r="BC60" s="808" t="str">
        <f>IFERROR(IF(OR(C60="",AH60=""),"",IF(BB60="","",INDEX(PMELIGHTLIN[Inc Rate Unit FT],MATCH(BA60,PMELIGHTLIN[Measure Validator],0)))),"")</f>
        <v/>
      </c>
      <c r="BD60" s="808">
        <f>IFERROR(ROUND(IF(OR(C60="",AH60=""),"",IF(BB60="","",IF(AND(K60&gt;=U60,ISNUMBER(SEARCH("Type",BA60))),BC60*(U60*W60)*LEFT(INDEX(CMLIGHTBASE[Measure Subgroup 1], MATCH(E60,CMLIGHTBASE[Base Desc 1],0)),1),IF(AND(K60&lt;U60,ISNUMBER(SEARCH("Type",BA60))),BC60*(W60*K60)*LEFT(INDEX(CMLIGHTBASE[Measure Subgroup 1], MATCH(E60,CMLIGHTBASE[Base Desc 1],0)),1),0)))),2),0)</f>
        <v>0</v>
      </c>
      <c r="BE60" s="1192">
        <f t="shared" si="1"/>
        <v>0</v>
      </c>
      <c r="BF60" s="800" t="str">
        <f>IF(OR(C60="",E60="",M60="",K60="",O60="",Y60="",R60="",AA60="",AH60="",AJ60="",AD60="", U60="",W60=""),"",IF(AND(ISNUMBER(SEARCH("Other",E60)),OR(H60="",ISBLANK(H60),ISNUMBER(SEARCH("Description",H60)))),"",IFERROR(IF(AD60&lt;INDEX(PMELIGHTLIN[Eff Watt 2],MATCH(BA60,PMELIGHTLIN[Measure Validator],0)),"Operating Hours Invalid",IF(ISNUMBER(SEARCH("SPILLOVER",AA60)),PROJSTATELI,IF((AW60-AX60)&lt;0,"No Savings",IF(AF60&lt;50000,"Lamp Life Too Short","")))),"ERROR")))</f>
        <v/>
      </c>
      <c r="BG60" s="802" t="str">
        <f>IF(AND(ISBLANK(AH60),ISBLANK(AJ60)),"",IF(BD60&gt;AU60,"Yes","No"))</f>
        <v/>
      </c>
      <c r="BH60" s="1051">
        <f>IF(M02S02F32&lt;&gt;"",INDEX(SPACEHEAT[HIF],MATCH(M02S02F32,SHEAT,0)),1)</f>
        <v>1</v>
      </c>
      <c r="BI60" s="802"/>
      <c r="BJ60" s="1225">
        <f t="shared" ref="BJ60" si="48">IFERROR(ROUND(BL60*1.1,2),0)</f>
        <v>0</v>
      </c>
      <c r="BK60" s="804" t="str">
        <f>IF(M02S02F44="","Update Install Status",IF(M02S02F44="No","Submit for Pre-Approval",IF(OR(C60="",E60="",M60="",K60="",O60="",Y60="",R60="",AA60="",AF60="",AH60="",AD60="",U60="",W60="",AJ60=""),"",IF(BF60&lt;&gt;"",BF60,ROUND(BJ60*BONUSADJ,2)))))</f>
        <v>Update Install Status</v>
      </c>
      <c r="BL60" s="804" t="str">
        <f>IF(M02S02F44="","Update Install Status",IF(M02S02F44="No","Submit for Pre-Approval",IF(OR(C60="",E60="",M60="",K60="",O60="",Y60="",R60="",AA60="",AF60="",AH60="",AD60="",U60="",W60="",AJ60=""),"",IF(BF60&lt;&gt;"",BF60,IF(OR(BD60&lt;0,BE60&lt;0),"No Incentive Savings",IF(ISNUMBER(SEARCH("Type",O60)),MIN(BD60,AU60),MIN(BE60,AU60)))))))</f>
        <v>Update Install Status</v>
      </c>
    </row>
    <row r="61" spans="2:64" ht="15.95" customHeight="1" x14ac:dyDescent="0.25">
      <c r="B61" s="1204"/>
      <c r="C61" s="845"/>
      <c r="D61" s="846"/>
      <c r="E61" s="818"/>
      <c r="F61" s="819"/>
      <c r="G61" s="820"/>
      <c r="H61" s="824"/>
      <c r="I61" s="825"/>
      <c r="J61" s="826"/>
      <c r="K61" s="1210"/>
      <c r="L61" s="1211"/>
      <c r="M61" s="833"/>
      <c r="N61" s="834"/>
      <c r="O61" s="838"/>
      <c r="P61" s="839"/>
      <c r="Q61" s="840"/>
      <c r="R61" s="824"/>
      <c r="S61" s="825"/>
      <c r="T61" s="826"/>
      <c r="U61" s="824"/>
      <c r="V61" s="825"/>
      <c r="W61" s="845"/>
      <c r="X61" s="846"/>
      <c r="Y61" s="849"/>
      <c r="Z61" s="850"/>
      <c r="AA61" s="852"/>
      <c r="AB61" s="852"/>
      <c r="AC61" s="852"/>
      <c r="AD61" s="853"/>
      <c r="AE61" s="853"/>
      <c r="AF61" s="1087"/>
      <c r="AG61" s="1087"/>
      <c r="AH61" s="1214"/>
      <c r="AI61" s="1215"/>
      <c r="AJ61" s="1215"/>
      <c r="AK61" s="1217"/>
      <c r="AL61" s="973"/>
      <c r="AM61" s="870"/>
      <c r="AN61" s="870"/>
      <c r="AO61" s="872"/>
      <c r="AP61" s="872"/>
      <c r="AQ61" s="872"/>
      <c r="AU61" s="805"/>
      <c r="AV61" s="807"/>
      <c r="AW61" s="803"/>
      <c r="AX61" s="803"/>
      <c r="AY61" s="803"/>
      <c r="AZ61" s="803"/>
      <c r="BA61" s="801"/>
      <c r="BB61" s="797"/>
      <c r="BC61" s="797"/>
      <c r="BD61" s="797"/>
      <c r="BE61" s="1192"/>
      <c r="BF61" s="801"/>
      <c r="BG61" s="803"/>
      <c r="BH61" s="1052"/>
      <c r="BI61" s="803"/>
      <c r="BJ61" s="1226"/>
      <c r="BK61" s="805"/>
      <c r="BL61" s="805"/>
    </row>
    <row r="62" spans="2:64" ht="15.95" customHeight="1" x14ac:dyDescent="0.25">
      <c r="B62" s="1204">
        <v>23</v>
      </c>
      <c r="C62" s="843"/>
      <c r="D62" s="844"/>
      <c r="E62" s="815"/>
      <c r="F62" s="816"/>
      <c r="G62" s="817"/>
      <c r="H62" s="821"/>
      <c r="I62" s="822"/>
      <c r="J62" s="823"/>
      <c r="K62" s="1210"/>
      <c r="L62" s="1211"/>
      <c r="M62" s="831" t="str">
        <f>IF(OR($E62="",ISNUMBER(SEARCH("Other",$E62))),"",INDEX(CMLIGHTBASE[Base Watt 1],MATCH($E62,CMLIGHTBASE[Base Desc 1],0)))</f>
        <v/>
      </c>
      <c r="N62" s="832"/>
      <c r="O62" s="1209"/>
      <c r="P62" s="836"/>
      <c r="Q62" s="837"/>
      <c r="R62" s="841"/>
      <c r="S62" s="822"/>
      <c r="T62" s="823"/>
      <c r="U62" s="842"/>
      <c r="V62" s="822"/>
      <c r="W62" s="843" t="str">
        <f>IF(O62="","",IF(ISNUMBER(SEARCH("Type",O62)),"","N/A"))</f>
        <v/>
      </c>
      <c r="X62" s="844"/>
      <c r="Y62" s="847"/>
      <c r="Z62" s="848"/>
      <c r="AA62" s="851"/>
      <c r="AB62" s="852"/>
      <c r="AC62" s="852"/>
      <c r="AD62" s="853"/>
      <c r="AE62" s="853"/>
      <c r="AF62" s="1086"/>
      <c r="AG62" s="1086"/>
      <c r="AH62" s="1212"/>
      <c r="AI62" s="1213"/>
      <c r="AJ62" s="1213"/>
      <c r="AK62" s="1216"/>
      <c r="AL62" s="973" t="str">
        <f t="shared" ref="AL62" si="49">IF(OR(C62="",E62="",M62="",K62="",O62="",Y62="",R62="",AA62="",AH62="",AJ62="",AD62="",U62="",W62=""),"",IFERROR(ROUND(IF((AW62-AX62)&lt;=0,0,BH62*(AW62-AX62)),0),""))</f>
        <v/>
      </c>
      <c r="AM62" s="870"/>
      <c r="AN62" s="870"/>
      <c r="AO62" s="872" t="str">
        <f>IF(M02S02F44="","Update Install Status",IF(M02S02F44="No","Submit for Pre-Approval",IF(OR(C62="",E62="",M62="",K62="",O62="",Y62="",R62="",AA62="",AF62="",AH62="",AD62="",U62="",W62="",AJ62=""),"",IF(BF62&lt;&gt;"",BF62,IF(OR(BD62&lt;0,BE62&lt;0),"No Incentive Savings",IF(ISNUMBER(SEARCH("Type",O62)),MIN(BD62,AU62),MIN(BE62,AU62)))))))</f>
        <v>Update Install Status</v>
      </c>
      <c r="AP62" s="872"/>
      <c r="AQ62" s="872"/>
      <c r="AU62" s="804" t="str">
        <f>IF(OR(C62="",E62="",M62="",K62="",O62="",Y62="",R62="",AA62="",AH62="",AJ62="",AD62="", U62="",W62=""),"",IF(AND(ISNUMBER(SEARCH("Other",E62)),OR(H62="",ISBLANK(H62),ISNUMBER(SEARCH("Description",H62)))),"",(ROUND((AH62+AJ62)*U62,2))))</f>
        <v/>
      </c>
      <c r="AV62" s="806" t="str">
        <f>IF(OR(C62="",E62="",M62="",K62="",O62="",Y62="",R62="",AA62="",AH62="",AJ62="",AD62="", U62="",W62=""),"",IF(AND(ISNUMBER(SEARCH("Other",E62)),OR(H62="",ISBLANK(H62),ISNUMBER(SEARCH("Description",H62)))),"",ROUND(AL62*INDEX(ENDUSEALL[Factor],MATCH(IF(ISNUMBER(SEARCH("24/7",AA62)),"Miscellaneous","Lighting"),ENDUSEALL[End Use to Coincident Peak Demand Factors],0)),4)))</f>
        <v/>
      </c>
      <c r="AW62" s="802" t="str">
        <f>IF(OR(C62="",E62="",M62="",K62="",O62="",Y62="",R62="",AA62="",AH62="",AJ62="",AD62="", U62="",W62=""),"",IF(AND(ISNUMBER(SEARCH("Other",E62)),OR(H62="",ISBLANK(H62),ISNUMBER(SEARCH("Description",H62)))),"",ROUND(M62*AD62*K62/1000,0)))</f>
        <v/>
      </c>
      <c r="AX62" s="802" t="str">
        <f>IF(OR(C62="",E62="",M62="",K62="",O62="",Y62="",R62="",AA62="",AH62="",AJ62="",AD62="", U62="",W62=""),"",IF(AND(ISNUMBER(SEARCH("Other",E62)),OR(H62="",ISBLANK(H62),ISNUMBER(SEARCH("Description",H62)))),"",IF(ISNUMBER(SEARCH("Network",O62)),ROUND(0.76*Y62*AD62*U62/1000,0),ROUND(Y62*AD62*U62/1000,0))))</f>
        <v/>
      </c>
      <c r="AY62" s="802" t="str">
        <f>IF(OR(C62="",E62="",M62="",K62="",O62="",Y62="",R62="",AA62="",AH62="",AJ62="",AD62="", U62="",W62=""),"",IF(AND(ISNUMBER(SEARCH("Other",E62)),OR(H62="",ISBLANK(H62),ISNUMBER(SEARCH("Description",H62)))),"",ROUND(K62*M62,0)))</f>
        <v/>
      </c>
      <c r="AZ62" s="802" t="str">
        <f>IF(OR(C62="",E62="",M62="",K62="",O62="",Y62="",R62="",AA62="",AH62="",AJ62="",AD62="", U62="",W62=""),"",IF(AND(K62&gt;=U62,ISNUMBER(SEARCH("Type",O62))),ROUND(U62*LEFT(INDEX(CMLIGHTBASE[Measure Subgroup 2], MATCH(E62,CMLIGHTBASE[Base Desc 1],0)),2)*Y62/W62,0),IF(AND(K62&lt;U62,ISNUMBER(SEARCH("Type",O62))),ROUND(K62*LEFT(INDEX(CMLIGHTBASE[Measure Subgroup 2], MATCH(E62,CMLIGHTBASE[Base Desc 1],0)),2)*Y62/W62,0),IF(OR(ISNUMBER(SEARCH("Fixture",O62)),ISNUMBER(SEARCH("Kit",O62))),U62*Y62))))</f>
        <v/>
      </c>
      <c r="BA62" s="800" t="str">
        <f>CONCATENATE(C62,"-","LED","-",O62)</f>
        <v>-LED-</v>
      </c>
      <c r="BB62" s="808" t="str">
        <f>IF(OR(C62="",E62="",M62="",K62="",O62="",Y62="",R62="",AA62="",AH62="",AJ62="",AD62="", U62="",W62=""),"",IF(AND(ISNUMBER(SEARCH("Other",E62)),OR(H62="",ISBLANK(H62),ISNUMBER(SEARCH("Description",H62)))),"",INDEX(PMELIGHTLIN[Measure '#],MATCH(BA62,PMELIGHTLIN[Measure Validator],0))))</f>
        <v/>
      </c>
      <c r="BC62" s="808" t="str">
        <f>IFERROR(IF(OR(C62="",AH62=""),"",IF(BB62="","",INDEX(PMELIGHTLIN[Inc Rate Unit FT],MATCH(BA62,PMELIGHTLIN[Measure Validator],0)))),"")</f>
        <v/>
      </c>
      <c r="BD62" s="808">
        <f>IFERROR(ROUND(IF(OR(C62="",AH62=""),"",IF(BB62="","",IF(AND(K62&gt;=U62,ISNUMBER(SEARCH("Type",BA62))),BC62*(U62*W62)*LEFT(INDEX(CMLIGHTBASE[Measure Subgroup 1], MATCH(E62,CMLIGHTBASE[Base Desc 1],0)),1),IF(AND(K62&lt;U62,ISNUMBER(SEARCH("Type",BA62))),BC62*(W62*K62)*LEFT(INDEX(CMLIGHTBASE[Measure Subgroup 1], MATCH(E62,CMLIGHTBASE[Base Desc 1],0)),1),0)))),2),0)</f>
        <v>0</v>
      </c>
      <c r="BE62" s="1192">
        <f t="shared" si="1"/>
        <v>0</v>
      </c>
      <c r="BF62" s="800" t="str">
        <f>IF(OR(C62="",E62="",M62="",K62="",O62="",Y62="",R62="",AA62="",AH62="",AJ62="",AD62="", U62="",W62=""),"",IF(AND(ISNUMBER(SEARCH("Other",E62)),OR(H62="",ISBLANK(H62),ISNUMBER(SEARCH("Description",H62)))),"",IFERROR(IF(AD62&lt;INDEX(PMELIGHTLIN[Eff Watt 2],MATCH(BA62,PMELIGHTLIN[Measure Validator],0)),"Operating Hours Invalid",IF(ISNUMBER(SEARCH("SPILLOVER",AA62)),PROJSTATELI,IF((AW62-AX62)&lt;0,"No Savings",IF(AF62&lt;50000,"Lamp Life Too Short","")))),"ERROR")))</f>
        <v/>
      </c>
      <c r="BG62" s="802" t="str">
        <f>IF(AND(ISBLANK(AH62),ISBLANK(AJ62)),"",IF(BD62&gt;AU62,"Yes","No"))</f>
        <v/>
      </c>
      <c r="BH62" s="1051">
        <f>IF(M02S02F32&lt;&gt;"",INDEX(SPACEHEAT[HIF],MATCH(M02S02F32,SHEAT,0)),1)</f>
        <v>1</v>
      </c>
      <c r="BI62" s="802"/>
      <c r="BJ62" s="1225">
        <f t="shared" ref="BJ62" si="50">IFERROR(ROUND(BL62*1.1,2),0)</f>
        <v>0</v>
      </c>
      <c r="BK62" s="804" t="str">
        <f>IF(M02S02F44="","Update Install Status",IF(M02S02F44="No","Submit for Pre-Approval",IF(OR(C62="",E62="",M62="",K62="",O62="",Y62="",R62="",AA62="",AF62="",AH62="",AD62="",U62="",W62="",AJ62=""),"",IF(BF62&lt;&gt;"",BF62,ROUND(BJ62*BONUSADJ,2)))))</f>
        <v>Update Install Status</v>
      </c>
      <c r="BL62" s="804" t="str">
        <f>IF(M02S02F44="","Update Install Status",IF(M02S02F44="No","Submit for Pre-Approval",IF(OR(C62="",E62="",M62="",K62="",O62="",Y62="",R62="",AA62="",AF62="",AH62="",AD62="",U62="",W62="",AJ62=""),"",IF(BF62&lt;&gt;"",BF62,IF(OR(BD62&lt;0,BE62&lt;0),"No Incentive Savings",IF(ISNUMBER(SEARCH("Type",O62)),MIN(BD62,AU62),MIN(BE62,AU62)))))))</f>
        <v>Update Install Status</v>
      </c>
    </row>
    <row r="63" spans="2:64" ht="15.95" customHeight="1" x14ac:dyDescent="0.25">
      <c r="B63" s="1204"/>
      <c r="C63" s="845"/>
      <c r="D63" s="846"/>
      <c r="E63" s="818"/>
      <c r="F63" s="819"/>
      <c r="G63" s="820"/>
      <c r="H63" s="824"/>
      <c r="I63" s="825"/>
      <c r="J63" s="826"/>
      <c r="K63" s="1210"/>
      <c r="L63" s="1211"/>
      <c r="M63" s="833"/>
      <c r="N63" s="834"/>
      <c r="O63" s="838"/>
      <c r="P63" s="839"/>
      <c r="Q63" s="840"/>
      <c r="R63" s="824"/>
      <c r="S63" s="825"/>
      <c r="T63" s="826"/>
      <c r="U63" s="824"/>
      <c r="V63" s="825"/>
      <c r="W63" s="845"/>
      <c r="X63" s="846"/>
      <c r="Y63" s="849"/>
      <c r="Z63" s="850"/>
      <c r="AA63" s="852"/>
      <c r="AB63" s="852"/>
      <c r="AC63" s="852"/>
      <c r="AD63" s="853"/>
      <c r="AE63" s="853"/>
      <c r="AF63" s="1087"/>
      <c r="AG63" s="1087"/>
      <c r="AH63" s="1214"/>
      <c r="AI63" s="1215"/>
      <c r="AJ63" s="1215"/>
      <c r="AK63" s="1217"/>
      <c r="AL63" s="973"/>
      <c r="AM63" s="870"/>
      <c r="AN63" s="870"/>
      <c r="AO63" s="872"/>
      <c r="AP63" s="872"/>
      <c r="AQ63" s="872"/>
      <c r="AU63" s="805"/>
      <c r="AV63" s="807"/>
      <c r="AW63" s="803"/>
      <c r="AX63" s="803"/>
      <c r="AY63" s="803"/>
      <c r="AZ63" s="803"/>
      <c r="BA63" s="801"/>
      <c r="BB63" s="797"/>
      <c r="BC63" s="797"/>
      <c r="BD63" s="797"/>
      <c r="BE63" s="1192"/>
      <c r="BF63" s="801"/>
      <c r="BG63" s="803"/>
      <c r="BH63" s="1052"/>
      <c r="BI63" s="803"/>
      <c r="BJ63" s="1226"/>
      <c r="BK63" s="805"/>
      <c r="BL63" s="805"/>
    </row>
    <row r="64" spans="2:64" ht="15.95" customHeight="1" x14ac:dyDescent="0.25">
      <c r="B64" s="1204">
        <v>24</v>
      </c>
      <c r="C64" s="843"/>
      <c r="D64" s="844"/>
      <c r="E64" s="815"/>
      <c r="F64" s="816"/>
      <c r="G64" s="817"/>
      <c r="H64" s="821"/>
      <c r="I64" s="822"/>
      <c r="J64" s="823"/>
      <c r="K64" s="1210"/>
      <c r="L64" s="1211"/>
      <c r="M64" s="831" t="str">
        <f>IF(OR($E64="",ISNUMBER(SEARCH("Other",$E64))),"",INDEX(CMLIGHTBASE[Base Watt 1],MATCH($E64,CMLIGHTBASE[Base Desc 1],0)))</f>
        <v/>
      </c>
      <c r="N64" s="832"/>
      <c r="O64" s="1209"/>
      <c r="P64" s="836"/>
      <c r="Q64" s="837"/>
      <c r="R64" s="841"/>
      <c r="S64" s="822"/>
      <c r="T64" s="823"/>
      <c r="U64" s="842"/>
      <c r="V64" s="822"/>
      <c r="W64" s="843" t="str">
        <f>IF(O64="","",IF(ISNUMBER(SEARCH("Type",O64)),"","N/A"))</f>
        <v/>
      </c>
      <c r="X64" s="844"/>
      <c r="Y64" s="847"/>
      <c r="Z64" s="848"/>
      <c r="AA64" s="851"/>
      <c r="AB64" s="852"/>
      <c r="AC64" s="852"/>
      <c r="AD64" s="853"/>
      <c r="AE64" s="853"/>
      <c r="AF64" s="1086"/>
      <c r="AG64" s="1086"/>
      <c r="AH64" s="1212"/>
      <c r="AI64" s="1213"/>
      <c r="AJ64" s="1213"/>
      <c r="AK64" s="1216"/>
      <c r="AL64" s="973" t="str">
        <f t="shared" ref="AL64" si="51">IF(OR(C64="",E64="",M64="",K64="",O64="",Y64="",R64="",AA64="",AH64="",AJ64="",AD64="",U64="",W64=""),"",IFERROR(ROUND(IF((AW64-AX64)&lt;=0,0,BH64*(AW64-AX64)),0),""))</f>
        <v/>
      </c>
      <c r="AM64" s="870"/>
      <c r="AN64" s="870"/>
      <c r="AO64" s="872" t="str">
        <f>IF(M02S02F44="","Update Install Status",IF(M02S02F44="No","Submit for Pre-Approval",IF(OR(C64="",E64="",M64="",K64="",O64="",Y64="",R64="",AA64="",AF64="",AH64="",AD64="",U64="",W64="",AJ64=""),"",IF(BF64&lt;&gt;"",BF64,IF(OR(BD64&lt;0,BE64&lt;0),"No Incentive Savings",IF(ISNUMBER(SEARCH("Type",O64)),MIN(BD64,AU64),MIN(BE64,AU64)))))))</f>
        <v>Update Install Status</v>
      </c>
      <c r="AP64" s="872"/>
      <c r="AQ64" s="872"/>
      <c r="AU64" s="804" t="str">
        <f>IF(OR(C64="",E64="",M64="",K64="",O64="",Y64="",R64="",AA64="",AH64="",AJ64="",AD64="", U64="",W64=""),"",IF(AND(ISNUMBER(SEARCH("Other",E64)),OR(H64="",ISBLANK(H64),ISNUMBER(SEARCH("Description",H64)))),"",(ROUND((AH64+AJ64)*U64,2))))</f>
        <v/>
      </c>
      <c r="AV64" s="806" t="str">
        <f>IF(OR(C64="",E64="",M64="",K64="",O64="",Y64="",R64="",AA64="",AH64="",AJ64="",AD64="", U64="",W64=""),"",IF(AND(ISNUMBER(SEARCH("Other",E64)),OR(H64="",ISBLANK(H64),ISNUMBER(SEARCH("Description",H64)))),"",ROUND(AL64*INDEX(ENDUSEALL[Factor],MATCH(IF(ISNUMBER(SEARCH("24/7",AA64)),"Miscellaneous","Lighting"),ENDUSEALL[End Use to Coincident Peak Demand Factors],0)),4)))</f>
        <v/>
      </c>
      <c r="AW64" s="802" t="str">
        <f>IF(OR(C64="",E64="",M64="",K64="",O64="",Y64="",R64="",AA64="",AH64="",AJ64="",AD64="", U64="",W64=""),"",IF(AND(ISNUMBER(SEARCH("Other",E64)),OR(H64="",ISBLANK(H64),ISNUMBER(SEARCH("Description",H64)))),"",ROUND(M64*AD64*K64/1000,0)))</f>
        <v/>
      </c>
      <c r="AX64" s="802" t="str">
        <f>IF(OR(C64="",E64="",M64="",K64="",O64="",Y64="",R64="",AA64="",AH64="",AJ64="",AD64="", U64="",W64=""),"",IF(AND(ISNUMBER(SEARCH("Other",E64)),OR(H64="",ISBLANK(H64),ISNUMBER(SEARCH("Description",H64)))),"",IF(ISNUMBER(SEARCH("Network",O64)),ROUND(0.76*Y64*AD64*U64/1000,0),ROUND(Y64*AD64*U64/1000,0))))</f>
        <v/>
      </c>
      <c r="AY64" s="802" t="str">
        <f>IF(OR(C64="",E64="",M64="",K64="",O64="",Y64="",R64="",AA64="",AH64="",AJ64="",AD64="", U64="",W64=""),"",IF(AND(ISNUMBER(SEARCH("Other",E64)),OR(H64="",ISBLANK(H64),ISNUMBER(SEARCH("Description",H64)))),"",ROUND(K64*M64,0)))</f>
        <v/>
      </c>
      <c r="AZ64" s="802" t="str">
        <f>IF(OR(C64="",E64="",M64="",K64="",O64="",Y64="",R64="",AA64="",AH64="",AJ64="",AD64="", U64="",W64=""),"",IF(AND(K64&gt;=U64,ISNUMBER(SEARCH("Type",O64))),ROUND(U64*LEFT(INDEX(CMLIGHTBASE[Measure Subgroup 2], MATCH(E64,CMLIGHTBASE[Base Desc 1],0)),2)*Y64/W64,0),IF(AND(K64&lt;U64,ISNUMBER(SEARCH("Type",O64))),ROUND(K64*LEFT(INDEX(CMLIGHTBASE[Measure Subgroup 2], MATCH(E64,CMLIGHTBASE[Base Desc 1],0)),2)*Y64/W64,0),IF(OR(ISNUMBER(SEARCH("Fixture",O64)),ISNUMBER(SEARCH("Kit",O64))),U64*Y64))))</f>
        <v/>
      </c>
      <c r="BA64" s="800" t="str">
        <f>CONCATENATE(C64,"-","LED","-",O64)</f>
        <v>-LED-</v>
      </c>
      <c r="BB64" s="808" t="str">
        <f>IF(OR(C64="",E64="",M64="",K64="",O64="",Y64="",R64="",AA64="",AH64="",AJ64="",AD64="", U64="",W64=""),"",IF(AND(ISNUMBER(SEARCH("Other",E64)),OR(H64="",ISBLANK(H64),ISNUMBER(SEARCH("Description",H64)))),"",INDEX(PMELIGHTLIN[Measure '#],MATCH(BA64,PMELIGHTLIN[Measure Validator],0))))</f>
        <v/>
      </c>
      <c r="BC64" s="808" t="str">
        <f>IFERROR(IF(OR(C64="",AH64=""),"",IF(BB64="","",INDEX(PMELIGHTLIN[Inc Rate Unit FT],MATCH(BA64,PMELIGHTLIN[Measure Validator],0)))),"")</f>
        <v/>
      </c>
      <c r="BD64" s="808">
        <f>IFERROR(ROUND(IF(OR(C64="",AH64=""),"",IF(BB64="","",IF(AND(K64&gt;=U64,ISNUMBER(SEARCH("Type",BA64))),BC64*(U64*W64)*LEFT(INDEX(CMLIGHTBASE[Measure Subgroup 1], MATCH(E64,CMLIGHTBASE[Base Desc 1],0)),1),IF(AND(K64&lt;U64,ISNUMBER(SEARCH("Type",BA64))),BC64*(W64*K64)*LEFT(INDEX(CMLIGHTBASE[Measure Subgroup 1], MATCH(E64,CMLIGHTBASE[Base Desc 1],0)),1),0)))),2),0)</f>
        <v>0</v>
      </c>
      <c r="BE64" s="1192">
        <f t="shared" si="1"/>
        <v>0</v>
      </c>
      <c r="BF64" s="800" t="str">
        <f>IF(OR(C64="",E64="",M64="",K64="",O64="",Y64="",R64="",AA64="",AH64="",AJ64="",AD64="", U64="",W64=""),"",IF(AND(ISNUMBER(SEARCH("Other",E64)),OR(H64="",ISBLANK(H64),ISNUMBER(SEARCH("Description",H64)))),"",IFERROR(IF(AD64&lt;INDEX(PMELIGHTLIN[Eff Watt 2],MATCH(BA64,PMELIGHTLIN[Measure Validator],0)),"Operating Hours Invalid",IF(ISNUMBER(SEARCH("SPILLOVER",AA64)),PROJSTATELI,IF((AW64-AX64)&lt;0,"No Savings",IF(AF64&lt;50000,"Lamp Life Too Short","")))),"ERROR")))</f>
        <v/>
      </c>
      <c r="BG64" s="802" t="str">
        <f>IF(AND(ISBLANK(AH64),ISBLANK(AJ64)),"",IF(BD64&gt;AU64,"Yes","No"))</f>
        <v/>
      </c>
      <c r="BH64" s="1051">
        <f>IF(M02S02F32&lt;&gt;"",INDEX(SPACEHEAT[HIF],MATCH(M02S02F32,SHEAT,0)),1)</f>
        <v>1</v>
      </c>
      <c r="BI64" s="802"/>
      <c r="BJ64" s="1225">
        <f t="shared" ref="BJ64" si="52">IFERROR(ROUND(BL64*1.1,2),0)</f>
        <v>0</v>
      </c>
      <c r="BK64" s="804" t="str">
        <f>IF(M02S02F44="","Update Install Status",IF(M02S02F44="No","Submit for Pre-Approval",IF(OR(C64="",E64="",M64="",K64="",O64="",Y64="",R64="",AA64="",AF64="",AH64="",AD64="",U64="",W64="",AJ64=""),"",IF(BF64&lt;&gt;"",BF64,ROUND(BJ64*BONUSADJ,2)))))</f>
        <v>Update Install Status</v>
      </c>
      <c r="BL64" s="804" t="str">
        <f>IF(M02S02F44="","Update Install Status",IF(M02S02F44="No","Submit for Pre-Approval",IF(OR(C64="",E64="",M64="",K64="",O64="",Y64="",R64="",AA64="",AF64="",AH64="",AD64="",U64="",W64="",AJ64=""),"",IF(BF64&lt;&gt;"",BF64,IF(OR(BD64&lt;0,BE64&lt;0),"No Incentive Savings",IF(ISNUMBER(SEARCH("Type",O64)),MIN(BD64,AU64),MIN(BE64,AU64)))))))</f>
        <v>Update Install Status</v>
      </c>
    </row>
    <row r="65" spans="2:64" ht="15.95" customHeight="1" x14ac:dyDescent="0.25">
      <c r="B65" s="1204"/>
      <c r="C65" s="845"/>
      <c r="D65" s="846"/>
      <c r="E65" s="818"/>
      <c r="F65" s="819"/>
      <c r="G65" s="820"/>
      <c r="H65" s="824"/>
      <c r="I65" s="825"/>
      <c r="J65" s="826"/>
      <c r="K65" s="1210"/>
      <c r="L65" s="1211"/>
      <c r="M65" s="833"/>
      <c r="N65" s="834"/>
      <c r="O65" s="838"/>
      <c r="P65" s="839"/>
      <c r="Q65" s="840"/>
      <c r="R65" s="824"/>
      <c r="S65" s="825"/>
      <c r="T65" s="826"/>
      <c r="U65" s="824"/>
      <c r="V65" s="825"/>
      <c r="W65" s="845"/>
      <c r="X65" s="846"/>
      <c r="Y65" s="849"/>
      <c r="Z65" s="850"/>
      <c r="AA65" s="852"/>
      <c r="AB65" s="852"/>
      <c r="AC65" s="852"/>
      <c r="AD65" s="853"/>
      <c r="AE65" s="853"/>
      <c r="AF65" s="1087"/>
      <c r="AG65" s="1087"/>
      <c r="AH65" s="1214"/>
      <c r="AI65" s="1215"/>
      <c r="AJ65" s="1215"/>
      <c r="AK65" s="1217"/>
      <c r="AL65" s="973"/>
      <c r="AM65" s="870"/>
      <c r="AN65" s="870"/>
      <c r="AO65" s="872"/>
      <c r="AP65" s="872"/>
      <c r="AQ65" s="872"/>
      <c r="AU65" s="805"/>
      <c r="AV65" s="807"/>
      <c r="AW65" s="803"/>
      <c r="AX65" s="803"/>
      <c r="AY65" s="803"/>
      <c r="AZ65" s="803"/>
      <c r="BA65" s="801"/>
      <c r="BB65" s="797"/>
      <c r="BC65" s="797"/>
      <c r="BD65" s="797"/>
      <c r="BE65" s="1192"/>
      <c r="BF65" s="801"/>
      <c r="BG65" s="803"/>
      <c r="BH65" s="1052"/>
      <c r="BI65" s="803"/>
      <c r="BJ65" s="1226"/>
      <c r="BK65" s="805"/>
      <c r="BL65" s="805"/>
    </row>
    <row r="66" spans="2:64" ht="15.95" customHeight="1" x14ac:dyDescent="0.25">
      <c r="B66" s="1204">
        <v>25</v>
      </c>
      <c r="C66" s="843"/>
      <c r="D66" s="844"/>
      <c r="E66" s="815"/>
      <c r="F66" s="816"/>
      <c r="G66" s="817"/>
      <c r="H66" s="821"/>
      <c r="I66" s="822"/>
      <c r="J66" s="823"/>
      <c r="K66" s="1210"/>
      <c r="L66" s="1211"/>
      <c r="M66" s="831" t="str">
        <f>IF(OR($E66="",ISNUMBER(SEARCH("Other",$E66))),"",INDEX(CMLIGHTBASE[Base Watt 1],MATCH($E66,CMLIGHTBASE[Base Desc 1],0)))</f>
        <v/>
      </c>
      <c r="N66" s="832"/>
      <c r="O66" s="1209"/>
      <c r="P66" s="836"/>
      <c r="Q66" s="837"/>
      <c r="R66" s="841"/>
      <c r="S66" s="822"/>
      <c r="T66" s="823"/>
      <c r="U66" s="842"/>
      <c r="V66" s="822"/>
      <c r="W66" s="843" t="str">
        <f>IF(O66="","",IF(ISNUMBER(SEARCH("Type",O66)),"","N/A"))</f>
        <v/>
      </c>
      <c r="X66" s="844"/>
      <c r="Y66" s="847"/>
      <c r="Z66" s="848"/>
      <c r="AA66" s="851"/>
      <c r="AB66" s="852"/>
      <c r="AC66" s="852"/>
      <c r="AD66" s="853"/>
      <c r="AE66" s="853"/>
      <c r="AF66" s="1086"/>
      <c r="AG66" s="1086"/>
      <c r="AH66" s="1212"/>
      <c r="AI66" s="1213"/>
      <c r="AJ66" s="1213"/>
      <c r="AK66" s="1216"/>
      <c r="AL66" s="973" t="str">
        <f t="shared" ref="AL66" si="53">IF(OR(C66="",E66="",M66="",K66="",O66="",Y66="",R66="",AA66="",AH66="",AJ66="",AD66="",U66="",W66=""),"",IFERROR(ROUND(IF((AW66-AX66)&lt;=0,0,BH66*(AW66-AX66)),0),""))</f>
        <v/>
      </c>
      <c r="AM66" s="870"/>
      <c r="AN66" s="870"/>
      <c r="AO66" s="872" t="str">
        <f>IF(M02S02F44="","Update Install Status",IF(M02S02F44="No","Submit for Pre-Approval",IF(OR(C66="",E66="",M66="",K66="",O66="",Y66="",R66="",AA66="",AF66="",AH66="",AD66="",U66="",W66="",AJ66=""),"",IF(BF66&lt;&gt;"",BF66,IF(OR(BD66&lt;0,BE66&lt;0),"No Incentive Savings",IF(ISNUMBER(SEARCH("Type",O66)),MIN(BD66,AU66),MIN(BE66,AU66)))))))</f>
        <v>Update Install Status</v>
      </c>
      <c r="AP66" s="872"/>
      <c r="AQ66" s="872"/>
      <c r="AU66" s="804" t="str">
        <f>IF(OR(C66="",E66="",M66="",K66="",O66="",Y66="",R66="",AA66="",AH66="",AJ66="",AD66="", U66="",W66=""),"",IF(AND(ISNUMBER(SEARCH("Other",E66)),OR(H66="",ISBLANK(H66),ISNUMBER(SEARCH("Description",H66)))),"",(ROUND((AH66+AJ66)*U66,2))))</f>
        <v/>
      </c>
      <c r="AV66" s="806" t="str">
        <f>IF(OR(C66="",E66="",M66="",K66="",O66="",Y66="",R66="",AA66="",AH66="",AJ66="",AD66="", U66="",W66=""),"",IF(AND(ISNUMBER(SEARCH("Other",E66)),OR(H66="",ISBLANK(H66),ISNUMBER(SEARCH("Description",H66)))),"",ROUND(AL66*INDEX(ENDUSEALL[Factor],MATCH(IF(ISNUMBER(SEARCH("24/7",AA66)),"Miscellaneous","Lighting"),ENDUSEALL[End Use to Coincident Peak Demand Factors],0)),4)))</f>
        <v/>
      </c>
      <c r="AW66" s="802" t="str">
        <f>IF(OR(C66="",E66="",M66="",K66="",O66="",Y66="",R66="",AA66="",AH66="",AJ66="",AD66="", U66="",W66=""),"",IF(AND(ISNUMBER(SEARCH("Other",E66)),OR(H66="",ISBLANK(H66),ISNUMBER(SEARCH("Description",H66)))),"",ROUND(M66*AD66*K66/1000,0)))</f>
        <v/>
      </c>
      <c r="AX66" s="802" t="str">
        <f>IF(OR(C66="",E66="",M66="",K66="",O66="",Y66="",R66="",AA66="",AH66="",AJ66="",AD66="", U66="",W66=""),"",IF(AND(ISNUMBER(SEARCH("Other",E66)),OR(H66="",ISBLANK(H66),ISNUMBER(SEARCH("Description",H66)))),"",IF(ISNUMBER(SEARCH("Network",O66)),ROUND(0.76*Y66*AD66*U66/1000,0),ROUND(Y66*AD66*U66/1000,0))))</f>
        <v/>
      </c>
      <c r="AY66" s="802" t="str">
        <f>IF(OR(C66="",E66="",M66="",K66="",O66="",Y66="",R66="",AA66="",AH66="",AJ66="",AD66="", U66="",W66=""),"",IF(AND(ISNUMBER(SEARCH("Other",E66)),OR(H66="",ISBLANK(H66),ISNUMBER(SEARCH("Description",H66)))),"",ROUND(K66*M66,0)))</f>
        <v/>
      </c>
      <c r="AZ66" s="802" t="str">
        <f>IF(OR(C66="",E66="",M66="",K66="",O66="",Y66="",R66="",AA66="",AH66="",AJ66="",AD66="", U66="",W66=""),"",IF(AND(K66&gt;=U66,ISNUMBER(SEARCH("Type",O66))),ROUND(U66*LEFT(INDEX(CMLIGHTBASE[Measure Subgroup 2], MATCH(E66,CMLIGHTBASE[Base Desc 1],0)),2)*Y66/W66,0),IF(AND(K66&lt;U66,ISNUMBER(SEARCH("Type",O66))),ROUND(K66*LEFT(INDEX(CMLIGHTBASE[Measure Subgroup 2], MATCH(E66,CMLIGHTBASE[Base Desc 1],0)),2)*Y66/W66,0),IF(OR(ISNUMBER(SEARCH("Fixture",O66)),ISNUMBER(SEARCH("Kit",O66))),U66*Y66))))</f>
        <v/>
      </c>
      <c r="BA66" s="800" t="str">
        <f>CONCATENATE(C66,"-","LED","-",O66)</f>
        <v>-LED-</v>
      </c>
      <c r="BB66" s="808" t="str">
        <f>IF(OR(C66="",E66="",M66="",K66="",O66="",Y66="",R66="",AA66="",AH66="",AJ66="",AD66="", U66="",W66=""),"",IF(AND(ISNUMBER(SEARCH("Other",E66)),OR(H66="",ISBLANK(H66),ISNUMBER(SEARCH("Description",H66)))),"",INDEX(PMELIGHTLIN[Measure '#],MATCH(BA66,PMELIGHTLIN[Measure Validator],0))))</f>
        <v/>
      </c>
      <c r="BC66" s="808" t="str">
        <f>IFERROR(IF(OR(C66="",AH66=""),"",IF(BB66="","",INDEX(PMELIGHTLIN[Inc Rate Unit FT],MATCH(BA66,PMELIGHTLIN[Measure Validator],0)))),"")</f>
        <v/>
      </c>
      <c r="BD66" s="808">
        <f>IFERROR(ROUND(IF(OR(C66="",AH66=""),"",IF(BB66="","",IF(AND(K66&gt;=U66,ISNUMBER(SEARCH("Type",BA66))),BC66*(U66*W66)*LEFT(INDEX(CMLIGHTBASE[Measure Subgroup 1], MATCH(E66,CMLIGHTBASE[Base Desc 1],0)),1),IF(AND(K66&lt;U66,ISNUMBER(SEARCH("Type",BA66))),BC66*(W66*K66)*LEFT(INDEX(CMLIGHTBASE[Measure Subgroup 1], MATCH(E66,CMLIGHTBASE[Base Desc 1],0)),1),0)))),2),0)</f>
        <v>0</v>
      </c>
      <c r="BE66" s="1192">
        <f t="shared" si="1"/>
        <v>0</v>
      </c>
      <c r="BF66" s="800" t="str">
        <f>IF(OR(C66="",E66="",M66="",K66="",O66="",Y66="",R66="",AA66="",AH66="",AJ66="",AD66="", U66="",W66=""),"",IF(AND(ISNUMBER(SEARCH("Other",E66)),OR(H66="",ISBLANK(H66),ISNUMBER(SEARCH("Description",H66)))),"",IFERROR(IF(AD66&lt;INDEX(PMELIGHTLIN[Eff Watt 2],MATCH(BA66,PMELIGHTLIN[Measure Validator],0)),"Operating Hours Invalid",IF(ISNUMBER(SEARCH("SPILLOVER",AA66)),PROJSTATELI,IF((AW66-AX66)&lt;0,"No Savings",IF(AF66&lt;50000,"Lamp Life Too Short","")))),"ERROR")))</f>
        <v/>
      </c>
      <c r="BG66" s="802" t="str">
        <f>IF(AND(ISBLANK(AH66),ISBLANK(AJ66)),"",IF(BD66&gt;AU66,"Yes","No"))</f>
        <v/>
      </c>
      <c r="BH66" s="1051">
        <f>IF(M02S02F32&lt;&gt;"",INDEX(SPACEHEAT[HIF],MATCH(M02S02F32,SHEAT,0)),1)</f>
        <v>1</v>
      </c>
      <c r="BI66" s="802"/>
      <c r="BJ66" s="1225">
        <f t="shared" ref="BJ66" si="54">IFERROR(ROUND(BL66*1.1,2),0)</f>
        <v>0</v>
      </c>
      <c r="BK66" s="804" t="str">
        <f>IF(M02S02F44="","Update Install Status",IF(M02S02F44="No","Submit for Pre-Approval",IF(OR(C66="",E66="",M66="",K66="",O66="",Y66="",R66="",AA66="",AF66="",AH66="",AD66="",U66="",W66="",AJ66=""),"",IF(BF66&lt;&gt;"",BF66,ROUND(BJ66*BONUSADJ,2)))))</f>
        <v>Update Install Status</v>
      </c>
      <c r="BL66" s="804" t="str">
        <f>IF(M02S02F44="","Update Install Status",IF(M02S02F44="No","Submit for Pre-Approval",IF(OR(C66="",E66="",M66="",K66="",O66="",Y66="",R66="",AA66="",AF66="",AH66="",AD66="",U66="",W66="",AJ66=""),"",IF(BF66&lt;&gt;"",BF66,IF(OR(BD66&lt;0,BE66&lt;0),"No Incentive Savings",IF(ISNUMBER(SEARCH("Type",O66)),MIN(BD66,AU66),MIN(BE66,AU66)))))))</f>
        <v>Update Install Status</v>
      </c>
    </row>
    <row r="67" spans="2:64" ht="15.95" customHeight="1" x14ac:dyDescent="0.25">
      <c r="B67" s="1204"/>
      <c r="C67" s="845"/>
      <c r="D67" s="846"/>
      <c r="E67" s="818"/>
      <c r="F67" s="819"/>
      <c r="G67" s="820"/>
      <c r="H67" s="824"/>
      <c r="I67" s="825"/>
      <c r="J67" s="826"/>
      <c r="K67" s="1210"/>
      <c r="L67" s="1211"/>
      <c r="M67" s="833"/>
      <c r="N67" s="834"/>
      <c r="O67" s="838"/>
      <c r="P67" s="839"/>
      <c r="Q67" s="840"/>
      <c r="R67" s="824"/>
      <c r="S67" s="825"/>
      <c r="T67" s="826"/>
      <c r="U67" s="824"/>
      <c r="V67" s="825"/>
      <c r="W67" s="845"/>
      <c r="X67" s="846"/>
      <c r="Y67" s="849"/>
      <c r="Z67" s="850"/>
      <c r="AA67" s="852"/>
      <c r="AB67" s="852"/>
      <c r="AC67" s="852"/>
      <c r="AD67" s="853"/>
      <c r="AE67" s="853"/>
      <c r="AF67" s="1087"/>
      <c r="AG67" s="1087"/>
      <c r="AH67" s="1214"/>
      <c r="AI67" s="1215"/>
      <c r="AJ67" s="1215"/>
      <c r="AK67" s="1217"/>
      <c r="AL67" s="973"/>
      <c r="AM67" s="870"/>
      <c r="AN67" s="870"/>
      <c r="AO67" s="872"/>
      <c r="AP67" s="872"/>
      <c r="AQ67" s="872"/>
      <c r="AU67" s="805"/>
      <c r="AV67" s="807"/>
      <c r="AW67" s="803"/>
      <c r="AX67" s="803"/>
      <c r="AY67" s="803"/>
      <c r="AZ67" s="803"/>
      <c r="BA67" s="801"/>
      <c r="BB67" s="797"/>
      <c r="BC67" s="797"/>
      <c r="BD67" s="797"/>
      <c r="BE67" s="1192"/>
      <c r="BF67" s="801"/>
      <c r="BG67" s="803"/>
      <c r="BH67" s="1052"/>
      <c r="BI67" s="803"/>
      <c r="BJ67" s="1226"/>
      <c r="BK67" s="805"/>
      <c r="BL67" s="805"/>
    </row>
    <row r="68" spans="2:64" ht="15.95" customHeight="1" x14ac:dyDescent="0.25">
      <c r="B68" s="1204">
        <v>26</v>
      </c>
      <c r="C68" s="843"/>
      <c r="D68" s="844"/>
      <c r="E68" s="815"/>
      <c r="F68" s="816"/>
      <c r="G68" s="817"/>
      <c r="H68" s="821"/>
      <c r="I68" s="822"/>
      <c r="J68" s="823"/>
      <c r="K68" s="1210"/>
      <c r="L68" s="1211"/>
      <c r="M68" s="831" t="str">
        <f>IF(OR($E68="",ISNUMBER(SEARCH("Other",$E68))),"",INDEX(CMLIGHTBASE[Base Watt 1],MATCH($E68,CMLIGHTBASE[Base Desc 1],0)))</f>
        <v/>
      </c>
      <c r="N68" s="832"/>
      <c r="O68" s="1209"/>
      <c r="P68" s="836"/>
      <c r="Q68" s="837"/>
      <c r="R68" s="841"/>
      <c r="S68" s="822"/>
      <c r="T68" s="823"/>
      <c r="U68" s="842"/>
      <c r="V68" s="822"/>
      <c r="W68" s="843" t="str">
        <f>IF(O68="","",IF(ISNUMBER(SEARCH("Type",O68)),"","N/A"))</f>
        <v/>
      </c>
      <c r="X68" s="844"/>
      <c r="Y68" s="847"/>
      <c r="Z68" s="848"/>
      <c r="AA68" s="851"/>
      <c r="AB68" s="852"/>
      <c r="AC68" s="852"/>
      <c r="AD68" s="853"/>
      <c r="AE68" s="853"/>
      <c r="AF68" s="1086"/>
      <c r="AG68" s="1086"/>
      <c r="AH68" s="1212"/>
      <c r="AI68" s="1213"/>
      <c r="AJ68" s="1213"/>
      <c r="AK68" s="1216"/>
      <c r="AL68" s="973" t="str">
        <f t="shared" ref="AL68" si="55">IF(OR(C68="",E68="",M68="",K68="",O68="",Y68="",R68="",AA68="",AH68="",AJ68="",AD68="",U68="",W68=""),"",IFERROR(ROUND(IF((AW68-AX68)&lt;=0,0,BH68*(AW68-AX68)),0),""))</f>
        <v/>
      </c>
      <c r="AM68" s="870"/>
      <c r="AN68" s="870"/>
      <c r="AO68" s="872" t="str">
        <f>IF(M02S02F44="","Update Install Status",IF(M02S02F44="No","Submit for Pre-Approval",IF(OR(C68="",E68="",M68="",K68="",O68="",Y68="",R68="",AA68="",AF68="",AH68="",AD68="",U68="",W68="",AJ68=""),"",IF(BF68&lt;&gt;"",BF68,IF(OR(BD68&lt;0,BE68&lt;0),"No Incentive Savings",IF(ISNUMBER(SEARCH("Type",O68)),MIN(BD68,AU68),MIN(BE68,AU68)))))))</f>
        <v>Update Install Status</v>
      </c>
      <c r="AP68" s="872"/>
      <c r="AQ68" s="872"/>
      <c r="AU68" s="804" t="str">
        <f>IF(OR(C68="",E68="",M68="",K68="",O68="",Y68="",R68="",AA68="",AH68="",AJ68="",AD68="", U68="",W68=""),"",IF(AND(ISNUMBER(SEARCH("Other",E68)),OR(H68="",ISBLANK(H68),ISNUMBER(SEARCH("Description",H68)))),"",(ROUND((AH68+AJ68)*U68,2))))</f>
        <v/>
      </c>
      <c r="AV68" s="806" t="str">
        <f>IF(OR(C68="",E68="",M68="",K68="",O68="",Y68="",R68="",AA68="",AH68="",AJ68="",AD68="", U68="",W68=""),"",IF(AND(ISNUMBER(SEARCH("Other",E68)),OR(H68="",ISBLANK(H68),ISNUMBER(SEARCH("Description",H68)))),"",ROUND(AL68*INDEX(ENDUSEALL[Factor],MATCH(IF(ISNUMBER(SEARCH("24/7",AA68)),"Miscellaneous","Lighting"),ENDUSEALL[End Use to Coincident Peak Demand Factors],0)),4)))</f>
        <v/>
      </c>
      <c r="AW68" s="802" t="str">
        <f>IF(OR(C68="",E68="",M68="",K68="",O68="",Y68="",R68="",AA68="",AH68="",AJ68="",AD68="", U68="",W68=""),"",IF(AND(ISNUMBER(SEARCH("Other",E68)),OR(H68="",ISBLANK(H68),ISNUMBER(SEARCH("Description",H68)))),"",ROUND(M68*AD68*K68/1000,0)))</f>
        <v/>
      </c>
      <c r="AX68" s="802" t="str">
        <f>IF(OR(C68="",E68="",M68="",K68="",O68="",Y68="",R68="",AA68="",AH68="",AJ68="",AD68="", U68="",W68=""),"",IF(AND(ISNUMBER(SEARCH("Other",E68)),OR(H68="",ISBLANK(H68),ISNUMBER(SEARCH("Description",H68)))),"",IF(ISNUMBER(SEARCH("Network",O68)),ROUND(0.76*Y68*AD68*U68/1000,0),ROUND(Y68*AD68*U68/1000,0))))</f>
        <v/>
      </c>
      <c r="AY68" s="802" t="str">
        <f>IF(OR(C68="",E68="",M68="",K68="",O68="",Y68="",R68="",AA68="",AH68="",AJ68="",AD68="", U68="",W68=""),"",IF(AND(ISNUMBER(SEARCH("Other",E68)),OR(H68="",ISBLANK(H68),ISNUMBER(SEARCH("Description",H68)))),"",ROUND(K68*M68,0)))</f>
        <v/>
      </c>
      <c r="AZ68" s="802" t="str">
        <f>IF(OR(C68="",E68="",M68="",K68="",O68="",Y68="",R68="",AA68="",AH68="",AJ68="",AD68="", U68="",W68=""),"",IF(AND(K68&gt;=U68,ISNUMBER(SEARCH("Type",O68))),ROUND(U68*LEFT(INDEX(CMLIGHTBASE[Measure Subgroup 2], MATCH(E68,CMLIGHTBASE[Base Desc 1],0)),2)*Y68/W68,0),IF(AND(K68&lt;U68,ISNUMBER(SEARCH("Type",O68))),ROUND(K68*LEFT(INDEX(CMLIGHTBASE[Measure Subgroup 2], MATCH(E68,CMLIGHTBASE[Base Desc 1],0)),2)*Y68/W68,0),IF(OR(ISNUMBER(SEARCH("Fixture",O68)),ISNUMBER(SEARCH("Kit",O68))),U68*Y68))))</f>
        <v/>
      </c>
      <c r="BA68" s="800" t="str">
        <f>CONCATENATE(C68,"-","LED","-",O68)</f>
        <v>-LED-</v>
      </c>
      <c r="BB68" s="808" t="str">
        <f>IF(OR(C68="",E68="",M68="",K68="",O68="",Y68="",R68="",AA68="",AH68="",AJ68="",AD68="", U68="",W68=""),"",IF(AND(ISNUMBER(SEARCH("Other",E68)),OR(H68="",ISBLANK(H68),ISNUMBER(SEARCH("Description",H68)))),"",INDEX(PMELIGHTLIN[Measure '#],MATCH(BA68,PMELIGHTLIN[Measure Validator],0))))</f>
        <v/>
      </c>
      <c r="BC68" s="808" t="str">
        <f>IFERROR(IF(OR(C68="",AH68=""),"",IF(BB68="","",INDEX(PMELIGHTLIN[Inc Rate Unit FT],MATCH(BA68,PMELIGHTLIN[Measure Validator],0)))),"")</f>
        <v/>
      </c>
      <c r="BD68" s="808">
        <f>IFERROR(ROUND(IF(OR(C68="",AH68=""),"",IF(BB68="","",IF(AND(K68&gt;=U68,ISNUMBER(SEARCH("Type",BA68))),BC68*(U68*W68)*LEFT(INDEX(CMLIGHTBASE[Measure Subgroup 1], MATCH(E68,CMLIGHTBASE[Base Desc 1],0)),1),IF(AND(K68&lt;U68,ISNUMBER(SEARCH("Type",BA68))),BC68*(W68*K68)*LEFT(INDEX(CMLIGHTBASE[Measure Subgroup 1], MATCH(E68,CMLIGHTBASE[Base Desc 1],0)),1),0)))),2),0)</f>
        <v>0</v>
      </c>
      <c r="BE68" s="1192">
        <f t="shared" si="1"/>
        <v>0</v>
      </c>
      <c r="BF68" s="800" t="str">
        <f>IF(OR(C68="",E68="",M68="",K68="",O68="",Y68="",R68="",AA68="",AH68="",AJ68="",AD68="", U68="",W68=""),"",IF(AND(ISNUMBER(SEARCH("Other",E68)),OR(H68="",ISBLANK(H68),ISNUMBER(SEARCH("Description",H68)))),"",IFERROR(IF(AD68&lt;INDEX(PMELIGHTLIN[Eff Watt 2],MATCH(BA68,PMELIGHTLIN[Measure Validator],0)),"Operating Hours Invalid",IF(ISNUMBER(SEARCH("SPILLOVER",AA68)),PROJSTATELI,IF((AW68-AX68)&lt;0,"No Savings",IF(AF68&lt;50000,"Lamp Life Too Short","")))),"ERROR")))</f>
        <v/>
      </c>
      <c r="BG68" s="802" t="str">
        <f>IF(AND(ISBLANK(AH68),ISBLANK(AJ68)),"",IF(BD68&gt;AU68,"Yes","No"))</f>
        <v/>
      </c>
      <c r="BH68" s="1051">
        <f>IF(M02S02F32&lt;&gt;"",INDEX(SPACEHEAT[HIF],MATCH(M02S02F32,SHEAT,0)),1)</f>
        <v>1</v>
      </c>
      <c r="BI68" s="802"/>
      <c r="BJ68" s="1225">
        <f t="shared" ref="BJ68" si="56">IFERROR(ROUND(BL68*1.1,2),0)</f>
        <v>0</v>
      </c>
      <c r="BK68" s="804" t="str">
        <f>IF(M02S02F44="","Update Install Status",IF(M02S02F44="No","Submit for Pre-Approval",IF(OR(C68="",E68="",M68="",K68="",O68="",Y68="",R68="",AA68="",AF68="",AH68="",AD68="",U68="",W68="",AJ68=""),"",IF(BF68&lt;&gt;"",BF68,ROUND(BJ68*BONUSADJ,2)))))</f>
        <v>Update Install Status</v>
      </c>
      <c r="BL68" s="804" t="str">
        <f>IF(M02S02F44="","Update Install Status",IF(M02S02F44="No","Submit for Pre-Approval",IF(OR(C68="",E68="",M68="",K68="",O68="",Y68="",R68="",AA68="",AF68="",AH68="",AD68="",U68="",W68="",AJ68=""),"",IF(BF68&lt;&gt;"",BF68,IF(OR(BD68&lt;0,BE68&lt;0),"No Incentive Savings",IF(ISNUMBER(SEARCH("Type",O68)),MIN(BD68,AU68),MIN(BE68,AU68)))))))</f>
        <v>Update Install Status</v>
      </c>
    </row>
    <row r="69" spans="2:64" ht="15.95" customHeight="1" x14ac:dyDescent="0.25">
      <c r="B69" s="1204"/>
      <c r="C69" s="845"/>
      <c r="D69" s="846"/>
      <c r="E69" s="818"/>
      <c r="F69" s="819"/>
      <c r="G69" s="820"/>
      <c r="H69" s="824"/>
      <c r="I69" s="825"/>
      <c r="J69" s="826"/>
      <c r="K69" s="1210"/>
      <c r="L69" s="1211"/>
      <c r="M69" s="833"/>
      <c r="N69" s="834"/>
      <c r="O69" s="838"/>
      <c r="P69" s="839"/>
      <c r="Q69" s="840"/>
      <c r="R69" s="824"/>
      <c r="S69" s="825"/>
      <c r="T69" s="826"/>
      <c r="U69" s="824"/>
      <c r="V69" s="825"/>
      <c r="W69" s="845"/>
      <c r="X69" s="846"/>
      <c r="Y69" s="849"/>
      <c r="Z69" s="850"/>
      <c r="AA69" s="852"/>
      <c r="AB69" s="852"/>
      <c r="AC69" s="852"/>
      <c r="AD69" s="853"/>
      <c r="AE69" s="853"/>
      <c r="AF69" s="1087"/>
      <c r="AG69" s="1087"/>
      <c r="AH69" s="1214"/>
      <c r="AI69" s="1215"/>
      <c r="AJ69" s="1215"/>
      <c r="AK69" s="1217"/>
      <c r="AL69" s="973"/>
      <c r="AM69" s="870"/>
      <c r="AN69" s="870"/>
      <c r="AO69" s="872"/>
      <c r="AP69" s="872"/>
      <c r="AQ69" s="872"/>
      <c r="AU69" s="805"/>
      <c r="AV69" s="807"/>
      <c r="AW69" s="803"/>
      <c r="AX69" s="803"/>
      <c r="AY69" s="803"/>
      <c r="AZ69" s="803"/>
      <c r="BA69" s="801"/>
      <c r="BB69" s="797"/>
      <c r="BC69" s="797"/>
      <c r="BD69" s="797"/>
      <c r="BE69" s="1192"/>
      <c r="BF69" s="801"/>
      <c r="BG69" s="803"/>
      <c r="BH69" s="1052"/>
      <c r="BI69" s="803"/>
      <c r="BJ69" s="1226"/>
      <c r="BK69" s="805"/>
      <c r="BL69" s="805"/>
    </row>
    <row r="70" spans="2:64" ht="15.95" customHeight="1" x14ac:dyDescent="0.25">
      <c r="B70" s="1204">
        <v>27</v>
      </c>
      <c r="C70" s="843"/>
      <c r="D70" s="844"/>
      <c r="E70" s="815"/>
      <c r="F70" s="816"/>
      <c r="G70" s="817"/>
      <c r="H70" s="821"/>
      <c r="I70" s="822"/>
      <c r="J70" s="823"/>
      <c r="K70" s="1210"/>
      <c r="L70" s="1211"/>
      <c r="M70" s="831" t="str">
        <f>IF(OR($E70="",ISNUMBER(SEARCH("Other",$E70))),"",INDEX(CMLIGHTBASE[Base Watt 1],MATCH($E70,CMLIGHTBASE[Base Desc 1],0)))</f>
        <v/>
      </c>
      <c r="N70" s="832"/>
      <c r="O70" s="1209"/>
      <c r="P70" s="836"/>
      <c r="Q70" s="837"/>
      <c r="R70" s="841"/>
      <c r="S70" s="822"/>
      <c r="T70" s="823"/>
      <c r="U70" s="842"/>
      <c r="V70" s="822"/>
      <c r="W70" s="843" t="str">
        <f>IF(O70="","",IF(ISNUMBER(SEARCH("Type",O70)),"","N/A"))</f>
        <v/>
      </c>
      <c r="X70" s="844"/>
      <c r="Y70" s="847"/>
      <c r="Z70" s="848"/>
      <c r="AA70" s="851"/>
      <c r="AB70" s="852"/>
      <c r="AC70" s="852"/>
      <c r="AD70" s="853"/>
      <c r="AE70" s="853"/>
      <c r="AF70" s="1086"/>
      <c r="AG70" s="1086"/>
      <c r="AH70" s="1212"/>
      <c r="AI70" s="1213"/>
      <c r="AJ70" s="1213"/>
      <c r="AK70" s="1216"/>
      <c r="AL70" s="973" t="str">
        <f t="shared" ref="AL70" si="57">IF(OR(C70="",E70="",M70="",K70="",O70="",Y70="",R70="",AA70="",AH70="",AJ70="",AD70="",U70="",W70=""),"",IFERROR(ROUND(IF((AW70-AX70)&lt;=0,0,BH70*(AW70-AX70)),0),""))</f>
        <v/>
      </c>
      <c r="AM70" s="870"/>
      <c r="AN70" s="870"/>
      <c r="AO70" s="872" t="str">
        <f>IF(M02S02F44="","Update Install Status",IF(M02S02F44="No","Submit for Pre-Approval",IF(OR(C70="",E70="",M70="",K70="",O70="",Y70="",R70="",AA70="",AF70="",AH70="",AD70="",U70="",W70="",AJ70=""),"",IF(BF70&lt;&gt;"",BF70,IF(OR(BD70&lt;0,BE70&lt;0),"No Incentive Savings",IF(ISNUMBER(SEARCH("Type",O70)),MIN(BD70,AU70),MIN(BE70,AU70)))))))</f>
        <v>Update Install Status</v>
      </c>
      <c r="AP70" s="872"/>
      <c r="AQ70" s="872"/>
      <c r="AU70" s="804" t="str">
        <f>IF(OR(C70="",E70="",M70="",K70="",O70="",Y70="",R70="",AA70="",AH70="",AJ70="",AD70="", U70="",W70=""),"",IF(AND(ISNUMBER(SEARCH("Other",E70)),OR(H70="",ISBLANK(H70),ISNUMBER(SEARCH("Description",H70)))),"",(ROUND((AH70+AJ70)*U70,2))))</f>
        <v/>
      </c>
      <c r="AV70" s="806" t="str">
        <f>IF(OR(C70="",E70="",M70="",K70="",O70="",Y70="",R70="",AA70="",AH70="",AJ70="",AD70="", U70="",W70=""),"",IF(AND(ISNUMBER(SEARCH("Other",E70)),OR(H70="",ISBLANK(H70),ISNUMBER(SEARCH("Description",H70)))),"",ROUND(AL70*INDEX(ENDUSEALL[Factor],MATCH(IF(ISNUMBER(SEARCH("24/7",AA70)),"Miscellaneous","Lighting"),ENDUSEALL[End Use to Coincident Peak Demand Factors],0)),4)))</f>
        <v/>
      </c>
      <c r="AW70" s="802" t="str">
        <f>IF(OR(C70="",E70="",M70="",K70="",O70="",Y70="",R70="",AA70="",AH70="",AJ70="",AD70="", U70="",W70=""),"",IF(AND(ISNUMBER(SEARCH("Other",E70)),OR(H70="",ISBLANK(H70),ISNUMBER(SEARCH("Description",H70)))),"",ROUND(M70*AD70*K70/1000,0)))</f>
        <v/>
      </c>
      <c r="AX70" s="802" t="str">
        <f>IF(OR(C70="",E70="",M70="",K70="",O70="",Y70="",R70="",AA70="",AH70="",AJ70="",AD70="", U70="",W70=""),"",IF(AND(ISNUMBER(SEARCH("Other",E70)),OR(H70="",ISBLANK(H70),ISNUMBER(SEARCH("Description",H70)))),"",IF(ISNUMBER(SEARCH("Network",O70)),ROUND(0.76*Y70*AD70*U70/1000,0),ROUND(Y70*AD70*U70/1000,0))))</f>
        <v/>
      </c>
      <c r="AY70" s="802" t="str">
        <f>IF(OR(C70="",E70="",M70="",K70="",O70="",Y70="",R70="",AA70="",AH70="",AJ70="",AD70="", U70="",W70=""),"",IF(AND(ISNUMBER(SEARCH("Other",E70)),OR(H70="",ISBLANK(H70),ISNUMBER(SEARCH("Description",H70)))),"",ROUND(K70*M70,0)))</f>
        <v/>
      </c>
      <c r="AZ70" s="802" t="str">
        <f>IF(OR(C70="",E70="",M70="",K70="",O70="",Y70="",R70="",AA70="",AH70="",AJ70="",AD70="", U70="",W70=""),"",IF(AND(K70&gt;=U70,ISNUMBER(SEARCH("Type",O70))),ROUND(U70*LEFT(INDEX(CMLIGHTBASE[Measure Subgroup 2], MATCH(E70,CMLIGHTBASE[Base Desc 1],0)),2)*Y70/W70,0),IF(AND(K70&lt;U70,ISNUMBER(SEARCH("Type",O70))),ROUND(K70*LEFT(INDEX(CMLIGHTBASE[Measure Subgroup 2], MATCH(E70,CMLIGHTBASE[Base Desc 1],0)),2)*Y70/W70,0),IF(OR(ISNUMBER(SEARCH("Fixture",O70)),ISNUMBER(SEARCH("Kit",O70))),U70*Y70))))</f>
        <v/>
      </c>
      <c r="BA70" s="800" t="str">
        <f>CONCATENATE(C70,"-","LED","-",O70)</f>
        <v>-LED-</v>
      </c>
      <c r="BB70" s="808" t="str">
        <f>IF(OR(C70="",E70="",M70="",K70="",O70="",Y70="",R70="",AA70="",AH70="",AJ70="",AD70="", U70="",W70=""),"",IF(AND(ISNUMBER(SEARCH("Other",E70)),OR(H70="",ISBLANK(H70),ISNUMBER(SEARCH("Description",H70)))),"",INDEX(PMELIGHTLIN[Measure '#],MATCH(BA70,PMELIGHTLIN[Measure Validator],0))))</f>
        <v/>
      </c>
      <c r="BC70" s="808" t="str">
        <f>IFERROR(IF(OR(C70="",AH70=""),"",IF(BB70="","",INDEX(PMELIGHTLIN[Inc Rate Unit FT],MATCH(BA70,PMELIGHTLIN[Measure Validator],0)))),"")</f>
        <v/>
      </c>
      <c r="BD70" s="808">
        <f>IFERROR(ROUND(IF(OR(C70="",AH70=""),"",IF(BB70="","",IF(AND(K70&gt;=U70,ISNUMBER(SEARCH("Type",BA70))),BC70*(U70*W70)*LEFT(INDEX(CMLIGHTBASE[Measure Subgroup 1], MATCH(E70,CMLIGHTBASE[Base Desc 1],0)),1),IF(AND(K70&lt;U70,ISNUMBER(SEARCH("Type",BA70))),BC70*(W70*K70)*LEFT(INDEX(CMLIGHTBASE[Measure Subgroup 1], MATCH(E70,CMLIGHTBASE[Base Desc 1],0)),1),0)))),2),0)</f>
        <v>0</v>
      </c>
      <c r="BE70" s="1192">
        <f t="shared" si="1"/>
        <v>0</v>
      </c>
      <c r="BF70" s="800" t="str">
        <f>IF(OR(C70="",E70="",M70="",K70="",O70="",Y70="",R70="",AA70="",AH70="",AJ70="",AD70="", U70="",W70=""),"",IF(AND(ISNUMBER(SEARCH("Other",E70)),OR(H70="",ISBLANK(H70),ISNUMBER(SEARCH("Description",H70)))),"",IFERROR(IF(AD70&lt;INDEX(PMELIGHTLIN[Eff Watt 2],MATCH(BA70,PMELIGHTLIN[Measure Validator],0)),"Operating Hours Invalid",IF(ISNUMBER(SEARCH("SPILLOVER",AA70)),PROJSTATELI,IF((AW70-AX70)&lt;0,"No Savings",IF(AF70&lt;50000,"Lamp Life Too Short","")))),"ERROR")))</f>
        <v/>
      </c>
      <c r="BG70" s="802" t="str">
        <f>IF(AND(ISBLANK(AH70),ISBLANK(AJ70)),"",IF(BD70&gt;AU70,"Yes","No"))</f>
        <v/>
      </c>
      <c r="BH70" s="1051">
        <f>IF(M02S02F32&lt;&gt;"",INDEX(SPACEHEAT[HIF],MATCH(M02S02F32,SHEAT,0)),1)</f>
        <v>1</v>
      </c>
      <c r="BI70" s="802"/>
      <c r="BJ70" s="1225">
        <f t="shared" ref="BJ70" si="58">IFERROR(ROUND(BL70*1.1,2),0)</f>
        <v>0</v>
      </c>
      <c r="BK70" s="804" t="str">
        <f>IF(M02S02F44="","Update Install Status",IF(M02S02F44="No","Submit for Pre-Approval",IF(OR(C70="",E70="",M70="",K70="",O70="",Y70="",R70="",AA70="",AF70="",AH70="",AD70="",U70="",W70="",AJ70=""),"",IF(BF70&lt;&gt;"",BF70,ROUND(BJ70*BONUSADJ,2)))))</f>
        <v>Update Install Status</v>
      </c>
      <c r="BL70" s="804" t="str">
        <f>IF(M02S02F44="","Update Install Status",IF(M02S02F44="No","Submit for Pre-Approval",IF(OR(C70="",E70="",M70="",K70="",O70="",Y70="",R70="",AA70="",AF70="",AH70="",AD70="",U70="",W70="",AJ70=""),"",IF(BF70&lt;&gt;"",BF70,IF(OR(BD70&lt;0,BE70&lt;0),"No Incentive Savings",IF(ISNUMBER(SEARCH("Type",O70)),MIN(BD70,AU70),MIN(BE70,AU70)))))))</f>
        <v>Update Install Status</v>
      </c>
    </row>
    <row r="71" spans="2:64" ht="15.95" customHeight="1" x14ac:dyDescent="0.25">
      <c r="B71" s="1204"/>
      <c r="C71" s="845"/>
      <c r="D71" s="846"/>
      <c r="E71" s="818"/>
      <c r="F71" s="819"/>
      <c r="G71" s="820"/>
      <c r="H71" s="824"/>
      <c r="I71" s="825"/>
      <c r="J71" s="826"/>
      <c r="K71" s="1210"/>
      <c r="L71" s="1211"/>
      <c r="M71" s="833"/>
      <c r="N71" s="834"/>
      <c r="O71" s="838"/>
      <c r="P71" s="839"/>
      <c r="Q71" s="840"/>
      <c r="R71" s="824"/>
      <c r="S71" s="825"/>
      <c r="T71" s="826"/>
      <c r="U71" s="824"/>
      <c r="V71" s="825"/>
      <c r="W71" s="845"/>
      <c r="X71" s="846"/>
      <c r="Y71" s="849"/>
      <c r="Z71" s="850"/>
      <c r="AA71" s="852"/>
      <c r="AB71" s="852"/>
      <c r="AC71" s="852"/>
      <c r="AD71" s="853"/>
      <c r="AE71" s="853"/>
      <c r="AF71" s="1087"/>
      <c r="AG71" s="1087"/>
      <c r="AH71" s="1214"/>
      <c r="AI71" s="1215"/>
      <c r="AJ71" s="1215"/>
      <c r="AK71" s="1217"/>
      <c r="AL71" s="973"/>
      <c r="AM71" s="870"/>
      <c r="AN71" s="870"/>
      <c r="AO71" s="872"/>
      <c r="AP71" s="872"/>
      <c r="AQ71" s="872"/>
      <c r="AU71" s="805"/>
      <c r="AV71" s="807"/>
      <c r="AW71" s="803"/>
      <c r="AX71" s="803"/>
      <c r="AY71" s="803"/>
      <c r="AZ71" s="803"/>
      <c r="BA71" s="801"/>
      <c r="BB71" s="797"/>
      <c r="BC71" s="797"/>
      <c r="BD71" s="797"/>
      <c r="BE71" s="1192"/>
      <c r="BF71" s="801"/>
      <c r="BG71" s="803"/>
      <c r="BH71" s="1052"/>
      <c r="BI71" s="803"/>
      <c r="BJ71" s="1226"/>
      <c r="BK71" s="805"/>
      <c r="BL71" s="805"/>
    </row>
    <row r="72" spans="2:64" ht="15.95" customHeight="1" x14ac:dyDescent="0.25">
      <c r="B72" s="1204">
        <v>28</v>
      </c>
      <c r="C72" s="843"/>
      <c r="D72" s="844"/>
      <c r="E72" s="815"/>
      <c r="F72" s="816"/>
      <c r="G72" s="817"/>
      <c r="H72" s="821"/>
      <c r="I72" s="822"/>
      <c r="J72" s="823"/>
      <c r="K72" s="1210"/>
      <c r="L72" s="1211"/>
      <c r="M72" s="831" t="str">
        <f>IF(OR($E72="",ISNUMBER(SEARCH("Other",$E72))),"",INDEX(CMLIGHTBASE[Base Watt 1],MATCH($E72,CMLIGHTBASE[Base Desc 1],0)))</f>
        <v/>
      </c>
      <c r="N72" s="832"/>
      <c r="O72" s="1209"/>
      <c r="P72" s="836"/>
      <c r="Q72" s="837"/>
      <c r="R72" s="841"/>
      <c r="S72" s="822"/>
      <c r="T72" s="823"/>
      <c r="U72" s="842"/>
      <c r="V72" s="822"/>
      <c r="W72" s="843" t="str">
        <f>IF(O72="","",IF(ISNUMBER(SEARCH("Type",O72)),"","N/A"))</f>
        <v/>
      </c>
      <c r="X72" s="844"/>
      <c r="Y72" s="847"/>
      <c r="Z72" s="848"/>
      <c r="AA72" s="851"/>
      <c r="AB72" s="852"/>
      <c r="AC72" s="852"/>
      <c r="AD72" s="853"/>
      <c r="AE72" s="853"/>
      <c r="AF72" s="1086"/>
      <c r="AG72" s="1086"/>
      <c r="AH72" s="1212"/>
      <c r="AI72" s="1213"/>
      <c r="AJ72" s="1213"/>
      <c r="AK72" s="1216"/>
      <c r="AL72" s="973" t="str">
        <f t="shared" ref="AL72" si="59">IF(OR(C72="",E72="",M72="",K72="",O72="",Y72="",R72="",AA72="",AH72="",AJ72="",AD72="",U72="",W72=""),"",IFERROR(ROUND(IF((AW72-AX72)&lt;=0,0,BH72*(AW72-AX72)),0),""))</f>
        <v/>
      </c>
      <c r="AM72" s="870"/>
      <c r="AN72" s="870"/>
      <c r="AO72" s="872" t="str">
        <f>IF(M02S02F44="","Update Install Status",IF(M02S02F44="No","Submit for Pre-Approval",IF(OR(C72="",E72="",M72="",K72="",O72="",Y72="",R72="",AA72="",AF72="",AH72="",AD72="",U72="",W72="",AJ72=""),"",IF(BF72&lt;&gt;"",BF72,IF(OR(BD72&lt;0,BE72&lt;0),"No Incentive Savings",IF(ISNUMBER(SEARCH("Type",O72)),MIN(BD72,AU72),MIN(BE72,AU72)))))))</f>
        <v>Update Install Status</v>
      </c>
      <c r="AP72" s="872"/>
      <c r="AQ72" s="872"/>
      <c r="AU72" s="804" t="str">
        <f>IF(OR(C72="",E72="",M72="",K72="",O72="",Y72="",R72="",AA72="",AH72="",AJ72="",AD72="", U72="",W72=""),"",IF(AND(ISNUMBER(SEARCH("Other",E72)),OR(H72="",ISBLANK(H72),ISNUMBER(SEARCH("Description",H72)))),"",(ROUND((AH72+AJ72)*U72,2))))</f>
        <v/>
      </c>
      <c r="AV72" s="806" t="str">
        <f>IF(OR(C72="",E72="",M72="",K72="",O72="",Y72="",R72="",AA72="",AH72="",AJ72="",AD72="", U72="",W72=""),"",IF(AND(ISNUMBER(SEARCH("Other",E72)),OR(H72="",ISBLANK(H72),ISNUMBER(SEARCH("Description",H72)))),"",ROUND(AL72*INDEX(ENDUSEALL[Factor],MATCH(IF(ISNUMBER(SEARCH("24/7",AA72)),"Miscellaneous","Lighting"),ENDUSEALL[End Use to Coincident Peak Demand Factors],0)),4)))</f>
        <v/>
      </c>
      <c r="AW72" s="802" t="str">
        <f>IF(OR(C72="",E72="",M72="",K72="",O72="",Y72="",R72="",AA72="",AH72="",AJ72="",AD72="", U72="",W72=""),"",IF(AND(ISNUMBER(SEARCH("Other",E72)),OR(H72="",ISBLANK(H72),ISNUMBER(SEARCH("Description",H72)))),"",ROUND(M72*AD72*K72/1000,0)))</f>
        <v/>
      </c>
      <c r="AX72" s="802" t="str">
        <f>IF(OR(C72="",E72="",M72="",K72="",O72="",Y72="",R72="",AA72="",AH72="",AJ72="",AD72="", U72="",W72=""),"",IF(AND(ISNUMBER(SEARCH("Other",E72)),OR(H72="",ISBLANK(H72),ISNUMBER(SEARCH("Description",H72)))),"",IF(ISNUMBER(SEARCH("Network",O72)),ROUND(0.76*Y72*AD72*U72/1000,0),ROUND(Y72*AD72*U72/1000,0))))</f>
        <v/>
      </c>
      <c r="AY72" s="802" t="str">
        <f>IF(OR(C72="",E72="",M72="",K72="",O72="",Y72="",R72="",AA72="",AH72="",AJ72="",AD72="", U72="",W72=""),"",IF(AND(ISNUMBER(SEARCH("Other",E72)),OR(H72="",ISBLANK(H72),ISNUMBER(SEARCH("Description",H72)))),"",ROUND(K72*M72,0)))</f>
        <v/>
      </c>
      <c r="AZ72" s="802" t="str">
        <f>IF(OR(C72="",E72="",M72="",K72="",O72="",Y72="",R72="",AA72="",AH72="",AJ72="",AD72="", U72="",W72=""),"",IF(AND(K72&gt;=U72,ISNUMBER(SEARCH("Type",O72))),ROUND(U72*LEFT(INDEX(CMLIGHTBASE[Measure Subgroup 2], MATCH(E72,CMLIGHTBASE[Base Desc 1],0)),2)*Y72/W72,0),IF(AND(K72&lt;U72,ISNUMBER(SEARCH("Type",O72))),ROUND(K72*LEFT(INDEX(CMLIGHTBASE[Measure Subgroup 2], MATCH(E72,CMLIGHTBASE[Base Desc 1],0)),2)*Y72/W72,0),IF(OR(ISNUMBER(SEARCH("Fixture",O72)),ISNUMBER(SEARCH("Kit",O72))),U72*Y72))))</f>
        <v/>
      </c>
      <c r="BA72" s="800" t="str">
        <f>CONCATENATE(C72,"-","LED","-",O72)</f>
        <v>-LED-</v>
      </c>
      <c r="BB72" s="808" t="str">
        <f>IF(OR(C72="",E72="",M72="",K72="",O72="",Y72="",R72="",AA72="",AH72="",AJ72="",AD72="", U72="",W72=""),"",IF(AND(ISNUMBER(SEARCH("Other",E72)),OR(H72="",ISBLANK(H72),ISNUMBER(SEARCH("Description",H72)))),"",INDEX(PMELIGHTLIN[Measure '#],MATCH(BA72,PMELIGHTLIN[Measure Validator],0))))</f>
        <v/>
      </c>
      <c r="BC72" s="808" t="str">
        <f>IFERROR(IF(OR(C72="",AH72=""),"",IF(BB72="","",INDEX(PMELIGHTLIN[Inc Rate Unit FT],MATCH(BA72,PMELIGHTLIN[Measure Validator],0)))),"")</f>
        <v/>
      </c>
      <c r="BD72" s="808">
        <f>IFERROR(ROUND(IF(OR(C72="",AH72=""),"",IF(BB72="","",IF(AND(K72&gt;=U72,ISNUMBER(SEARCH("Type",BA72))),BC72*(U72*W72)*LEFT(INDEX(CMLIGHTBASE[Measure Subgroup 1], MATCH(E72,CMLIGHTBASE[Base Desc 1],0)),1),IF(AND(K72&lt;U72,ISNUMBER(SEARCH("Type",BA72))),BC72*(W72*K72)*LEFT(INDEX(CMLIGHTBASE[Measure Subgroup 1], MATCH(E72,CMLIGHTBASE[Base Desc 1],0)),1),0)))),2),0)</f>
        <v>0</v>
      </c>
      <c r="BE72" s="1192">
        <f t="shared" si="1"/>
        <v>0</v>
      </c>
      <c r="BF72" s="800" t="str">
        <f>IF(OR(C72="",E72="",M72="",K72="",O72="",Y72="",R72="",AA72="",AH72="",AJ72="",AD72="", U72="",W72=""),"",IF(AND(ISNUMBER(SEARCH("Other",E72)),OR(H72="",ISBLANK(H72),ISNUMBER(SEARCH("Description",H72)))),"",IFERROR(IF(AD72&lt;INDEX(PMELIGHTLIN[Eff Watt 2],MATCH(BA72,PMELIGHTLIN[Measure Validator],0)),"Operating Hours Invalid",IF(ISNUMBER(SEARCH("SPILLOVER",AA72)),PROJSTATELI,IF((AW72-AX72)&lt;0,"No Savings",IF(AF72&lt;50000,"Lamp Life Too Short","")))),"ERROR")))</f>
        <v/>
      </c>
      <c r="BG72" s="802" t="str">
        <f>IF(AND(ISBLANK(AH72),ISBLANK(AJ72)),"",IF(BD72&gt;AU72,"Yes","No"))</f>
        <v/>
      </c>
      <c r="BH72" s="1051">
        <f>IF(M02S02F32&lt;&gt;"",INDEX(SPACEHEAT[HIF],MATCH(M02S02F32,SHEAT,0)),1)</f>
        <v>1</v>
      </c>
      <c r="BI72" s="802"/>
      <c r="BJ72" s="1225">
        <f t="shared" ref="BJ72" si="60">IFERROR(ROUND(BL72*1.1,2),0)</f>
        <v>0</v>
      </c>
      <c r="BK72" s="804" t="str">
        <f>IF(M02S02F44="","Update Install Status",IF(M02S02F44="No","Submit for Pre-Approval",IF(OR(C72="",E72="",M72="",K72="",O72="",Y72="",R72="",AA72="",AF72="",AH72="",AD72="",U72="",W72="",AJ72=""),"",IF(BF72&lt;&gt;"",BF72,ROUND(BJ72*BONUSADJ,2)))))</f>
        <v>Update Install Status</v>
      </c>
      <c r="BL72" s="804" t="str">
        <f>IF(M02S02F44="","Update Install Status",IF(M02S02F44="No","Submit for Pre-Approval",IF(OR(C72="",E72="",M72="",K72="",O72="",Y72="",R72="",AA72="",AF72="",AH72="",AD72="",U72="",W72="",AJ72=""),"",IF(BF72&lt;&gt;"",BF72,IF(OR(BD72&lt;0,BE72&lt;0),"No Incentive Savings",IF(ISNUMBER(SEARCH("Type",O72)),MIN(BD72,AU72),MIN(BE72,AU72)))))))</f>
        <v>Update Install Status</v>
      </c>
    </row>
    <row r="73" spans="2:64" ht="15.95" customHeight="1" x14ac:dyDescent="0.25">
      <c r="B73" s="1204"/>
      <c r="C73" s="845"/>
      <c r="D73" s="846"/>
      <c r="E73" s="818"/>
      <c r="F73" s="819"/>
      <c r="G73" s="820"/>
      <c r="H73" s="824"/>
      <c r="I73" s="825"/>
      <c r="J73" s="826"/>
      <c r="K73" s="1210"/>
      <c r="L73" s="1211"/>
      <c r="M73" s="833"/>
      <c r="N73" s="834"/>
      <c r="O73" s="838"/>
      <c r="P73" s="839"/>
      <c r="Q73" s="840"/>
      <c r="R73" s="824"/>
      <c r="S73" s="825"/>
      <c r="T73" s="826"/>
      <c r="U73" s="824"/>
      <c r="V73" s="825"/>
      <c r="W73" s="845"/>
      <c r="X73" s="846"/>
      <c r="Y73" s="849"/>
      <c r="Z73" s="850"/>
      <c r="AA73" s="852"/>
      <c r="AB73" s="852"/>
      <c r="AC73" s="852"/>
      <c r="AD73" s="853"/>
      <c r="AE73" s="853"/>
      <c r="AF73" s="1087"/>
      <c r="AG73" s="1087"/>
      <c r="AH73" s="1214"/>
      <c r="AI73" s="1215"/>
      <c r="AJ73" s="1215"/>
      <c r="AK73" s="1217"/>
      <c r="AL73" s="973"/>
      <c r="AM73" s="870"/>
      <c r="AN73" s="870"/>
      <c r="AO73" s="872"/>
      <c r="AP73" s="872"/>
      <c r="AQ73" s="872"/>
      <c r="AU73" s="805"/>
      <c r="AV73" s="807"/>
      <c r="AW73" s="803"/>
      <c r="AX73" s="803"/>
      <c r="AY73" s="803"/>
      <c r="AZ73" s="803"/>
      <c r="BA73" s="801"/>
      <c r="BB73" s="797"/>
      <c r="BC73" s="797"/>
      <c r="BD73" s="797"/>
      <c r="BE73" s="1192"/>
      <c r="BF73" s="801"/>
      <c r="BG73" s="803"/>
      <c r="BH73" s="1052"/>
      <c r="BI73" s="803"/>
      <c r="BJ73" s="1226"/>
      <c r="BK73" s="805"/>
      <c r="BL73" s="805"/>
    </row>
    <row r="74" spans="2:64" ht="15.95" customHeight="1" x14ac:dyDescent="0.25">
      <c r="B74" s="1204">
        <v>29</v>
      </c>
      <c r="C74" s="843"/>
      <c r="D74" s="844"/>
      <c r="E74" s="815"/>
      <c r="F74" s="816"/>
      <c r="G74" s="817"/>
      <c r="H74" s="1218"/>
      <c r="I74" s="822"/>
      <c r="J74" s="823"/>
      <c r="K74" s="1210"/>
      <c r="L74" s="1211"/>
      <c r="M74" s="831" t="str">
        <f>IF(OR($E74="",ISNUMBER(SEARCH("Other",$E74))),"",INDEX(CMLIGHTBASE[Base Watt 1],MATCH($E74,CMLIGHTBASE[Base Desc 1],0)))</f>
        <v/>
      </c>
      <c r="N74" s="832"/>
      <c r="O74" s="1209"/>
      <c r="P74" s="836"/>
      <c r="Q74" s="837"/>
      <c r="R74" s="1218"/>
      <c r="S74" s="822"/>
      <c r="T74" s="823"/>
      <c r="U74" s="842"/>
      <c r="V74" s="822"/>
      <c r="W74" s="843" t="str">
        <f t="shared" ref="W74" si="61">IF(O74="","",IF(ISNUMBER(SEARCH("Type",O74)),"","N/A"))</f>
        <v/>
      </c>
      <c r="X74" s="844"/>
      <c r="Y74" s="847"/>
      <c r="Z74" s="848"/>
      <c r="AA74" s="1219"/>
      <c r="AB74" s="852"/>
      <c r="AC74" s="852"/>
      <c r="AD74" s="853"/>
      <c r="AE74" s="853"/>
      <c r="AF74" s="1086"/>
      <c r="AG74" s="1086"/>
      <c r="AH74" s="1212"/>
      <c r="AI74" s="1213"/>
      <c r="AJ74" s="1213"/>
      <c r="AK74" s="1216"/>
      <c r="AL74" s="973" t="str">
        <f t="shared" ref="AL74" si="62">IF(OR(C74="",E74="",M74="",K74="",O74="",Y74="",R74="",AA74="",AH74="",AJ74="",AD74="",U74="",W74=""),"",IFERROR(ROUND(IF((AW74-AX74)&lt;=0,0,BH74*(AW74-AX74)),0),""))</f>
        <v/>
      </c>
      <c r="AM74" s="870"/>
      <c r="AN74" s="870"/>
      <c r="AO74" s="872" t="str">
        <f>IF(M02S02F44="","Update Install Status",IF(M02S02F44="No","Submit for Pre-Approval",IF(OR(C74="",E74="",M74="",K74="",O74="",Y74="",R74="",AA74="",AF74="",AH74="",AD74="",U74="",W74="",AJ74=""),"",IF(BF74&lt;&gt;"",BF74,IF(OR(BD74&lt;0,BE74&lt;0),"No Incentive Savings",IF(ISNUMBER(SEARCH("Type",O74)),MIN(BD74,AU74),MIN(BE74,AU74)))))))</f>
        <v>Update Install Status</v>
      </c>
      <c r="AP74" s="872"/>
      <c r="AQ74" s="872"/>
      <c r="AU74" s="804" t="str">
        <f>IF(OR(C74="",E74="",M74="",K74="",O74="",Y74="",R74="",AA74="",AH74="",AJ74="",AD74="", U74="",W74=""),"",IF(AND(ISNUMBER(SEARCH("Other",E74)),OR(H74="",ISBLANK(H74),ISNUMBER(SEARCH("Description",H74)))),"",(ROUND((AH74+AJ74)*U74,2))))</f>
        <v/>
      </c>
      <c r="AV74" s="806" t="str">
        <f>IF(OR(C74="",E74="",M74="",K74="",O74="",Y74="",R74="",AA74="",AH74="",AJ74="",AD74="", U74="",W74=""),"",IF(AND(ISNUMBER(SEARCH("Other",E74)),OR(H74="",ISBLANK(H74),ISNUMBER(SEARCH("Description",H74)))),"",ROUND(AL74*INDEX(ENDUSEALL[Factor],MATCH(IF(ISNUMBER(SEARCH("24/7",AA74)),"Miscellaneous","Lighting"),ENDUSEALL[End Use to Coincident Peak Demand Factors],0)),4)))</f>
        <v/>
      </c>
      <c r="AW74" s="802" t="str">
        <f>IF(OR(C74="",E74="",M74="",K74="",O74="",Y74="",R74="",AA74="",AH74="",AJ74="",AD74="", U74="",W74=""),"",IF(AND(ISNUMBER(SEARCH("Other",E74)),OR(H74="",ISBLANK(H74),ISNUMBER(SEARCH("Description",H74)))),"",ROUND(M74*AD74*K74/1000,0)))</f>
        <v/>
      </c>
      <c r="AX74" s="802" t="str">
        <f>IF(OR(C74="",E74="",M74="",K74="",O74="",Y74="",R74="",AA74="",AH74="",AJ74="",AD74="", U74="",W74=""),"",IF(AND(ISNUMBER(SEARCH("Other",E74)),OR(H74="",ISBLANK(H74),ISNUMBER(SEARCH("Description",H74)))),"",IF(ISNUMBER(SEARCH("Network",O74)),ROUND(0.76*Y74*AD74*U74/1000,0),ROUND(Y74*AD74*U74/1000,0))))</f>
        <v/>
      </c>
      <c r="AY74" s="802" t="str">
        <f>IF(OR(C74="",E74="",M74="",K74="",O74="",Y74="",R74="",AA74="",AH74="",AJ74="",AD74="", U74="",W74=""),"",IF(AND(ISNUMBER(SEARCH("Other",E74)),OR(H74="",ISBLANK(H74),ISNUMBER(SEARCH("Description",H74)))),"",ROUND(K74*M74,0)))</f>
        <v/>
      </c>
      <c r="AZ74" s="802" t="str">
        <f>IF(OR(C74="",E74="",M74="",K74="",O74="",Y74="",R74="",AA74="",AH74="",AJ74="",AD74="", U74="",W74=""),"",IF(AND(K74&gt;=U74,ISNUMBER(SEARCH("Type",O74))),ROUND(U74*LEFT(INDEX(CMLIGHTBASE[Measure Subgroup 2], MATCH(E74,CMLIGHTBASE[Base Desc 1],0)),2)*Y74/W74,0),IF(AND(K74&lt;U74,ISNUMBER(SEARCH("Type",O74))),ROUND(K74*LEFT(INDEX(CMLIGHTBASE[Measure Subgroup 2], MATCH(E74,CMLIGHTBASE[Base Desc 1],0)),2)*Y74/W74,0),IF(OR(ISNUMBER(SEARCH("Fixture",O74)),ISNUMBER(SEARCH("Kit",O74))),U74*Y74))))</f>
        <v/>
      </c>
      <c r="BA74" s="800" t="str">
        <f>CONCATENATE(C74,"-","LED","-",O74)</f>
        <v>-LED-</v>
      </c>
      <c r="BB74" s="808" t="str">
        <f>IF(OR(C74="",E74="",M74="",K74="",O74="",Y74="",R74="",AA74="",AH74="",AJ74="",AD74="", U74="",W74=""),"",IF(AND(ISNUMBER(SEARCH("Other",E74)),OR(H74="",ISBLANK(H74),ISNUMBER(SEARCH("Description",H74)))),"",INDEX(PMELIGHTLIN[Measure '#],MATCH(BA74,PMELIGHTLIN[Measure Validator],0))))</f>
        <v/>
      </c>
      <c r="BC74" s="808" t="str">
        <f>IFERROR(IF(OR(C74="",AH74=""),"",IF(BB74="","",INDEX(PMELIGHTLIN[Inc Rate Unit FT],MATCH(BA74,PMELIGHTLIN[Measure Validator],0)))),"")</f>
        <v/>
      </c>
      <c r="BD74" s="808">
        <f>IFERROR(ROUND(IF(OR(C74="",AH74=""),"",IF(BB74="","",IF(AND(K74&gt;=U74,ISNUMBER(SEARCH("Type",BA74))),BC74*(U74*W74)*LEFT(INDEX(CMLIGHTBASE[Measure Subgroup 1], MATCH(E74,CMLIGHTBASE[Base Desc 1],0)),1),IF(AND(K74&lt;U74,ISNUMBER(SEARCH("Type",BA74))),BC74*(W74*K74)*LEFT(INDEX(CMLIGHTBASE[Measure Subgroup 1], MATCH(E74,CMLIGHTBASE[Base Desc 1],0)),1),0)))),2),0)</f>
        <v>0</v>
      </c>
      <c r="BE74" s="1192">
        <f t="shared" si="1"/>
        <v>0</v>
      </c>
      <c r="BF74" s="800" t="str">
        <f>IF(OR(C74="",E74="",M74="",K74="",O74="",Y74="",R74="",AA74="",AH74="",AJ74="",AD74="", U74="",W74=""),"",IF(AND(ISNUMBER(SEARCH("Other",E74)),OR(H74="",ISBLANK(H74),ISNUMBER(SEARCH("Description",H74)))),"",IFERROR(IF(AD74&lt;INDEX(PMELIGHTLIN[Eff Watt 2],MATCH(BA74,PMELIGHTLIN[Measure Validator],0)),"Operating Hours Invalid",IF(ISNUMBER(SEARCH("SPILLOVER",AA74)),PROJSTATELI,IF((AW74-AX74)&lt;0,"No Savings",IF(AF74&lt;50000,"Lamp Life Too Short","")))),"ERROR")))</f>
        <v/>
      </c>
      <c r="BG74" s="802" t="str">
        <f>IF(AND(ISBLANK(AH74),ISBLANK(AJ74)),"",IF(BD74&gt;AU74,"Yes","No"))</f>
        <v/>
      </c>
      <c r="BH74" s="1051">
        <f>IF(M02S02F32&lt;&gt;"",INDEX(SPACEHEAT[HIF],MATCH(M02S02F32,SHEAT,0)),1)</f>
        <v>1</v>
      </c>
      <c r="BI74" s="802"/>
      <c r="BJ74" s="1225">
        <f t="shared" ref="BJ74" si="63">IFERROR(ROUND(BL74*1.1,2),0)</f>
        <v>0</v>
      </c>
      <c r="BK74" s="804" t="str">
        <f>IF(M02S02F44="","Update Install Status",IF(M02S02F44="No","Submit for Pre-Approval",IF(OR(C74="",E74="",M74="",K74="",O74="",Y74="",R74="",AA74="",AF74="",AH74="",AD74="",U74="",W74="",AJ74=""),"",IF(BF74&lt;&gt;"",BF74,ROUND(BJ74*BONUSADJ,2)))))</f>
        <v>Update Install Status</v>
      </c>
      <c r="BL74" s="804" t="str">
        <f>IF(M02S02F44="","Update Install Status",IF(M02S02F44="No","Submit for Pre-Approval",IF(OR(C74="",E74="",M74="",K74="",O74="",Y74="",R74="",AA74="",AF74="",AH74="",AD74="",U74="",W74="",AJ74=""),"",IF(BF74&lt;&gt;"",BF74,IF(OR(BD74&lt;0,BE74&lt;0),"No Incentive Savings",IF(ISNUMBER(SEARCH("Type",O74)),MIN(BD74,AU74),MIN(BE74,AU74)))))))</f>
        <v>Update Install Status</v>
      </c>
    </row>
    <row r="75" spans="2:64" ht="15.95" customHeight="1" x14ac:dyDescent="0.25">
      <c r="B75" s="1204"/>
      <c r="C75" s="845"/>
      <c r="D75" s="846"/>
      <c r="E75" s="818"/>
      <c r="F75" s="819"/>
      <c r="G75" s="820"/>
      <c r="H75" s="824"/>
      <c r="I75" s="825"/>
      <c r="J75" s="826"/>
      <c r="K75" s="1210"/>
      <c r="L75" s="1211"/>
      <c r="M75" s="833"/>
      <c r="N75" s="834"/>
      <c r="O75" s="838"/>
      <c r="P75" s="839"/>
      <c r="Q75" s="840"/>
      <c r="R75" s="824"/>
      <c r="S75" s="825"/>
      <c r="T75" s="826"/>
      <c r="U75" s="824"/>
      <c r="V75" s="825"/>
      <c r="W75" s="845"/>
      <c r="X75" s="846"/>
      <c r="Y75" s="849"/>
      <c r="Z75" s="850"/>
      <c r="AA75" s="852"/>
      <c r="AB75" s="852"/>
      <c r="AC75" s="852"/>
      <c r="AD75" s="853"/>
      <c r="AE75" s="853"/>
      <c r="AF75" s="1087"/>
      <c r="AG75" s="1087"/>
      <c r="AH75" s="1214"/>
      <c r="AI75" s="1215"/>
      <c r="AJ75" s="1215"/>
      <c r="AK75" s="1217"/>
      <c r="AL75" s="973"/>
      <c r="AM75" s="870"/>
      <c r="AN75" s="870"/>
      <c r="AO75" s="872"/>
      <c r="AP75" s="872"/>
      <c r="AQ75" s="872"/>
      <c r="AU75" s="805"/>
      <c r="AV75" s="807"/>
      <c r="AW75" s="803"/>
      <c r="AX75" s="803"/>
      <c r="AY75" s="803"/>
      <c r="AZ75" s="803"/>
      <c r="BA75" s="801"/>
      <c r="BB75" s="797"/>
      <c r="BC75" s="797"/>
      <c r="BD75" s="797"/>
      <c r="BE75" s="1192"/>
      <c r="BF75" s="801"/>
      <c r="BG75" s="803"/>
      <c r="BH75" s="1052"/>
      <c r="BI75" s="803"/>
      <c r="BJ75" s="1226"/>
      <c r="BK75" s="805"/>
      <c r="BL75" s="805"/>
    </row>
    <row r="76" spans="2:64" ht="15.95" customHeight="1" x14ac:dyDescent="0.25">
      <c r="B76" s="1204">
        <v>30</v>
      </c>
      <c r="C76" s="843"/>
      <c r="D76" s="844"/>
      <c r="E76" s="815"/>
      <c r="F76" s="816"/>
      <c r="G76" s="817"/>
      <c r="H76" s="821"/>
      <c r="I76" s="822"/>
      <c r="J76" s="823"/>
      <c r="K76" s="1210"/>
      <c r="L76" s="1211"/>
      <c r="M76" s="831" t="str">
        <f>IF(OR($E76="",ISNUMBER(SEARCH("Other",$E76))),"",INDEX(CMLIGHTBASE[Base Watt 1],MATCH($E76,CMLIGHTBASE[Base Desc 1],0)))</f>
        <v/>
      </c>
      <c r="N76" s="832"/>
      <c r="O76" s="1209"/>
      <c r="P76" s="836"/>
      <c r="Q76" s="837"/>
      <c r="R76" s="841"/>
      <c r="S76" s="822"/>
      <c r="T76" s="823"/>
      <c r="U76" s="842"/>
      <c r="V76" s="822"/>
      <c r="W76" s="843" t="str">
        <f t="shared" ref="W76" si="64">IF(O76="","",IF(ISNUMBER(SEARCH("Type",O76)),"","N/A"))</f>
        <v/>
      </c>
      <c r="X76" s="844"/>
      <c r="Y76" s="847"/>
      <c r="Z76" s="848"/>
      <c r="AA76" s="851"/>
      <c r="AB76" s="852"/>
      <c r="AC76" s="852"/>
      <c r="AD76" s="853"/>
      <c r="AE76" s="853"/>
      <c r="AF76" s="1086"/>
      <c r="AG76" s="1086"/>
      <c r="AH76" s="1212"/>
      <c r="AI76" s="1213"/>
      <c r="AJ76" s="1213"/>
      <c r="AK76" s="1216"/>
      <c r="AL76" s="973" t="str">
        <f t="shared" ref="AL76" si="65">IF(OR(C76="",E76="",M76="",K76="",O76="",Y76="",R76="",AA76="",AH76="",AJ76="",AD76="",U76="",W76=""),"",IFERROR(ROUND(IF((AW76-AX76)&lt;=0,0,BH76*(AW76-AX76)),0),""))</f>
        <v/>
      </c>
      <c r="AM76" s="870"/>
      <c r="AN76" s="870"/>
      <c r="AO76" s="872" t="str">
        <f>IF(M02S02F44="","Update Install Status",IF(M02S02F44="No","Submit for Pre-Approval",IF(OR(C76="",E76="",M76="",K76="",O76="",Y76="",R76="",AA76="",AF76="",AH76="",AD76="",U76="",W76="",AJ76=""),"",IF(BF76&lt;&gt;"",BF76,IF(OR(BD76&lt;0,BE76&lt;0),"No Incentive Savings",IF(ISNUMBER(SEARCH("Type",O76)),MIN(BD76,AU76),MIN(BE76,AU76)))))))</f>
        <v>Update Install Status</v>
      </c>
      <c r="AP76" s="872"/>
      <c r="AQ76" s="872"/>
      <c r="AU76" s="804" t="str">
        <f>IF(OR(C76="",E76="",M76="",K76="",O76="",Y76="",R76="",AA76="",AH76="",AJ76="",AD76="", U76="",W76=""),"",IF(AND(ISNUMBER(SEARCH("Other",E76)),OR(H76="",ISBLANK(H76),ISNUMBER(SEARCH("Description",H76)))),"",(ROUND((AH76+AJ76)*U76,2))))</f>
        <v/>
      </c>
      <c r="AV76" s="806" t="str">
        <f>IF(OR(C76="",E76="",M76="",K76="",O76="",Y76="",R76="",AA76="",AH76="",AJ76="",AD76="", U76="",W76=""),"",IF(AND(ISNUMBER(SEARCH("Other",E76)),OR(H76="",ISBLANK(H76),ISNUMBER(SEARCH("Description",H76)))),"",ROUND(AL76*INDEX(ENDUSEALL[Factor],MATCH(IF(ISNUMBER(SEARCH("24/7",AA76)),"Miscellaneous","Lighting"),ENDUSEALL[End Use to Coincident Peak Demand Factors],0)),4)))</f>
        <v/>
      </c>
      <c r="AW76" s="802" t="str">
        <f>IF(OR(C76="",E76="",M76="",K76="",O76="",Y76="",R76="",AA76="",AH76="",AJ76="",AD76="", U76="",W76=""),"",IF(AND(ISNUMBER(SEARCH("Other",E76)),OR(H76="",ISBLANK(H76),ISNUMBER(SEARCH("Description",H76)))),"",ROUND(M76*AD76*K76/1000,0)))</f>
        <v/>
      </c>
      <c r="AX76" s="802" t="str">
        <f>IF(OR(C76="",E76="",M76="",K76="",O76="",Y76="",R76="",AA76="",AH76="",AJ76="",AD76="", U76="",W76=""),"",IF(AND(ISNUMBER(SEARCH("Other",E76)),OR(H76="",ISBLANK(H76),ISNUMBER(SEARCH("Description",H76)))),"",IF(ISNUMBER(SEARCH("Network",O76)),ROUND(0.76*Y76*AD76*U76/1000,0),ROUND(Y76*AD76*U76/1000,0))))</f>
        <v/>
      </c>
      <c r="AY76" s="802" t="str">
        <f>IF(OR(C76="",E76="",M76="",K76="",O76="",Y76="",R76="",AA76="",AH76="",AJ76="",AD76="", U76="",W76=""),"",IF(AND(ISNUMBER(SEARCH("Other",E76)),OR(H76="",ISBLANK(H76),ISNUMBER(SEARCH("Description",H76)))),"",ROUND(K76*M76,0)))</f>
        <v/>
      </c>
      <c r="AZ76" s="802" t="str">
        <f>IF(OR(C76="",E76="",M76="",K76="",O76="",Y76="",R76="",AA76="",AH76="",AJ76="",AD76="", U76="",W76=""),"",IF(AND(K76&gt;=U76,ISNUMBER(SEARCH("Type",O76))),ROUND(U76*LEFT(INDEX(CMLIGHTBASE[Measure Subgroup 2], MATCH(E76,CMLIGHTBASE[Base Desc 1],0)),2)*Y76/W76,0),IF(AND(K76&lt;U76,ISNUMBER(SEARCH("Type",O76))),ROUND(K76*LEFT(INDEX(CMLIGHTBASE[Measure Subgroup 2], MATCH(E76,CMLIGHTBASE[Base Desc 1],0)),2)*Y76/W76,0),IF(OR(ISNUMBER(SEARCH("Fixture",O76)),ISNUMBER(SEARCH("Kit",O76))),U76*Y76))))</f>
        <v/>
      </c>
      <c r="BA76" s="800" t="str">
        <f>CONCATENATE(C76,"-","LED","-",O76)</f>
        <v>-LED-</v>
      </c>
      <c r="BB76" s="808" t="str">
        <f>IF(OR(C76="",E76="",M76="",K76="",O76="",Y76="",R76="",AA76="",AH76="",AJ76="",AD76="", U76="",W76=""),"",IF(AND(ISNUMBER(SEARCH("Other",E76)),OR(H76="",ISBLANK(H76),ISNUMBER(SEARCH("Description",H76)))),"",INDEX(PMELIGHTLIN[Measure '#],MATCH(BA76,PMELIGHTLIN[Measure Validator],0))))</f>
        <v/>
      </c>
      <c r="BC76" s="808" t="str">
        <f>IFERROR(IF(OR(C76="",AH76=""),"",IF(BB76="","",INDEX(PMELIGHTLIN[Inc Rate Unit FT],MATCH(BA76,PMELIGHTLIN[Measure Validator],0)))),"")</f>
        <v/>
      </c>
      <c r="BD76" s="808">
        <f>IFERROR(ROUND(IF(OR(C76="",AH76=""),"",IF(BB76="","",IF(AND(K76&gt;=U76,ISNUMBER(SEARCH("Type",BA76))),BC76*(U76*W76)*LEFT(INDEX(CMLIGHTBASE[Measure Subgroup 1], MATCH(E76,CMLIGHTBASE[Base Desc 1],0)),1),IF(AND(K76&lt;U76,ISNUMBER(SEARCH("Type",BA76))),BC76*(W76*K76)*LEFT(INDEX(CMLIGHTBASE[Measure Subgroup 1], MATCH(E76,CMLIGHTBASE[Base Desc 1],0)),1),0)))),2),0)</f>
        <v>0</v>
      </c>
      <c r="BE76" s="1192">
        <f t="shared" si="1"/>
        <v>0</v>
      </c>
      <c r="BF76" s="800" t="str">
        <f>IF(OR(C76="",E76="",M76="",K76="",O76="",Y76="",R76="",AA76="",AH76="",AJ76="",AD76="", U76="",W76=""),"",IF(AND(ISNUMBER(SEARCH("Other",E76)),OR(H76="",ISBLANK(H76),ISNUMBER(SEARCH("Description",H76)))),"",IFERROR(IF(AD76&lt;INDEX(PMELIGHTLIN[Eff Watt 2],MATCH(BA76,PMELIGHTLIN[Measure Validator],0)),"Operating Hours Invalid",IF(ISNUMBER(SEARCH("SPILLOVER",AA76)),PROJSTATELI,IF((AW76-AX76)&lt;0,"No Savings",IF(AF76&lt;50000,"Lamp Life Too Short","")))),"ERROR")))</f>
        <v/>
      </c>
      <c r="BG76" s="802" t="str">
        <f>IF(AND(ISBLANK(AH76),ISBLANK(AJ76)),"",IF(BD76&gt;AU76,"Yes","No"))</f>
        <v/>
      </c>
      <c r="BH76" s="1051">
        <f>IF(M02S02F32&lt;&gt;"",INDEX(SPACEHEAT[HIF],MATCH(M02S02F32,SHEAT,0)),1)</f>
        <v>1</v>
      </c>
      <c r="BI76" s="802"/>
      <c r="BJ76" s="1225">
        <f t="shared" ref="BJ76" si="66">IFERROR(ROUND(BL76*1.1,2),0)</f>
        <v>0</v>
      </c>
      <c r="BK76" s="804" t="str">
        <f>IF(M02S02F44="","Update Install Status",IF(M02S02F44="No","Submit for Pre-Approval",IF(OR(C76="",E76="",M76="",K76="",O76="",Y76="",R76="",AA76="",AF76="",AH76="",AD76="",U76="",W76="",AJ76=""),"",IF(BF76&lt;&gt;"",BF76,ROUND(BJ76*BONUSADJ,2)))))</f>
        <v>Update Install Status</v>
      </c>
      <c r="BL76" s="804" t="str">
        <f>IF(M02S02F44="","Update Install Status",IF(M02S02F44="No","Submit for Pre-Approval",IF(OR(C76="",E76="",M76="",K76="",O76="",Y76="",R76="",AA76="",AF76="",AH76="",AD76="",U76="",W76="",AJ76=""),"",IF(BF76&lt;&gt;"",BF76,IF(OR(BD76&lt;0,BE76&lt;0),"No Incentive Savings",IF(ISNUMBER(SEARCH("Type",O76)),MIN(BD76,AU76),MIN(BE76,AU76)))))))</f>
        <v>Update Install Status</v>
      </c>
    </row>
    <row r="77" spans="2:64" ht="15.95" customHeight="1" thickBot="1" x14ac:dyDescent="0.3">
      <c r="B77" s="1204"/>
      <c r="C77" s="845"/>
      <c r="D77" s="846"/>
      <c r="E77" s="818"/>
      <c r="F77" s="819"/>
      <c r="G77" s="820"/>
      <c r="H77" s="824"/>
      <c r="I77" s="825"/>
      <c r="J77" s="826"/>
      <c r="K77" s="1220"/>
      <c r="L77" s="1221"/>
      <c r="M77" s="833"/>
      <c r="N77" s="834"/>
      <c r="O77" s="838"/>
      <c r="P77" s="839"/>
      <c r="Q77" s="840"/>
      <c r="R77" s="824"/>
      <c r="S77" s="825"/>
      <c r="T77" s="826"/>
      <c r="U77" s="824"/>
      <c r="V77" s="825"/>
      <c r="W77" s="845"/>
      <c r="X77" s="846"/>
      <c r="Y77" s="849"/>
      <c r="Z77" s="850"/>
      <c r="AA77" s="852"/>
      <c r="AB77" s="852"/>
      <c r="AC77" s="852"/>
      <c r="AD77" s="853"/>
      <c r="AE77" s="853"/>
      <c r="AF77" s="1087"/>
      <c r="AG77" s="1087"/>
      <c r="AH77" s="1222"/>
      <c r="AI77" s="1223"/>
      <c r="AJ77" s="1223"/>
      <c r="AK77" s="1224"/>
      <c r="AL77" s="973"/>
      <c r="AM77" s="870"/>
      <c r="AN77" s="870"/>
      <c r="AO77" s="872"/>
      <c r="AP77" s="872"/>
      <c r="AQ77" s="872"/>
      <c r="AU77" s="805"/>
      <c r="AV77" s="807"/>
      <c r="AW77" s="803"/>
      <c r="AX77" s="803"/>
      <c r="AY77" s="803"/>
      <c r="AZ77" s="803"/>
      <c r="BA77" s="801"/>
      <c r="BB77" s="797"/>
      <c r="BC77" s="797"/>
      <c r="BD77" s="797"/>
      <c r="BE77" s="1192"/>
      <c r="BF77" s="801"/>
      <c r="BG77" s="803"/>
      <c r="BH77" s="1052"/>
      <c r="BI77" s="803"/>
      <c r="BJ77" s="1226"/>
      <c r="BK77" s="805"/>
      <c r="BL77" s="805"/>
    </row>
    <row r="78" spans="2:64" ht="15.95" customHeight="1" x14ac:dyDescent="0.25">
      <c r="B78" s="1193"/>
      <c r="C78" s="874" t="s">
        <v>1392</v>
      </c>
      <c r="D78" s="874"/>
      <c r="E78" s="874" t="s">
        <v>1393</v>
      </c>
      <c r="F78" s="874"/>
      <c r="G78" s="874"/>
      <c r="H78" s="874" t="s">
        <v>1395</v>
      </c>
      <c r="I78" s="874"/>
      <c r="J78" s="874"/>
      <c r="K78" s="874" t="s">
        <v>1492</v>
      </c>
      <c r="L78" s="874"/>
      <c r="M78" s="874" t="s">
        <v>1365</v>
      </c>
      <c r="N78" s="874"/>
      <c r="O78" s="874" t="s">
        <v>1394</v>
      </c>
      <c r="P78" s="874"/>
      <c r="Q78" s="874"/>
      <c r="R78" s="874" t="s">
        <v>1364</v>
      </c>
      <c r="S78" s="874"/>
      <c r="T78" s="874"/>
      <c r="U78" s="874" t="s">
        <v>1489</v>
      </c>
      <c r="V78" s="874"/>
      <c r="W78" s="874" t="s">
        <v>1410</v>
      </c>
      <c r="X78" s="874"/>
      <c r="Y78" s="874" t="s">
        <v>1365</v>
      </c>
      <c r="Z78" s="874"/>
      <c r="AA78" s="874" t="s">
        <v>1357</v>
      </c>
      <c r="AB78" s="874"/>
      <c r="AC78" s="874"/>
      <c r="AD78" s="874" t="s">
        <v>1147</v>
      </c>
      <c r="AE78" s="874"/>
      <c r="AF78" s="878" t="s">
        <v>1928</v>
      </c>
      <c r="AG78" s="874"/>
      <c r="AH78" s="874" t="s">
        <v>1225</v>
      </c>
      <c r="AI78" s="874"/>
      <c r="AJ78" s="874" t="s">
        <v>1145</v>
      </c>
      <c r="AK78" s="874"/>
      <c r="AL78" s="874" t="s">
        <v>88</v>
      </c>
      <c r="AM78" s="874"/>
      <c r="AN78" s="874"/>
      <c r="AO78" s="874" t="s">
        <v>448</v>
      </c>
      <c r="AP78" s="874"/>
      <c r="AQ78" s="874"/>
      <c r="AU78" s="798" t="s">
        <v>191</v>
      </c>
      <c r="AV78" s="798" t="s">
        <v>192</v>
      </c>
      <c r="AW78" s="798" t="s">
        <v>207</v>
      </c>
      <c r="AX78" s="798" t="s">
        <v>193</v>
      </c>
      <c r="AY78" s="798" t="s">
        <v>1361</v>
      </c>
      <c r="AZ78" s="798" t="s">
        <v>1362</v>
      </c>
      <c r="BA78" s="798" t="s">
        <v>1228</v>
      </c>
      <c r="BB78" s="798" t="s">
        <v>125</v>
      </c>
      <c r="BC78" s="798" t="s">
        <v>1363</v>
      </c>
      <c r="BD78" s="874" t="s">
        <v>1655</v>
      </c>
      <c r="BE78" s="874" t="s">
        <v>1656</v>
      </c>
      <c r="BF78" s="798" t="s">
        <v>473</v>
      </c>
      <c r="BG78" s="798" t="s">
        <v>1352</v>
      </c>
      <c r="BH78" s="1053" t="s">
        <v>2251</v>
      </c>
      <c r="BI78" s="798"/>
      <c r="BJ78" s="1053" t="s">
        <v>2006</v>
      </c>
      <c r="BK78" s="1053" t="s">
        <v>2007</v>
      </c>
      <c r="BL78" s="1053" t="s">
        <v>2008</v>
      </c>
    </row>
    <row r="79" spans="2:64" ht="15.95" customHeight="1" thickBot="1" x14ac:dyDescent="0.3">
      <c r="B79" s="1193"/>
      <c r="C79" s="877"/>
      <c r="D79" s="877"/>
      <c r="E79" s="877"/>
      <c r="F79" s="877"/>
      <c r="G79" s="877"/>
      <c r="H79" s="877"/>
      <c r="I79" s="877"/>
      <c r="J79" s="877"/>
      <c r="K79" s="877"/>
      <c r="L79" s="877"/>
      <c r="M79" s="877"/>
      <c r="N79" s="877"/>
      <c r="O79" s="877"/>
      <c r="P79" s="877"/>
      <c r="Q79" s="877"/>
      <c r="R79" s="877"/>
      <c r="S79" s="877"/>
      <c r="T79" s="877"/>
      <c r="U79" s="877"/>
      <c r="V79" s="877"/>
      <c r="W79" s="877"/>
      <c r="X79" s="877"/>
      <c r="Y79" s="877"/>
      <c r="Z79" s="877"/>
      <c r="AA79" s="877"/>
      <c r="AB79" s="877"/>
      <c r="AC79" s="877"/>
      <c r="AD79" s="877"/>
      <c r="AE79" s="877"/>
      <c r="AF79" s="877"/>
      <c r="AG79" s="877"/>
      <c r="AH79" s="877"/>
      <c r="AI79" s="877"/>
      <c r="AJ79" s="877"/>
      <c r="AK79" s="877"/>
      <c r="AL79" s="877"/>
      <c r="AM79" s="877"/>
      <c r="AN79" s="877"/>
      <c r="AO79" s="877"/>
      <c r="AP79" s="877"/>
      <c r="AQ79" s="877"/>
      <c r="AU79" s="799"/>
      <c r="AV79" s="799"/>
      <c r="AW79" s="799"/>
      <c r="AX79" s="799"/>
      <c r="AY79" s="799" t="s">
        <v>1360</v>
      </c>
      <c r="AZ79" s="799"/>
      <c r="BA79" s="799"/>
      <c r="BB79" s="799"/>
      <c r="BC79" s="799"/>
      <c r="BD79" s="875"/>
      <c r="BE79" s="875"/>
      <c r="BF79" s="799"/>
      <c r="BG79" s="799"/>
      <c r="BH79" s="799"/>
      <c r="BI79" s="799"/>
      <c r="BJ79" s="799"/>
      <c r="BK79" s="799"/>
      <c r="BL79" s="799"/>
    </row>
    <row r="80" spans="2:64" ht="15.95" hidden="1" customHeight="1" x14ac:dyDescent="0.25">
      <c r="B80" s="1204">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2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204">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2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204">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2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204">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2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204">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2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204">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2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204">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2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204">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2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204">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2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204">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2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204">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2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204">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2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204">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2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204">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2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204">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2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204">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2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204">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2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204">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2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204">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2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204">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2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204">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2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204">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2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204">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2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204">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2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204">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2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204">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2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204">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2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204">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2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204">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2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204">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2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204">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2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204">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2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204">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2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204">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2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204">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2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204">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2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204">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2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204">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2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204">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2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204">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2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204">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2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204">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2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204">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2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204">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2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204">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2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204">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2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204">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2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204">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2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204">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2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204">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2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204">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2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204">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2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204">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2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204">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2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204">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2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204">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2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315"/>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4" ht="15.95" hidden="1" customHeight="1" x14ac:dyDescent="0.25">
      <c r="B193" s="315"/>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4" ht="15.95" hidden="1" customHeight="1" x14ac:dyDescent="0.25">
      <c r="B194" s="315"/>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4" ht="15.75" hidden="1" customHeight="1" x14ac:dyDescent="0.25">
      <c r="B195" s="315"/>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4" ht="15.95" hidden="1" customHeight="1" x14ac:dyDescent="0.25">
      <c r="B196" s="315"/>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4" ht="15.95" hidden="1" customHeight="1" x14ac:dyDescent="0.25">
      <c r="B197" s="315"/>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4" ht="15.95" hidden="1" customHeight="1" x14ac:dyDescent="0.25">
      <c r="B198" s="1204">
        <v>89</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4" ht="15.95" hidden="1" customHeight="1" x14ac:dyDescent="0.25">
      <c r="B199" s="12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c r="BJ200" s="804">
        <f>SUM(BJ16:BJ199)</f>
        <v>0</v>
      </c>
      <c r="BK200" s="804">
        <f>SUM(BK16:BK199)</f>
        <v>0</v>
      </c>
      <c r="BL200" s="804">
        <f>SUM(BL16:BL199)</f>
        <v>0</v>
      </c>
    </row>
    <row r="201" spans="2:6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c r="BJ201" s="805"/>
      <c r="BK201" s="805"/>
      <c r="BL201" s="805"/>
    </row>
    <row r="202" spans="2:6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4" ht="15" hidden="1" customHeight="1" x14ac:dyDescent="0.25"/>
  </sheetData>
  <sheetProtection algorithmName="SHA-512" hashValue="PsnaW7iQSuYfI8GOlUcyeugK5Ol5IDA3mhUvXIzx2iQUbhcwoSxk1H+Lhhh3kQ8Em8hzUnnKNqpK7cst3TsVeA==" saltValue="Ri4YG6mwe67qlMeyd2CXxA==" spinCount="100000" sheet="1" objects="1" scenarios="1" selectLockedCells="1"/>
  <mergeCells count="1236">
    <mergeCell ref="BL66:BL67"/>
    <mergeCell ref="BL68:BL69"/>
    <mergeCell ref="BL70:BL71"/>
    <mergeCell ref="BL72:BL73"/>
    <mergeCell ref="BL74:BL75"/>
    <mergeCell ref="BL76:BL77"/>
    <mergeCell ref="BL78:BL79"/>
    <mergeCell ref="BL200:BL201"/>
    <mergeCell ref="BJ70:BJ71"/>
    <mergeCell ref="BK70:BK71"/>
    <mergeCell ref="BJ72:BJ73"/>
    <mergeCell ref="BK72:BK73"/>
    <mergeCell ref="BJ74:BJ75"/>
    <mergeCell ref="BK74:BK75"/>
    <mergeCell ref="BJ76:BJ77"/>
    <mergeCell ref="BK76:BK77"/>
    <mergeCell ref="BJ78:BJ79"/>
    <mergeCell ref="BK78:BK79"/>
    <mergeCell ref="BJ200:BJ201"/>
    <mergeCell ref="BK200:BK201"/>
    <mergeCell ref="BJ66:BJ67"/>
    <mergeCell ref="BK66:BK67"/>
    <mergeCell ref="BJ68:BJ69"/>
    <mergeCell ref="BK68:BK69"/>
    <mergeCell ref="BL16:BL17"/>
    <mergeCell ref="BL18:BL19"/>
    <mergeCell ref="BL20:BL21"/>
    <mergeCell ref="BL22:BL23"/>
    <mergeCell ref="BL24:BL25"/>
    <mergeCell ref="BL26:BL27"/>
    <mergeCell ref="BL28:BL29"/>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J52:BJ53"/>
    <mergeCell ref="BK52:BK53"/>
    <mergeCell ref="BJ54:BJ55"/>
    <mergeCell ref="BK54:BK55"/>
    <mergeCell ref="BJ56:BJ57"/>
    <mergeCell ref="BK56:BK57"/>
    <mergeCell ref="BJ58:BJ59"/>
    <mergeCell ref="BK58:BK59"/>
    <mergeCell ref="BJ60:BJ61"/>
    <mergeCell ref="BK60:BK61"/>
    <mergeCell ref="BJ62:BJ63"/>
    <mergeCell ref="BK62:BK63"/>
    <mergeCell ref="BJ64:BJ65"/>
    <mergeCell ref="BK64:BK65"/>
    <mergeCell ref="BL56:BL57"/>
    <mergeCell ref="BL58:BL59"/>
    <mergeCell ref="BL60:BL61"/>
    <mergeCell ref="BL62:BL63"/>
    <mergeCell ref="BL64:BL65"/>
    <mergeCell ref="BJ34:BJ35"/>
    <mergeCell ref="BK34:BK35"/>
    <mergeCell ref="BJ36:BJ37"/>
    <mergeCell ref="BK36:BK37"/>
    <mergeCell ref="BJ38:BJ39"/>
    <mergeCell ref="BK38:BK39"/>
    <mergeCell ref="BJ40:BJ41"/>
    <mergeCell ref="BK40:BK41"/>
    <mergeCell ref="BJ42:BJ43"/>
    <mergeCell ref="BK42:BK43"/>
    <mergeCell ref="BJ44:BJ45"/>
    <mergeCell ref="BK44:BK45"/>
    <mergeCell ref="BJ46:BJ47"/>
    <mergeCell ref="BK46:BK47"/>
    <mergeCell ref="BJ48:BJ49"/>
    <mergeCell ref="BK48:BK49"/>
    <mergeCell ref="BJ50:BJ51"/>
    <mergeCell ref="BK50:BK51"/>
    <mergeCell ref="BJ16:BJ17"/>
    <mergeCell ref="BK16:BK17"/>
    <mergeCell ref="BJ18:BJ19"/>
    <mergeCell ref="BK18:BK19"/>
    <mergeCell ref="BJ20:BJ21"/>
    <mergeCell ref="BK20:BK21"/>
    <mergeCell ref="BJ22:BJ23"/>
    <mergeCell ref="BK22:BK23"/>
    <mergeCell ref="BJ24:BJ25"/>
    <mergeCell ref="BK24:BK25"/>
    <mergeCell ref="BJ26:BJ27"/>
    <mergeCell ref="BK26:BK27"/>
    <mergeCell ref="BJ28:BJ29"/>
    <mergeCell ref="BK28:BK29"/>
    <mergeCell ref="BJ30:BJ31"/>
    <mergeCell ref="BK30:BK31"/>
    <mergeCell ref="BJ32:BJ33"/>
    <mergeCell ref="BK32:BK33"/>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78:BI79"/>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16:BH17"/>
    <mergeCell ref="BH78:BH79"/>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48:BH49"/>
    <mergeCell ref="BH50:BH51"/>
    <mergeCell ref="M200:AG201"/>
    <mergeCell ref="AU200:AU201"/>
    <mergeCell ref="AV200:AV201"/>
    <mergeCell ref="B188:B189"/>
    <mergeCell ref="B190:B191"/>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Y78:Z79"/>
    <mergeCell ref="AA78:AC79"/>
    <mergeCell ref="B92:B93"/>
    <mergeCell ref="B94:B95"/>
    <mergeCell ref="B96:B97"/>
    <mergeCell ref="B98:B99"/>
    <mergeCell ref="B100:B101"/>
    <mergeCell ref="B102:B103"/>
    <mergeCell ref="B80:B81"/>
    <mergeCell ref="B82:B83"/>
    <mergeCell ref="B84:B85"/>
    <mergeCell ref="B86:B87"/>
    <mergeCell ref="B88:B89"/>
    <mergeCell ref="B90:B91"/>
    <mergeCell ref="BC76:BC77"/>
    <mergeCell ref="BD76:BD77"/>
    <mergeCell ref="BF76:BF77"/>
    <mergeCell ref="BD78:BD79"/>
    <mergeCell ref="BF78:BF79"/>
    <mergeCell ref="B78:B79"/>
    <mergeCell ref="C78:D79"/>
    <mergeCell ref="E78:G79"/>
    <mergeCell ref="H78:J79"/>
    <mergeCell ref="K78:L79"/>
    <mergeCell ref="M78:N79"/>
    <mergeCell ref="O78:Q79"/>
    <mergeCell ref="R78:T79"/>
    <mergeCell ref="U78:V79"/>
    <mergeCell ref="W78:X79"/>
    <mergeCell ref="BG76:BG77"/>
    <mergeCell ref="AU76:AU77"/>
    <mergeCell ref="AV76:AV77"/>
    <mergeCell ref="AW76:AW77"/>
    <mergeCell ref="AX76:AX77"/>
    <mergeCell ref="AY76:AY77"/>
    <mergeCell ref="AZ76:AZ77"/>
    <mergeCell ref="AD76:AE77"/>
    <mergeCell ref="AF76:AG77"/>
    <mergeCell ref="AH76:AI77"/>
    <mergeCell ref="AJ76:AK77"/>
    <mergeCell ref="AL76:AN77"/>
    <mergeCell ref="AO76:AQ77"/>
    <mergeCell ref="BG78:BG79"/>
    <mergeCell ref="AU78:AU79"/>
    <mergeCell ref="AV78:AV79"/>
    <mergeCell ref="AW78:AW79"/>
    <mergeCell ref="AX78:AX79"/>
    <mergeCell ref="AY78:AY79"/>
    <mergeCell ref="AZ78:AZ79"/>
    <mergeCell ref="AD78:AE79"/>
    <mergeCell ref="AF78:AG79"/>
    <mergeCell ref="AH78:AI79"/>
    <mergeCell ref="AJ78:AK79"/>
    <mergeCell ref="AL78:AN79"/>
    <mergeCell ref="AO78:AQ79"/>
    <mergeCell ref="BA78:BA79"/>
    <mergeCell ref="BB78:BB79"/>
    <mergeCell ref="BC78:BC79"/>
    <mergeCell ref="O74:Q75"/>
    <mergeCell ref="R74:T75"/>
    <mergeCell ref="U74:V75"/>
    <mergeCell ref="W74:X75"/>
    <mergeCell ref="Y74:Z75"/>
    <mergeCell ref="AA74:AC75"/>
    <mergeCell ref="O76:Q77"/>
    <mergeCell ref="R76:T77"/>
    <mergeCell ref="U76:V77"/>
    <mergeCell ref="W76:X77"/>
    <mergeCell ref="Y76:Z77"/>
    <mergeCell ref="AA76:AC77"/>
    <mergeCell ref="BE76:BE77"/>
    <mergeCell ref="BE78:BE79"/>
    <mergeCell ref="B76:B77"/>
    <mergeCell ref="C76:D77"/>
    <mergeCell ref="E76:G77"/>
    <mergeCell ref="H76:J77"/>
    <mergeCell ref="K76:L77"/>
    <mergeCell ref="M76:N77"/>
    <mergeCell ref="BA74:BA75"/>
    <mergeCell ref="BB74:BB75"/>
    <mergeCell ref="BC74:BC75"/>
    <mergeCell ref="BD74:BD75"/>
    <mergeCell ref="B74:B75"/>
    <mergeCell ref="C74:D75"/>
    <mergeCell ref="E74:G75"/>
    <mergeCell ref="H74:J75"/>
    <mergeCell ref="K74:L75"/>
    <mergeCell ref="M74:N75"/>
    <mergeCell ref="BA76:BA77"/>
    <mergeCell ref="BB76:BB77"/>
    <mergeCell ref="BC72:BC73"/>
    <mergeCell ref="BD72:BD73"/>
    <mergeCell ref="BF72:BF73"/>
    <mergeCell ref="BG72:BG73"/>
    <mergeCell ref="AU72:AU73"/>
    <mergeCell ref="AV72:AV73"/>
    <mergeCell ref="AW72:AW73"/>
    <mergeCell ref="AX72:AX73"/>
    <mergeCell ref="AY72:AY73"/>
    <mergeCell ref="AZ72:AZ73"/>
    <mergeCell ref="AD72:AE73"/>
    <mergeCell ref="AF72:AG73"/>
    <mergeCell ref="AH72:AI73"/>
    <mergeCell ref="AJ72:AK73"/>
    <mergeCell ref="AL72:AN73"/>
    <mergeCell ref="AO72:AQ73"/>
    <mergeCell ref="BF74:BF75"/>
    <mergeCell ref="BG74:BG75"/>
    <mergeCell ref="AU74:AU75"/>
    <mergeCell ref="AV74:AV75"/>
    <mergeCell ref="AW74:AW75"/>
    <mergeCell ref="AX74:AX75"/>
    <mergeCell ref="AY74:AY75"/>
    <mergeCell ref="AZ74:AZ75"/>
    <mergeCell ref="AD74:AE75"/>
    <mergeCell ref="AF74:AG75"/>
    <mergeCell ref="AH74:AI75"/>
    <mergeCell ref="AJ74:AK75"/>
    <mergeCell ref="AL74:AN75"/>
    <mergeCell ref="AO74:AQ75"/>
    <mergeCell ref="O70:Q71"/>
    <mergeCell ref="R70:T71"/>
    <mergeCell ref="U70:V71"/>
    <mergeCell ref="W70:X71"/>
    <mergeCell ref="Y70:Z71"/>
    <mergeCell ref="AA70:AC71"/>
    <mergeCell ref="O72:Q73"/>
    <mergeCell ref="R72:T73"/>
    <mergeCell ref="U72:V73"/>
    <mergeCell ref="W72:X73"/>
    <mergeCell ref="Y72:Z73"/>
    <mergeCell ref="AA72:AC73"/>
    <mergeCell ref="BE72:BE73"/>
    <mergeCell ref="BE74:BE75"/>
    <mergeCell ref="B72:B73"/>
    <mergeCell ref="C72:D73"/>
    <mergeCell ref="E72:G73"/>
    <mergeCell ref="H72:J73"/>
    <mergeCell ref="K72:L73"/>
    <mergeCell ref="M72:N73"/>
    <mergeCell ref="BA70:BA71"/>
    <mergeCell ref="BB70:BB71"/>
    <mergeCell ref="BC70:BC71"/>
    <mergeCell ref="BD70:BD71"/>
    <mergeCell ref="B70:B71"/>
    <mergeCell ref="C70:D71"/>
    <mergeCell ref="E70:G71"/>
    <mergeCell ref="H70:J71"/>
    <mergeCell ref="K70:L71"/>
    <mergeCell ref="M70:N71"/>
    <mergeCell ref="BA72:BA73"/>
    <mergeCell ref="BB72:BB73"/>
    <mergeCell ref="BC68:BC69"/>
    <mergeCell ref="BD68:BD69"/>
    <mergeCell ref="BF68:BF69"/>
    <mergeCell ref="BG68:BG69"/>
    <mergeCell ref="AU68:AU69"/>
    <mergeCell ref="AV68:AV69"/>
    <mergeCell ref="AW68:AW69"/>
    <mergeCell ref="AX68:AX69"/>
    <mergeCell ref="AY68:AY69"/>
    <mergeCell ref="AZ68:AZ69"/>
    <mergeCell ref="AD68:AE69"/>
    <mergeCell ref="AF68:AG69"/>
    <mergeCell ref="AH68:AI69"/>
    <mergeCell ref="AJ68:AK69"/>
    <mergeCell ref="AL68:AN69"/>
    <mergeCell ref="AO68:AQ69"/>
    <mergeCell ref="BF70:BF71"/>
    <mergeCell ref="BG70:BG71"/>
    <mergeCell ref="AU70:AU71"/>
    <mergeCell ref="AV70:AV71"/>
    <mergeCell ref="AW70:AW71"/>
    <mergeCell ref="AX70:AX71"/>
    <mergeCell ref="AY70:AY71"/>
    <mergeCell ref="AZ70:AZ71"/>
    <mergeCell ref="AD70:AE71"/>
    <mergeCell ref="AF70:AG71"/>
    <mergeCell ref="AH70:AI71"/>
    <mergeCell ref="AJ70:AK71"/>
    <mergeCell ref="AL70:AN71"/>
    <mergeCell ref="AO70:AQ71"/>
    <mergeCell ref="O66:Q67"/>
    <mergeCell ref="R66:T67"/>
    <mergeCell ref="U66:V67"/>
    <mergeCell ref="W66:X67"/>
    <mergeCell ref="Y66:Z67"/>
    <mergeCell ref="AA66:AC67"/>
    <mergeCell ref="O68:Q69"/>
    <mergeCell ref="R68:T69"/>
    <mergeCell ref="U68:V69"/>
    <mergeCell ref="W68:X69"/>
    <mergeCell ref="Y68:Z69"/>
    <mergeCell ref="AA68:AC69"/>
    <mergeCell ref="BE68:BE69"/>
    <mergeCell ref="BE70:BE71"/>
    <mergeCell ref="B68:B69"/>
    <mergeCell ref="C68:D69"/>
    <mergeCell ref="E68:G69"/>
    <mergeCell ref="H68:J69"/>
    <mergeCell ref="K68:L69"/>
    <mergeCell ref="M68:N69"/>
    <mergeCell ref="BA66:BA67"/>
    <mergeCell ref="BB66:BB67"/>
    <mergeCell ref="BC66:BC67"/>
    <mergeCell ref="BD66:BD67"/>
    <mergeCell ref="B66:B67"/>
    <mergeCell ref="C66:D67"/>
    <mergeCell ref="E66:G67"/>
    <mergeCell ref="H66:J67"/>
    <mergeCell ref="K66:L67"/>
    <mergeCell ref="M66:N67"/>
    <mergeCell ref="BA68:BA69"/>
    <mergeCell ref="BB68:BB69"/>
    <mergeCell ref="BC64:BC65"/>
    <mergeCell ref="BD64:BD65"/>
    <mergeCell ref="BF64:BF65"/>
    <mergeCell ref="BG64:BG65"/>
    <mergeCell ref="AU64:AU65"/>
    <mergeCell ref="AV64:AV65"/>
    <mergeCell ref="AW64:AW65"/>
    <mergeCell ref="AX64:AX65"/>
    <mergeCell ref="AY64:AY65"/>
    <mergeCell ref="AZ64:AZ65"/>
    <mergeCell ref="AD64:AE65"/>
    <mergeCell ref="AF64:AG65"/>
    <mergeCell ref="AH64:AI65"/>
    <mergeCell ref="AJ64:AK65"/>
    <mergeCell ref="AL64:AN65"/>
    <mergeCell ref="AO64:AQ65"/>
    <mergeCell ref="BF66:BF67"/>
    <mergeCell ref="BG66:BG67"/>
    <mergeCell ref="AU66:AU67"/>
    <mergeCell ref="AV66:AV67"/>
    <mergeCell ref="AW66:AW67"/>
    <mergeCell ref="AX66:AX67"/>
    <mergeCell ref="AY66:AY67"/>
    <mergeCell ref="AZ66:AZ67"/>
    <mergeCell ref="AD66:AE67"/>
    <mergeCell ref="AF66:AG67"/>
    <mergeCell ref="AH66:AI67"/>
    <mergeCell ref="AJ66:AK67"/>
    <mergeCell ref="AL66:AN67"/>
    <mergeCell ref="AO66:AQ67"/>
    <mergeCell ref="O62:Q63"/>
    <mergeCell ref="R62:T63"/>
    <mergeCell ref="U62:V63"/>
    <mergeCell ref="W62:X63"/>
    <mergeCell ref="Y62:Z63"/>
    <mergeCell ref="AA62:AC63"/>
    <mergeCell ref="O64:Q65"/>
    <mergeCell ref="R64:T65"/>
    <mergeCell ref="U64:V65"/>
    <mergeCell ref="W64:X65"/>
    <mergeCell ref="Y64:Z65"/>
    <mergeCell ref="AA64:AC65"/>
    <mergeCell ref="BE64:BE65"/>
    <mergeCell ref="BE66:BE67"/>
    <mergeCell ref="B64:B65"/>
    <mergeCell ref="C64:D65"/>
    <mergeCell ref="E64:G65"/>
    <mergeCell ref="H64:J65"/>
    <mergeCell ref="K64:L65"/>
    <mergeCell ref="M64:N65"/>
    <mergeCell ref="BA62:BA63"/>
    <mergeCell ref="BB62:BB63"/>
    <mergeCell ref="BC62:BC63"/>
    <mergeCell ref="BD62:BD63"/>
    <mergeCell ref="B62:B63"/>
    <mergeCell ref="C62:D63"/>
    <mergeCell ref="E62:G63"/>
    <mergeCell ref="H62:J63"/>
    <mergeCell ref="K62:L63"/>
    <mergeCell ref="M62:N63"/>
    <mergeCell ref="BA64:BA65"/>
    <mergeCell ref="BB64:BB65"/>
    <mergeCell ref="BC60:BC61"/>
    <mergeCell ref="BD60:BD61"/>
    <mergeCell ref="BF60:BF61"/>
    <mergeCell ref="BG60:BG61"/>
    <mergeCell ref="AU60:AU61"/>
    <mergeCell ref="AV60:AV61"/>
    <mergeCell ref="AW60:AW61"/>
    <mergeCell ref="AX60:AX61"/>
    <mergeCell ref="AY60:AY61"/>
    <mergeCell ref="AZ60:AZ61"/>
    <mergeCell ref="AD60:AE61"/>
    <mergeCell ref="AF60:AG61"/>
    <mergeCell ref="AH60:AI61"/>
    <mergeCell ref="AJ60:AK61"/>
    <mergeCell ref="AL60:AN61"/>
    <mergeCell ref="AO60:AQ61"/>
    <mergeCell ref="BF62:BF63"/>
    <mergeCell ref="BG62:BG63"/>
    <mergeCell ref="AU62:AU63"/>
    <mergeCell ref="AV62:AV63"/>
    <mergeCell ref="AW62:AW63"/>
    <mergeCell ref="AX62:AX63"/>
    <mergeCell ref="AY62:AY63"/>
    <mergeCell ref="AZ62:AZ63"/>
    <mergeCell ref="AD62:AE63"/>
    <mergeCell ref="AF62:AG63"/>
    <mergeCell ref="AH62:AI63"/>
    <mergeCell ref="AJ62:AK63"/>
    <mergeCell ref="AL62:AN63"/>
    <mergeCell ref="AO62:AQ63"/>
    <mergeCell ref="O58:Q59"/>
    <mergeCell ref="R58:T59"/>
    <mergeCell ref="U58:V59"/>
    <mergeCell ref="W58:X59"/>
    <mergeCell ref="Y58:Z59"/>
    <mergeCell ref="AA58:AC59"/>
    <mergeCell ref="O60:Q61"/>
    <mergeCell ref="R60:T61"/>
    <mergeCell ref="U60:V61"/>
    <mergeCell ref="W60:X61"/>
    <mergeCell ref="Y60:Z61"/>
    <mergeCell ref="AA60:AC61"/>
    <mergeCell ref="BE60:BE61"/>
    <mergeCell ref="BE62:BE63"/>
    <mergeCell ref="B60:B61"/>
    <mergeCell ref="C60:D61"/>
    <mergeCell ref="E60:G61"/>
    <mergeCell ref="H60:J61"/>
    <mergeCell ref="K60:L61"/>
    <mergeCell ref="M60:N61"/>
    <mergeCell ref="BA58:BA59"/>
    <mergeCell ref="BB58:BB59"/>
    <mergeCell ref="BC58:BC59"/>
    <mergeCell ref="BD58:BD59"/>
    <mergeCell ref="B58:B59"/>
    <mergeCell ref="C58:D59"/>
    <mergeCell ref="E58:G59"/>
    <mergeCell ref="H58:J59"/>
    <mergeCell ref="K58:L59"/>
    <mergeCell ref="M58:N59"/>
    <mergeCell ref="BA60:BA61"/>
    <mergeCell ref="BB60:BB61"/>
    <mergeCell ref="BC56:BC57"/>
    <mergeCell ref="BD56:BD57"/>
    <mergeCell ref="BF56:BF57"/>
    <mergeCell ref="BG56:BG57"/>
    <mergeCell ref="AU56:AU57"/>
    <mergeCell ref="AV56:AV57"/>
    <mergeCell ref="AW56:AW57"/>
    <mergeCell ref="AX56:AX57"/>
    <mergeCell ref="AY56:AY57"/>
    <mergeCell ref="AZ56:AZ57"/>
    <mergeCell ref="AD56:AE57"/>
    <mergeCell ref="AF56:AG57"/>
    <mergeCell ref="AH56:AI57"/>
    <mergeCell ref="AJ56:AK57"/>
    <mergeCell ref="AL56:AN57"/>
    <mergeCell ref="AO56:AQ57"/>
    <mergeCell ref="BF58:BF59"/>
    <mergeCell ref="BG58:BG59"/>
    <mergeCell ref="AU58:AU59"/>
    <mergeCell ref="AV58:AV59"/>
    <mergeCell ref="AW58:AW59"/>
    <mergeCell ref="AX58:AX59"/>
    <mergeCell ref="AY58:AY59"/>
    <mergeCell ref="AZ58:AZ59"/>
    <mergeCell ref="AD58:AE59"/>
    <mergeCell ref="AF58:AG59"/>
    <mergeCell ref="AH58:AI59"/>
    <mergeCell ref="AJ58:AK59"/>
    <mergeCell ref="AL58:AN59"/>
    <mergeCell ref="AO58:AQ59"/>
    <mergeCell ref="O54:Q55"/>
    <mergeCell ref="R54:T55"/>
    <mergeCell ref="U54:V55"/>
    <mergeCell ref="W54:X55"/>
    <mergeCell ref="Y54:Z55"/>
    <mergeCell ref="AA54:AC55"/>
    <mergeCell ref="O56:Q57"/>
    <mergeCell ref="R56:T57"/>
    <mergeCell ref="U56:V57"/>
    <mergeCell ref="W56:X57"/>
    <mergeCell ref="Y56:Z57"/>
    <mergeCell ref="AA56:AC57"/>
    <mergeCell ref="BE56:BE57"/>
    <mergeCell ref="BE58:BE59"/>
    <mergeCell ref="B56:B57"/>
    <mergeCell ref="C56:D57"/>
    <mergeCell ref="E56:G57"/>
    <mergeCell ref="H56:J57"/>
    <mergeCell ref="K56:L57"/>
    <mergeCell ref="M56:N57"/>
    <mergeCell ref="BA54:BA55"/>
    <mergeCell ref="BB54:BB55"/>
    <mergeCell ref="BC54:BC55"/>
    <mergeCell ref="BD54:BD55"/>
    <mergeCell ref="B54:B55"/>
    <mergeCell ref="C54:D55"/>
    <mergeCell ref="E54:G55"/>
    <mergeCell ref="H54:J55"/>
    <mergeCell ref="K54:L55"/>
    <mergeCell ref="M54:N55"/>
    <mergeCell ref="BA56:BA57"/>
    <mergeCell ref="BB56:BB57"/>
    <mergeCell ref="BC52:BC53"/>
    <mergeCell ref="BD52:BD53"/>
    <mergeCell ref="BF52:BF53"/>
    <mergeCell ref="BG52:BG53"/>
    <mergeCell ref="AU52:AU53"/>
    <mergeCell ref="AV52:AV53"/>
    <mergeCell ref="AW52:AW53"/>
    <mergeCell ref="AX52:AX53"/>
    <mergeCell ref="AY52:AY53"/>
    <mergeCell ref="AZ52:AZ53"/>
    <mergeCell ref="AD52:AE53"/>
    <mergeCell ref="AF52:AG53"/>
    <mergeCell ref="AH52:AI53"/>
    <mergeCell ref="AJ52:AK53"/>
    <mergeCell ref="AL52:AN53"/>
    <mergeCell ref="AO52:AQ53"/>
    <mergeCell ref="BF54:BF55"/>
    <mergeCell ref="BG54:BG55"/>
    <mergeCell ref="AU54:AU55"/>
    <mergeCell ref="AV54:AV55"/>
    <mergeCell ref="AW54:AW55"/>
    <mergeCell ref="AX54:AX55"/>
    <mergeCell ref="AY54:AY55"/>
    <mergeCell ref="AZ54:AZ55"/>
    <mergeCell ref="AD54:AE55"/>
    <mergeCell ref="AF54:AG55"/>
    <mergeCell ref="AH54:AI55"/>
    <mergeCell ref="AJ54:AK55"/>
    <mergeCell ref="AL54:AN55"/>
    <mergeCell ref="AO54:AQ55"/>
    <mergeCell ref="O50:Q51"/>
    <mergeCell ref="R50:T51"/>
    <mergeCell ref="U50:V51"/>
    <mergeCell ref="W50:X51"/>
    <mergeCell ref="Y50:Z51"/>
    <mergeCell ref="AA50:AC51"/>
    <mergeCell ref="O52:Q53"/>
    <mergeCell ref="R52:T53"/>
    <mergeCell ref="U52:V53"/>
    <mergeCell ref="W52:X53"/>
    <mergeCell ref="Y52:Z53"/>
    <mergeCell ref="AA52:AC53"/>
    <mergeCell ref="BE52:BE53"/>
    <mergeCell ref="BE54:BE55"/>
    <mergeCell ref="B52:B53"/>
    <mergeCell ref="C52:D53"/>
    <mergeCell ref="E52:G53"/>
    <mergeCell ref="H52:J53"/>
    <mergeCell ref="K52:L53"/>
    <mergeCell ref="M52:N53"/>
    <mergeCell ref="BA50:BA51"/>
    <mergeCell ref="BB50:BB51"/>
    <mergeCell ref="BC50:BC51"/>
    <mergeCell ref="BD50:BD51"/>
    <mergeCell ref="B50:B51"/>
    <mergeCell ref="C50:D51"/>
    <mergeCell ref="E50:G51"/>
    <mergeCell ref="H50:J51"/>
    <mergeCell ref="K50:L51"/>
    <mergeCell ref="M50:N51"/>
    <mergeCell ref="BA52:BA53"/>
    <mergeCell ref="BB52:BB53"/>
    <mergeCell ref="BC48:BC49"/>
    <mergeCell ref="BD48:BD49"/>
    <mergeCell ref="BF48:BF49"/>
    <mergeCell ref="BG48:BG49"/>
    <mergeCell ref="AU48:AU49"/>
    <mergeCell ref="AV48:AV49"/>
    <mergeCell ref="AW48:AW49"/>
    <mergeCell ref="AX48:AX49"/>
    <mergeCell ref="AY48:AY49"/>
    <mergeCell ref="AZ48:AZ49"/>
    <mergeCell ref="AD48:AE49"/>
    <mergeCell ref="AF48:AG49"/>
    <mergeCell ref="AH48:AI49"/>
    <mergeCell ref="AJ48:AK49"/>
    <mergeCell ref="AL48:AN49"/>
    <mergeCell ref="AO48:AQ49"/>
    <mergeCell ref="BF50:BF51"/>
    <mergeCell ref="BG50:BG51"/>
    <mergeCell ref="AU50:AU51"/>
    <mergeCell ref="AV50:AV51"/>
    <mergeCell ref="AW50:AW51"/>
    <mergeCell ref="AX50:AX51"/>
    <mergeCell ref="AY50:AY51"/>
    <mergeCell ref="AZ50:AZ51"/>
    <mergeCell ref="AD50:AE51"/>
    <mergeCell ref="AF50:AG51"/>
    <mergeCell ref="AH50:AI51"/>
    <mergeCell ref="AJ50:AK51"/>
    <mergeCell ref="AL50:AN51"/>
    <mergeCell ref="AO50:AQ51"/>
    <mergeCell ref="O46:Q47"/>
    <mergeCell ref="R46:T47"/>
    <mergeCell ref="U46:V47"/>
    <mergeCell ref="W46:X47"/>
    <mergeCell ref="Y46:Z47"/>
    <mergeCell ref="AA46:AC47"/>
    <mergeCell ref="O48:Q49"/>
    <mergeCell ref="R48:T49"/>
    <mergeCell ref="U48:V49"/>
    <mergeCell ref="W48:X49"/>
    <mergeCell ref="Y48:Z49"/>
    <mergeCell ref="AA48:AC49"/>
    <mergeCell ref="BE48:BE49"/>
    <mergeCell ref="BE50:BE51"/>
    <mergeCell ref="B48:B49"/>
    <mergeCell ref="C48:D49"/>
    <mergeCell ref="E48:G49"/>
    <mergeCell ref="H48:J49"/>
    <mergeCell ref="K48:L49"/>
    <mergeCell ref="M48:N49"/>
    <mergeCell ref="BA46:BA47"/>
    <mergeCell ref="BB46:BB47"/>
    <mergeCell ref="BC46:BC47"/>
    <mergeCell ref="BD46:BD47"/>
    <mergeCell ref="B46:B47"/>
    <mergeCell ref="C46:D47"/>
    <mergeCell ref="E46:G47"/>
    <mergeCell ref="H46:J47"/>
    <mergeCell ref="K46:L47"/>
    <mergeCell ref="M46:N47"/>
    <mergeCell ref="BA48:BA49"/>
    <mergeCell ref="BB48:BB49"/>
    <mergeCell ref="BC44:BC45"/>
    <mergeCell ref="BD44:BD45"/>
    <mergeCell ref="BF44:BF45"/>
    <mergeCell ref="BG44:BG45"/>
    <mergeCell ref="AU44:AU45"/>
    <mergeCell ref="AV44:AV45"/>
    <mergeCell ref="AW44:AW45"/>
    <mergeCell ref="AX44:AX45"/>
    <mergeCell ref="AY44:AY45"/>
    <mergeCell ref="AZ44:AZ45"/>
    <mergeCell ref="AD44:AE45"/>
    <mergeCell ref="AF44:AG45"/>
    <mergeCell ref="AH44:AI45"/>
    <mergeCell ref="AJ44:AK45"/>
    <mergeCell ref="AL44:AN45"/>
    <mergeCell ref="AO44:AQ45"/>
    <mergeCell ref="BF46:BF47"/>
    <mergeCell ref="BG46:BG47"/>
    <mergeCell ref="AU46:AU47"/>
    <mergeCell ref="AV46:AV47"/>
    <mergeCell ref="AW46:AW47"/>
    <mergeCell ref="AX46:AX47"/>
    <mergeCell ref="AY46:AY47"/>
    <mergeCell ref="AZ46:AZ47"/>
    <mergeCell ref="AD46:AE47"/>
    <mergeCell ref="AF46:AG47"/>
    <mergeCell ref="AH46:AI47"/>
    <mergeCell ref="AJ46:AK47"/>
    <mergeCell ref="AL46:AN47"/>
    <mergeCell ref="AO46:AQ47"/>
    <mergeCell ref="O42:Q43"/>
    <mergeCell ref="R42:T43"/>
    <mergeCell ref="U42:V43"/>
    <mergeCell ref="W42:X43"/>
    <mergeCell ref="Y42:Z43"/>
    <mergeCell ref="AA42:AC43"/>
    <mergeCell ref="O44:Q45"/>
    <mergeCell ref="R44:T45"/>
    <mergeCell ref="U44:V45"/>
    <mergeCell ref="W44:X45"/>
    <mergeCell ref="Y44:Z45"/>
    <mergeCell ref="AA44:AC45"/>
    <mergeCell ref="BE44:BE45"/>
    <mergeCell ref="BE46:BE47"/>
    <mergeCell ref="B44:B45"/>
    <mergeCell ref="C44:D45"/>
    <mergeCell ref="E44:G45"/>
    <mergeCell ref="H44:J45"/>
    <mergeCell ref="K44:L45"/>
    <mergeCell ref="M44:N45"/>
    <mergeCell ref="BA42:BA43"/>
    <mergeCell ref="BB42:BB43"/>
    <mergeCell ref="BC42:BC43"/>
    <mergeCell ref="BD42:BD43"/>
    <mergeCell ref="B42:B43"/>
    <mergeCell ref="C42:D43"/>
    <mergeCell ref="E42:G43"/>
    <mergeCell ref="H42:J43"/>
    <mergeCell ref="K42:L43"/>
    <mergeCell ref="M42:N43"/>
    <mergeCell ref="BA44:BA45"/>
    <mergeCell ref="BB44:BB45"/>
    <mergeCell ref="BC40:BC41"/>
    <mergeCell ref="BD40:BD41"/>
    <mergeCell ref="BF40:BF41"/>
    <mergeCell ref="BG40:BG41"/>
    <mergeCell ref="AU40:AU41"/>
    <mergeCell ref="AV40:AV41"/>
    <mergeCell ref="AW40:AW41"/>
    <mergeCell ref="AX40:AX41"/>
    <mergeCell ref="AY40:AY41"/>
    <mergeCell ref="AZ40:AZ41"/>
    <mergeCell ref="AD40:AE41"/>
    <mergeCell ref="AF40:AG41"/>
    <mergeCell ref="AH40:AI41"/>
    <mergeCell ref="AJ40:AK41"/>
    <mergeCell ref="AL40:AN41"/>
    <mergeCell ref="AO40:AQ41"/>
    <mergeCell ref="BF42:BF43"/>
    <mergeCell ref="BG42:BG43"/>
    <mergeCell ref="AU42:AU43"/>
    <mergeCell ref="AV42:AV43"/>
    <mergeCell ref="AW42:AW43"/>
    <mergeCell ref="AX42:AX43"/>
    <mergeCell ref="AY42:AY43"/>
    <mergeCell ref="AZ42:AZ43"/>
    <mergeCell ref="AD42:AE43"/>
    <mergeCell ref="AF42:AG43"/>
    <mergeCell ref="AH42:AI43"/>
    <mergeCell ref="AJ42:AK43"/>
    <mergeCell ref="AL42:AN43"/>
    <mergeCell ref="AO42:AQ43"/>
    <mergeCell ref="O38:Q39"/>
    <mergeCell ref="R38:T39"/>
    <mergeCell ref="U38:V39"/>
    <mergeCell ref="W38:X39"/>
    <mergeCell ref="Y38:Z39"/>
    <mergeCell ref="AA38:AC39"/>
    <mergeCell ref="O40:Q41"/>
    <mergeCell ref="R40:T41"/>
    <mergeCell ref="U40:V41"/>
    <mergeCell ref="W40:X41"/>
    <mergeCell ref="Y40:Z41"/>
    <mergeCell ref="AA40:AC41"/>
    <mergeCell ref="BE40:BE41"/>
    <mergeCell ref="BE42:BE43"/>
    <mergeCell ref="B40:B41"/>
    <mergeCell ref="C40:D41"/>
    <mergeCell ref="E40:G41"/>
    <mergeCell ref="H40:J41"/>
    <mergeCell ref="K40:L41"/>
    <mergeCell ref="M40:N41"/>
    <mergeCell ref="BA38:BA39"/>
    <mergeCell ref="BB38:BB39"/>
    <mergeCell ref="BC38:BC39"/>
    <mergeCell ref="BD38:BD39"/>
    <mergeCell ref="B38:B39"/>
    <mergeCell ref="C38:D39"/>
    <mergeCell ref="E38:G39"/>
    <mergeCell ref="H38:J39"/>
    <mergeCell ref="K38:L39"/>
    <mergeCell ref="M38:N39"/>
    <mergeCell ref="BA40:BA41"/>
    <mergeCell ref="BB40:BB41"/>
    <mergeCell ref="BC36:BC37"/>
    <mergeCell ref="BD36:BD37"/>
    <mergeCell ref="BF36:BF37"/>
    <mergeCell ref="BG36:BG37"/>
    <mergeCell ref="AU36:AU37"/>
    <mergeCell ref="AV36:AV37"/>
    <mergeCell ref="AW36:AW37"/>
    <mergeCell ref="AX36:AX37"/>
    <mergeCell ref="AY36:AY37"/>
    <mergeCell ref="AZ36:AZ37"/>
    <mergeCell ref="AD36:AE37"/>
    <mergeCell ref="AF36:AG37"/>
    <mergeCell ref="AH36:AI37"/>
    <mergeCell ref="AJ36:AK37"/>
    <mergeCell ref="AL36:AN37"/>
    <mergeCell ref="AO36:AQ37"/>
    <mergeCell ref="BF38:BF39"/>
    <mergeCell ref="BG38:BG39"/>
    <mergeCell ref="AU38:AU39"/>
    <mergeCell ref="AV38:AV39"/>
    <mergeCell ref="AW38:AW39"/>
    <mergeCell ref="AX38:AX39"/>
    <mergeCell ref="AY38:AY39"/>
    <mergeCell ref="AZ38:AZ39"/>
    <mergeCell ref="AD38:AE39"/>
    <mergeCell ref="AF38:AG39"/>
    <mergeCell ref="AH38:AI39"/>
    <mergeCell ref="AJ38:AK39"/>
    <mergeCell ref="AL38:AN39"/>
    <mergeCell ref="AO38:AQ39"/>
    <mergeCell ref="O34:Q35"/>
    <mergeCell ref="R34:T35"/>
    <mergeCell ref="U34:V35"/>
    <mergeCell ref="W34:X35"/>
    <mergeCell ref="Y34:Z35"/>
    <mergeCell ref="AA34:AC35"/>
    <mergeCell ref="O36:Q37"/>
    <mergeCell ref="R36:T37"/>
    <mergeCell ref="U36:V37"/>
    <mergeCell ref="W36:X37"/>
    <mergeCell ref="Y36:Z37"/>
    <mergeCell ref="AA36:AC37"/>
    <mergeCell ref="BE36:BE37"/>
    <mergeCell ref="BE38:BE39"/>
    <mergeCell ref="B36:B37"/>
    <mergeCell ref="C36:D37"/>
    <mergeCell ref="E36:G37"/>
    <mergeCell ref="H36:J37"/>
    <mergeCell ref="K36:L37"/>
    <mergeCell ref="M36:N37"/>
    <mergeCell ref="BA34:BA35"/>
    <mergeCell ref="BB34:BB35"/>
    <mergeCell ref="BC34:BC35"/>
    <mergeCell ref="BD34:BD35"/>
    <mergeCell ref="B34:B35"/>
    <mergeCell ref="C34:D35"/>
    <mergeCell ref="E34:G35"/>
    <mergeCell ref="H34:J35"/>
    <mergeCell ref="K34:L35"/>
    <mergeCell ref="M34:N35"/>
    <mergeCell ref="BA36:BA37"/>
    <mergeCell ref="BB36:BB37"/>
    <mergeCell ref="BF32:BF33"/>
    <mergeCell ref="BG32:BG33"/>
    <mergeCell ref="AU32:AU33"/>
    <mergeCell ref="AV32:AV33"/>
    <mergeCell ref="AW32:AW33"/>
    <mergeCell ref="AX32:AX33"/>
    <mergeCell ref="AY32:AY33"/>
    <mergeCell ref="AZ32:AZ33"/>
    <mergeCell ref="AD32:AE33"/>
    <mergeCell ref="AF32:AG33"/>
    <mergeCell ref="AH32:AI33"/>
    <mergeCell ref="AJ32:AK33"/>
    <mergeCell ref="AL32:AN33"/>
    <mergeCell ref="AO32:AQ33"/>
    <mergeCell ref="BF34:BF35"/>
    <mergeCell ref="BG34:BG35"/>
    <mergeCell ref="AU34:AU35"/>
    <mergeCell ref="AV34:AV35"/>
    <mergeCell ref="AW34:AW35"/>
    <mergeCell ref="AX34:AX35"/>
    <mergeCell ref="AY34:AY35"/>
    <mergeCell ref="AZ34:AZ35"/>
    <mergeCell ref="AD34:AE35"/>
    <mergeCell ref="AF34:AG35"/>
    <mergeCell ref="AH34:AI35"/>
    <mergeCell ref="AJ34:AK35"/>
    <mergeCell ref="AL34:AN35"/>
    <mergeCell ref="AO34:AQ35"/>
    <mergeCell ref="U30:V31"/>
    <mergeCell ref="W30:X31"/>
    <mergeCell ref="Y30:Z31"/>
    <mergeCell ref="AA30:AC31"/>
    <mergeCell ref="O32:Q33"/>
    <mergeCell ref="R32:T33"/>
    <mergeCell ref="U32:V33"/>
    <mergeCell ref="W32:X33"/>
    <mergeCell ref="Y32:Z33"/>
    <mergeCell ref="AA32:AC33"/>
    <mergeCell ref="BE32:BE33"/>
    <mergeCell ref="BE34:BE35"/>
    <mergeCell ref="B32:B33"/>
    <mergeCell ref="C32:D33"/>
    <mergeCell ref="E32:G33"/>
    <mergeCell ref="H32:J33"/>
    <mergeCell ref="K32:L33"/>
    <mergeCell ref="M32:N33"/>
    <mergeCell ref="BA30:BA31"/>
    <mergeCell ref="BB30:BB31"/>
    <mergeCell ref="BC30:BC31"/>
    <mergeCell ref="BD30:BD31"/>
    <mergeCell ref="B30:B31"/>
    <mergeCell ref="C30:D31"/>
    <mergeCell ref="E30:G31"/>
    <mergeCell ref="H30:J31"/>
    <mergeCell ref="K30:L31"/>
    <mergeCell ref="M30:N31"/>
    <mergeCell ref="BA32:BA33"/>
    <mergeCell ref="BB32:BB33"/>
    <mergeCell ref="BC32:BC33"/>
    <mergeCell ref="BD32:BD33"/>
    <mergeCell ref="BF28:BF29"/>
    <mergeCell ref="BG28:BG29"/>
    <mergeCell ref="AU28:AU29"/>
    <mergeCell ref="AV28:AV29"/>
    <mergeCell ref="AW28:AW29"/>
    <mergeCell ref="AX28:AX29"/>
    <mergeCell ref="AY28:AY29"/>
    <mergeCell ref="AZ28:AZ29"/>
    <mergeCell ref="AD28:AE29"/>
    <mergeCell ref="AF28:AG29"/>
    <mergeCell ref="AH28:AI29"/>
    <mergeCell ref="AJ28:AK29"/>
    <mergeCell ref="AL28:AN29"/>
    <mergeCell ref="AO28:AQ29"/>
    <mergeCell ref="BF30:BF31"/>
    <mergeCell ref="BG30:BG31"/>
    <mergeCell ref="AU30:AU31"/>
    <mergeCell ref="AV30:AV31"/>
    <mergeCell ref="AW30:AW31"/>
    <mergeCell ref="AX30:AX31"/>
    <mergeCell ref="AY30:AY31"/>
    <mergeCell ref="AZ30:AZ31"/>
    <mergeCell ref="AD30:AE31"/>
    <mergeCell ref="AF30:AG31"/>
    <mergeCell ref="AH30:AI31"/>
    <mergeCell ref="AJ30:AK31"/>
    <mergeCell ref="AL30:AN31"/>
    <mergeCell ref="AO30:AQ31"/>
    <mergeCell ref="Y26:Z27"/>
    <mergeCell ref="AA26:AC27"/>
    <mergeCell ref="O28:Q29"/>
    <mergeCell ref="R28:T29"/>
    <mergeCell ref="U28:V29"/>
    <mergeCell ref="W28:X29"/>
    <mergeCell ref="Y28:Z29"/>
    <mergeCell ref="AA28:AC29"/>
    <mergeCell ref="BE28:BE29"/>
    <mergeCell ref="BE30:BE31"/>
    <mergeCell ref="B28:B29"/>
    <mergeCell ref="C28:D29"/>
    <mergeCell ref="E28:G29"/>
    <mergeCell ref="H28:J29"/>
    <mergeCell ref="K28:L29"/>
    <mergeCell ref="M28:N29"/>
    <mergeCell ref="BA26:BA27"/>
    <mergeCell ref="BB26:BB27"/>
    <mergeCell ref="BC26:BC27"/>
    <mergeCell ref="BD26:BD27"/>
    <mergeCell ref="B26:B27"/>
    <mergeCell ref="C26:D27"/>
    <mergeCell ref="E26:G27"/>
    <mergeCell ref="H26:J27"/>
    <mergeCell ref="K26:L27"/>
    <mergeCell ref="M26:N27"/>
    <mergeCell ref="BA28:BA29"/>
    <mergeCell ref="BB28:BB29"/>
    <mergeCell ref="BC28:BC29"/>
    <mergeCell ref="BD28:BD29"/>
    <mergeCell ref="O30:Q31"/>
    <mergeCell ref="R30:T31"/>
    <mergeCell ref="BF24:BF25"/>
    <mergeCell ref="BG24:BG25"/>
    <mergeCell ref="AU24:AU25"/>
    <mergeCell ref="AV24:AV25"/>
    <mergeCell ref="AW24:AW25"/>
    <mergeCell ref="AX24:AX25"/>
    <mergeCell ref="AY24:AY25"/>
    <mergeCell ref="AZ24:AZ25"/>
    <mergeCell ref="AD24:AE25"/>
    <mergeCell ref="AF24:AG25"/>
    <mergeCell ref="AH24:AI25"/>
    <mergeCell ref="AJ24:AK25"/>
    <mergeCell ref="AL24:AN25"/>
    <mergeCell ref="AO24:AQ25"/>
    <mergeCell ref="BF26:BF27"/>
    <mergeCell ref="BG26:BG27"/>
    <mergeCell ref="AU26:AU27"/>
    <mergeCell ref="AV26:AV27"/>
    <mergeCell ref="AW26:AW27"/>
    <mergeCell ref="AX26:AX27"/>
    <mergeCell ref="AY26:AY27"/>
    <mergeCell ref="AZ26:AZ27"/>
    <mergeCell ref="AD26:AE27"/>
    <mergeCell ref="AF26:AG27"/>
    <mergeCell ref="AH26:AI27"/>
    <mergeCell ref="AJ26:AK27"/>
    <mergeCell ref="AL26:AN27"/>
    <mergeCell ref="AO26:AQ27"/>
    <mergeCell ref="O24:Q25"/>
    <mergeCell ref="R24:T25"/>
    <mergeCell ref="U24:V25"/>
    <mergeCell ref="W24:X25"/>
    <mergeCell ref="Y24:Z25"/>
    <mergeCell ref="AA24:AC25"/>
    <mergeCell ref="BE24:BE25"/>
    <mergeCell ref="BE26:BE27"/>
    <mergeCell ref="B24:B25"/>
    <mergeCell ref="C24:D25"/>
    <mergeCell ref="E24:G25"/>
    <mergeCell ref="H24:J25"/>
    <mergeCell ref="K24:L25"/>
    <mergeCell ref="M24:N25"/>
    <mergeCell ref="BA22:BA23"/>
    <mergeCell ref="BB22:BB23"/>
    <mergeCell ref="BC22:BC23"/>
    <mergeCell ref="BD22:BD23"/>
    <mergeCell ref="B22:B23"/>
    <mergeCell ref="C22:D23"/>
    <mergeCell ref="E22:G23"/>
    <mergeCell ref="H22:J23"/>
    <mergeCell ref="K22:L23"/>
    <mergeCell ref="M22:N23"/>
    <mergeCell ref="BA24:BA25"/>
    <mergeCell ref="BB24:BB25"/>
    <mergeCell ref="BC24:BC25"/>
    <mergeCell ref="BD24:BD25"/>
    <mergeCell ref="O26:Q27"/>
    <mergeCell ref="R26:T27"/>
    <mergeCell ref="U26:V27"/>
    <mergeCell ref="W26:X27"/>
    <mergeCell ref="BF20:BF21"/>
    <mergeCell ref="BG20:BG21"/>
    <mergeCell ref="AU20:AU21"/>
    <mergeCell ref="AV20:AV21"/>
    <mergeCell ref="AW20:AW21"/>
    <mergeCell ref="AX20:AX21"/>
    <mergeCell ref="AY20:AY21"/>
    <mergeCell ref="AZ20:AZ21"/>
    <mergeCell ref="AD20:AE21"/>
    <mergeCell ref="AF20:AG21"/>
    <mergeCell ref="AH20:AI21"/>
    <mergeCell ref="AJ20:AK21"/>
    <mergeCell ref="AL20:AN21"/>
    <mergeCell ref="AO20:AQ21"/>
    <mergeCell ref="BF22:BF23"/>
    <mergeCell ref="BG22:BG23"/>
    <mergeCell ref="AU22:AU23"/>
    <mergeCell ref="AV22:AV23"/>
    <mergeCell ref="AW22:AW23"/>
    <mergeCell ref="AX22:AX23"/>
    <mergeCell ref="AY22:AY23"/>
    <mergeCell ref="AZ22:AZ23"/>
    <mergeCell ref="AD22:AE23"/>
    <mergeCell ref="AF22:AG23"/>
    <mergeCell ref="AH22:AI23"/>
    <mergeCell ref="AJ22:AK23"/>
    <mergeCell ref="AL22:AN23"/>
    <mergeCell ref="AO22:AQ23"/>
    <mergeCell ref="O20:Q21"/>
    <mergeCell ref="R20:T21"/>
    <mergeCell ref="U20:V21"/>
    <mergeCell ref="W20:X21"/>
    <mergeCell ref="Y20:Z21"/>
    <mergeCell ref="AA20:AC21"/>
    <mergeCell ref="BE20:BE21"/>
    <mergeCell ref="BE22:BE23"/>
    <mergeCell ref="B20:B21"/>
    <mergeCell ref="C20:D21"/>
    <mergeCell ref="E20:G21"/>
    <mergeCell ref="H20:J21"/>
    <mergeCell ref="K20:L21"/>
    <mergeCell ref="M20:N21"/>
    <mergeCell ref="BA18:BA19"/>
    <mergeCell ref="BB18:BB19"/>
    <mergeCell ref="BC18:BC19"/>
    <mergeCell ref="BD18:BD19"/>
    <mergeCell ref="B18:B19"/>
    <mergeCell ref="C18:D19"/>
    <mergeCell ref="BA20:BA21"/>
    <mergeCell ref="BB20:BB21"/>
    <mergeCell ref="BC20:BC21"/>
    <mergeCell ref="BD20:BD21"/>
    <mergeCell ref="O22:Q23"/>
    <mergeCell ref="R22:T23"/>
    <mergeCell ref="U22:V23"/>
    <mergeCell ref="W22:X23"/>
    <mergeCell ref="Y22:Z23"/>
    <mergeCell ref="AA22:AC23"/>
    <mergeCell ref="BF18:BF19"/>
    <mergeCell ref="BG18:BG19"/>
    <mergeCell ref="AU18:AU19"/>
    <mergeCell ref="AV18:AV19"/>
    <mergeCell ref="AW18:AW19"/>
    <mergeCell ref="AX18:AX19"/>
    <mergeCell ref="AY18:AY19"/>
    <mergeCell ref="AZ18:AZ19"/>
    <mergeCell ref="AD18:AE19"/>
    <mergeCell ref="AF18:AG19"/>
    <mergeCell ref="AH18:AI19"/>
    <mergeCell ref="AJ18:AK19"/>
    <mergeCell ref="AL18:AN19"/>
    <mergeCell ref="AO18:AQ19"/>
    <mergeCell ref="O18:Q19"/>
    <mergeCell ref="R18:T19"/>
    <mergeCell ref="U18:V19"/>
    <mergeCell ref="W18:X19"/>
    <mergeCell ref="Y18:Z19"/>
    <mergeCell ref="AA18:AC19"/>
    <mergeCell ref="B16:B17"/>
    <mergeCell ref="C16:D17"/>
    <mergeCell ref="E16:G17"/>
    <mergeCell ref="H16:J17"/>
    <mergeCell ref="K16:L17"/>
    <mergeCell ref="M16:N17"/>
    <mergeCell ref="E18:G19"/>
    <mergeCell ref="H18:J19"/>
    <mergeCell ref="K18:L19"/>
    <mergeCell ref="M18:N19"/>
    <mergeCell ref="BA16:BA17"/>
    <mergeCell ref="BB16:BB17"/>
    <mergeCell ref="BC16:BC17"/>
    <mergeCell ref="BD16:BD17"/>
    <mergeCell ref="BF16:BF17"/>
    <mergeCell ref="BG16:BG17"/>
    <mergeCell ref="AU16:AU17"/>
    <mergeCell ref="AV16:AV17"/>
    <mergeCell ref="AW16:AW17"/>
    <mergeCell ref="AX16:AX17"/>
    <mergeCell ref="AY16:AY17"/>
    <mergeCell ref="AZ16:AZ17"/>
    <mergeCell ref="AD16:AE17"/>
    <mergeCell ref="AF16:AG17"/>
    <mergeCell ref="AH16:AI17"/>
    <mergeCell ref="AJ16:AK17"/>
    <mergeCell ref="AL16:AN17"/>
    <mergeCell ref="AO16:AQ17"/>
    <mergeCell ref="O16:Q17"/>
    <mergeCell ref="R16:T17"/>
    <mergeCell ref="U16:V17"/>
    <mergeCell ref="W16:X17"/>
    <mergeCell ref="BE16:BE17"/>
    <mergeCell ref="BE18:BE19"/>
    <mergeCell ref="J11:Q13"/>
    <mergeCell ref="R11:U11"/>
    <mergeCell ref="V11:Y11"/>
    <mergeCell ref="Z11:AC11"/>
    <mergeCell ref="R12:U13"/>
    <mergeCell ref="V12:Y13"/>
    <mergeCell ref="Z12:AC13"/>
    <mergeCell ref="AH1:AK1"/>
    <mergeCell ref="AL1:AP1"/>
    <mergeCell ref="AQ1:AR1"/>
    <mergeCell ref="AH2:AK3"/>
    <mergeCell ref="AL2:AP3"/>
    <mergeCell ref="AQ2:AR3"/>
    <mergeCell ref="C15:L15"/>
    <mergeCell ref="Q1:R1"/>
    <mergeCell ref="U1:V1"/>
    <mergeCell ref="Y1:Z1"/>
    <mergeCell ref="Y16:Z17"/>
    <mergeCell ref="AA16:AC17"/>
    <mergeCell ref="O15:AG15"/>
    <mergeCell ref="AH15:AK15"/>
    <mergeCell ref="AL15:AQ15"/>
    <mergeCell ref="O9:AF10"/>
  </mergeCells>
  <conditionalFormatting sqref="E18 E20 E22 E24 E26 E28 E30">
    <cfRule type="expression" dxfId="431" priority="21">
      <formula>AND(ISBLANK($C18)=FALSE,OR(ISBLANK(E18)=TRUE,E18=""))</formula>
    </cfRule>
  </conditionalFormatting>
  <conditionalFormatting sqref="E32 E34 E36 E38 E40 E44 E46 E48 E50 E52 E54 E56 E58 E60 E62 E64 E66 E68 E70 E72 E74 E76">
    <cfRule type="expression" dxfId="430" priority="88">
      <formula>AND(ISBLANK($C32)=FALSE,OR(ISBLANK(E32)=TRUE,E32=""))</formula>
    </cfRule>
  </conditionalFormatting>
  <conditionalFormatting sqref="H18 H20 H22 H24 H26 H28 H30">
    <cfRule type="expression" dxfId="429" priority="19">
      <formula>AND(ISBLANK($C18)=FALSE,OR(ISBLANK(H18)=TRUE,H18=""))</formula>
    </cfRule>
  </conditionalFormatting>
  <conditionalFormatting sqref="H32 H34 H36 H38 H40 H44 H46 H48 H50 H52 H54 H56 H58 H60 H62 H64 H66 H68 H70 H72 H74 H76">
    <cfRule type="expression" dxfId="428" priority="52">
      <formula>AND(ISBLANK($C32)=FALSE,OR(ISBLANK(H32)=TRUE,H32=""))</formula>
    </cfRule>
  </conditionalFormatting>
  <conditionalFormatting sqref="H42">
    <cfRule type="expression" dxfId="427" priority="45">
      <formula>AND(ISBLANK($C42)=FALSE,OR(ISBLANK(H42)=TRUE,H42=""))</formula>
    </cfRule>
  </conditionalFormatting>
  <conditionalFormatting sqref="K18 K20 K22 K24 K26 K28 K30">
    <cfRule type="expression" dxfId="426" priority="20">
      <formula>AND(ISBLANK($C18)=FALSE,OR(ISBLANK(K18)=TRUE,K18=""))</formula>
    </cfRule>
  </conditionalFormatting>
  <conditionalFormatting sqref="K32 K34 K36 K38 K40 K44 K46 K48 K50 K52 K54 K56 K58 K60 K62 K64 K66 K68 K70 K72 K74 K76">
    <cfRule type="expression" dxfId="425" priority="86">
      <formula>AND(ISBLANK($C32)=FALSE,OR(ISBLANK(K32)=TRUE,K32=""))</formula>
    </cfRule>
  </conditionalFormatting>
  <conditionalFormatting sqref="K42">
    <cfRule type="expression" dxfId="424" priority="44">
      <formula>AND(ISBLANK($C42)=FALSE,OR(ISBLANK(K42)=TRUE,K42=""))</formula>
    </cfRule>
  </conditionalFormatting>
  <conditionalFormatting sqref="M18 M20 M22 M24 M26 M28 M30 M32 M34 M36 M38 M40 M42 M44 M46 M48 M50 M52 M54 M56 M58 M60 M62 M64 M66 M68 M70 M72 M74 M76">
    <cfRule type="expression" dxfId="423" priority="98">
      <formula>M18&lt;&gt;INDEX(CMELIGHTBASEW,MATCH(E18,CMELIGHTBASE1,0))</formula>
    </cfRule>
    <cfRule type="expression" dxfId="422" priority="99">
      <formula>AND(M18&lt;&gt;"",ISNUMBER(SEARCH("Other",E18)))</formula>
    </cfRule>
  </conditionalFormatting>
  <conditionalFormatting sqref="O9">
    <cfRule type="expression" dxfId="421" priority="364">
      <formula>ISNUMBER(SEARCH("Inspection",$O$9))</formula>
    </cfRule>
  </conditionalFormatting>
  <conditionalFormatting sqref="O18 O20 O22 O24 O26 O28 O30">
    <cfRule type="expression" dxfId="420" priority="18">
      <formula>AND(ISBLANK($C18)=FALSE,OR(ISBLANK(O18)=TRUE,O18=""))</formula>
    </cfRule>
  </conditionalFormatting>
  <conditionalFormatting sqref="O32 O34 O36 O38 O40 O42 O44 O46 O48 O50 O52 O54 O56 O58 O60 O62 O64 O66 O68 O70 O72 O74 O76">
    <cfRule type="expression" dxfId="419" priority="85">
      <formula>AND(ISBLANK($C32)=FALSE,OR(ISBLANK(O32)=TRUE,O32=""))</formula>
    </cfRule>
  </conditionalFormatting>
  <conditionalFormatting sqref="R18 R20 R22 R24 R26 R28 R30">
    <cfRule type="expression" dxfId="418" priority="16">
      <formula>AND(ISBLANK($C18)=FALSE,OR(ISBLANK(R18)=TRUE,R18=""))</formula>
    </cfRule>
    <cfRule type="expression" dxfId="417" priority="17">
      <formula>AND(ISBLANK($O18)=FALSE,OR(ISBLANK(R18)=TRUE,R18=""))</formula>
    </cfRule>
  </conditionalFormatting>
  <conditionalFormatting sqref="R32 R34 R36 R38 R40 R42 R44 R46 R48 R50 R52 R54 R56 R58 R60 R62 R64 R66 R68 R70 R72 R74 R76">
    <cfRule type="expression" dxfId="416" priority="83">
      <formula>AND(ISBLANK($O32)=FALSE,OR(ISBLANK(R32)=TRUE,R32=""))</formula>
    </cfRule>
    <cfRule type="expression" dxfId="415" priority="81">
      <formula>AND(ISBLANK($C32)=FALSE,OR(ISBLANK(R32)=TRUE,R32=""))</formula>
    </cfRule>
  </conditionalFormatting>
  <conditionalFormatting sqref="U18 U20 U22 U24 U26 U28 U30">
    <cfRule type="expression" dxfId="414" priority="14">
      <formula>AND(ISBLANK($C18)=FALSE,OR(ISBLANK(U18)=TRUE,U18=""))</formula>
    </cfRule>
    <cfRule type="expression" dxfId="413" priority="15">
      <formula>AND(ISBLANK($O18)=FALSE,OR(ISBLANK(U18)=TRUE,U18=""))</formula>
    </cfRule>
  </conditionalFormatting>
  <conditionalFormatting sqref="U32 U34 U36 U38 U40 U42 U44 U46 U48 U50 U52 U54 U56 U58 U60 U62 U64 U66 U68 U70 U72 U74 U76">
    <cfRule type="expression" dxfId="412" priority="77">
      <formula>AND(ISBLANK($O32)=FALSE,OR(ISBLANK(U32)=TRUE,U32=""))</formula>
    </cfRule>
    <cfRule type="expression" dxfId="411" priority="76">
      <formula>AND(ISBLANK($C32)=FALSE,OR(ISBLANK(U32)=TRUE,U32=""))</formula>
    </cfRule>
  </conditionalFormatting>
  <conditionalFormatting sqref="W18:X77">
    <cfRule type="expression" dxfId="410" priority="74">
      <formula>AND(ISBLANK($C18)=FALSE,OR(ISBLANK(W18)=TRUE,W18=""))</formula>
    </cfRule>
    <cfRule type="expression" dxfId="409" priority="73">
      <formula>AND(ISBLANK($O18)=FALSE,OR(ISBLANK(W18)=TRUE,W18=""))</formula>
    </cfRule>
  </conditionalFormatting>
  <conditionalFormatting sqref="Y18 Y20 Y22 Y24 Y26 Y28 Y30">
    <cfRule type="expression" dxfId="408" priority="10">
      <formula>AND(ISBLANK($C18)=FALSE,OR(ISBLANK(Y18)=TRUE,Y18=""))</formula>
    </cfRule>
  </conditionalFormatting>
  <conditionalFormatting sqref="Y18 AD18 Y20 AD20 Y22 AD22 Y24 AD24 Y26 AD26 Y28 AD28 Y30 AD30">
    <cfRule type="expression" dxfId="407" priority="11">
      <formula>AND(ISBLANK($O18)=FALSE,OR(ISBLANK(Y18)=TRUE,Y18=""))</formula>
    </cfRule>
  </conditionalFormatting>
  <conditionalFormatting sqref="Y32 Y34 Y36 Y38 Y40 Y44 Y46 Y48 Y50 Y52 Y54 Y56 Y58 Y60 Y62 Y64 Y66 Y68 Y70 Y72 Y74 Y76">
    <cfRule type="expression" dxfId="406" priority="62">
      <formula>AND(ISBLANK($C32)=FALSE,OR(ISBLANK(Y32)=TRUE,Y32=""))</formula>
    </cfRule>
  </conditionalFormatting>
  <conditionalFormatting sqref="Y32 AD32 Y34 AD34 Y36 AD36 Y38 AD38 Y40 AD40 Y44 AD44 Y46 AD46 Y48 AD48 Y50 AD50 Y52 AD52 Y54 AD54 Y56 AD56 Y58 AD58 Y60 AD60 Y62 AD62 Y64 AD64 Y66 AD66 Y68 AD68 Y70 AD70 Y72 AD72 Y74 AD74 Y76 AD76">
    <cfRule type="expression" dxfId="405" priority="63">
      <formula>AND(ISBLANK($O32)=FALSE,OR(ISBLANK(Y32)=TRUE,Y32=""))</formula>
    </cfRule>
  </conditionalFormatting>
  <conditionalFormatting sqref="Y42 AD42">
    <cfRule type="expression" dxfId="404" priority="32">
      <formula>AND(ISBLANK($O42)=FALSE,OR(ISBLANK(Y42)=TRUE,Y42=""))</formula>
    </cfRule>
  </conditionalFormatting>
  <conditionalFormatting sqref="Y42">
    <cfRule type="expression" dxfId="403" priority="31">
      <formula>AND(ISBLANK($C42)=FALSE,OR(ISBLANK(Y42)=TRUE,Y42=""))</formula>
    </cfRule>
  </conditionalFormatting>
  <conditionalFormatting sqref="AA18 AA20 AA22 AA24 AA26 AA28 AA30">
    <cfRule type="expression" dxfId="402" priority="9">
      <formula>AND(ISBLANK($O18)=FALSE,OR(ISBLANK(AA18)=TRUE,AA18=""))</formula>
    </cfRule>
    <cfRule type="expression" dxfId="401" priority="8">
      <formula>AND(ISBLANK($C18)=FALSE,OR(ISBLANK(AA18)=TRUE,AA18=""))</formula>
    </cfRule>
  </conditionalFormatting>
  <conditionalFormatting sqref="AA32 AA34 AA36 AA38 AA40 AA44 AA46 AA48 AA50 AA52 AA54 AA56 AA58 AA60 AA62 AA64 AA66 AA68 AA70 AA72 AA74 AA76">
    <cfRule type="expression" dxfId="400" priority="61">
      <formula>AND(ISBLANK($O32)=FALSE,OR(ISBLANK(AA32)=TRUE,AA32=""))</formula>
    </cfRule>
    <cfRule type="expression" dxfId="399" priority="60">
      <formula>AND(ISBLANK($C32)=FALSE,OR(ISBLANK(AA32)=TRUE,AA32=""))</formula>
    </cfRule>
  </conditionalFormatting>
  <conditionalFormatting sqref="AA42">
    <cfRule type="expression" dxfId="398" priority="30">
      <formula>AND(ISBLANK($O42)=FALSE,OR(ISBLANK(AA42)=TRUE,AA42=""))</formula>
    </cfRule>
    <cfRule type="expression" dxfId="397" priority="29">
      <formula>AND(ISBLANK($C42)=FALSE,OR(ISBLANK(AA42)=TRUE,AA42=""))</formula>
    </cfRule>
  </conditionalFormatting>
  <conditionalFormatting sqref="AD18:AK77">
    <cfRule type="expression" dxfId="396" priority="2">
      <formula>AND(ISBLANK($C18)=FALSE,OR(ISBLANK(AD18)=TRUE,AD18=""))</formula>
    </cfRule>
  </conditionalFormatting>
  <conditionalFormatting sqref="AF18:AK77">
    <cfRule type="expression" dxfId="395" priority="1">
      <formula>AND(ISBLANK($O18)=FALSE,OR(ISBLANK(AF18)=TRUE,AF18=""))</formula>
    </cfRule>
  </conditionalFormatting>
  <conditionalFormatting sqref="AH2 AL2">
    <cfRule type="expression" dxfId="394" priority="68">
      <formula>PROJSTATUS=PROJSTATELI</formula>
    </cfRule>
    <cfRule type="expression" dxfId="393" priority="69">
      <formula>PROJSTATUS=PROJSTATREVIEW</formula>
    </cfRule>
    <cfRule type="expression" dxfId="392" priority="70">
      <formula>PROJSTATUS=PROJSTATPREAPPROVE</formula>
    </cfRule>
    <cfRule type="expression" dxfId="391" priority="71">
      <formula>PROJSTATUS=PROJSTATSTANDARD</formula>
    </cfRule>
    <cfRule type="expression" dxfId="390" priority="72">
      <formula>PROJSTATUS=PROJSTATEXP</formula>
    </cfRule>
  </conditionalFormatting>
  <conditionalFormatting sqref="AO18 AO20 AO22 AO24 AO26 AO28 AO30 AO32 AO34 AO36 AO38 AO40 AO42 AO44 AO46 AO48 AO50 AO52 AO54 AO56 AO58 AO60 AO62 AO64 AO66 AO68 AO70 AO72 AO74 AO76">
    <cfRule type="expression" dxfId="389" priority="75" stopIfTrue="1">
      <formula>NOT(ISNUMBER(AO18))</formula>
    </cfRule>
  </conditionalFormatting>
  <conditionalFormatting sqref="AO18:AQ77">
    <cfRule type="expression" dxfId="388" priority="89">
      <formula>$BG18="Yes"</formula>
    </cfRule>
  </conditionalFormatting>
  <conditionalFormatting sqref="AQ2:AR3">
    <cfRule type="cellIs" dxfId="387" priority="93" operator="between">
      <formula>0.51</formula>
      <formula>0.99</formula>
    </cfRule>
    <cfRule type="cellIs" dxfId="386" priority="94" operator="lessThanOrEqual">
      <formula>0.5</formula>
    </cfRule>
    <cfRule type="cellIs" dxfId="385" priority="92" operator="equal">
      <formula>1</formula>
    </cfRule>
  </conditionalFormatting>
  <dataValidations xWindow="276" yWindow="611" count="16">
    <dataValidation type="decimal" operator="greaterThanOrEqual" allowBlank="1" showInputMessage="1" showErrorMessage="1" prompt="Enter material or labor cost per NEW FIXTURE._x000a__x000a_For in house installs estimate labor cost." sqref="AJ18 AJ20 AJ22 AJ24 AJ26 AJ28 AJ30 AJ32 AJ34 AJ36 AJ38 AJ40 AJ76 AJ44 AJ46 AJ48 AJ50 AJ52 AJ54 AJ56 AJ58 AJ60 AJ62 AJ64 AJ66 AJ68 AJ70 AJ72 AJ74 AJ42" xr:uid="{4C3CF0E9-0A52-4B0D-90C9-8C2E49607CF5}">
      <formula1>0</formula1>
    </dataValidation>
    <dataValidation type="decimal" operator="greaterThanOrEqual" allowBlank="1" showInputMessage="1" showErrorMessage="1" prompt="Enter material or labor cost per NEW FIXTURE._x000a__x000a_For in house installs estimate labor cost." sqref="AH18 AH20 AH22 AH24 AH26 AH28 AH30 AH32 AH34 AH36 AH38 AH40 AH76 AH44 AH46 AH48 AH50 AH52 AH54 AH56 AH58 AH60 AH62 AH64 AH66 AH68 AH70 AH72 AH74 AH42" xr:uid="{E7FF4301-E798-4471-B859-91F68525EA7C}">
      <formula1>1</formula1>
    </dataValidation>
    <dataValidation type="whole" operator="greaterThanOrEqual" allowBlank="1" showInputMessage="1" showErrorMessage="1" prompt="Enter the TOTAL watts of the new FIXTURE_x000a__x000a_For Type A lamps: Please use the SYSTEM WATTS (including ballast factor and driver losses) from manufacturer documentation. If it does not include this information, please add 2W per lamp to the nominal wattage_x000a_" sqref="Y18:Z77" xr:uid="{015DB32F-75B3-4390-8EF4-02ACF3D9CC4F}">
      <formula1>1</formula1>
    </dataValidation>
    <dataValidation allowBlank="1" showInputMessage="1" showErrorMessage="1" prompt="Provide a brief description of the new LED's brand, model, and part number, if applicable" sqref="R18 R20 R22 R24 R26 R28 R30 R32 R34 R36 R38 R40 R42 R44 R46 R48 R50 R52 R54 R56 R58 R60 R62 R64 R66 R68 R70 R72 R74 R76" xr:uid="{FE8F4B13-1746-4FCE-9EBE-BC79E5102152}"/>
    <dataValidation type="list" showInputMessage="1" showErrorMessage="1" sqref="C18 C20 C22 C24 C26 C28 C30 C32 C34 C36 C38 C40 C76 C44 C46 C48 C50 C52 C54 C56 C58 C60 C62 C64 C66 C68 C70 C72 C74 C42" xr:uid="{F9EE44F5-D519-4485-83D0-9FB6EFCA1051}">
      <formula1>IF(ISBLANK($E18),LINFIXTTYPE)</formula1>
    </dataValidation>
    <dataValidation type="whole" allowBlank="1" showInputMessage="1" showErrorMessage="1" sqref="AD18 AD20 AD22 AD24 AD26 AD28 AD30 AD32 AD34 AD36 AD38 AD40 AD76 AD44 AD46 AD48 AD50 AD52 AD54 AD56 AD58 AD60 AD62 AD64 AD66 AD68 AD70 AD72 AD74 AD42" xr:uid="{00742ED3-1C00-46CF-8C93-FB4ECEDBC0FE}">
      <formula1>1</formula1>
      <formula2>8760</formula2>
    </dataValidation>
    <dataValidation allowBlank="1" showInputMessage="1" showErrorMessage="1" prompt="Provide a brief description of where the lights are, e.g., &quot;1st Floor Hall&quot;, &quot;Office&quot;, &quot;Machine Shop&quot;, etc." sqref="AA18 AA20 AA22 AA24 AA26 AA28 AA30 AA32 AA34 AA36 AA38 AA40 AA76 AA44 AA46 AA48 AA50 AA52 AA54 AA56 AA58 AA60 AA62 AA64 AA66 AA68 AA70 AA72 AA74 AA42" xr:uid="{DD1726C1-D0DF-4EEB-84CC-7586ADE234F9}"/>
    <dataValidation type="whole" operator="greaterThanOrEqual" allowBlank="1" showInputMessage="1" showErrorMessage="1" sqref="M76 M18 M74 M20 M22 M24 M26 M28 M30 M32 M34 M36 M38 M40 M42 M44 M46 M48 M50 M52 M54 M56 M58 M60 M62 M64 M66 M68 M70 M72" xr:uid="{FB7F3694-50F3-44AF-934C-C08FEF88F283}">
      <formula1>1</formula1>
    </dataValidation>
    <dataValidation type="list" allowBlank="1" showInputMessage="1" showErrorMessage="1" prompt="Choose from existing fixture type options." sqref="E18:G41 E44:G77" xr:uid="{E9A4A518-69DC-402C-9B32-559A00E74C50}">
      <formula1>LINFIXTDETPRE</formula1>
    </dataValidation>
    <dataValidation type="list" allowBlank="1" showInputMessage="1" showErrorMessage="1" prompt="Select the type of new LED lighting that is being installed or retrofitted." sqref="O18:Q77" xr:uid="{259386CC-A3F1-4E69-A101-BB9FAB8B1F35}">
      <formula1>LINLEDTYPE</formula1>
    </dataValidation>
    <dataValidation type="whole" operator="lessThanOrEqual" showInputMessage="1" showErrorMessage="1" error="Enter the number of lamps in each fixture as a whole number. If the unit is an integrated LED fixture, enter &quot;1.&quot; If you the new fixture will have more lamps than the baseline, you will need to select &quot;Retrofit Kit.&quot;" prompt="If the new LED lights are retrofitted lamps, enter the number of lamps in each fixture." sqref="W18:X77" xr:uid="{F626FF78-11D5-4063-96D8-37265814690F}">
      <formula1>12</formula1>
    </dataValidation>
    <dataValidation type="whole" operator="greaterThanOrEqual" allowBlank="1" showInputMessage="1" showErrorMessage="1" prompt="Enter the number of linear fluorescent fixtures currently installed." sqref="K18:L77" xr:uid="{6813828E-E5AA-4F9C-B83D-5B83ABF899F6}">
      <formula1>1</formula1>
    </dataValidation>
    <dataValidation type="list" operator="greaterThan" allowBlank="1" showInputMessage="1" prompt="A lamp life of 50,000 hours or greater is required to qualify for an incentive._x000a__x000a_If the specified lamp life is not in the drop-down list, you may enter it in this field." sqref="AF18:AG41 AF44:AG77" xr:uid="{0B7D60E4-70BE-4F80-BB51-4FB9584B60B7}">
      <formula1>"50000,60000,65000,75000,80000,100000"</formula1>
    </dataValidation>
    <dataValidation type="list" allowBlank="1" showInputMessage="1" showErrorMessage="1" sqref="BH18:BH77" xr:uid="{EB81C12B-F80B-4535-BE31-2520DCA14DF7}">
      <formula1>"1.0,1.07"</formula1>
    </dataValidation>
    <dataValidation type="list" allowBlank="1" showInputMessage="1" showErrorMessage="1" prompt="Choose from existing fixture type options." sqref="E42:G43" xr:uid="{C55A088D-2B72-4344-8082-2F0272673822}">
      <formula1>LINFIXTDETPA</formula1>
    </dataValidation>
    <dataValidation type="list" operator="greaterThanOrEqual" allowBlank="1" showInputMessage="1" error="A lamp life of 50,000 hours or greater is required to qualify for an incentive" prompt="A lamp life of 50,000 hours or greater is required to qualify for an incentive" sqref="AF42:AG43" xr:uid="{186D7FDA-B4D6-4EFD-A55F-C7CBA39C5432}">
      <formula1>"50000,60000,65000,75000,80000,100000"</formula1>
    </dataValidation>
  </dataValidations>
  <hyperlinks>
    <hyperlink ref="B202" r:id="rId1" display="NIPSCO.Savings@LMCO.com" xr:uid="{ECB91FD3-DB05-4406-945F-25950B5A5571}"/>
  </hyperlinks>
  <pageMargins left="0.25" right="0.25" top="0.25" bottom="0.25" header="0.25" footer="0.25"/>
  <pageSetup scale="53"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E7230-A15E-4F65-B77F-15C3965FAC4D}">
  <sheetPr codeName="Sheet48">
    <pageSetUpPr fitToPage="1"/>
  </sheetPr>
  <dimension ref="A1:BP203"/>
  <sheetViews>
    <sheetView showGridLines="0" showRowColHeaders="0" zoomScale="85" zoomScaleNormal="85" workbookViewId="0">
      <selection activeCell="AH6" sqref="AH6"/>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68" width="9.140625" style="69" hidden="1" customWidth="1"/>
    <col min="69" max="16384" width="9.140625" hidden="1"/>
  </cols>
  <sheetData>
    <row r="1" spans="2:62"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c r="AU1" s="519"/>
    </row>
    <row r="2" spans="2:62" ht="15.95" customHeight="1" x14ac:dyDescent="0.25">
      <c r="AH2" s="602" t="str">
        <f>INCENSTATUS</f>
        <v>---</v>
      </c>
      <c r="AI2" s="603"/>
      <c r="AJ2" s="603"/>
      <c r="AK2" s="603"/>
      <c r="AL2" s="613" t="str">
        <f ca="1">PROJSTATUS</f>
        <v>Enter Measures</v>
      </c>
      <c r="AM2" s="613"/>
      <c r="AN2" s="613"/>
      <c r="AO2" s="613"/>
      <c r="AP2" s="613"/>
      <c r="AQ2" s="608">
        <f ca="1">PROGRESSSTATUS</f>
        <v>0</v>
      </c>
      <c r="AR2" s="609"/>
      <c r="AU2" s="519"/>
    </row>
    <row r="3" spans="2:62" ht="15.95" customHeight="1" x14ac:dyDescent="0.25">
      <c r="AH3" s="604"/>
      <c r="AI3" s="605"/>
      <c r="AJ3" s="605"/>
      <c r="AK3" s="605"/>
      <c r="AL3" s="614"/>
      <c r="AM3" s="614"/>
      <c r="AN3" s="614"/>
      <c r="AO3" s="614"/>
      <c r="AP3" s="614"/>
      <c r="AQ3" s="610"/>
      <c r="AR3" s="611"/>
    </row>
    <row r="4" spans="2:62" ht="15.95" customHeight="1" x14ac:dyDescent="0.25"/>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581"/>
      <c r="AI6" s="581"/>
      <c r="AJ6" s="582"/>
      <c r="AK6" s="582"/>
      <c r="AL6" s="582"/>
      <c r="AM6" s="582"/>
      <c r="AN6" s="582"/>
      <c r="AO6" s="582"/>
      <c r="AP6" s="582"/>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582"/>
      <c r="AK7" s="582"/>
      <c r="AL7" s="582"/>
      <c r="AM7" s="582"/>
      <c r="AN7" s="582"/>
      <c r="AO7" s="582"/>
      <c r="AP7" s="582"/>
      <c r="AQ7" s="296"/>
    </row>
    <row r="8" spans="2:62" ht="15.95" customHeight="1" x14ac:dyDescent="0.25"/>
    <row r="9" spans="2:62" ht="15.95" customHeight="1" x14ac:dyDescent="0.25">
      <c r="B9" s="69"/>
      <c r="C9" s="69"/>
      <c r="D9" s="69"/>
      <c r="E9" s="69"/>
      <c r="F9" s="69"/>
      <c r="G9" s="69"/>
      <c r="H9" s="69"/>
      <c r="I9" s="69"/>
      <c r="J9" s="69"/>
      <c r="K9" s="69"/>
      <c r="L9" s="69"/>
      <c r="M9" s="69"/>
      <c r="N9" s="69"/>
      <c r="O9" s="794" t="str">
        <f>IF(INCENSTATUS="---",CONCATENATE(M3S3," ","Summary"),IF(INCENSTATUS&gt;15000,"This project may require an inspection. Please submit photos of existing equipment and of new efficient equipment once installed.",CONCATENATE(M3S3," ","Summary")))</f>
        <v>Interior HID to LED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62"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523"/>
      <c r="AH10" s="523"/>
      <c r="AI10" s="523"/>
      <c r="AJ10" s="69"/>
      <c r="AK10" s="69"/>
      <c r="AL10" s="69"/>
      <c r="AM10" s="69"/>
      <c r="AN10" s="69"/>
      <c r="AO10" s="69"/>
      <c r="AP10" s="69"/>
      <c r="AQ10" s="69"/>
      <c r="AR10" s="69"/>
    </row>
    <row r="11" spans="2:62" ht="15.95" customHeight="1" x14ac:dyDescent="0.3">
      <c r="B11" s="69"/>
      <c r="C11" s="69"/>
      <c r="D11" s="69"/>
      <c r="E11" s="69"/>
      <c r="F11" s="69"/>
      <c r="G11" s="69"/>
      <c r="H11" s="69"/>
      <c r="J11" s="1253" t="str">
        <f>IF(COUNTIF(BF18:BF77,"Yes")&gt;0,"The incentives for one or more measures are being capped at total measure cost","")</f>
        <v/>
      </c>
      <c r="K11" s="1253"/>
      <c r="L11" s="1253"/>
      <c r="M11" s="1253"/>
      <c r="N11" s="1253"/>
      <c r="O11" s="1253"/>
      <c r="P11" s="1253"/>
      <c r="Q11" s="1253"/>
      <c r="R11" s="1042" t="s">
        <v>68</v>
      </c>
      <c r="S11" s="1042"/>
      <c r="T11" s="1042"/>
      <c r="U11" s="1042"/>
      <c r="V11" s="1042" t="s">
        <v>69</v>
      </c>
      <c r="W11" s="1042"/>
      <c r="X11" s="1042"/>
      <c r="Y11" s="1042"/>
      <c r="Z11" s="1042" t="s">
        <v>70</v>
      </c>
      <c r="AA11" s="1042"/>
      <c r="AB11" s="1042"/>
      <c r="AC11" s="1042"/>
      <c r="AD11" s="1227" t="str">
        <f ca="1">IF(AND(AND(SUBLIGHTDATE1&lt;&gt;"No",SUBLIGHTDATE2&lt;&gt;"No",SUBLIGHTDATE3&lt;&gt;"No"),M02S02F44="No",OR(M02S02F43&lt;=DATEVALUE("12/31/2021"),M02S02F43=""),OR(TODAY()&lt;=LIGHTING2021,ACTLIGHT&lt;&gt;"")),CONCATENATE("Enahnced incentive rates are active on these measures only if submitted and completed by ",TEXT(LIGHTING2021,"M/DD/YYYY")),"")</f>
        <v/>
      </c>
      <c r="AE11" s="1227"/>
      <c r="AF11" s="1227"/>
      <c r="AG11" s="1227"/>
      <c r="AH11" s="1227"/>
      <c r="AI11" s="1227"/>
      <c r="AJ11" s="255"/>
      <c r="AK11" s="255"/>
      <c r="AL11" s="255"/>
      <c r="AM11" s="69"/>
      <c r="AN11" s="69"/>
      <c r="AO11" s="69"/>
      <c r="AP11" s="69"/>
      <c r="AQ11" s="69"/>
      <c r="AR11" s="69"/>
      <c r="AU11" s="259"/>
    </row>
    <row r="12" spans="2:62" ht="15.95" customHeight="1" x14ac:dyDescent="0.25">
      <c r="B12" s="69"/>
      <c r="C12" s="69"/>
      <c r="D12" s="69"/>
      <c r="E12" s="69"/>
      <c r="F12" s="69"/>
      <c r="G12" s="69"/>
      <c r="H12" s="69"/>
      <c r="I12" s="258"/>
      <c r="J12" s="1253"/>
      <c r="K12" s="1253"/>
      <c r="L12" s="1253"/>
      <c r="M12" s="1253"/>
      <c r="N12" s="1253"/>
      <c r="O12" s="1253"/>
      <c r="P12" s="1253"/>
      <c r="Q12" s="1253"/>
      <c r="R12" s="1040">
        <f>SUM(AN16:AQ199)</f>
        <v>0</v>
      </c>
      <c r="S12" s="1040"/>
      <c r="T12" s="1040"/>
      <c r="U12" s="1040"/>
      <c r="V12" s="1040">
        <f>AU200</f>
        <v>0</v>
      </c>
      <c r="W12" s="1040"/>
      <c r="X12" s="1040"/>
      <c r="Y12" s="1040"/>
      <c r="Z12" s="1041">
        <f>SUM(AJ18:AM198)</f>
        <v>0</v>
      </c>
      <c r="AA12" s="1041"/>
      <c r="AB12" s="1041"/>
      <c r="AC12" s="1041"/>
      <c r="AD12" s="1227"/>
      <c r="AE12" s="1227"/>
      <c r="AF12" s="1227"/>
      <c r="AG12" s="1227"/>
      <c r="AH12" s="1227"/>
      <c r="AI12" s="1227"/>
      <c r="AJ12" s="255"/>
      <c r="AK12" s="255"/>
      <c r="AL12" s="255"/>
      <c r="AM12" s="69"/>
      <c r="AN12" s="69"/>
      <c r="AO12" s="69"/>
      <c r="AP12" s="69"/>
      <c r="AQ12" s="69"/>
      <c r="AR12" s="69"/>
    </row>
    <row r="13" spans="2:62" ht="15.95" customHeight="1" x14ac:dyDescent="0.25">
      <c r="B13" s="69"/>
      <c r="H13" s="69"/>
      <c r="I13" s="258"/>
      <c r="J13" s="1253"/>
      <c r="K13" s="1253"/>
      <c r="L13" s="1253"/>
      <c r="M13" s="1253"/>
      <c r="N13" s="1253"/>
      <c r="O13" s="1253"/>
      <c r="P13" s="1253"/>
      <c r="Q13" s="1253"/>
      <c r="R13" s="1040"/>
      <c r="S13" s="1040"/>
      <c r="T13" s="1040"/>
      <c r="U13" s="1040"/>
      <c r="V13" s="1040"/>
      <c r="W13" s="1040"/>
      <c r="X13" s="1040"/>
      <c r="Y13" s="1040"/>
      <c r="Z13" s="1041"/>
      <c r="AA13" s="1041"/>
      <c r="AB13" s="1041"/>
      <c r="AC13" s="1041"/>
      <c r="AD13" s="1227"/>
      <c r="AE13" s="1227"/>
      <c r="AF13" s="1227"/>
      <c r="AG13" s="1227"/>
      <c r="AH13" s="1227"/>
      <c r="AI13" s="1227"/>
      <c r="AJ13" s="255"/>
      <c r="AK13" s="255"/>
      <c r="AL13" s="255"/>
      <c r="AM13" s="69"/>
      <c r="AN13" s="69"/>
      <c r="AO13" s="69"/>
      <c r="AP13" s="69"/>
      <c r="AQ13" s="69"/>
      <c r="AR13" s="69"/>
      <c r="AU13" s="69">
        <f>SUMPRODUCT(--(LEN(C18:AI77)&gt;0))</f>
        <v>0</v>
      </c>
      <c r="BE13"/>
    </row>
    <row r="14" spans="2:62" ht="15.95" customHeight="1" x14ac:dyDescent="0.25">
      <c r="B14" s="69"/>
      <c r="H14" s="69"/>
      <c r="I14" s="69"/>
      <c r="J14" s="69"/>
      <c r="K14" s="69"/>
      <c r="L14" s="69"/>
      <c r="N14" s="69"/>
      <c r="O14" s="69"/>
      <c r="P14" s="69"/>
      <c r="Q14" s="69"/>
      <c r="S14" s="469"/>
      <c r="T14" s="469"/>
      <c r="U14" s="469"/>
      <c r="V14" s="469"/>
      <c r="W14" s="469"/>
      <c r="X14" s="469"/>
      <c r="Y14" s="469"/>
      <c r="Z14" s="469"/>
      <c r="AA14" s="469"/>
      <c r="AB14" s="469"/>
      <c r="AC14" s="469"/>
      <c r="AD14" s="1227"/>
      <c r="AE14" s="1227"/>
      <c r="AF14" s="1227"/>
      <c r="AG14" s="1227"/>
      <c r="AH14" s="1227"/>
      <c r="AI14" s="1227"/>
      <c r="AJ14" s="69"/>
      <c r="AK14" s="69"/>
      <c r="AL14" s="69"/>
      <c r="AM14" s="69"/>
      <c r="AN14" s="69"/>
      <c r="AP14" s="69"/>
      <c r="AQ14" s="69"/>
      <c r="AR14" s="69"/>
      <c r="AS14"/>
      <c r="AT14"/>
      <c r="AU14" t="str">
        <f>IF(M02S02F44="","CLICK HERE to update install status.",IF(M02S02F44="Yes","Haven't installed yet? CLICK HERE to update status and apply for Pre-Approval Incentives", IF(M02S02F44="No", "You ARE eligible to receive Pre-Approval Incentives")))</f>
        <v>CLICK HERE to update install status.</v>
      </c>
      <c r="AV14"/>
      <c r="AW14"/>
      <c r="AX14"/>
      <c r="AY14"/>
      <c r="AZ14"/>
      <c r="BA14"/>
      <c r="BB14"/>
      <c r="BC14"/>
      <c r="BD14"/>
      <c r="BE14"/>
    </row>
    <row r="15" spans="2:62" ht="15.95" customHeight="1" thickBot="1" x14ac:dyDescent="0.3">
      <c r="B15" s="69"/>
      <c r="C15" s="1254" t="s">
        <v>85</v>
      </c>
      <c r="D15" s="1254"/>
      <c r="E15" s="1254"/>
      <c r="F15" s="1254"/>
      <c r="G15" s="1254"/>
      <c r="H15" s="1254"/>
      <c r="I15" s="1254"/>
      <c r="J15" s="1254"/>
      <c r="K15" s="1254"/>
      <c r="L15" s="1255"/>
      <c r="M15" s="1038" t="s">
        <v>1380</v>
      </c>
      <c r="N15" s="1037"/>
      <c r="O15" s="1037"/>
      <c r="P15" s="1037"/>
      <c r="Q15" s="1037"/>
      <c r="R15" s="1037"/>
      <c r="S15" s="1037"/>
      <c r="T15" s="1037"/>
      <c r="U15" s="1037"/>
      <c r="V15" s="1037"/>
      <c r="W15" s="1037"/>
      <c r="X15" s="1037"/>
      <c r="Y15" s="1037"/>
      <c r="Z15" s="1037"/>
      <c r="AA15" s="1037"/>
      <c r="AB15" s="1037"/>
      <c r="AC15" s="1037"/>
      <c r="AD15" s="1037"/>
      <c r="AE15" s="1046"/>
      <c r="AF15" s="1329" t="s">
        <v>1368</v>
      </c>
      <c r="AG15" s="1254"/>
      <c r="AH15" s="1254"/>
      <c r="AI15" s="1255"/>
      <c r="AJ15" s="1329" t="s">
        <v>1369</v>
      </c>
      <c r="AK15" s="1254"/>
      <c r="AL15" s="1254"/>
      <c r="AM15" s="1254"/>
      <c r="AN15" s="1254"/>
      <c r="AO15" s="1254"/>
      <c r="AP15" s="1254"/>
      <c r="AQ15" s="1254"/>
      <c r="AR15" s="69"/>
      <c r="AS15"/>
      <c r="AT15"/>
      <c r="AU15"/>
      <c r="AV15"/>
      <c r="AW15"/>
      <c r="AX15"/>
      <c r="AY15"/>
      <c r="AZ15"/>
      <c r="BA15"/>
      <c r="BB15"/>
      <c r="BC15"/>
      <c r="BD15"/>
      <c r="BE15"/>
    </row>
    <row r="16" spans="2:62" ht="15.95" customHeight="1" x14ac:dyDescent="0.25">
      <c r="B16" s="69"/>
      <c r="C16" s="798" t="s">
        <v>1229</v>
      </c>
      <c r="D16" s="798"/>
      <c r="E16" s="798"/>
      <c r="F16" s="798"/>
      <c r="G16" s="798" t="s">
        <v>1491</v>
      </c>
      <c r="H16" s="798"/>
      <c r="I16" s="798" t="s">
        <v>1370</v>
      </c>
      <c r="J16" s="798"/>
      <c r="K16" s="798" t="s">
        <v>1365</v>
      </c>
      <c r="L16" s="798"/>
      <c r="M16" s="1256" t="s">
        <v>1394</v>
      </c>
      <c r="N16" s="1256"/>
      <c r="O16" s="1256"/>
      <c r="P16" s="1256"/>
      <c r="Q16" s="1256" t="s">
        <v>1364</v>
      </c>
      <c r="R16" s="1256"/>
      <c r="S16" s="1256"/>
      <c r="T16" s="1256"/>
      <c r="U16" s="798" t="s">
        <v>1489</v>
      </c>
      <c r="V16" s="798"/>
      <c r="W16" s="798" t="s">
        <v>1365</v>
      </c>
      <c r="X16" s="798"/>
      <c r="Y16" s="798" t="s">
        <v>1357</v>
      </c>
      <c r="Z16" s="798"/>
      <c r="AA16" s="798"/>
      <c r="AB16" s="798" t="s">
        <v>1147</v>
      </c>
      <c r="AC16" s="798"/>
      <c r="AD16" s="1025" t="s">
        <v>1674</v>
      </c>
      <c r="AE16" s="1025"/>
      <c r="AF16" s="1024" t="s">
        <v>1225</v>
      </c>
      <c r="AG16" s="1024"/>
      <c r="AH16" s="1024" t="s">
        <v>1145</v>
      </c>
      <c r="AI16" s="1024"/>
      <c r="AJ16" s="798" t="s">
        <v>88</v>
      </c>
      <c r="AK16" s="798"/>
      <c r="AL16" s="798"/>
      <c r="AM16" s="798"/>
      <c r="AN16" s="798" t="s">
        <v>448</v>
      </c>
      <c r="AO16" s="798"/>
      <c r="AP16" s="798"/>
      <c r="AQ16" s="798"/>
      <c r="AR16" s="69"/>
      <c r="AS16"/>
      <c r="AT16"/>
      <c r="AU16" s="799" t="s">
        <v>191</v>
      </c>
      <c r="AV16" s="799" t="s">
        <v>1226</v>
      </c>
      <c r="AW16" s="799" t="s">
        <v>827</v>
      </c>
      <c r="AX16" s="799" t="s">
        <v>193</v>
      </c>
      <c r="AY16" s="799" t="s">
        <v>1361</v>
      </c>
      <c r="AZ16" s="799" t="s">
        <v>1362</v>
      </c>
      <c r="BA16" s="799" t="s">
        <v>1228</v>
      </c>
      <c r="BB16" s="799" t="s">
        <v>125</v>
      </c>
      <c r="BC16" s="799" t="s">
        <v>1011</v>
      </c>
      <c r="BD16" s="799" t="s">
        <v>1379</v>
      </c>
      <c r="BE16" s="799" t="s">
        <v>473</v>
      </c>
      <c r="BF16" s="799" t="s">
        <v>1352</v>
      </c>
      <c r="BG16" s="745" t="s">
        <v>2251</v>
      </c>
      <c r="BH16" s="745" t="s">
        <v>2006</v>
      </c>
      <c r="BI16" s="745" t="s">
        <v>2007</v>
      </c>
      <c r="BJ16" s="745" t="s">
        <v>2008</v>
      </c>
    </row>
    <row r="17" spans="2:62" ht="15.95" customHeight="1" thickBot="1" x14ac:dyDescent="0.3">
      <c r="B17" s="69"/>
      <c r="C17" s="746"/>
      <c r="D17" s="746"/>
      <c r="E17" s="746"/>
      <c r="F17" s="746"/>
      <c r="G17" s="746"/>
      <c r="H17" s="746"/>
      <c r="I17" s="746"/>
      <c r="J17" s="746"/>
      <c r="K17" s="746"/>
      <c r="L17" s="746"/>
      <c r="M17" s="1257"/>
      <c r="N17" s="1257"/>
      <c r="O17" s="1257"/>
      <c r="P17" s="1257"/>
      <c r="Q17" s="1257"/>
      <c r="R17" s="1257"/>
      <c r="S17" s="1257"/>
      <c r="T17" s="1257"/>
      <c r="U17" s="746"/>
      <c r="V17" s="746"/>
      <c r="W17" s="746"/>
      <c r="X17" s="746"/>
      <c r="Y17" s="746"/>
      <c r="Z17" s="746"/>
      <c r="AA17" s="746"/>
      <c r="AB17" s="746"/>
      <c r="AC17" s="746"/>
      <c r="AD17" s="1258"/>
      <c r="AE17" s="1258"/>
      <c r="AF17" s="1275"/>
      <c r="AG17" s="1275"/>
      <c r="AH17" s="1275"/>
      <c r="AI17" s="1275"/>
      <c r="AJ17" s="746"/>
      <c r="AK17" s="746"/>
      <c r="AL17" s="746"/>
      <c r="AM17" s="746"/>
      <c r="AN17" s="746"/>
      <c r="AO17" s="746"/>
      <c r="AP17" s="746"/>
      <c r="AQ17" s="746"/>
      <c r="AR17" s="69"/>
      <c r="AS17"/>
      <c r="AT17"/>
      <c r="AU17" s="746"/>
      <c r="AV17" s="746"/>
      <c r="AW17" s="746"/>
      <c r="AX17" s="746"/>
      <c r="AY17" s="746"/>
      <c r="AZ17" s="746"/>
      <c r="BA17" s="746"/>
      <c r="BB17" s="746"/>
      <c r="BC17" s="746"/>
      <c r="BD17" s="746"/>
      <c r="BE17" s="746"/>
      <c r="BF17" s="746"/>
      <c r="BG17" s="746"/>
      <c r="BH17" s="746"/>
      <c r="BI17" s="746"/>
      <c r="BJ17" s="746"/>
    </row>
    <row r="18" spans="2:62" ht="15.95" customHeight="1" x14ac:dyDescent="0.25">
      <c r="B18" s="1193">
        <v>1</v>
      </c>
      <c r="C18" s="1260"/>
      <c r="D18" s="1261"/>
      <c r="E18" s="1261"/>
      <c r="F18" s="1262"/>
      <c r="G18" s="1264"/>
      <c r="H18" s="1265"/>
      <c r="I18" s="1268"/>
      <c r="J18" s="1269"/>
      <c r="K18" s="1271" t="str">
        <f>IFERROR(IF(OR(C18="",I18=""),"",IF(C18="Metal Halide",INDEX(BASEHIDBALLAST[Metal Halide Ballast],MATCH(I18,BASEHIDBALLAST[Metal Halide Nominal],0)),IF(C18="Pulse Start Metal Halide",INDEX(BASEHIDBALLAST[Pulse Start Metal Halide Ballast],MATCH(I18,BASEHIDBALLAST[Pulse Start Metal Halide Nominal],0)),IF(C18="Mercury Vapor",INDEX(BASEHIDBALLAST[Mercury Vapor Ballast],MATCH(I18,BASEHIDBALLAST[Mercury Vapor Nominal],0)),IF(C18="High Pressure Sodium",INDEX(BASEHIDBALLAST[High Pressure Sodium Ballast],MATCH(I18,BASEHIDBALLAST[High Pressure Sodium Nominal],0))))))),"")</f>
        <v/>
      </c>
      <c r="L18" s="1272"/>
      <c r="M18" s="1259"/>
      <c r="N18" s="880"/>
      <c r="O18" s="880"/>
      <c r="P18" s="880"/>
      <c r="Q18" s="1315"/>
      <c r="R18" s="1316"/>
      <c r="S18" s="1316"/>
      <c r="T18" s="1317"/>
      <c r="U18" s="916"/>
      <c r="V18" s="916"/>
      <c r="W18" s="1233"/>
      <c r="X18" s="1234"/>
      <c r="Y18" s="1161"/>
      <c r="Z18" s="1162"/>
      <c r="AA18" s="1163"/>
      <c r="AB18" s="1264"/>
      <c r="AC18" s="1265"/>
      <c r="AD18" s="1276"/>
      <c r="AE18" s="1277"/>
      <c r="AF18" s="1241"/>
      <c r="AG18" s="1242"/>
      <c r="AH18" s="1280"/>
      <c r="AI18" s="1281"/>
      <c r="AJ18" s="1284" t="str">
        <f>IF(OR(C18="",I18="",K18="",G18="",M18="",Q18="",U18="",W18="",Y18="",AB18="",AF18="",AH18=""),"",IFERROR(ROUND(IF((AW18-AX18)&lt;=0,0,BG18*(AW18-AX18)),0),""))</f>
        <v/>
      </c>
      <c r="AK18" s="1285"/>
      <c r="AL18" s="1285"/>
      <c r="AM18" s="1286"/>
      <c r="AN18" s="1238" t="str">
        <f>IF(M02S02F44="","Update Install Status",IF(M02S02F49="Yes","Use New Load",IF(OR(C18="",I18="",K18="",G18="",M18="",Q18="",U18="",W18="",Y18="",AB18="",AF18="",AH18="",AD18=""),"",IF(BE18&lt;&gt;"",BE18,IF(BD18&lt;0,"No Incentive Savings",ROUND(MIN(AU18,BD18),2))))))</f>
        <v>Update Install Status</v>
      </c>
      <c r="AO18" s="1239"/>
      <c r="AP18" s="1239"/>
      <c r="AQ18" s="1240"/>
      <c r="AR18" s="69"/>
      <c r="AS18"/>
      <c r="AT18"/>
      <c r="AU18" s="804" t="str">
        <f>IF(OR(C18="",I18="",K18="",G18="",M18="",Q18="",U18="",W18="",Y18="",AB18="",AF18="",AH18=""),"",(ROUND((AF18+AH18)*U18,2)))</f>
        <v/>
      </c>
      <c r="AV18" s="806" t="str">
        <f>IF(OR(C18="",I18="",K18="",G18="",M18="",Q18="",U18="",W18="",Y18="",AB18="",AF18="",AH18=""),"",ROUND(AJ18*INDEX(ENDUSEALL[Factor],MATCH(INDEX(PMELIGHTHID[End Use Category],MATCH(BA18,PMELIGHTHID[Measure Validator],0)),ENDUSEALL[End Use to Coincident Peak Demand Factors],0)),4))</f>
        <v/>
      </c>
      <c r="AW18" s="802" t="str">
        <f>IF(OR(C18="",I18="",K18="",G18="",M18="",Q18="",U18="",W18="",Y18="",AB18="",AF18="",AH18=""),"",ROUND(K18*G18*AB18/1000,0))</f>
        <v/>
      </c>
      <c r="AX18" s="802" t="str">
        <f>IF(OR(C18="",I18="",K18="",G18="",M18="",Q18="",U18="",W18="",Y18="",AB18="",AF18="",AH18=""),"",IF(ISNUMBER(SEARCH("Network",M18)),ROUND(0.76*W18*U18*AB18/1000,0),ROUND(W18*U18*AB18/1000,0)))</f>
        <v/>
      </c>
      <c r="AY18" s="750" t="str">
        <f>IF(OR(C18="",I18="",K18="",G18="",M18="",Q18="",U18="",W18="",Y18="",AB18="",AF18="",AH18=""),"",IF(G18&gt;=U18,ROUND(K18*U18,0),IF(G18&lt;U18,ROUND(K18*G18,0))))</f>
        <v/>
      </c>
      <c r="AZ18" s="800" t="str">
        <f>IF(OR(C18="",G18="",I18="",K18="",M18="",Q18="",U18="",W18="",Y18="",AB18="",AD18="",AF18="",AH18=""),"",ROUND(W18*U18,0))</f>
        <v/>
      </c>
      <c r="BA18" s="1290" t="str">
        <f>IFERROR(IF(ISNUMBER(SEARCH("Pulse Start",C18)),CONCATENATE("Metal Halide","-","LED","-",M18),CONCATENATE(C18,"-","LED","-",M18)),"")</f>
        <v>-LED-</v>
      </c>
      <c r="BB18" s="747" t="str">
        <f>IF(OR(C18="",I18="",K18="",G18="",M18="",Q18="",U18="",W18="",Y18="",AB18="",AF18="",AH18=""),"",INDEX(PMELIGHTHID[Measure '#],MATCH(BA18,PMELIGHTHID[Measure Validator],0)))</f>
        <v/>
      </c>
      <c r="BC18" s="1287" t="str">
        <f ca="1">IFERROR(IF(OR(C18="",AH18=""),"",IF(BB18="","",IF(AND(AND(SUBLIGHTDATE1&lt;&gt;"No",SUBLIGHTDATE2&lt;&gt;"No",SUBLIGHTDATE3&lt;&gt;"No"),M02S02F44="No",OR(M02S02F43&lt;=DATEVALUE("12/31/2021"),M02S02F43=""),OR(TODAY()&lt;=LIGHTING2021,ACTLIGHT&lt;&gt;"")),LIGHTRATE21*(INDEX(PMELIGHTHID[Inc Rate Unit],MATCH(BA18,PMELIGHTHID[Measure Validator],0))),INDEX(PMELIGHTHID[Inc Rate Unit],MATCH(BA18,PMELIGHTHID[Measure Validator],0))))),"")</f>
        <v/>
      </c>
      <c r="BD18" s="747" t="str">
        <f>IFERROR(ROUND(IF(OR(C18="",AH18=""),"",IF(BB18="","",(AY18-AZ18)*BC18)),2),"")</f>
        <v/>
      </c>
      <c r="BE18" s="747" t="str">
        <f>IF(OR(C18="",I18="",K18="",G18="",M18="",Q18="",U18="",W18="",Y18="",AB18="",AF18="",AH18=""),"",IFERROR(IF(AB18&lt;INDEX(PMELIGHTHID[Op Hr 1],MATCH(BA18,PMELIGHTHID[Measure Validator],0)),"Operating Hours Invalid",IF(ISNUMBER(SEARCH("SPILLOVER",Y18)),PROJSTATELI,IF((AW18-AX18)&lt;0,"No Savings",""))),"ERROR"))</f>
        <v/>
      </c>
      <c r="BF18" s="1289" t="str">
        <f>IF(AND(ISBLANK(AF18),ISBLANK(AH18)),"",IF(BD18&gt;AU18,"Yes","No"))</f>
        <v/>
      </c>
      <c r="BG18" s="1051">
        <f>IF(M02S02F32&lt;&gt;"",INDEX(SPACEHEAT[HIF],MATCH(M02S02F32,SHEAT,0)),1)</f>
        <v>1</v>
      </c>
      <c r="BH18" s="1225">
        <f>IFERROR(ROUND(BJ18*1.1,2),0)</f>
        <v>0</v>
      </c>
      <c r="BI18" s="804" t="str">
        <f>IF(M02S02F44="","Update Install Status",IF(M02S02F49="Yes","Use New Load",IF(OR(C18="",I18="",K18="",G18="",M18="",Q18="",U18="",W18="",Y18="",AB18="",AF18="",AH18="",AD18=""),"",IF(BE18&lt;&gt;"",BE18,ROUND(BH18*BONUSADJ,2)))))</f>
        <v>Update Install Status</v>
      </c>
      <c r="BJ18" s="804" t="str">
        <f>IF(M02S02F44="","Update Install Status",IF(M02S02F49="Yes","Use New Load",IF(OR(C18="",I18="",K18="",G18="",M18="",Q18="",U18="",W18="",Y18="",AB18="",AF18="",AH18="",AD18=""),"",IF(BE18&lt;&gt;"",BE18,IF(BD18&lt;0,"No Incentive Savings",ROUND(MIN(AU18,BD18),2))))))</f>
        <v>Update Install Status</v>
      </c>
    </row>
    <row r="19" spans="2:62" ht="15.95" customHeight="1" x14ac:dyDescent="0.25">
      <c r="B19" s="1193"/>
      <c r="C19" s="1207"/>
      <c r="D19" s="1263"/>
      <c r="E19" s="1263"/>
      <c r="F19" s="1208"/>
      <c r="G19" s="1266"/>
      <c r="H19" s="1267"/>
      <c r="I19" s="1270"/>
      <c r="J19" s="911"/>
      <c r="K19" s="1273"/>
      <c r="L19" s="1274"/>
      <c r="M19" s="1259"/>
      <c r="N19" s="880"/>
      <c r="O19" s="880"/>
      <c r="P19" s="880"/>
      <c r="Q19" s="1318"/>
      <c r="R19" s="1319"/>
      <c r="S19" s="1319"/>
      <c r="T19" s="1320"/>
      <c r="U19" s="916"/>
      <c r="V19" s="916"/>
      <c r="W19" s="1235"/>
      <c r="X19" s="1236"/>
      <c r="Y19" s="896"/>
      <c r="Z19" s="897"/>
      <c r="AA19" s="898"/>
      <c r="AB19" s="1266"/>
      <c r="AC19" s="1267"/>
      <c r="AD19" s="1278"/>
      <c r="AE19" s="1279"/>
      <c r="AF19" s="1243"/>
      <c r="AG19" s="1244"/>
      <c r="AH19" s="1282"/>
      <c r="AI19" s="1283"/>
      <c r="AJ19" s="1250"/>
      <c r="AK19" s="1251"/>
      <c r="AL19" s="1251"/>
      <c r="AM19" s="1252"/>
      <c r="AN19" s="1238"/>
      <c r="AO19" s="1239"/>
      <c r="AP19" s="1239"/>
      <c r="AQ19" s="1240"/>
      <c r="AR19" s="69"/>
      <c r="AS19"/>
      <c r="AT19"/>
      <c r="AU19" s="805"/>
      <c r="AV19" s="807"/>
      <c r="AW19" s="803"/>
      <c r="AX19" s="803"/>
      <c r="AY19" s="751"/>
      <c r="AZ19" s="801"/>
      <c r="BA19" s="1291"/>
      <c r="BB19" s="748"/>
      <c r="BC19" s="1288"/>
      <c r="BD19" s="748"/>
      <c r="BE19" s="748"/>
      <c r="BF19" s="1289"/>
      <c r="BG19" s="1052"/>
      <c r="BH19" s="1226"/>
      <c r="BI19" s="805"/>
      <c r="BJ19" s="805"/>
    </row>
    <row r="20" spans="2:62" ht="15.95" customHeight="1" x14ac:dyDescent="0.25">
      <c r="B20" s="1193">
        <v>2</v>
      </c>
      <c r="C20" s="1205"/>
      <c r="D20" s="1292"/>
      <c r="E20" s="1292"/>
      <c r="F20" s="1206"/>
      <c r="G20" s="916"/>
      <c r="H20" s="916"/>
      <c r="I20" s="1294"/>
      <c r="J20" s="1294"/>
      <c r="K20" s="1296" t="str">
        <f>IFERROR(IF(OR(C20="",I20=""),"",IF(C20="Metal Halide",INDEX(BASEHIDBALLAST[Metal Halide Ballast],MATCH(I20,BASEHIDBALLAST[Metal Halide Nominal],0)),IF(C20="Pulse Start Metal Halide",INDEX(BASEHIDBALLAST[Pulse Start Metal Halide Ballast],MATCH(I20,BASEHIDBALLAST[Pulse Start Metal Halide Nominal],0)),IF(C20="Mercury Vapor",INDEX(BASEHIDBALLAST[Mercury Vapor Ballast],MATCH(I20,BASEHIDBALLAST[Mercury Vapor Nominal],0)),IF(C20="High Pressure Sodium",INDEX(BASEHIDBALLAST[High Pressure Sodium Ballast],MATCH(I20,BASEHIDBALLAST[High Pressure Sodium Nominal],0))))))),"")</f>
        <v/>
      </c>
      <c r="L20" s="1297"/>
      <c r="M20" s="1259"/>
      <c r="N20" s="880"/>
      <c r="O20" s="880"/>
      <c r="P20" s="880"/>
      <c r="Q20" s="1229"/>
      <c r="R20" s="1229"/>
      <c r="S20" s="1229"/>
      <c r="T20" s="1229"/>
      <c r="U20" s="916"/>
      <c r="V20" s="916"/>
      <c r="W20" s="1237"/>
      <c r="X20" s="1237"/>
      <c r="Y20" s="880"/>
      <c r="Z20" s="880"/>
      <c r="AA20" s="880"/>
      <c r="AB20" s="916"/>
      <c r="AC20" s="916"/>
      <c r="AD20" s="1245"/>
      <c r="AE20" s="1246"/>
      <c r="AF20" s="1247"/>
      <c r="AG20" s="1248"/>
      <c r="AH20" s="1248"/>
      <c r="AI20" s="1249"/>
      <c r="AJ20" s="1250" t="str">
        <f t="shared" ref="AJ20" si="0">IF(OR(C20="",I20="",K20="",G20="",M20="",Q20="",U20="",W20="",Y20="",AB20="",AF20="",AH20=""),"",IFERROR(ROUND(IF((AW20-AX20)&lt;=0,0,BG20*(AW20-AX20)),0),""))</f>
        <v/>
      </c>
      <c r="AK20" s="1251"/>
      <c r="AL20" s="1251"/>
      <c r="AM20" s="1252"/>
      <c r="AN20" s="1238" t="str">
        <f>IF(M02S02F44="","Update Install Status",IF(M02S02F49="Yes","Use New Load",IF(OR(C20="",I20="",K20="",G20="",M20="",Q20="",U20="",W20="",Y20="",AB20="",AF20="",AH20="",AD20=""),"",IF(BE20&lt;&gt;"",BE20,IF(BD20&lt;0,"No Incentive Savings",ROUND(MIN(AU20,BD20),2))))))</f>
        <v>Update Install Status</v>
      </c>
      <c r="AO20" s="1239"/>
      <c r="AP20" s="1239"/>
      <c r="AQ20" s="1240"/>
      <c r="AR20" s="69"/>
      <c r="AS20"/>
      <c r="AT20"/>
      <c r="AU20" s="804" t="str">
        <f>IF(OR(C20="",I20="",K20="",G20="",M20="",Q20="",U20="",W20="",Y20="",AB20="",AF20="",AH20=""),"",(ROUND((AF20+AH20)*U20,2)))</f>
        <v/>
      </c>
      <c r="AV20" s="806" t="str">
        <f>IF(OR(C20="",I20="",K20="",G20="",M20="",Q20="",U20="",W20="",Y20="",AB20="",AF20="",AH20=""),"",ROUND(AJ20*INDEX(ENDUSEALL[Factor],MATCH(INDEX(PMELIGHTHID[End Use Category],MATCH(BA20,PMELIGHTHID[Measure Validator],0)),ENDUSEALL[End Use to Coincident Peak Demand Factors],0)),4))</f>
        <v/>
      </c>
      <c r="AW20" s="802" t="str">
        <f>IF(OR(C20="",I20="",K20="",G20="",M20="",Q20="",U20="",W20="",Y20="",AB20="",AF20="",AH20=""),"",ROUND(K20*G20*AB20/1000,0))</f>
        <v/>
      </c>
      <c r="AX20" s="802" t="str">
        <f>IF(OR(C20="",I20="",K20="",G20="",M20="",Q20="",U20="",W20="",Y20="",AB20="",AF20="",AH20=""),"",IF(ISNUMBER(SEARCH("Network",M20)),ROUND(0.76*W20*U20*AB20/1000,0),ROUND(W20*U20*AB20/1000,0)))</f>
        <v/>
      </c>
      <c r="AY20" s="750" t="str">
        <f>IF(OR(C20="",I20="",K20="",G20="",M20="",Q20="",U20="",W20="",Y20="",AB20="",AF20="",AH20=""),"",IF(G20&gt;=U20,ROUND(K20*U20,0),IF(G20&lt;U20,ROUND(K20*G20,0))))</f>
        <v/>
      </c>
      <c r="AZ20" s="800" t="str">
        <f>IF(OR(C20="",G20="",I20="",K20="",M20="",Q20="",U20="",W20="",Y20="",AB20="",AD20="",AF20="",AH20=""),"",ROUND(W20*U20,0))</f>
        <v/>
      </c>
      <c r="BA20" s="1290" t="str">
        <f>IFERROR(IF(ISNUMBER(SEARCH("Pulse Start",C20)),CONCATENATE("Metal Halide","-","LED","-",M20),CONCATENATE(C20,"-","LED","-",M20)),"")</f>
        <v>-LED-</v>
      </c>
      <c r="BB20" s="747" t="str">
        <f>IF(OR(C20="",I20="",K20="",G20="",M20="",Q20="",U20="",W20="",Y20="",AB20="",AF20="",AH20=""),"",INDEX(PMELIGHTHID[Measure '#],MATCH(BA20,PMELIGHTHID[Measure Validator],0)))</f>
        <v/>
      </c>
      <c r="BC20" s="1287" t="str">
        <f ca="1">IFERROR(IF(OR(C20="",AH20=""),"",IF(BB20="","",IF(AND(AND(SUBLIGHTDATE1&lt;&gt;"No",SUBLIGHTDATE2&lt;&gt;"No",SUBLIGHTDATE3&lt;&gt;"No"),M02S02F44="No",OR(M02S02F43&lt;=DATEVALUE("12/31/2021"),M02S02F43=""),OR(TODAY()&lt;=LIGHTING2021,ACTLIGHT&lt;&gt;"")),LIGHTRATE21*(INDEX(PMELIGHTHID[Inc Rate Unit],MATCH(BA20,PMELIGHTHID[Measure Validator],0))),INDEX(PMELIGHTHID[Inc Rate Unit],MATCH(BA20,PMELIGHTHID[Measure Validator],0))))),"")</f>
        <v/>
      </c>
      <c r="BD20" s="747" t="str">
        <f>IFERROR(ROUND(IF(OR(C20="",AH20=""),"",IF(BB20="","",(AY20-AZ20)*BC20)),2),"")</f>
        <v/>
      </c>
      <c r="BE20" s="747" t="str">
        <f>IF(OR(C20="",I20="",K20="",G20="",M20="",Q20="",U20="",W20="",Y20="",AB20="",AF20="",AH20=""),"",IFERROR(IF(AB20&lt;INDEX(PMELIGHTHID[Op Hr 1],MATCH(BA20,PMELIGHTHID[Measure Validator],0)),"Operating Hours Invalid",IF(ISNUMBER(SEARCH("SPILLOVER",Y20)),PROJSTATELI,IF((AW20-AX20)&lt;0,"No Savings",""))),"ERROR"))</f>
        <v/>
      </c>
      <c r="BF20" s="1289" t="str">
        <f>IF(AND(ISBLANK(AF20),ISBLANK(AH20)),"",IF(BD20&gt;AU20,"Yes","No"))</f>
        <v/>
      </c>
      <c r="BG20" s="1051">
        <f>IF(M02S02F32&lt;&gt;"",INDEX(SPACEHEAT[HIF],MATCH(M02S02F32,SHEAT,0)),1)</f>
        <v>1</v>
      </c>
      <c r="BH20" s="1225">
        <f t="shared" ref="BH20" si="1">IFERROR(ROUND(BJ20*1.1,2),0)</f>
        <v>0</v>
      </c>
      <c r="BI20" s="804" t="str">
        <f>IF(M02S02F44="","Update Install Status",IF(M02S02F49="Yes","Use New Load",IF(OR(C20="",I20="",K20="",G20="",M20="",Q20="",U20="",W20="",Y20="",AB20="",AF20="",AH20="",AD20=""),"",IF(BE20&lt;&gt;"",BE20,ROUND(BH20*BONUSADJ,2)))))</f>
        <v>Update Install Status</v>
      </c>
      <c r="BJ20" s="804" t="str">
        <f>IF(M02S02F44="","Update Install Status",IF(M02S02F49="Yes","Use New Load",IF(OR(C20="",I20="",K20="",G20="",M20="",Q20="",U20="",W20="",Y20="",AB20="",AF20="",AH20="",AD20=""),"",IF(BE20&lt;&gt;"",BE20,IF(BD20&lt;0,"No Incentive Savings",ROUND(MIN(AU20,BD20),2))))))</f>
        <v>Update Install Status</v>
      </c>
    </row>
    <row r="21" spans="2:62" ht="15.95" customHeight="1" x14ac:dyDescent="0.25">
      <c r="B21" s="1193"/>
      <c r="C21" s="1207"/>
      <c r="D21" s="1263"/>
      <c r="E21" s="1263"/>
      <c r="F21" s="1208"/>
      <c r="G21" s="1293"/>
      <c r="H21" s="1293"/>
      <c r="I21" s="1295"/>
      <c r="J21" s="1295"/>
      <c r="K21" s="1273"/>
      <c r="L21" s="1274"/>
      <c r="M21" s="1259"/>
      <c r="N21" s="880"/>
      <c r="O21" s="880"/>
      <c r="P21" s="880"/>
      <c r="Q21" s="1229"/>
      <c r="R21" s="1229"/>
      <c r="S21" s="1229"/>
      <c r="T21" s="1229"/>
      <c r="U21" s="916"/>
      <c r="V21" s="916"/>
      <c r="W21" s="1237"/>
      <c r="X21" s="1237"/>
      <c r="Y21" s="880"/>
      <c r="Z21" s="880"/>
      <c r="AA21" s="880"/>
      <c r="AB21" s="916"/>
      <c r="AC21" s="916"/>
      <c r="AD21" s="1245"/>
      <c r="AE21" s="1246"/>
      <c r="AF21" s="1247"/>
      <c r="AG21" s="1248"/>
      <c r="AH21" s="1248"/>
      <c r="AI21" s="1249"/>
      <c r="AJ21" s="1250"/>
      <c r="AK21" s="1251"/>
      <c r="AL21" s="1251"/>
      <c r="AM21" s="1252"/>
      <c r="AN21" s="1238"/>
      <c r="AO21" s="1239"/>
      <c r="AP21" s="1239"/>
      <c r="AQ21" s="1240"/>
      <c r="AR21" s="69"/>
      <c r="AS21"/>
      <c r="AT21"/>
      <c r="AU21" s="805"/>
      <c r="AV21" s="807"/>
      <c r="AW21" s="803"/>
      <c r="AX21" s="803"/>
      <c r="AY21" s="751"/>
      <c r="AZ21" s="801"/>
      <c r="BA21" s="1291"/>
      <c r="BB21" s="748"/>
      <c r="BC21" s="1288"/>
      <c r="BD21" s="748"/>
      <c r="BE21" s="748"/>
      <c r="BF21" s="1289"/>
      <c r="BG21" s="1052"/>
      <c r="BH21" s="1226"/>
      <c r="BI21" s="805"/>
      <c r="BJ21" s="805"/>
    </row>
    <row r="22" spans="2:62" ht="15.95" customHeight="1" x14ac:dyDescent="0.25">
      <c r="B22" s="1193">
        <v>3</v>
      </c>
      <c r="C22" s="1205"/>
      <c r="D22" s="1292"/>
      <c r="E22" s="1292"/>
      <c r="F22" s="1206"/>
      <c r="G22" s="916"/>
      <c r="H22" s="916"/>
      <c r="I22" s="1294"/>
      <c r="J22" s="1294"/>
      <c r="K22" s="1296" t="str">
        <f>IFERROR(IF(OR(C22="",I22=""),"",IF(C22="Metal Halide",INDEX(BASEHIDBALLAST[Metal Halide Ballast],MATCH(I22,BASEHIDBALLAST[Metal Halide Nominal],0)),IF(C22="Pulse Start Metal Halide",INDEX(BASEHIDBALLAST[Pulse Start Metal Halide Ballast],MATCH(I22,BASEHIDBALLAST[Pulse Start Metal Halide Nominal],0)),IF(C22="Mercury Vapor",INDEX(BASEHIDBALLAST[Mercury Vapor Ballast],MATCH(I22,BASEHIDBALLAST[Mercury Vapor Nominal],0)),IF(C22="High Pressure Sodium",INDEX(BASEHIDBALLAST[High Pressure Sodium Ballast],MATCH(I22,BASEHIDBALLAST[High Pressure Sodium Nominal],0))))))),"")</f>
        <v/>
      </c>
      <c r="L22" s="1297"/>
      <c r="M22" s="1259"/>
      <c r="N22" s="880"/>
      <c r="O22" s="880"/>
      <c r="P22" s="880"/>
      <c r="Q22" s="1229"/>
      <c r="R22" s="1229"/>
      <c r="S22" s="1229"/>
      <c r="T22" s="1229"/>
      <c r="U22" s="916"/>
      <c r="V22" s="916"/>
      <c r="W22" s="1237"/>
      <c r="X22" s="1237"/>
      <c r="Y22" s="880"/>
      <c r="Z22" s="880"/>
      <c r="AA22" s="880"/>
      <c r="AB22" s="916"/>
      <c r="AC22" s="916"/>
      <c r="AD22" s="1245"/>
      <c r="AE22" s="1246"/>
      <c r="AF22" s="1247"/>
      <c r="AG22" s="1248"/>
      <c r="AH22" s="1248"/>
      <c r="AI22" s="1249"/>
      <c r="AJ22" s="1250" t="str">
        <f t="shared" ref="AJ22" si="2">IF(OR(C22="",I22="",K22="",G22="",M22="",Q22="",U22="",W22="",Y22="",AB22="",AF22="",AH22=""),"",IFERROR(ROUND(IF((AW22-AX22)&lt;=0,0,BG22*(AW22-AX22)),0),""))</f>
        <v/>
      </c>
      <c r="AK22" s="1251"/>
      <c r="AL22" s="1251"/>
      <c r="AM22" s="1252"/>
      <c r="AN22" s="1238" t="str">
        <f>IF(M02S02F44="","Update Install Status",IF(M02S02F49="Yes","Use New Load",IF(OR(C22="",I22="",K22="",G22="",M22="",Q22="",U22="",W22="",Y22="",AB22="",AF22="",AH22="",AD22=""),"",IF(BE22&lt;&gt;"",BE22,IF(BD22&lt;0,"No Incentive Savings",ROUND(MIN(AU22,BD22),2))))))</f>
        <v>Update Install Status</v>
      </c>
      <c r="AO22" s="1239"/>
      <c r="AP22" s="1239"/>
      <c r="AQ22" s="1240"/>
      <c r="AR22" s="69"/>
      <c r="AS22"/>
      <c r="AT22"/>
      <c r="AU22" s="804" t="str">
        <f>IF(OR(C22="",I22="",K22="",G22="",M22="",Q22="",U22="",W22="",Y22="",AB22="",AF22="",AH22=""),"",(ROUND((AF22+AH22)*U22,2)))</f>
        <v/>
      </c>
      <c r="AV22" s="806" t="str">
        <f>IF(OR(C22="",I22="",K22="",G22="",M22="",Q22="",U22="",W22="",Y22="",AB22="",AF22="",AH22=""),"",ROUND(AJ22*INDEX(ENDUSEALL[Factor],MATCH(INDEX(PMELIGHTHID[End Use Category],MATCH(BA22,PMELIGHTHID[Measure Validator],0)),ENDUSEALL[End Use to Coincident Peak Demand Factors],0)),4))</f>
        <v/>
      </c>
      <c r="AW22" s="802" t="str">
        <f>IF(OR(C22="",I22="",K22="",G22="",M22="",Q22="",U22="",W22="",Y22="",AB22="",AF22="",AH22=""),"",ROUND(K22*G22*AB22/1000,0))</f>
        <v/>
      </c>
      <c r="AX22" s="802" t="str">
        <f>IF(OR(C22="",I22="",K22="",G22="",M22="",Q22="",U22="",W22="",Y22="",AB22="",AF22="",AH22=""),"",IF(ISNUMBER(SEARCH("Network",M22)),ROUND(0.76*W22*U22*AB22/1000,0),ROUND(W22*U22*AB22/1000,0)))</f>
        <v/>
      </c>
      <c r="AY22" s="750" t="str">
        <f>IF(OR(C22="",I22="",K22="",G22="",M22="",Q22="",U22="",W22="",Y22="",AB22="",AF22="",AH22=""),"",IF(G22&gt;=U22,ROUND(K22*U22,0),IF(G22&lt;U22,ROUND(K22*G22,0))))</f>
        <v/>
      </c>
      <c r="AZ22" s="800" t="str">
        <f>IF(OR(C22="",G22="",I22="",K22="",M22="",Q22="",U22="",W22="",Y22="",AB22="",AD22="",AF22="",AH22=""),"",ROUND(W22*U22,0))</f>
        <v/>
      </c>
      <c r="BA22" s="1290" t="str">
        <f>IFERROR(IF(ISNUMBER(SEARCH("Pulse Start",C22)),CONCATENATE("Metal Halide","-","LED","-",M22),CONCATENATE(C22,"-","LED","-",M22)),"")</f>
        <v>-LED-</v>
      </c>
      <c r="BB22" s="747" t="str">
        <f>IF(OR(C22="",I22="",K22="",G22="",M22="",Q22="",U22="",W22="",Y22="",AB22="",AF22="",AH22=""),"",INDEX(PMELIGHTHID[Measure '#],MATCH(BA22,PMELIGHTHID[Measure Validator],0)))</f>
        <v/>
      </c>
      <c r="BC22" s="1287" t="str">
        <f ca="1">IFERROR(IF(OR(C22="",AH22=""),"",IF(BB22="","",IF(AND(AND(SUBLIGHTDATE1&lt;&gt;"No",SUBLIGHTDATE2&lt;&gt;"No",SUBLIGHTDATE3&lt;&gt;"No"),M02S02F44="No",OR(M02S02F43&lt;=DATEVALUE("12/31/2021"),M02S02F43=""),OR(TODAY()&lt;=LIGHTING2021,ACTLIGHT&lt;&gt;"")),LIGHTRATE21*(INDEX(PMELIGHTHID[Inc Rate Unit],MATCH(BA22,PMELIGHTHID[Measure Validator],0))),INDEX(PMELIGHTHID[Inc Rate Unit],MATCH(BA22,PMELIGHTHID[Measure Validator],0))))),"")</f>
        <v/>
      </c>
      <c r="BD22" s="747" t="str">
        <f>IFERROR(ROUND(IF(OR(C22="",AH22=""),"",IF(BB22="","",(AY22-AZ22)*BC22)),2),"")</f>
        <v/>
      </c>
      <c r="BE22" s="747" t="str">
        <f>IF(OR(C22="",I22="",K22="",G22="",M22="",Q22="",U22="",W22="",Y22="",AB22="",AF22="",AH22=""),"",IFERROR(IF(AB22&lt;INDEX(PMELIGHTHID[Op Hr 1],MATCH(BA22,PMELIGHTHID[Measure Validator],0)),"Operating Hours Invalid",IF(ISNUMBER(SEARCH("SPILLOVER",Y22)),PROJSTATELI,IF((AW22-AX22)&lt;0,"No Savings",""))),"ERROR"))</f>
        <v/>
      </c>
      <c r="BF22" s="1289" t="str">
        <f>IF(AND(ISBLANK(AF22),ISBLANK(AH22)),"",IF(BD22&gt;AU22,"Yes","No"))</f>
        <v/>
      </c>
      <c r="BG22" s="1051">
        <f>IF(M02S02F32&lt;&gt;"",INDEX(SPACEHEAT[HIF],MATCH(M02S02F32,SHEAT,0)),1)</f>
        <v>1</v>
      </c>
      <c r="BH22" s="1225">
        <f t="shared" ref="BH22" si="3">IFERROR(ROUND(BJ22*1.1,2),0)</f>
        <v>0</v>
      </c>
      <c r="BI22" s="804" t="str">
        <f>IF(M02S02F44="","Update Install Status",IF(M02S02F49="Yes","Use New Load",IF(OR(C22="",I22="",K22="",G22="",M22="",Q22="",U22="",W22="",Y22="",AB22="",AF22="",AH22="",AD22=""),"",IF(BE22&lt;&gt;"",BE22,ROUND(BH22*BONUSADJ,2)))))</f>
        <v>Update Install Status</v>
      </c>
      <c r="BJ22" s="804" t="str">
        <f>IF(M02S02F44="","Update Install Status",IF(M02S02F49="Yes","Use New Load",IF(OR(C22="",I22="",K22="",G22="",M22="",Q22="",U22="",W22="",Y22="",AB22="",AF22="",AH22="",AD22=""),"",IF(BE22&lt;&gt;"",BE22,IF(BD22&lt;0,"No Incentive Savings",ROUND(MIN(AU22,BD22),2))))))</f>
        <v>Update Install Status</v>
      </c>
    </row>
    <row r="23" spans="2:62" ht="15.95" customHeight="1" x14ac:dyDescent="0.25">
      <c r="B23" s="1193"/>
      <c r="C23" s="1207"/>
      <c r="D23" s="1263"/>
      <c r="E23" s="1263"/>
      <c r="F23" s="1208"/>
      <c r="G23" s="1293"/>
      <c r="H23" s="1293"/>
      <c r="I23" s="1295"/>
      <c r="J23" s="1295"/>
      <c r="K23" s="1273"/>
      <c r="L23" s="1274"/>
      <c r="M23" s="1259"/>
      <c r="N23" s="880"/>
      <c r="O23" s="880"/>
      <c r="P23" s="880"/>
      <c r="Q23" s="1229"/>
      <c r="R23" s="1229"/>
      <c r="S23" s="1229"/>
      <c r="T23" s="1229"/>
      <c r="U23" s="916"/>
      <c r="V23" s="916"/>
      <c r="W23" s="1237"/>
      <c r="X23" s="1237"/>
      <c r="Y23" s="880"/>
      <c r="Z23" s="880"/>
      <c r="AA23" s="880"/>
      <c r="AB23" s="916"/>
      <c r="AC23" s="916"/>
      <c r="AD23" s="1245"/>
      <c r="AE23" s="1246"/>
      <c r="AF23" s="1247"/>
      <c r="AG23" s="1248"/>
      <c r="AH23" s="1248"/>
      <c r="AI23" s="1249"/>
      <c r="AJ23" s="1250"/>
      <c r="AK23" s="1251"/>
      <c r="AL23" s="1251"/>
      <c r="AM23" s="1252"/>
      <c r="AN23" s="1238"/>
      <c r="AO23" s="1239"/>
      <c r="AP23" s="1239"/>
      <c r="AQ23" s="1240"/>
      <c r="AR23" s="69"/>
      <c r="AS23"/>
      <c r="AT23"/>
      <c r="AU23" s="805"/>
      <c r="AV23" s="807"/>
      <c r="AW23" s="803"/>
      <c r="AX23" s="803"/>
      <c r="AY23" s="751"/>
      <c r="AZ23" s="801"/>
      <c r="BA23" s="1291"/>
      <c r="BB23" s="748"/>
      <c r="BC23" s="1288"/>
      <c r="BD23" s="748"/>
      <c r="BE23" s="748"/>
      <c r="BF23" s="1289"/>
      <c r="BG23" s="1052"/>
      <c r="BH23" s="1226"/>
      <c r="BI23" s="805"/>
      <c r="BJ23" s="805"/>
    </row>
    <row r="24" spans="2:62" ht="15.95" customHeight="1" x14ac:dyDescent="0.25">
      <c r="B24" s="1193">
        <v>4</v>
      </c>
      <c r="C24" s="1205"/>
      <c r="D24" s="1292"/>
      <c r="E24" s="1292"/>
      <c r="F24" s="1206"/>
      <c r="G24" s="916"/>
      <c r="H24" s="916"/>
      <c r="I24" s="1294"/>
      <c r="J24" s="1294"/>
      <c r="K24" s="1296" t="str">
        <f>IFERROR(IF(OR(C24="",I24=""),"",IF(C24="Metal Halide",INDEX(BASEHIDBALLAST[Metal Halide Ballast],MATCH(I24,BASEHIDBALLAST[Metal Halide Nominal],0)),IF(C24="Pulse Start Metal Halide",INDEX(BASEHIDBALLAST[Pulse Start Metal Halide Ballast],MATCH(I24,BASEHIDBALLAST[Pulse Start Metal Halide Nominal],0)),IF(C24="Mercury Vapor",INDEX(BASEHIDBALLAST[Mercury Vapor Ballast],MATCH(I24,BASEHIDBALLAST[Mercury Vapor Nominal],0)),IF(C24="High Pressure Sodium",INDEX(BASEHIDBALLAST[High Pressure Sodium Ballast],MATCH(I24,BASEHIDBALLAST[High Pressure Sodium Nominal],0))))))),"")</f>
        <v/>
      </c>
      <c r="L24" s="1297"/>
      <c r="M24" s="1259"/>
      <c r="N24" s="880"/>
      <c r="O24" s="880"/>
      <c r="P24" s="880"/>
      <c r="Q24" s="1229"/>
      <c r="R24" s="1229"/>
      <c r="S24" s="1229"/>
      <c r="T24" s="1229"/>
      <c r="U24" s="916"/>
      <c r="V24" s="916"/>
      <c r="W24" s="1237"/>
      <c r="X24" s="1237"/>
      <c r="Y24" s="880"/>
      <c r="Z24" s="880"/>
      <c r="AA24" s="880"/>
      <c r="AB24" s="916"/>
      <c r="AC24" s="916"/>
      <c r="AD24" s="1245"/>
      <c r="AE24" s="1246"/>
      <c r="AF24" s="1247"/>
      <c r="AG24" s="1248"/>
      <c r="AH24" s="1248"/>
      <c r="AI24" s="1249"/>
      <c r="AJ24" s="1250" t="str">
        <f t="shared" ref="AJ24" si="4">IF(OR(C24="",I24="",K24="",G24="",M24="",Q24="",U24="",W24="",Y24="",AB24="",AF24="",AH24=""),"",IFERROR(ROUND(IF((AW24-AX24)&lt;=0,0,BG24*(AW24-AX24)),0),""))</f>
        <v/>
      </c>
      <c r="AK24" s="1251"/>
      <c r="AL24" s="1251"/>
      <c r="AM24" s="1252"/>
      <c r="AN24" s="1238" t="str">
        <f>IF(M02S02F44="","Update Install Status",IF(M02S02F49="Yes","Use New Load",IF(OR(C24="",I24="",K24="",G24="",M24="",Q24="",U24="",W24="",Y24="",AB24="",AF24="",AH24="",AD24=""),"",IF(BE24&lt;&gt;"",BE24,IF(BD24&lt;0,"No Incentive Savings",ROUND(MIN(AU24,BD24),2))))))</f>
        <v>Update Install Status</v>
      </c>
      <c r="AO24" s="1239"/>
      <c r="AP24" s="1239"/>
      <c r="AQ24" s="1240"/>
      <c r="AS24"/>
      <c r="AT24"/>
      <c r="AU24" s="804" t="str">
        <f>IF(OR(C24="",I24="",K24="",G24="",M24="",Q24="",U24="",W24="",Y24="",AB24="",AF24="",AH24=""),"",(ROUND((AF24+AH24)*U24,2)))</f>
        <v/>
      </c>
      <c r="AV24" s="806" t="str">
        <f>IF(OR(C24="",I24="",K24="",G24="",M24="",Q24="",U24="",W24="",Y24="",AB24="",AF24="",AH24=""),"",ROUND(AJ24*INDEX(ENDUSEALL[Factor],MATCH(INDEX(PMELIGHTHID[End Use Category],MATCH(BA24,PMELIGHTHID[Measure Validator],0)),ENDUSEALL[End Use to Coincident Peak Demand Factors],0)),4))</f>
        <v/>
      </c>
      <c r="AW24" s="802" t="str">
        <f>IF(OR(C24="",I24="",K24="",G24="",M24="",Q24="",U24="",W24="",Y24="",AB24="",AF24="",AH24=""),"",ROUND(K24*G24*AB24/1000,0))</f>
        <v/>
      </c>
      <c r="AX24" s="802" t="str">
        <f>IF(OR(C24="",I24="",K24="",G24="",M24="",Q24="",U24="",W24="",Y24="",AB24="",AF24="",AH24=""),"",IF(ISNUMBER(SEARCH("Network",M24)),ROUND(0.76*W24*U24*AB24/1000,0),ROUND(W24*U24*AB24/1000,0)))</f>
        <v/>
      </c>
      <c r="AY24" s="750" t="str">
        <f>IF(OR(C24="",I24="",K24="",G24="",M24="",Q24="",U24="",W24="",Y24="",AB24="",AF24="",AH24=""),"",IF(G24&gt;=U24,ROUND(K24*U24,0),IF(G24&lt;U24,ROUND(K24*G24,0))))</f>
        <v/>
      </c>
      <c r="AZ24" s="800" t="str">
        <f>IF(OR(C24="",G24="",I24="",K24="",M24="",Q24="",U24="",W24="",Y24="",AB24="",AD24="",AF24="",AH24=""),"",ROUND(W24*U24,0))</f>
        <v/>
      </c>
      <c r="BA24" s="1290" t="str">
        <f>IFERROR(IF(ISNUMBER(SEARCH("Pulse Start",C24)),CONCATENATE("Metal Halide","-","LED","-",M24),CONCATENATE(C24,"-","LED","-",M24)),"")</f>
        <v>-LED-</v>
      </c>
      <c r="BB24" s="747" t="str">
        <f>IF(OR(C24="",I24="",K24="",G24="",M24="",Q24="",U24="",W24="",Y24="",AB24="",AF24="",AH24=""),"",INDEX(PMELIGHTHID[Measure '#],MATCH(BA24,PMELIGHTHID[Measure Validator],0)))</f>
        <v/>
      </c>
      <c r="BC24" s="1287" t="str">
        <f ca="1">IFERROR(IF(OR(C24="",AH24=""),"",IF(BB24="","",IF(AND(AND(SUBLIGHTDATE1&lt;&gt;"No",SUBLIGHTDATE2&lt;&gt;"No",SUBLIGHTDATE3&lt;&gt;"No"),M02S02F44="No",OR(M02S02F43&lt;=DATEVALUE("12/31/2021"),M02S02F43=""),OR(TODAY()&lt;=LIGHTING2021,ACTLIGHT&lt;&gt;"")),LIGHTRATE21*(INDEX(PMELIGHTHID[Inc Rate Unit],MATCH(BA24,PMELIGHTHID[Measure Validator],0))),INDEX(PMELIGHTHID[Inc Rate Unit],MATCH(BA24,PMELIGHTHID[Measure Validator],0))))),"")</f>
        <v/>
      </c>
      <c r="BD24" s="747" t="str">
        <f>IFERROR(ROUND(IF(OR(C24="",AH24=""),"",IF(BB24="","",(AY24-AZ24)*BC24)),2),"")</f>
        <v/>
      </c>
      <c r="BE24" s="747" t="str">
        <f>IF(OR(C24="",I24="",K24="",G24="",M24="",Q24="",U24="",W24="",Y24="",AB24="",AF24="",AH24=""),"",IFERROR(IF(AB24&lt;INDEX(PMELIGHTHID[Op Hr 1],MATCH(BA24,PMELIGHTHID[Measure Validator],0)),"Operating Hours Invalid",IF(ISNUMBER(SEARCH("SPILLOVER",Y24)),PROJSTATELI,IF((AW24-AX24)&lt;0,"No Savings",""))),"ERROR"))</f>
        <v/>
      </c>
      <c r="BF24" s="1289" t="str">
        <f>IF(AND(ISBLANK(AF24),ISBLANK(AH24)),"",IF(BD24&gt;AU24,"Yes","No"))</f>
        <v/>
      </c>
      <c r="BG24" s="1051">
        <f>IF(M02S02F32&lt;&gt;"",INDEX(SPACEHEAT[HIF],MATCH(M02S02F32,SHEAT,0)),1)</f>
        <v>1</v>
      </c>
      <c r="BH24" s="1225">
        <f t="shared" ref="BH24" si="5">IFERROR(ROUND(BJ24*1.1,2),0)</f>
        <v>0</v>
      </c>
      <c r="BI24" s="804" t="str">
        <f>IF(M02S02F44="","Update Install Status",IF(M02S02F49="Yes","Use New Load",IF(OR(C24="",I24="",K24="",G24="",M24="",Q24="",U24="",W24="",Y24="",AB24="",AF24="",AH24="",AD24=""),"",IF(BE24&lt;&gt;"",BE24,ROUND(BH24*BONUSADJ,2)))))</f>
        <v>Update Install Status</v>
      </c>
      <c r="BJ24" s="804" t="str">
        <f>IF(M02S02F44="","Update Install Status",IF(M02S02F49="Yes","Use New Load",IF(OR(C24="",I24="",K24="",G24="",M24="",Q24="",U24="",W24="",Y24="",AB24="",AF24="",AH24="",AD24=""),"",IF(BE24&lt;&gt;"",BE24,IF(BD24&lt;0,"No Incentive Savings",ROUND(MIN(AU24,BD24),2))))))</f>
        <v>Update Install Status</v>
      </c>
    </row>
    <row r="25" spans="2:62" ht="15.95" customHeight="1" x14ac:dyDescent="0.25">
      <c r="B25" s="1193"/>
      <c r="C25" s="1207"/>
      <c r="D25" s="1263"/>
      <c r="E25" s="1263"/>
      <c r="F25" s="1208"/>
      <c r="G25" s="1293"/>
      <c r="H25" s="1293"/>
      <c r="I25" s="1295"/>
      <c r="J25" s="1295"/>
      <c r="K25" s="1273"/>
      <c r="L25" s="1274"/>
      <c r="M25" s="1259"/>
      <c r="N25" s="880"/>
      <c r="O25" s="880"/>
      <c r="P25" s="880"/>
      <c r="Q25" s="1229"/>
      <c r="R25" s="1229"/>
      <c r="S25" s="1229"/>
      <c r="T25" s="1229"/>
      <c r="U25" s="916"/>
      <c r="V25" s="916"/>
      <c r="W25" s="1237"/>
      <c r="X25" s="1237"/>
      <c r="Y25" s="880"/>
      <c r="Z25" s="880"/>
      <c r="AA25" s="880"/>
      <c r="AB25" s="916"/>
      <c r="AC25" s="916"/>
      <c r="AD25" s="1245"/>
      <c r="AE25" s="1246"/>
      <c r="AF25" s="1247"/>
      <c r="AG25" s="1248"/>
      <c r="AH25" s="1248"/>
      <c r="AI25" s="1249"/>
      <c r="AJ25" s="1250"/>
      <c r="AK25" s="1251"/>
      <c r="AL25" s="1251"/>
      <c r="AM25" s="1252"/>
      <c r="AN25" s="1238"/>
      <c r="AO25" s="1239"/>
      <c r="AP25" s="1239"/>
      <c r="AQ25" s="1240"/>
      <c r="AS25"/>
      <c r="AT25"/>
      <c r="AU25" s="805"/>
      <c r="AV25" s="807"/>
      <c r="AW25" s="803"/>
      <c r="AX25" s="803"/>
      <c r="AY25" s="751"/>
      <c r="AZ25" s="801"/>
      <c r="BA25" s="1291"/>
      <c r="BB25" s="748"/>
      <c r="BC25" s="1288"/>
      <c r="BD25" s="748"/>
      <c r="BE25" s="748"/>
      <c r="BF25" s="1289"/>
      <c r="BG25" s="1052"/>
      <c r="BH25" s="1226"/>
      <c r="BI25" s="805"/>
      <c r="BJ25" s="805"/>
    </row>
    <row r="26" spans="2:62" ht="15.95" customHeight="1" x14ac:dyDescent="0.25">
      <c r="B26" s="1193">
        <v>5</v>
      </c>
      <c r="C26" s="1205"/>
      <c r="D26" s="1292"/>
      <c r="E26" s="1292"/>
      <c r="F26" s="1206"/>
      <c r="G26" s="916"/>
      <c r="H26" s="916"/>
      <c r="I26" s="1294"/>
      <c r="J26" s="1294"/>
      <c r="K26" s="1296" t="str">
        <f>IFERROR(IF(OR(C26="",I26=""),"",IF(C26="Metal Halide",INDEX(BASEHIDBALLAST[Metal Halide Ballast],MATCH(I26,BASEHIDBALLAST[Metal Halide Nominal],0)),IF(C26="Pulse Start Metal Halide",INDEX(BASEHIDBALLAST[Pulse Start Metal Halide Ballast],MATCH(I26,BASEHIDBALLAST[Pulse Start Metal Halide Nominal],0)),IF(C26="Mercury Vapor",INDEX(BASEHIDBALLAST[Mercury Vapor Ballast],MATCH(I26,BASEHIDBALLAST[Mercury Vapor Nominal],0)),IF(C26="High Pressure Sodium",INDEX(BASEHIDBALLAST[High Pressure Sodium Ballast],MATCH(I26,BASEHIDBALLAST[High Pressure Sodium Nominal],0))))))),"")</f>
        <v/>
      </c>
      <c r="L26" s="1297"/>
      <c r="M26" s="1259"/>
      <c r="N26" s="880"/>
      <c r="O26" s="880"/>
      <c r="P26" s="880"/>
      <c r="Q26" s="1229"/>
      <c r="R26" s="1229"/>
      <c r="S26" s="1229"/>
      <c r="T26" s="1229"/>
      <c r="U26" s="916"/>
      <c r="V26" s="916"/>
      <c r="W26" s="1237"/>
      <c r="X26" s="1237"/>
      <c r="Y26" s="880"/>
      <c r="Z26" s="880"/>
      <c r="AA26" s="880"/>
      <c r="AB26" s="916"/>
      <c r="AC26" s="916"/>
      <c r="AD26" s="1245"/>
      <c r="AE26" s="1246"/>
      <c r="AF26" s="1247"/>
      <c r="AG26" s="1248"/>
      <c r="AH26" s="1248"/>
      <c r="AI26" s="1249"/>
      <c r="AJ26" s="1250" t="str">
        <f>IF(OR(C26="",I26="",K26="",G26="",M26="",Q26="",U26="",W26="",Y26="",AB26="",AF26="",AH26=""),"",IFERROR(ROUND(IF((AW26-AX26)&lt;=0,0,BG26*(AW26-AX26)),0),""))</f>
        <v/>
      </c>
      <c r="AK26" s="1251"/>
      <c r="AL26" s="1251"/>
      <c r="AM26" s="1252"/>
      <c r="AN26" s="1238" t="str">
        <f>IF(M02S02F44="","Update Install Status",IF(M02S02F49="Yes","Use New Load",IF(OR(C26="",I26="",K26="",G26="",M26="",Q26="",U26="",W26="",Y26="",AB26="",AF26="",AH26="",AD26=""),"",IF(BE26&lt;&gt;"",BE26,IF(BD26&lt;0,"No Incentive Savings",ROUND(MIN(AU26,BD26),2))))))</f>
        <v>Update Install Status</v>
      </c>
      <c r="AO26" s="1239"/>
      <c r="AP26" s="1239"/>
      <c r="AQ26" s="1240"/>
      <c r="AS26"/>
      <c r="AT26"/>
      <c r="AU26" s="804" t="str">
        <f>IF(OR(C26="",I26="",K26="",G26="",M26="",Q26="",U26="",W26="",Y26="",AB26="",AF26="",AH26=""),"",(ROUND((AF26+AH26)*U26,2)))</f>
        <v/>
      </c>
      <c r="AV26" s="806" t="str">
        <f>IF(OR(C26="",I26="",K26="",G26="",M26="",Q26="",U26="",W26="",Y26="",AB26="",AF26="",AH26=""),"",ROUND(AJ26*INDEX(ENDUSEALL[Factor],MATCH(INDEX(PMELIGHTHID[End Use Category],MATCH(BA26,PMELIGHTHID[Measure Validator],0)),ENDUSEALL[End Use to Coincident Peak Demand Factors],0)),4))</f>
        <v/>
      </c>
      <c r="AW26" s="802" t="str">
        <f>IF(OR(C26="",I26="",K26="",G26="",M26="",Q26="",U26="",W26="",Y26="",AB26="",AF26="",AH26=""),"",ROUND(K26*G26*AB26/1000,0))</f>
        <v/>
      </c>
      <c r="AX26" s="802" t="str">
        <f>IF(OR(C26="",I26="",K26="",G26="",M26="",Q26="",U26="",W26="",Y26="",AB26="",AF26="",AH26=""),"",IF(ISNUMBER(SEARCH("Network",M26)),ROUND(0.76*W26*U26*AB26/1000,0),ROUND(W26*U26*AB26/1000,0)))</f>
        <v/>
      </c>
      <c r="AY26" s="750" t="str">
        <f>IF(OR(C26="",I26="",K26="",G26="",M26="",Q26="",U26="",W26="",Y26="",AB26="",AF26="",AH26=""),"",IF(G26&gt;=U26,ROUND(K26*U26,0),IF(G26&lt;U26,ROUND(K26*G26,0))))</f>
        <v/>
      </c>
      <c r="AZ26" s="800" t="str">
        <f>IF(OR(C26="",G26="",I26="",K26="",M26="",Q26="",U26="",W26="",Y26="",AB26="",AD26="",AF26="",AH26=""),"",ROUND(W26*U26,0))</f>
        <v/>
      </c>
      <c r="BA26" s="1290" t="str">
        <f>IFERROR(IF(ISNUMBER(SEARCH("Pulse Start",C26)),CONCATENATE("Metal Halide","-","LED","-",M26),CONCATENATE(C26,"-","LED","-",M26)),"")</f>
        <v>-LED-</v>
      </c>
      <c r="BB26" s="747" t="str">
        <f>IF(OR(C26="",I26="",K26="",G26="",M26="",Q26="",U26="",W26="",Y26="",AB26="",AF26="",AH26=""),"",INDEX(PMELIGHTHID[Measure '#],MATCH(BA26,PMELIGHTHID[Measure Validator],0)))</f>
        <v/>
      </c>
      <c r="BC26" s="1287" t="str">
        <f ca="1">IFERROR(IF(OR(C26="",AH26=""),"",IF(BB26="","",IF(AND(AND(SUBLIGHTDATE1&lt;&gt;"No",SUBLIGHTDATE2&lt;&gt;"No",SUBLIGHTDATE3&lt;&gt;"No"),M02S02F44="No",OR(M02S02F43&lt;=DATEVALUE("12/31/2021"),M02S02F43=""),OR(TODAY()&lt;=LIGHTING2021,ACTLIGHT&lt;&gt;"")),LIGHTRATE21*(INDEX(PMELIGHTHID[Inc Rate Unit],MATCH(BA26,PMELIGHTHID[Measure Validator],0))),INDEX(PMELIGHTHID[Inc Rate Unit],MATCH(BA26,PMELIGHTHID[Measure Validator],0))))),"")</f>
        <v/>
      </c>
      <c r="BD26" s="747" t="str">
        <f>IFERROR(ROUND(IF(OR(C26="",AH26=""),"",IF(BB26="","",(AY26-AZ26)*BC26)),2),"")</f>
        <v/>
      </c>
      <c r="BE26" s="747" t="str">
        <f>IF(OR(C26="",I26="",K26="",G26="",M26="",Q26="",U26="",W26="",Y26="",AB26="",AF26="",AH26=""),"",IFERROR(IF(AB26&lt;INDEX(PMELIGHTHID[Op Hr 1],MATCH(BA26,PMELIGHTHID[Measure Validator],0)),"Operating Hours Invalid",IF(ISNUMBER(SEARCH("SPILLOVER",Y26)),PROJSTATELI,IF((AW26-AX26)&lt;0,"No Savings",""))),"ERROR"))</f>
        <v/>
      </c>
      <c r="BF26" s="1289" t="str">
        <f>IF(AND(ISBLANK(AF26),ISBLANK(AH26)),"",IF(BD26&gt;AU26,"Yes","No"))</f>
        <v/>
      </c>
      <c r="BG26" s="1051">
        <f>IF(M02S02F32&lt;&gt;"",INDEX(SPACEHEAT[HIF],MATCH(M02S02F32,SHEAT,0)),1)</f>
        <v>1</v>
      </c>
      <c r="BH26" s="1225">
        <f t="shared" ref="BH26" si="6">IFERROR(ROUND(BJ26*1.1,2),0)</f>
        <v>0</v>
      </c>
      <c r="BI26" s="804" t="str">
        <f>IF(M02S02F44="","Update Install Status",IF(M02S02F49="Yes","Use New Load",IF(OR(C26="",I26="",K26="",G26="",M26="",Q26="",U26="",W26="",Y26="",AB26="",AF26="",AH26="",AD26=""),"",IF(BE26&lt;&gt;"",BE26,ROUND(BH26*BONUSADJ,2)))))</f>
        <v>Update Install Status</v>
      </c>
      <c r="BJ26" s="804" t="str">
        <f>IF(M02S02F44="","Update Install Status",IF(M02S02F49="Yes","Use New Load",IF(OR(C26="",I26="",K26="",G26="",M26="",Q26="",U26="",W26="",Y26="",AB26="",AF26="",AH26="",AD26=""),"",IF(BE26&lt;&gt;"",BE26,IF(BD26&lt;0,"No Incentive Savings",ROUND(MIN(AU26,BD26),2))))))</f>
        <v>Update Install Status</v>
      </c>
    </row>
    <row r="27" spans="2:62" ht="15.95" customHeight="1" x14ac:dyDescent="0.25">
      <c r="B27" s="1193"/>
      <c r="C27" s="1207"/>
      <c r="D27" s="1263"/>
      <c r="E27" s="1263"/>
      <c r="F27" s="1208"/>
      <c r="G27" s="1293"/>
      <c r="H27" s="1293"/>
      <c r="I27" s="1295"/>
      <c r="J27" s="1295"/>
      <c r="K27" s="1273"/>
      <c r="L27" s="1274"/>
      <c r="M27" s="1259"/>
      <c r="N27" s="880"/>
      <c r="O27" s="880"/>
      <c r="P27" s="880"/>
      <c r="Q27" s="1229"/>
      <c r="R27" s="1229"/>
      <c r="S27" s="1229"/>
      <c r="T27" s="1229"/>
      <c r="U27" s="916"/>
      <c r="V27" s="916"/>
      <c r="W27" s="1237"/>
      <c r="X27" s="1237"/>
      <c r="Y27" s="880"/>
      <c r="Z27" s="880"/>
      <c r="AA27" s="880"/>
      <c r="AB27" s="916"/>
      <c r="AC27" s="916"/>
      <c r="AD27" s="1245"/>
      <c r="AE27" s="1246"/>
      <c r="AF27" s="1247"/>
      <c r="AG27" s="1248"/>
      <c r="AH27" s="1248"/>
      <c r="AI27" s="1249"/>
      <c r="AJ27" s="1250"/>
      <c r="AK27" s="1251"/>
      <c r="AL27" s="1251"/>
      <c r="AM27" s="1252"/>
      <c r="AN27" s="1238"/>
      <c r="AO27" s="1239"/>
      <c r="AP27" s="1239"/>
      <c r="AQ27" s="1240"/>
      <c r="AS27"/>
      <c r="AT27"/>
      <c r="AU27" s="805"/>
      <c r="AV27" s="807"/>
      <c r="AW27" s="803"/>
      <c r="AX27" s="803"/>
      <c r="AY27" s="751"/>
      <c r="AZ27" s="801"/>
      <c r="BA27" s="1291"/>
      <c r="BB27" s="748"/>
      <c r="BC27" s="1288"/>
      <c r="BD27" s="748"/>
      <c r="BE27" s="748"/>
      <c r="BF27" s="1289"/>
      <c r="BG27" s="1052"/>
      <c r="BH27" s="1226"/>
      <c r="BI27" s="805"/>
      <c r="BJ27" s="805"/>
    </row>
    <row r="28" spans="2:62" ht="15.95" customHeight="1" x14ac:dyDescent="0.25">
      <c r="B28" s="1193">
        <v>6</v>
      </c>
      <c r="C28" s="1205"/>
      <c r="D28" s="1292"/>
      <c r="E28" s="1292"/>
      <c r="F28" s="1206"/>
      <c r="G28" s="916"/>
      <c r="H28" s="916"/>
      <c r="I28" s="1294"/>
      <c r="J28" s="1294"/>
      <c r="K28" s="1296" t="str">
        <f>IFERROR(IF(OR(C28="",I28=""),"",IF(C28="Metal Halide",INDEX(BASEHIDBALLAST[Metal Halide Ballast],MATCH(I28,BASEHIDBALLAST[Metal Halide Nominal],0)),IF(C28="Pulse Start Metal Halide",INDEX(BASEHIDBALLAST[Pulse Start Metal Halide Ballast],MATCH(I28,BASEHIDBALLAST[Pulse Start Metal Halide Nominal],0)),IF(C28="Mercury Vapor",INDEX(BASEHIDBALLAST[Mercury Vapor Ballast],MATCH(I28,BASEHIDBALLAST[Mercury Vapor Nominal],0)),IF(C28="High Pressure Sodium",INDEX(BASEHIDBALLAST[High Pressure Sodium Ballast],MATCH(I28,BASEHIDBALLAST[High Pressure Sodium Nominal],0))))))),"")</f>
        <v/>
      </c>
      <c r="L28" s="1297"/>
      <c r="M28" s="1259"/>
      <c r="N28" s="880"/>
      <c r="O28" s="880"/>
      <c r="P28" s="880"/>
      <c r="Q28" s="1229"/>
      <c r="R28" s="1229"/>
      <c r="S28" s="1229"/>
      <c r="T28" s="1229"/>
      <c r="U28" s="916"/>
      <c r="V28" s="916"/>
      <c r="W28" s="1237"/>
      <c r="X28" s="1237"/>
      <c r="Y28" s="880"/>
      <c r="Z28" s="880"/>
      <c r="AA28" s="880"/>
      <c r="AB28" s="916"/>
      <c r="AC28" s="916"/>
      <c r="AD28" s="1245"/>
      <c r="AE28" s="1246"/>
      <c r="AF28" s="1247"/>
      <c r="AG28" s="1248"/>
      <c r="AH28" s="1248"/>
      <c r="AI28" s="1249"/>
      <c r="AJ28" s="1250" t="str">
        <f t="shared" ref="AJ28" si="7">IF(OR(C28="",I28="",K28="",G28="",M28="",Q28="",U28="",W28="",Y28="",AB28="",AF28="",AH28=""),"",IFERROR(ROUND(IF((AW28-AX28)&lt;=0,0,BG28*(AW28-AX28)),0),""))</f>
        <v/>
      </c>
      <c r="AK28" s="1251"/>
      <c r="AL28" s="1251"/>
      <c r="AM28" s="1252"/>
      <c r="AN28" s="1238" t="str">
        <f>IF(M02S02F44="","Update Install Status",IF(M02S02F49="Yes","Use New Load",IF(OR(C28="",I28="",K28="",G28="",M28="",Q28="",U28="",W28="",Y28="",AB28="",AF28="",AH28="",AD28=""),"",IF(BE28&lt;&gt;"",BE28,IF(BD28&lt;0,"No Incentive Savings",ROUND(MIN(AU28,BD28),2))))))</f>
        <v>Update Install Status</v>
      </c>
      <c r="AO28" s="1239"/>
      <c r="AP28" s="1239"/>
      <c r="AQ28" s="1240"/>
      <c r="AS28"/>
      <c r="AT28"/>
      <c r="AU28" s="804" t="str">
        <f>IF(OR(C28="",I28="",K28="",G28="",M28="",Q28="",U28="",W28="",Y28="",AB28="",AF28="",AH28=""),"",(ROUND((AF28+AH28)*U28,2)))</f>
        <v/>
      </c>
      <c r="AV28" s="806" t="str">
        <f>IF(OR(C28="",I28="",K28="",G28="",M28="",Q28="",U28="",W28="",Y28="",AB28="",AF28="",AH28=""),"",ROUND(AJ28*INDEX(ENDUSEALL[Factor],MATCH(INDEX(PMELIGHTHID[End Use Category],MATCH(BA28,PMELIGHTHID[Measure Validator],0)),ENDUSEALL[End Use to Coincident Peak Demand Factors],0)),4))</f>
        <v/>
      </c>
      <c r="AW28" s="802" t="str">
        <f>IF(OR(C28="",I28="",K28="",G28="",M28="",Q28="",U28="",W28="",Y28="",AB28="",AF28="",AH28=""),"",ROUND(K28*G28*AB28/1000,0))</f>
        <v/>
      </c>
      <c r="AX28" s="802" t="str">
        <f>IF(OR(C28="",I28="",K28="",G28="",M28="",Q28="",U28="",W28="",Y28="",AB28="",AF28="",AH28=""),"",IF(ISNUMBER(SEARCH("Network",M28)),ROUND(0.76*W28*U28*AB28/1000,0),ROUND(W28*U28*AB28/1000,0)))</f>
        <v/>
      </c>
      <c r="AY28" s="750" t="str">
        <f>IF(OR(C28="",I28="",K28="",G28="",M28="",Q28="",U28="",W28="",Y28="",AB28="",AF28="",AH28=""),"",IF(G28&gt;=U28,ROUND(K28*U28,0),IF(G28&lt;U28,ROUND(K28*G28,0))))</f>
        <v/>
      </c>
      <c r="AZ28" s="800" t="str">
        <f>IF(OR(C28="",G28="",I28="",K28="",M28="",Q28="",U28="",W28="",Y28="",AB28="",AD28="",AF28="",AH28=""),"",ROUND(W28*U28,0))</f>
        <v/>
      </c>
      <c r="BA28" s="1290" t="str">
        <f>IFERROR(IF(ISNUMBER(SEARCH("Pulse Start",C28)),CONCATENATE("Metal Halide","-","LED","-",M28),CONCATENATE(C28,"-","LED","-",M28)),"")</f>
        <v>-LED-</v>
      </c>
      <c r="BB28" s="747" t="str">
        <f>IF(OR(C28="",I28="",K28="",G28="",M28="",Q28="",U28="",W28="",Y28="",AB28="",AF28="",AH28=""),"",INDEX(PMELIGHTHID[Measure '#],MATCH(BA28,PMELIGHTHID[Measure Validator],0)))</f>
        <v/>
      </c>
      <c r="BC28" s="1287" t="str">
        <f ca="1">IFERROR(IF(OR(C28="",AH28=""),"",IF(BB28="","",IF(AND(AND(SUBLIGHTDATE1&lt;&gt;"No",SUBLIGHTDATE2&lt;&gt;"No",SUBLIGHTDATE3&lt;&gt;"No"),M02S02F44="No",OR(M02S02F43&lt;=DATEVALUE("12/31/2021"),M02S02F43=""),OR(TODAY()&lt;=LIGHTING2021,ACTLIGHT&lt;&gt;"")),LIGHTRATE21*(INDEX(PMELIGHTHID[Inc Rate Unit],MATCH(BA28,PMELIGHTHID[Measure Validator],0))),INDEX(PMELIGHTHID[Inc Rate Unit],MATCH(BA28,PMELIGHTHID[Measure Validator],0))))),"")</f>
        <v/>
      </c>
      <c r="BD28" s="747" t="str">
        <f>IFERROR(ROUND(IF(OR(C28="",AH28=""),"",IF(BB28="","",(AY28-AZ28)*BC28)),2),"")</f>
        <v/>
      </c>
      <c r="BE28" s="747" t="str">
        <f>IF(OR(C28="",I28="",K28="",G28="",M28="",Q28="",U28="",W28="",Y28="",AB28="",AF28="",AH28=""),"",IFERROR(IF(AB28&lt;INDEX(PMELIGHTHID[Op Hr 1],MATCH(BA28,PMELIGHTHID[Measure Validator],0)),"Operating Hours Invalid",IF(ISNUMBER(SEARCH("SPILLOVER",Y28)),PROJSTATELI,IF((AW28-AX28)&lt;0,"No Savings",""))),"ERROR"))</f>
        <v/>
      </c>
      <c r="BF28" s="1289" t="str">
        <f>IF(AND(ISBLANK(AF28),ISBLANK(AH28)),"",IF(BD28&gt;AU28,"Yes","No"))</f>
        <v/>
      </c>
      <c r="BG28" s="1051">
        <f>IF(M02S02F32&lt;&gt;"",INDEX(SPACEHEAT[HIF],MATCH(M02S02F32,SHEAT,0)),1)</f>
        <v>1</v>
      </c>
      <c r="BH28" s="1225">
        <f t="shared" ref="BH28" si="8">IFERROR(ROUND(BJ28*1.1,2),0)</f>
        <v>0</v>
      </c>
      <c r="BI28" s="804" t="str">
        <f>IF(M02S02F44="","Update Install Status",IF(M02S02F49="Yes","Use New Load",IF(OR(C28="",I28="",K28="",G28="",M28="",Q28="",U28="",W28="",Y28="",AB28="",AF28="",AH28="",AD28=""),"",IF(BE28&lt;&gt;"",BE28,ROUND(BH28*BONUSADJ,2)))))</f>
        <v>Update Install Status</v>
      </c>
      <c r="BJ28" s="804" t="str">
        <f>IF(M02S02F44="","Update Install Status",IF(M02S02F49="Yes","Use New Load",IF(OR(C28="",I28="",K28="",G28="",M28="",Q28="",U28="",W28="",Y28="",AB28="",AF28="",AH28="",AD28=""),"",IF(BE28&lt;&gt;"",BE28,IF(BD28&lt;0,"No Incentive Savings",ROUND(MIN(AU28,BD28),2))))))</f>
        <v>Update Install Status</v>
      </c>
    </row>
    <row r="29" spans="2:62" ht="15.95" customHeight="1" x14ac:dyDescent="0.25">
      <c r="B29" s="1193"/>
      <c r="C29" s="1207"/>
      <c r="D29" s="1263"/>
      <c r="E29" s="1263"/>
      <c r="F29" s="1208"/>
      <c r="G29" s="1293"/>
      <c r="H29" s="1293"/>
      <c r="I29" s="1295"/>
      <c r="J29" s="1295"/>
      <c r="K29" s="1273"/>
      <c r="L29" s="1274"/>
      <c r="M29" s="1259"/>
      <c r="N29" s="880"/>
      <c r="O29" s="880"/>
      <c r="P29" s="880"/>
      <c r="Q29" s="1229"/>
      <c r="R29" s="1229"/>
      <c r="S29" s="1229"/>
      <c r="T29" s="1229"/>
      <c r="U29" s="916"/>
      <c r="V29" s="916"/>
      <c r="W29" s="1237"/>
      <c r="X29" s="1237"/>
      <c r="Y29" s="880"/>
      <c r="Z29" s="880"/>
      <c r="AA29" s="880"/>
      <c r="AB29" s="916"/>
      <c r="AC29" s="916"/>
      <c r="AD29" s="1245"/>
      <c r="AE29" s="1246"/>
      <c r="AF29" s="1247"/>
      <c r="AG29" s="1248"/>
      <c r="AH29" s="1248"/>
      <c r="AI29" s="1249"/>
      <c r="AJ29" s="1250"/>
      <c r="AK29" s="1251"/>
      <c r="AL29" s="1251"/>
      <c r="AM29" s="1252"/>
      <c r="AN29" s="1238"/>
      <c r="AO29" s="1239"/>
      <c r="AP29" s="1239"/>
      <c r="AQ29" s="1240"/>
      <c r="AS29"/>
      <c r="AT29"/>
      <c r="AU29" s="805"/>
      <c r="AV29" s="807"/>
      <c r="AW29" s="803"/>
      <c r="AX29" s="803"/>
      <c r="AY29" s="751"/>
      <c r="AZ29" s="801"/>
      <c r="BA29" s="1291"/>
      <c r="BB29" s="748"/>
      <c r="BC29" s="1288"/>
      <c r="BD29" s="748"/>
      <c r="BE29" s="748"/>
      <c r="BF29" s="1289"/>
      <c r="BG29" s="1052"/>
      <c r="BH29" s="1226"/>
      <c r="BI29" s="805"/>
      <c r="BJ29" s="805"/>
    </row>
    <row r="30" spans="2:62" ht="15.95" customHeight="1" x14ac:dyDescent="0.25">
      <c r="B30" s="1193">
        <v>7</v>
      </c>
      <c r="C30" s="843"/>
      <c r="D30" s="1307"/>
      <c r="E30" s="1307"/>
      <c r="F30" s="844"/>
      <c r="G30" s="853"/>
      <c r="H30" s="853"/>
      <c r="I30" s="1300"/>
      <c r="J30" s="1300"/>
      <c r="K30" s="1296" t="str">
        <f>IFERROR(IF(OR(C30="",I30=""),"",IF(C30="Metal Halide",INDEX(BASEHIDBALLAST[Metal Halide Ballast],MATCH(I30,BASEHIDBALLAST[Metal Halide Nominal],0)),IF(C30="Pulse Start Metal Halide",INDEX(BASEHIDBALLAST[Pulse Start Metal Halide Ballast],MATCH(I30,BASEHIDBALLAST[Pulse Start Metal Halide Nominal],0)),IF(C30="Mercury Vapor",INDEX(BASEHIDBALLAST[Mercury Vapor Ballast],MATCH(I30,BASEHIDBALLAST[Mercury Vapor Nominal],0)),IF(C30="High Pressure Sodium",INDEX(BASEHIDBALLAST[High Pressure Sodium Ballast],MATCH(I30,BASEHIDBALLAST[High Pressure Sodium Nominal],0))))))),"")</f>
        <v/>
      </c>
      <c r="L30" s="1297"/>
      <c r="M30" s="1228"/>
      <c r="N30" s="852"/>
      <c r="O30" s="852"/>
      <c r="P30" s="852"/>
      <c r="Q30" s="1232"/>
      <c r="R30" s="1230"/>
      <c r="S30" s="1230"/>
      <c r="T30" s="1230"/>
      <c r="U30" s="853"/>
      <c r="V30" s="853"/>
      <c r="W30" s="1231"/>
      <c r="X30" s="1231"/>
      <c r="Y30" s="1298"/>
      <c r="Z30" s="852"/>
      <c r="AA30" s="852"/>
      <c r="AB30" s="853"/>
      <c r="AC30" s="853"/>
      <c r="AD30" s="1302"/>
      <c r="AE30" s="1303"/>
      <c r="AF30" s="1304"/>
      <c r="AG30" s="1305"/>
      <c r="AH30" s="1305"/>
      <c r="AI30" s="1306"/>
      <c r="AJ30" s="1250" t="str">
        <f t="shared" ref="AJ30" si="9">IF(OR(C30="",I30="",K30="",G30="",M30="",Q30="",U30="",W30="",Y30="",AB30="",AF30="",AH30=""),"",IFERROR(ROUND(IF((AW30-AX30)&lt;=0,0,BG30*(AW30-AX30)),0),""))</f>
        <v/>
      </c>
      <c r="AK30" s="1251"/>
      <c r="AL30" s="1251"/>
      <c r="AM30" s="1252"/>
      <c r="AN30" s="1238" t="str">
        <f>IF(M02S02F44="","Update Install Status",IF(M02S02F49="Yes","Use New Load",IF(OR(C30="",I30="",K30="",G30="",M30="",Q30="",U30="",W30="",Y30="",AB30="",AF30="",AH30="",AD30=""),"",IF(BE30&lt;&gt;"",BE30,IF(BD30&lt;0,"No Incentive Savings",ROUND(MIN(AU30,BD30),2))))))</f>
        <v>Update Install Status</v>
      </c>
      <c r="AO30" s="1239"/>
      <c r="AP30" s="1239"/>
      <c r="AQ30" s="1240"/>
      <c r="AS30"/>
      <c r="AT30"/>
      <c r="AU30" s="804" t="str">
        <f>IF(OR(C30="",I30="",K30="",G30="",M30="",Q30="",U30="",W30="",Y30="",AB30="",AF30="",AH30=""),"",(ROUND((AF30+AH30)*U30,2)))</f>
        <v/>
      </c>
      <c r="AV30" s="806" t="str">
        <f>IF(OR(C30="",I30="",K30="",G30="",M30="",Q30="",U30="",W30="",Y30="",AB30="",AF30="",AH30=""),"",ROUND(AJ30*INDEX(ENDUSEALL[Factor],MATCH(INDEX(PMELIGHTHID[End Use Category],MATCH(BA30,PMELIGHTHID[Measure Validator],0)),ENDUSEALL[End Use to Coincident Peak Demand Factors],0)),4))</f>
        <v/>
      </c>
      <c r="AW30" s="802" t="str">
        <f>IF(OR(C30="",I30="",K30="",G30="",M30="",Q30="",U30="",W30="",Y30="",AB30="",AF30="",AH30=""),"",ROUND(K30*G30*AB30/1000,0))</f>
        <v/>
      </c>
      <c r="AX30" s="802" t="str">
        <f>IF(OR(C30="",I30="",K30="",G30="",M30="",Q30="",U30="",W30="",Y30="",AB30="",AF30="",AH30=""),"",IF(ISNUMBER(SEARCH("Network",M30)),ROUND(0.76*W30*U30*AB30/1000,0),ROUND(W30*U30*AB30/1000,0)))</f>
        <v/>
      </c>
      <c r="AY30" s="750" t="str">
        <f>IF(OR(C30="",I30="",K30="",G30="",M30="",Q30="",U30="",W30="",Y30="",AB30="",AF30="",AH30=""),"",IF(G30&gt;=U30,ROUND(K30*U30,0),IF(G30&lt;U30,ROUND(K30*G30,0))))</f>
        <v/>
      </c>
      <c r="AZ30" s="800" t="str">
        <f>IF(OR(C30="",G30="",I30="",K30="",M30="",Q30="",U30="",W30="",Y30="",AB30="",AD30="",AF30="",AH30=""),"",ROUND(W30*U30,0))</f>
        <v/>
      </c>
      <c r="BA30" s="1290" t="str">
        <f>IFERROR(IF(ISNUMBER(SEARCH("Pulse Start",C30)),CONCATENATE("Metal Halide","-","LED","-",M30),CONCATENATE(C30,"-","LED","-",M30)),"")</f>
        <v>-LED-</v>
      </c>
      <c r="BB30" s="747" t="str">
        <f>IF(OR(C30="",I30="",K30="",G30="",M30="",Q30="",U30="",W30="",Y30="",AB30="",AF30="",AH30=""),"",INDEX(PMELIGHTHID[Measure '#],MATCH(BA30,PMELIGHTHID[Measure Validator],0)))</f>
        <v/>
      </c>
      <c r="BC30" s="1287" t="str">
        <f ca="1">IFERROR(IF(OR(C30="",AH30=""),"",IF(BB30="","",IF(AND(AND(SUBLIGHTDATE1&lt;&gt;"No",SUBLIGHTDATE2&lt;&gt;"No",SUBLIGHTDATE3&lt;&gt;"No"),M02S02F44="No",OR(M02S02F43&lt;=DATEVALUE("12/31/2021"),M02S02F43=""),OR(TODAY()&lt;=LIGHTING2021,ACTLIGHT&lt;&gt;"")),LIGHTRATE21*(INDEX(PMELIGHTHID[Inc Rate Unit],MATCH(BA30,PMELIGHTHID[Measure Validator],0))),INDEX(PMELIGHTHID[Inc Rate Unit],MATCH(BA30,PMELIGHTHID[Measure Validator],0))))),"")</f>
        <v/>
      </c>
      <c r="BD30" s="747" t="str">
        <f>IFERROR(ROUND(IF(OR(C30="",AH30=""),"",IF(BB30="","",(AY30-AZ30)*BC30)),2),"")</f>
        <v/>
      </c>
      <c r="BE30" s="747" t="str">
        <f>IF(OR(C30="",I30="",K30="",G30="",M30="",Q30="",U30="",W30="",Y30="",AB30="",AF30="",AH30=""),"",IFERROR(IF(AB30&lt;INDEX(PMELIGHTHID[Op Hr 1],MATCH(BA30,PMELIGHTHID[Measure Validator],0)),"Operating Hours Invalid",IF(ISNUMBER(SEARCH("SPILLOVER",Y30)),PROJSTATELI,IF((AW30-AX30)&lt;0,"No Savings",""))),"ERROR"))</f>
        <v/>
      </c>
      <c r="BF30" s="1289" t="str">
        <f>IF(AND(ISBLANK(AF30),ISBLANK(AH30)),"",IF(BD30&gt;AU30,"Yes","No"))</f>
        <v/>
      </c>
      <c r="BG30" s="1051">
        <f>IF(M02S02F32&lt;&gt;"",INDEX(SPACEHEAT[HIF],MATCH(M02S02F32,SHEAT,0)),1)</f>
        <v>1</v>
      </c>
      <c r="BH30" s="1225">
        <f t="shared" ref="BH30" si="10">IFERROR(ROUND(BJ30*1.1,2),0)</f>
        <v>0</v>
      </c>
      <c r="BI30" s="804" t="str">
        <f>IF(M02S02F44="","Update Install Status",IF(M02S02F49="Yes","Use New Load",IF(OR(C30="",I30="",K30="",G30="",M30="",Q30="",U30="",W30="",Y30="",AB30="",AF30="",AH30="",AD30=""),"",IF(BE30&lt;&gt;"",BE30,ROUND(BH30*BONUSADJ,2)))))</f>
        <v>Update Install Status</v>
      </c>
      <c r="BJ30" s="804" t="str">
        <f>IF(M02S02F44="","Update Install Status",IF(M02S02F49="Yes","Use New Load",IF(OR(C30="",I30="",K30="",G30="",M30="",Q30="",U30="",W30="",Y30="",AB30="",AF30="",AH30="",AD30=""),"",IF(BE30&lt;&gt;"",BE30,IF(BD30&lt;0,"No Incentive Savings",ROUND(MIN(AU30,BD30),2))))))</f>
        <v>Update Install Status</v>
      </c>
    </row>
    <row r="31" spans="2:62" ht="15.95" customHeight="1" x14ac:dyDescent="0.25">
      <c r="B31" s="1193"/>
      <c r="C31" s="845"/>
      <c r="D31" s="1308"/>
      <c r="E31" s="1308"/>
      <c r="F31" s="846"/>
      <c r="G31" s="1299"/>
      <c r="H31" s="1299"/>
      <c r="I31" s="1301"/>
      <c r="J31" s="1301"/>
      <c r="K31" s="1273"/>
      <c r="L31" s="1274"/>
      <c r="M31" s="1228"/>
      <c r="N31" s="852"/>
      <c r="O31" s="852"/>
      <c r="P31" s="852"/>
      <c r="Q31" s="1230"/>
      <c r="R31" s="1230"/>
      <c r="S31" s="1230"/>
      <c r="T31" s="1230"/>
      <c r="U31" s="853"/>
      <c r="V31" s="853"/>
      <c r="W31" s="1231"/>
      <c r="X31" s="1231"/>
      <c r="Y31" s="852"/>
      <c r="Z31" s="852"/>
      <c r="AA31" s="852"/>
      <c r="AB31" s="853"/>
      <c r="AC31" s="853"/>
      <c r="AD31" s="1302"/>
      <c r="AE31" s="1303"/>
      <c r="AF31" s="1304"/>
      <c r="AG31" s="1305"/>
      <c r="AH31" s="1305"/>
      <c r="AI31" s="1306"/>
      <c r="AJ31" s="1250"/>
      <c r="AK31" s="1251"/>
      <c r="AL31" s="1251"/>
      <c r="AM31" s="1252"/>
      <c r="AN31" s="1238"/>
      <c r="AO31" s="1239"/>
      <c r="AP31" s="1239"/>
      <c r="AQ31" s="1240"/>
      <c r="AS31"/>
      <c r="AT31"/>
      <c r="AU31" s="805"/>
      <c r="AV31" s="807"/>
      <c r="AW31" s="803"/>
      <c r="AX31" s="803"/>
      <c r="AY31" s="751"/>
      <c r="AZ31" s="801"/>
      <c r="BA31" s="1291"/>
      <c r="BB31" s="748"/>
      <c r="BC31" s="1288"/>
      <c r="BD31" s="748"/>
      <c r="BE31" s="748"/>
      <c r="BF31" s="1289"/>
      <c r="BG31" s="1052"/>
      <c r="BH31" s="1226"/>
      <c r="BI31" s="805"/>
      <c r="BJ31" s="805"/>
    </row>
    <row r="32" spans="2:62" ht="15.95" customHeight="1" x14ac:dyDescent="0.25">
      <c r="B32" s="1193">
        <v>8</v>
      </c>
      <c r="C32" s="843"/>
      <c r="D32" s="1307"/>
      <c r="E32" s="1307"/>
      <c r="F32" s="844"/>
      <c r="G32" s="853"/>
      <c r="H32" s="853"/>
      <c r="I32" s="1300"/>
      <c r="J32" s="1300"/>
      <c r="K32" s="1296" t="str">
        <f>IFERROR(IF(OR(C32="",I32=""),"",IF(C32="Metal Halide",INDEX(BASEHIDBALLAST[Metal Halide Ballast],MATCH(I32,BASEHIDBALLAST[Metal Halide Nominal],0)),IF(C32="Pulse Start Metal Halide",INDEX(BASEHIDBALLAST[Pulse Start Metal Halide Ballast],MATCH(I32,BASEHIDBALLAST[Pulse Start Metal Halide Nominal],0)),IF(C32="Mercury Vapor",INDEX(BASEHIDBALLAST[Mercury Vapor Ballast],MATCH(I32,BASEHIDBALLAST[Mercury Vapor Nominal],0)),IF(C32="High Pressure Sodium",INDEX(BASEHIDBALLAST[High Pressure Sodium Ballast],MATCH(I32,BASEHIDBALLAST[High Pressure Sodium Nominal],0))))))),"")</f>
        <v/>
      </c>
      <c r="L32" s="1297"/>
      <c r="M32" s="1228"/>
      <c r="N32" s="852"/>
      <c r="O32" s="852"/>
      <c r="P32" s="852"/>
      <c r="Q32" s="1232"/>
      <c r="R32" s="1230"/>
      <c r="S32" s="1230"/>
      <c r="T32" s="1230"/>
      <c r="U32" s="853"/>
      <c r="V32" s="853"/>
      <c r="W32" s="1231"/>
      <c r="X32" s="1231"/>
      <c r="Y32" s="1298"/>
      <c r="Z32" s="852"/>
      <c r="AA32" s="852"/>
      <c r="AB32" s="853"/>
      <c r="AC32" s="853"/>
      <c r="AD32" s="1302"/>
      <c r="AE32" s="1303"/>
      <c r="AF32" s="1304"/>
      <c r="AG32" s="1305"/>
      <c r="AH32" s="1305"/>
      <c r="AI32" s="1306"/>
      <c r="AJ32" s="1250" t="str">
        <f>IF(OR(C32="",I32="",K32="",G32="",M32="",Q32="",U32="",W32="",Y32="",AB32="",AF32="",AH32=""),"",IFERROR(ROUND(IF((AW32-AX32)&lt;=0,0,BG32*(AW32-AX32)),0),""))</f>
        <v/>
      </c>
      <c r="AK32" s="1251"/>
      <c r="AL32" s="1251"/>
      <c r="AM32" s="1252"/>
      <c r="AN32" s="1238" t="str">
        <f>IF(M02S02F44="","Update Install Status",IF(M02S02F49="Yes","Use New Load",IF(OR(C32="",I32="",K32="",G32="",M32="",Q32="",U32="",W32="",Y32="",AB32="",AF32="",AH32="",AD32=""),"",IF(BE32&lt;&gt;"",BE32,IF(BD32&lt;0,"No Incentive Savings",ROUND(MIN(AU32,BD32),2))))))</f>
        <v>Update Install Status</v>
      </c>
      <c r="AO32" s="1239"/>
      <c r="AP32" s="1239"/>
      <c r="AQ32" s="1240"/>
      <c r="AS32"/>
      <c r="AT32"/>
      <c r="AU32" s="804" t="str">
        <f>IF(OR(C32="",I32="",K32="",G32="",M32="",Q32="",U32="",W32="",Y32="",AB32="",AF32="",AH32=""),"",(ROUND((AF32+AH32)*U32,2)))</f>
        <v/>
      </c>
      <c r="AV32" s="806" t="str">
        <f>IF(OR(C32="",I32="",K32="",G32="",M32="",Q32="",U32="",W32="",Y32="",AB32="",AF32="",AH32=""),"",ROUND(AJ32*INDEX(ENDUSEALL[Factor],MATCH(INDEX(PMELIGHTHID[End Use Category],MATCH(BA32,PMELIGHTHID[Measure Validator],0)),ENDUSEALL[End Use to Coincident Peak Demand Factors],0)),4))</f>
        <v/>
      </c>
      <c r="AW32" s="802" t="str">
        <f>IF(OR(C32="",I32="",K32="",G32="",M32="",Q32="",U32="",W32="",Y32="",AB32="",AF32="",AH32=""),"",ROUND(K32*G32*AB32/1000,0))</f>
        <v/>
      </c>
      <c r="AX32" s="802" t="str">
        <f>IF(OR(C32="",I32="",K32="",G32="",M32="",Q32="",U32="",W32="",Y32="",AB32="",AF32="",AH32=""),"",IF(ISNUMBER(SEARCH("Network",M32)),ROUND(0.76*W32*U32*AB32/1000,0),ROUND(W32*U32*AB32/1000,0)))</f>
        <v/>
      </c>
      <c r="AY32" s="750" t="str">
        <f>IF(OR(C32="",I32="",K32="",G32="",M32="",Q32="",U32="",W32="",Y32="",AB32="",AF32="",AH32=""),"",IF(G32&gt;=U32,ROUND(K32*U32,0),IF(G32&lt;U32,ROUND(K32*G32,0))))</f>
        <v/>
      </c>
      <c r="AZ32" s="800" t="str">
        <f>IF(OR(C32="",G32="",I32="",K32="",M32="",Q32="",U32="",W32="",Y32="",AB32="",AD32="",AF32="",AH32=""),"",ROUND(W32*U32,0))</f>
        <v/>
      </c>
      <c r="BA32" s="1290" t="str">
        <f>IFERROR(IF(ISNUMBER(SEARCH("Pulse Start",C32)),CONCATENATE("Metal Halide","-","LED","-",M32),CONCATENATE(C32,"-","LED","-",M32)),"")</f>
        <v>-LED-</v>
      </c>
      <c r="BB32" s="747" t="str">
        <f>IF(OR(C32="",I32="",K32="",G32="",M32="",Q32="",U32="",W32="",Y32="",AB32="",AF32="",AH32=""),"",INDEX(PMELIGHTHID[Measure '#],MATCH(BA32,PMELIGHTHID[Measure Validator],0)))</f>
        <v/>
      </c>
      <c r="BC32" s="1287" t="str">
        <f ca="1">IFERROR(IF(OR(C32="",AH32=""),"",IF(BB32="","",IF(AND(AND(SUBLIGHTDATE1&lt;&gt;"No",SUBLIGHTDATE2&lt;&gt;"No",SUBLIGHTDATE3&lt;&gt;"No"),M02S02F44="No",OR(M02S02F43&lt;=DATEVALUE("12/31/2021"),M02S02F43=""),OR(TODAY()&lt;=LIGHTING2021,ACTLIGHT&lt;&gt;"")),LIGHTRATE21*(INDEX(PMELIGHTHID[Inc Rate Unit],MATCH(BA32,PMELIGHTHID[Measure Validator],0))),INDEX(PMELIGHTHID[Inc Rate Unit],MATCH(BA32,PMELIGHTHID[Measure Validator],0))))),"")</f>
        <v/>
      </c>
      <c r="BD32" s="747" t="str">
        <f>IFERROR(ROUND(IF(OR(C32="",AH32=""),"",IF(BB32="","",(AY32-AZ32)*BC32)),2),"")</f>
        <v/>
      </c>
      <c r="BE32" s="747" t="str">
        <f>IF(OR(C32="",I32="",K32="",G32="",M32="",Q32="",U32="",W32="",Y32="",AB32="",AF32="",AH32=""),"",IFERROR(IF(AB32&lt;INDEX(PMELIGHTHID[Op Hr 1],MATCH(BA32,PMELIGHTHID[Measure Validator],0)),"Operating Hours Invalid",IF(ISNUMBER(SEARCH("SPILLOVER",Y32)),PROJSTATELI,IF((AW32-AX32)&lt;0,"No Savings",""))),"ERROR"))</f>
        <v/>
      </c>
      <c r="BF32" s="1289" t="str">
        <f>IF(AND(ISBLANK(AF32),ISBLANK(AH32)),"",IF(BD32&gt;AU32,"Yes","No"))</f>
        <v/>
      </c>
      <c r="BG32" s="1051">
        <f>IF(M02S02F32&lt;&gt;"",INDEX(SPACEHEAT[HIF],MATCH(M02S02F32,SHEAT,0)),1)</f>
        <v>1</v>
      </c>
      <c r="BH32" s="1225">
        <f t="shared" ref="BH32" si="11">IFERROR(ROUND(BJ32*1.1,2),0)</f>
        <v>0</v>
      </c>
      <c r="BI32" s="804" t="str">
        <f>IF(M02S02F44="","Update Install Status",IF(M02S02F49="Yes","Use New Load",IF(OR(C32="",I32="",K32="",G32="",M32="",Q32="",U32="",W32="",Y32="",AB32="",AF32="",AH32="",AD32=""),"",IF(BE32&lt;&gt;"",BE32,ROUND(BH32*BONUSADJ,2)))))</f>
        <v>Update Install Status</v>
      </c>
      <c r="BJ32" s="804" t="str">
        <f>IF(M02S02F44="","Update Install Status",IF(M02S02F49="Yes","Use New Load",IF(OR(C32="",I32="",K32="",G32="",M32="",Q32="",U32="",W32="",Y32="",AB32="",AF32="",AH32="",AD32=""),"",IF(BE32&lt;&gt;"",BE32,IF(BD32&lt;0,"No Incentive Savings",ROUND(MIN(AU32,BD32),2))))))</f>
        <v>Update Install Status</v>
      </c>
    </row>
    <row r="33" spans="2:62" ht="15.95" customHeight="1" x14ac:dyDescent="0.25">
      <c r="B33" s="1193"/>
      <c r="C33" s="845"/>
      <c r="D33" s="1308"/>
      <c r="E33" s="1308"/>
      <c r="F33" s="846"/>
      <c r="G33" s="1299"/>
      <c r="H33" s="1299"/>
      <c r="I33" s="1301"/>
      <c r="J33" s="1301"/>
      <c r="K33" s="1273"/>
      <c r="L33" s="1274"/>
      <c r="M33" s="1228"/>
      <c r="N33" s="852"/>
      <c r="O33" s="852"/>
      <c r="P33" s="852"/>
      <c r="Q33" s="1230"/>
      <c r="R33" s="1230"/>
      <c r="S33" s="1230"/>
      <c r="T33" s="1230"/>
      <c r="U33" s="853"/>
      <c r="V33" s="853"/>
      <c r="W33" s="1231"/>
      <c r="X33" s="1231"/>
      <c r="Y33" s="852"/>
      <c r="Z33" s="852"/>
      <c r="AA33" s="852"/>
      <c r="AB33" s="853"/>
      <c r="AC33" s="853"/>
      <c r="AD33" s="1302"/>
      <c r="AE33" s="1303"/>
      <c r="AF33" s="1304"/>
      <c r="AG33" s="1305"/>
      <c r="AH33" s="1305"/>
      <c r="AI33" s="1306"/>
      <c r="AJ33" s="1250"/>
      <c r="AK33" s="1251"/>
      <c r="AL33" s="1251"/>
      <c r="AM33" s="1252"/>
      <c r="AN33" s="1238"/>
      <c r="AO33" s="1239"/>
      <c r="AP33" s="1239"/>
      <c r="AQ33" s="1240"/>
      <c r="AS33"/>
      <c r="AT33"/>
      <c r="AU33" s="805"/>
      <c r="AV33" s="807"/>
      <c r="AW33" s="803"/>
      <c r="AX33" s="803"/>
      <c r="AY33" s="751"/>
      <c r="AZ33" s="801"/>
      <c r="BA33" s="1291"/>
      <c r="BB33" s="748"/>
      <c r="BC33" s="1288"/>
      <c r="BD33" s="748"/>
      <c r="BE33" s="748"/>
      <c r="BF33" s="1289"/>
      <c r="BG33" s="1052"/>
      <c r="BH33" s="1226"/>
      <c r="BI33" s="805"/>
      <c r="BJ33" s="805"/>
    </row>
    <row r="34" spans="2:62" ht="15.95" customHeight="1" x14ac:dyDescent="0.25">
      <c r="B34" s="1193">
        <v>9</v>
      </c>
      <c r="C34" s="843"/>
      <c r="D34" s="1307"/>
      <c r="E34" s="1307"/>
      <c r="F34" s="844"/>
      <c r="G34" s="853"/>
      <c r="H34" s="853"/>
      <c r="I34" s="1300"/>
      <c r="J34" s="1300"/>
      <c r="K34" s="1296" t="str">
        <f>IFERROR(IF(OR(C34="",I34=""),"",IF(C34="Metal Halide",INDEX(BASEHIDBALLAST[Metal Halide Ballast],MATCH(I34,BASEHIDBALLAST[Metal Halide Nominal],0)),IF(C34="Pulse Start Metal Halide",INDEX(BASEHIDBALLAST[Pulse Start Metal Halide Ballast],MATCH(I34,BASEHIDBALLAST[Pulse Start Metal Halide Nominal],0)),IF(C34="Mercury Vapor",INDEX(BASEHIDBALLAST[Mercury Vapor Ballast],MATCH(I34,BASEHIDBALLAST[Mercury Vapor Nominal],0)),IF(C34="High Pressure Sodium",INDEX(BASEHIDBALLAST[High Pressure Sodium Ballast],MATCH(I34,BASEHIDBALLAST[High Pressure Sodium Nominal],0))))))),"")</f>
        <v/>
      </c>
      <c r="L34" s="1297"/>
      <c r="M34" s="1228"/>
      <c r="N34" s="852"/>
      <c r="O34" s="852"/>
      <c r="P34" s="852"/>
      <c r="Q34" s="1229"/>
      <c r="R34" s="1230"/>
      <c r="S34" s="1230"/>
      <c r="T34" s="1230"/>
      <c r="U34" s="853"/>
      <c r="V34" s="853"/>
      <c r="W34" s="1231"/>
      <c r="X34" s="1231"/>
      <c r="Y34" s="880"/>
      <c r="Z34" s="852"/>
      <c r="AA34" s="852"/>
      <c r="AB34" s="853"/>
      <c r="AC34" s="853"/>
      <c r="AD34" s="1302"/>
      <c r="AE34" s="1303"/>
      <c r="AF34" s="1304"/>
      <c r="AG34" s="1305"/>
      <c r="AH34" s="1305"/>
      <c r="AI34" s="1306"/>
      <c r="AJ34" s="1250" t="str">
        <f t="shared" ref="AJ34" si="12">IF(OR(C34="",I34="",K34="",G34="",M34="",Q34="",U34="",W34="",Y34="",AB34="",AF34="",AH34=""),"",IFERROR(ROUND(IF((AW34-AX34)&lt;=0,0,BG34*(AW34-AX34)),0),""))</f>
        <v/>
      </c>
      <c r="AK34" s="1251"/>
      <c r="AL34" s="1251"/>
      <c r="AM34" s="1252"/>
      <c r="AN34" s="1238" t="str">
        <f>IF(M02S02F44="","Update Install Status",IF(M02S02F49="Yes","Use New Load",IF(OR(C34="",I34="",K34="",G34="",M34="",Q34="",U34="",W34="",Y34="",AB34="",AF34="",AH34="",AD34=""),"",IF(BE34&lt;&gt;"",BE34,IF(BD34&lt;0,"No Incentive Savings",ROUND(MIN(AU34,BD34),2))))))</f>
        <v>Update Install Status</v>
      </c>
      <c r="AO34" s="1239"/>
      <c r="AP34" s="1239"/>
      <c r="AQ34" s="1240"/>
      <c r="AS34"/>
      <c r="AT34"/>
      <c r="AU34" s="804" t="str">
        <f>IF(OR(C34="",I34="",K34="",G34="",M34="",Q34="",U34="",W34="",Y34="",AB34="",AF34="",AH34=""),"",(ROUND((AF34+AH34)*U34,2)))</f>
        <v/>
      </c>
      <c r="AV34" s="806" t="str">
        <f>IF(OR(C34="",I34="",K34="",G34="",M34="",Q34="",U34="",W34="",Y34="",AB34="",AF34="",AH34=""),"",ROUND(AJ34*INDEX(ENDUSEALL[Factor],MATCH(INDEX(PMELIGHTHID[End Use Category],MATCH(BA34,PMELIGHTHID[Measure Validator],0)),ENDUSEALL[End Use to Coincident Peak Demand Factors],0)),4))</f>
        <v/>
      </c>
      <c r="AW34" s="802" t="str">
        <f>IF(OR(C34="",I34="",K34="",G34="",M34="",Q34="",U34="",W34="",Y34="",AB34="",AF34="",AH34=""),"",ROUND(K34*G34*AB34/1000,0))</f>
        <v/>
      </c>
      <c r="AX34" s="802" t="str">
        <f>IF(OR(C34="",I34="",K34="",G34="",M34="",Q34="",U34="",W34="",Y34="",AB34="",AF34="",AH34=""),"",IF(ISNUMBER(SEARCH("Network",M34)),ROUND(0.76*W34*U34*AB34/1000,0),ROUND(W34*U34*AB34/1000,0)))</f>
        <v/>
      </c>
      <c r="AY34" s="750" t="str">
        <f>IF(OR(C34="",I34="",K34="",G34="",M34="",Q34="",U34="",W34="",Y34="",AB34="",AF34="",AH34=""),"",IF(G34&gt;=U34,ROUND(K34*U34,0),IF(G34&lt;U34,ROUND(K34*G34,0))))</f>
        <v/>
      </c>
      <c r="AZ34" s="800" t="str">
        <f>IF(OR(C34="",G34="",I34="",K34="",M34="",Q34="",U34="",W34="",Y34="",AB34="",AD34="",AF34="",AH34=""),"",ROUND(W34*U34,0))</f>
        <v/>
      </c>
      <c r="BA34" s="1290" t="str">
        <f>IFERROR(IF(ISNUMBER(SEARCH("Pulse Start",C34)),CONCATENATE("Metal Halide","-","LED","-",M34),CONCATENATE(C34,"-","LED","-",M34)),"")</f>
        <v>-LED-</v>
      </c>
      <c r="BB34" s="747" t="str">
        <f>IF(OR(C34="",I34="",K34="",G34="",M34="",Q34="",U34="",W34="",Y34="",AB34="",AF34="",AH34=""),"",INDEX(PMELIGHTHID[Measure '#],MATCH(BA34,PMELIGHTHID[Measure Validator],0)))</f>
        <v/>
      </c>
      <c r="BC34" s="1287" t="str">
        <f ca="1">IFERROR(IF(OR(C34="",AH34=""),"",IF(BB34="","",IF(AND(AND(SUBLIGHTDATE1&lt;&gt;"No",SUBLIGHTDATE2&lt;&gt;"No",SUBLIGHTDATE3&lt;&gt;"No"),M02S02F44="No",OR(M02S02F43&lt;=DATEVALUE("12/31/2021"),M02S02F43=""),OR(TODAY()&lt;=LIGHTING2021,ACTLIGHT&lt;&gt;"")),LIGHTRATE21*(INDEX(PMELIGHTHID[Inc Rate Unit],MATCH(BA34,PMELIGHTHID[Measure Validator],0))),INDEX(PMELIGHTHID[Inc Rate Unit],MATCH(BA34,PMELIGHTHID[Measure Validator],0))))),"")</f>
        <v/>
      </c>
      <c r="BD34" s="747" t="str">
        <f>IFERROR(ROUND(IF(OR(C34="",AH34=""),"",IF(BB34="","",(AY34-AZ34)*BC34)),2),"")</f>
        <v/>
      </c>
      <c r="BE34" s="747" t="str">
        <f>IF(OR(C34="",I34="",K34="",G34="",M34="",Q34="",U34="",W34="",Y34="",AB34="",AF34="",AH34=""),"",IFERROR(IF(AB34&lt;INDEX(PMELIGHTHID[Op Hr 1],MATCH(BA34,PMELIGHTHID[Measure Validator],0)),"Operating Hours Invalid",IF(ISNUMBER(SEARCH("SPILLOVER",Y34)),PROJSTATELI,IF((AW34-AX34)&lt;0,"No Savings",""))),"ERROR"))</f>
        <v/>
      </c>
      <c r="BF34" s="1289" t="str">
        <f>IF(AND(ISBLANK(AF34),ISBLANK(AH34)),"",IF(BD34&gt;AU34,"Yes","No"))</f>
        <v/>
      </c>
      <c r="BG34" s="1051">
        <f>IF(M02S02F32&lt;&gt;"",INDEX(SPACEHEAT[HIF],MATCH(M02S02F32,SHEAT,0)),1)</f>
        <v>1</v>
      </c>
      <c r="BH34" s="1225">
        <f t="shared" ref="BH34" si="13">IFERROR(ROUND(BJ34*1.1,2),0)</f>
        <v>0</v>
      </c>
      <c r="BI34" s="804" t="str">
        <f>IF(M02S02F44="","Update Install Status",IF(M02S02F49="Yes","Use New Load",IF(OR(C34="",I34="",K34="",G34="",M34="",Q34="",U34="",W34="",Y34="",AB34="",AF34="",AH34="",AD34=""),"",IF(BE34&lt;&gt;"",BE34,ROUND(BH34*BONUSADJ,2)))))</f>
        <v>Update Install Status</v>
      </c>
      <c r="BJ34" s="804" t="str">
        <f>IF(M02S02F44="","Update Install Status",IF(M02S02F49="Yes","Use New Load",IF(OR(C34="",I34="",K34="",G34="",M34="",Q34="",U34="",W34="",Y34="",AB34="",AF34="",AH34="",AD34=""),"",IF(BE34&lt;&gt;"",BE34,IF(BD34&lt;0,"No Incentive Savings",ROUND(MIN(AU34,BD34),2))))))</f>
        <v>Update Install Status</v>
      </c>
    </row>
    <row r="35" spans="2:62" ht="15.95" customHeight="1" x14ac:dyDescent="0.25">
      <c r="B35" s="1193"/>
      <c r="C35" s="845"/>
      <c r="D35" s="1308"/>
      <c r="E35" s="1308"/>
      <c r="F35" s="846"/>
      <c r="G35" s="1299"/>
      <c r="H35" s="1299"/>
      <c r="I35" s="1301"/>
      <c r="J35" s="1301"/>
      <c r="K35" s="1273"/>
      <c r="L35" s="1274"/>
      <c r="M35" s="1228"/>
      <c r="N35" s="852"/>
      <c r="O35" s="852"/>
      <c r="P35" s="852"/>
      <c r="Q35" s="1230"/>
      <c r="R35" s="1230"/>
      <c r="S35" s="1230"/>
      <c r="T35" s="1230"/>
      <c r="U35" s="853"/>
      <c r="V35" s="853"/>
      <c r="W35" s="1231"/>
      <c r="X35" s="1231"/>
      <c r="Y35" s="852"/>
      <c r="Z35" s="852"/>
      <c r="AA35" s="852"/>
      <c r="AB35" s="853"/>
      <c r="AC35" s="853"/>
      <c r="AD35" s="1302"/>
      <c r="AE35" s="1303"/>
      <c r="AF35" s="1304"/>
      <c r="AG35" s="1305"/>
      <c r="AH35" s="1305"/>
      <c r="AI35" s="1306"/>
      <c r="AJ35" s="1250"/>
      <c r="AK35" s="1251"/>
      <c r="AL35" s="1251"/>
      <c r="AM35" s="1252"/>
      <c r="AN35" s="1238"/>
      <c r="AO35" s="1239"/>
      <c r="AP35" s="1239"/>
      <c r="AQ35" s="1240"/>
      <c r="AS35"/>
      <c r="AT35"/>
      <c r="AU35" s="805"/>
      <c r="AV35" s="807"/>
      <c r="AW35" s="803"/>
      <c r="AX35" s="803"/>
      <c r="AY35" s="751"/>
      <c r="AZ35" s="801"/>
      <c r="BA35" s="1291"/>
      <c r="BB35" s="748"/>
      <c r="BC35" s="1288"/>
      <c r="BD35" s="748"/>
      <c r="BE35" s="748"/>
      <c r="BF35" s="1289"/>
      <c r="BG35" s="1052"/>
      <c r="BH35" s="1226"/>
      <c r="BI35" s="805"/>
      <c r="BJ35" s="805"/>
    </row>
    <row r="36" spans="2:62" ht="15.95" customHeight="1" x14ac:dyDescent="0.25">
      <c r="B36" s="1193">
        <v>10</v>
      </c>
      <c r="C36" s="843"/>
      <c r="D36" s="1307"/>
      <c r="E36" s="1307"/>
      <c r="F36" s="844"/>
      <c r="G36" s="853"/>
      <c r="H36" s="853"/>
      <c r="I36" s="1300"/>
      <c r="J36" s="1300"/>
      <c r="K36" s="1296" t="str">
        <f>IFERROR(IF(OR(C36="",I36=""),"",IF(C36="Metal Halide",INDEX(BASEHIDBALLAST[Metal Halide Ballast],MATCH(I36,BASEHIDBALLAST[Metal Halide Nominal],0)),IF(C36="Pulse Start Metal Halide",INDEX(BASEHIDBALLAST[Pulse Start Metal Halide Ballast],MATCH(I36,BASEHIDBALLAST[Pulse Start Metal Halide Nominal],0)),IF(C36="Mercury Vapor",INDEX(BASEHIDBALLAST[Mercury Vapor Ballast],MATCH(I36,BASEHIDBALLAST[Mercury Vapor Nominal],0)),IF(C36="High Pressure Sodium",INDEX(BASEHIDBALLAST[High Pressure Sodium Ballast],MATCH(I36,BASEHIDBALLAST[High Pressure Sodium Nominal],0))))))),"")</f>
        <v/>
      </c>
      <c r="L36" s="1297"/>
      <c r="M36" s="1228"/>
      <c r="N36" s="852"/>
      <c r="O36" s="852"/>
      <c r="P36" s="852"/>
      <c r="Q36" s="1232"/>
      <c r="R36" s="1230"/>
      <c r="S36" s="1230"/>
      <c r="T36" s="1230"/>
      <c r="U36" s="853"/>
      <c r="V36" s="853"/>
      <c r="W36" s="1231"/>
      <c r="X36" s="1231"/>
      <c r="Y36" s="1298"/>
      <c r="Z36" s="852"/>
      <c r="AA36" s="852"/>
      <c r="AB36" s="853"/>
      <c r="AC36" s="853"/>
      <c r="AD36" s="1302"/>
      <c r="AE36" s="1303"/>
      <c r="AF36" s="1304"/>
      <c r="AG36" s="1305"/>
      <c r="AH36" s="1305"/>
      <c r="AI36" s="1306"/>
      <c r="AJ36" s="1250" t="str">
        <f t="shared" ref="AJ36" si="14">IF(OR(C36="",I36="",K36="",G36="",M36="",Q36="",U36="",W36="",Y36="",AB36="",AF36="",AH36=""),"",IFERROR(ROUND(IF((AW36-AX36)&lt;=0,0,BG36*(AW36-AX36)),0),""))</f>
        <v/>
      </c>
      <c r="AK36" s="1251"/>
      <c r="AL36" s="1251"/>
      <c r="AM36" s="1252"/>
      <c r="AN36" s="1238" t="str">
        <f>IF(M02S02F44="","Update Install Status",IF(M02S02F49="Yes","Use New Load",IF(OR(C36="",I36="",K36="",G36="",M36="",Q36="",U36="",W36="",Y36="",AB36="",AF36="",AH36="",AD36=""),"",IF(BE36&lt;&gt;"",BE36,IF(BD36&lt;0,"No Incentive Savings",ROUND(MIN(AU36,BD36),2))))))</f>
        <v>Update Install Status</v>
      </c>
      <c r="AO36" s="1239"/>
      <c r="AP36" s="1239"/>
      <c r="AQ36" s="1240"/>
      <c r="AS36"/>
      <c r="AT36"/>
      <c r="AU36" s="804" t="str">
        <f>IF(OR(C36="",I36="",K36="",G36="",M36="",Q36="",U36="",W36="",Y36="",AB36="",AF36="",AH36=""),"",(ROUND((AF36+AH36)*U36,2)))</f>
        <v/>
      </c>
      <c r="AV36" s="806" t="str">
        <f>IF(OR(C36="",I36="",K36="",G36="",M36="",Q36="",U36="",W36="",Y36="",AB36="",AF36="",AH36=""),"",ROUND(AJ36*INDEX(ENDUSEALL[Factor],MATCH(INDEX(PMELIGHTHID[End Use Category],MATCH(BA36,PMELIGHTHID[Measure Validator],0)),ENDUSEALL[End Use to Coincident Peak Demand Factors],0)),4))</f>
        <v/>
      </c>
      <c r="AW36" s="802" t="str">
        <f>IF(OR(C36="",I36="",K36="",G36="",M36="",Q36="",U36="",W36="",Y36="",AB36="",AF36="",AH36=""),"",ROUND(K36*G36*AB36/1000,0))</f>
        <v/>
      </c>
      <c r="AX36" s="802" t="str">
        <f>IF(OR(C36="",I36="",K36="",G36="",M36="",Q36="",U36="",W36="",Y36="",AB36="",AF36="",AH36=""),"",IF(ISNUMBER(SEARCH("Network",M36)),ROUND(0.76*W36*U36*AB36/1000,0),ROUND(W36*U36*AB36/1000,0)))</f>
        <v/>
      </c>
      <c r="AY36" s="750" t="str">
        <f>IF(OR(C36="",I36="",K36="",G36="",M36="",Q36="",U36="",W36="",Y36="",AB36="",AF36="",AH36=""),"",IF(G36&gt;=U36,ROUND(K36*U36,0),IF(G36&lt;U36,ROUND(K36*G36,0))))</f>
        <v/>
      </c>
      <c r="AZ36" s="800" t="str">
        <f>IF(OR(C36="",G36="",I36="",K36="",M36="",Q36="",U36="",W36="",Y36="",AB36="",AD36="",AF36="",AH36=""),"",ROUND(W36*U36,0))</f>
        <v/>
      </c>
      <c r="BA36" s="1290" t="str">
        <f>IFERROR(IF(ISNUMBER(SEARCH("Pulse Start",C36)),CONCATENATE("Metal Halide","-","LED","-",M36),CONCATENATE(C36,"-","LED","-",M36)),"")</f>
        <v>-LED-</v>
      </c>
      <c r="BB36" s="747" t="str">
        <f>IF(OR(C36="",I36="",K36="",G36="",M36="",Q36="",U36="",W36="",Y36="",AB36="",AF36="",AH36=""),"",INDEX(PMELIGHTHID[Measure '#],MATCH(BA36,PMELIGHTHID[Measure Validator],0)))</f>
        <v/>
      </c>
      <c r="BC36" s="1287" t="str">
        <f ca="1">IFERROR(IF(OR(C36="",AH36=""),"",IF(BB36="","",IF(AND(AND(SUBLIGHTDATE1&lt;&gt;"No",SUBLIGHTDATE2&lt;&gt;"No",SUBLIGHTDATE3&lt;&gt;"No"),M02S02F44="No",OR(M02S02F43&lt;=DATEVALUE("12/31/2021"),M02S02F43=""),OR(TODAY()&lt;=LIGHTING2021,ACTLIGHT&lt;&gt;"")),LIGHTRATE21*(INDEX(PMELIGHTHID[Inc Rate Unit],MATCH(BA36,PMELIGHTHID[Measure Validator],0))),INDEX(PMELIGHTHID[Inc Rate Unit],MATCH(BA36,PMELIGHTHID[Measure Validator],0))))),"")</f>
        <v/>
      </c>
      <c r="BD36" s="747" t="str">
        <f>IFERROR(ROUND(IF(OR(C36="",AH36=""),"",IF(BB36="","",(AY36-AZ36)*BC36)),2),"")</f>
        <v/>
      </c>
      <c r="BE36" s="747" t="str">
        <f>IF(OR(C36="",I36="",K36="",G36="",M36="",Q36="",U36="",W36="",Y36="",AB36="",AF36="",AH36=""),"",IFERROR(IF(AB36&lt;INDEX(PMELIGHTHID[Op Hr 1],MATCH(BA36,PMELIGHTHID[Measure Validator],0)),"Operating Hours Invalid",IF(ISNUMBER(SEARCH("SPILLOVER",Y36)),PROJSTATELI,IF((AW36-AX36)&lt;0,"No Savings",""))),"ERROR"))</f>
        <v/>
      </c>
      <c r="BF36" s="1289" t="str">
        <f>IF(AND(ISBLANK(AF36),ISBLANK(AH36)),"",IF(BD36&gt;AU36,"Yes","No"))</f>
        <v/>
      </c>
      <c r="BG36" s="1051">
        <f>IF(M02S02F32&lt;&gt;"",INDEX(SPACEHEAT[HIF],MATCH(M02S02F32,SHEAT,0)),1)</f>
        <v>1</v>
      </c>
      <c r="BH36" s="1225">
        <f t="shared" ref="BH36" si="15">IFERROR(ROUND(BJ36*1.1,2),0)</f>
        <v>0</v>
      </c>
      <c r="BI36" s="804" t="str">
        <f>IF(M02S02F44="","Update Install Status",IF(M02S02F49="Yes","Use New Load",IF(OR(C36="",I36="",K36="",G36="",M36="",Q36="",U36="",W36="",Y36="",AB36="",AF36="",AH36="",AD36=""),"",IF(BE36&lt;&gt;"",BE36,ROUND(BH36*BONUSADJ,2)))))</f>
        <v>Update Install Status</v>
      </c>
      <c r="BJ36" s="804" t="str">
        <f>IF(M02S02F44="","Update Install Status",IF(M02S02F49="Yes","Use New Load",IF(OR(C36="",I36="",K36="",G36="",M36="",Q36="",U36="",W36="",Y36="",AB36="",AF36="",AH36="",AD36=""),"",IF(BE36&lt;&gt;"",BE36,IF(BD36&lt;0,"No Incentive Savings",ROUND(MIN(AU36,BD36),2))))))</f>
        <v>Update Install Status</v>
      </c>
    </row>
    <row r="37" spans="2:62" ht="15.95" customHeight="1" x14ac:dyDescent="0.25">
      <c r="B37" s="1193"/>
      <c r="C37" s="845"/>
      <c r="D37" s="1308"/>
      <c r="E37" s="1308"/>
      <c r="F37" s="846"/>
      <c r="G37" s="1299"/>
      <c r="H37" s="1299"/>
      <c r="I37" s="1301"/>
      <c r="J37" s="1301"/>
      <c r="K37" s="1273"/>
      <c r="L37" s="1274"/>
      <c r="M37" s="1228"/>
      <c r="N37" s="852"/>
      <c r="O37" s="852"/>
      <c r="P37" s="852"/>
      <c r="Q37" s="1230"/>
      <c r="R37" s="1230"/>
      <c r="S37" s="1230"/>
      <c r="T37" s="1230"/>
      <c r="U37" s="853"/>
      <c r="V37" s="853"/>
      <c r="W37" s="1231"/>
      <c r="X37" s="1231"/>
      <c r="Y37" s="852"/>
      <c r="Z37" s="852"/>
      <c r="AA37" s="852"/>
      <c r="AB37" s="853"/>
      <c r="AC37" s="853"/>
      <c r="AD37" s="1302"/>
      <c r="AE37" s="1303"/>
      <c r="AF37" s="1304"/>
      <c r="AG37" s="1305"/>
      <c r="AH37" s="1305"/>
      <c r="AI37" s="1306"/>
      <c r="AJ37" s="1250"/>
      <c r="AK37" s="1251"/>
      <c r="AL37" s="1251"/>
      <c r="AM37" s="1252"/>
      <c r="AN37" s="1238"/>
      <c r="AO37" s="1239"/>
      <c r="AP37" s="1239"/>
      <c r="AQ37" s="1240"/>
      <c r="AS37"/>
      <c r="AT37"/>
      <c r="AU37" s="805"/>
      <c r="AV37" s="807"/>
      <c r="AW37" s="803"/>
      <c r="AX37" s="803"/>
      <c r="AY37" s="751"/>
      <c r="AZ37" s="801"/>
      <c r="BA37" s="1291"/>
      <c r="BB37" s="748"/>
      <c r="BC37" s="1288"/>
      <c r="BD37" s="748"/>
      <c r="BE37" s="748"/>
      <c r="BF37" s="1289"/>
      <c r="BG37" s="1052"/>
      <c r="BH37" s="1226"/>
      <c r="BI37" s="805"/>
      <c r="BJ37" s="805"/>
    </row>
    <row r="38" spans="2:62" ht="15.95" customHeight="1" x14ac:dyDescent="0.25">
      <c r="B38" s="1193">
        <v>11</v>
      </c>
      <c r="C38" s="843"/>
      <c r="D38" s="1307"/>
      <c r="E38" s="1307"/>
      <c r="F38" s="844"/>
      <c r="G38" s="853"/>
      <c r="H38" s="853"/>
      <c r="I38" s="1300"/>
      <c r="J38" s="1300"/>
      <c r="K38" s="1296" t="str">
        <f>IFERROR(IF(OR(C38="",I38=""),"",IF(C38="Metal Halide",INDEX(BASEHIDBALLAST[Metal Halide Ballast],MATCH(I38,BASEHIDBALLAST[Metal Halide Nominal],0)),IF(C38="Pulse Start Metal Halide",INDEX(BASEHIDBALLAST[Pulse Start Metal Halide Ballast],MATCH(I38,BASEHIDBALLAST[Pulse Start Metal Halide Nominal],0)),IF(C38="Mercury Vapor",INDEX(BASEHIDBALLAST[Mercury Vapor Ballast],MATCH(I38,BASEHIDBALLAST[Mercury Vapor Nominal],0)),IF(C38="High Pressure Sodium",INDEX(BASEHIDBALLAST[High Pressure Sodium Ballast],MATCH(I38,BASEHIDBALLAST[High Pressure Sodium Nominal],0))))))),"")</f>
        <v/>
      </c>
      <c r="L38" s="1297"/>
      <c r="M38" s="1228"/>
      <c r="N38" s="852"/>
      <c r="O38" s="852"/>
      <c r="P38" s="852"/>
      <c r="Q38" s="1232"/>
      <c r="R38" s="1230"/>
      <c r="S38" s="1230"/>
      <c r="T38" s="1230"/>
      <c r="U38" s="853"/>
      <c r="V38" s="853"/>
      <c r="W38" s="1231"/>
      <c r="X38" s="1231"/>
      <c r="Y38" s="1298"/>
      <c r="Z38" s="852"/>
      <c r="AA38" s="852"/>
      <c r="AB38" s="853"/>
      <c r="AC38" s="853"/>
      <c r="AD38" s="1302"/>
      <c r="AE38" s="1303"/>
      <c r="AF38" s="1304"/>
      <c r="AG38" s="1305"/>
      <c r="AH38" s="1305"/>
      <c r="AI38" s="1306"/>
      <c r="AJ38" s="1250" t="str">
        <f t="shared" ref="AJ38" si="16">IF(OR(C38="",I38="",K38="",G38="",M38="",Q38="",U38="",W38="",Y38="",AB38="",AF38="",AH38=""),"",IFERROR(ROUND(IF((AW38-AX38)&lt;=0,0,BG38*(AW38-AX38)),0),""))</f>
        <v/>
      </c>
      <c r="AK38" s="1251"/>
      <c r="AL38" s="1251"/>
      <c r="AM38" s="1252"/>
      <c r="AN38" s="1238" t="str">
        <f>IF(M02S02F44="","Update Install Status",IF(M02S02F49="Yes","Use New Load",IF(OR(C38="",I38="",K38="",G38="",M38="",Q38="",U38="",W38="",Y38="",AB38="",AF38="",AH38="",AD38=""),"",IF(BE38&lt;&gt;"",BE38,IF(BD38&lt;0,"No Incentive Savings",ROUND(MIN(AU38,BD38),2))))))</f>
        <v>Update Install Status</v>
      </c>
      <c r="AO38" s="1239"/>
      <c r="AP38" s="1239"/>
      <c r="AQ38" s="1240"/>
      <c r="AS38"/>
      <c r="AT38"/>
      <c r="AU38" s="804" t="str">
        <f>IF(OR(C38="",I38="",K38="",G38="",M38="",Q38="",U38="",W38="",Y38="",AB38="",AF38="",AH38=""),"",(ROUND((AF38+AH38)*U38,2)))</f>
        <v/>
      </c>
      <c r="AV38" s="806" t="str">
        <f>IF(OR(C38="",I38="",K38="",G38="",M38="",Q38="",U38="",W38="",Y38="",AB38="",AF38="",AH38=""),"",ROUND(AJ38*INDEX(ENDUSEALL[Factor],MATCH(INDEX(PMELIGHTHID[End Use Category],MATCH(BA38,PMELIGHTHID[Measure Validator],0)),ENDUSEALL[End Use to Coincident Peak Demand Factors],0)),4))</f>
        <v/>
      </c>
      <c r="AW38" s="802" t="str">
        <f>IF(OR(C38="",I38="",K38="",G38="",M38="",Q38="",U38="",W38="",Y38="",AB38="",AF38="",AH38=""),"",ROUND(K38*G38*AB38/1000,0))</f>
        <v/>
      </c>
      <c r="AX38" s="802" t="str">
        <f>IF(OR(C38="",I38="",K38="",G38="",M38="",Q38="",U38="",W38="",Y38="",AB38="",AF38="",AH38=""),"",IF(ISNUMBER(SEARCH("Network",M38)),ROUND(0.76*W38*U38*AB38/1000,0),ROUND(W38*U38*AB38/1000,0)))</f>
        <v/>
      </c>
      <c r="AY38" s="750" t="str">
        <f>IF(OR(C38="",I38="",K38="",G38="",M38="",Q38="",U38="",W38="",Y38="",AB38="",AF38="",AH38=""),"",IF(G38&gt;=U38,ROUND(K38*U38,0),IF(G38&lt;U38,ROUND(K38*G38,0))))</f>
        <v/>
      </c>
      <c r="AZ38" s="800" t="str">
        <f>IF(OR(C38="",G38="",I38="",K38="",M38="",Q38="",U38="",W38="",Y38="",AB38="",AD38="",AF38="",AH38=""),"",ROUND(W38*U38,0))</f>
        <v/>
      </c>
      <c r="BA38" s="1290" t="str">
        <f>IFERROR(IF(ISNUMBER(SEARCH("Pulse Start",C38)),CONCATENATE("Metal Halide","-","LED","-",M38),CONCATENATE(C38,"-","LED","-",M38)),"")</f>
        <v>-LED-</v>
      </c>
      <c r="BB38" s="747" t="str">
        <f>IF(OR(C38="",I38="",K38="",G38="",M38="",Q38="",U38="",W38="",Y38="",AB38="",AF38="",AH38=""),"",INDEX(PMELIGHTHID[Measure '#],MATCH(BA38,PMELIGHTHID[Measure Validator],0)))</f>
        <v/>
      </c>
      <c r="BC38" s="1287" t="str">
        <f ca="1">IFERROR(IF(OR(C38="",AH38=""),"",IF(BB38="","",IF(AND(AND(SUBLIGHTDATE1&lt;&gt;"No",SUBLIGHTDATE2&lt;&gt;"No",SUBLIGHTDATE3&lt;&gt;"No"),M02S02F44="No",OR(M02S02F43&lt;=DATEVALUE("12/31/2021"),M02S02F43=""),OR(TODAY()&lt;=LIGHTING2021,ACTLIGHT&lt;&gt;"")),LIGHTRATE21*(INDEX(PMELIGHTHID[Inc Rate Unit],MATCH(BA38,PMELIGHTHID[Measure Validator],0))),INDEX(PMELIGHTHID[Inc Rate Unit],MATCH(BA38,PMELIGHTHID[Measure Validator],0))))),"")</f>
        <v/>
      </c>
      <c r="BD38" s="747" t="str">
        <f>IFERROR(ROUND(IF(OR(C38="",AH38=""),"",IF(BB38="","",(AY38-AZ38)*BC38)),2),"")</f>
        <v/>
      </c>
      <c r="BE38" s="747" t="str">
        <f>IF(OR(C38="",I38="",K38="",G38="",M38="",Q38="",U38="",W38="",Y38="",AB38="",AF38="",AH38=""),"",IFERROR(IF(AB38&lt;INDEX(PMELIGHTHID[Op Hr 1],MATCH(BA38,PMELIGHTHID[Measure Validator],0)),"Operating Hours Invalid",IF(ISNUMBER(SEARCH("SPILLOVER",Y38)),PROJSTATELI,IF((AW38-AX38)&lt;0,"No Savings",""))),"ERROR"))</f>
        <v/>
      </c>
      <c r="BF38" s="1289" t="str">
        <f>IF(AND(ISBLANK(AF38),ISBLANK(AH38)),"",IF(BD38&gt;AU38,"Yes","No"))</f>
        <v/>
      </c>
      <c r="BG38" s="1051">
        <f>IF(M02S02F32&lt;&gt;"",INDEX(SPACEHEAT[HIF],MATCH(M02S02F32,SHEAT,0)),1)</f>
        <v>1</v>
      </c>
      <c r="BH38" s="1225">
        <f t="shared" ref="BH38" si="17">IFERROR(ROUND(BJ38*1.1,2),0)</f>
        <v>0</v>
      </c>
      <c r="BI38" s="804" t="str">
        <f>IF(M02S02F44="","Update Install Status",IF(M02S02F49="Yes","Use New Load",IF(OR(C38="",I38="",K38="",G38="",M38="",Q38="",U38="",W38="",Y38="",AB38="",AF38="",AH38="",AD38=""),"",IF(BE38&lt;&gt;"",BE38,ROUND(BH38*BONUSADJ,2)))))</f>
        <v>Update Install Status</v>
      </c>
      <c r="BJ38" s="804" t="str">
        <f>IF(M02S02F44="","Update Install Status",IF(M02S02F49="Yes","Use New Load",IF(OR(C38="",I38="",K38="",G38="",M38="",Q38="",U38="",W38="",Y38="",AB38="",AF38="",AH38="",AD38=""),"",IF(BE38&lt;&gt;"",BE38,IF(BD38&lt;0,"No Incentive Savings",ROUND(MIN(AU38,BD38),2))))))</f>
        <v>Update Install Status</v>
      </c>
    </row>
    <row r="39" spans="2:62" ht="15.95" customHeight="1" x14ac:dyDescent="0.25">
      <c r="B39" s="1193"/>
      <c r="C39" s="845"/>
      <c r="D39" s="1308"/>
      <c r="E39" s="1308"/>
      <c r="F39" s="846"/>
      <c r="G39" s="1299"/>
      <c r="H39" s="1299"/>
      <c r="I39" s="1301"/>
      <c r="J39" s="1301"/>
      <c r="K39" s="1273"/>
      <c r="L39" s="1274"/>
      <c r="M39" s="1228"/>
      <c r="N39" s="852"/>
      <c r="O39" s="852"/>
      <c r="P39" s="852"/>
      <c r="Q39" s="1230"/>
      <c r="R39" s="1230"/>
      <c r="S39" s="1230"/>
      <c r="T39" s="1230"/>
      <c r="U39" s="853"/>
      <c r="V39" s="853"/>
      <c r="W39" s="1231"/>
      <c r="X39" s="1231"/>
      <c r="Y39" s="852"/>
      <c r="Z39" s="852"/>
      <c r="AA39" s="852"/>
      <c r="AB39" s="853"/>
      <c r="AC39" s="853"/>
      <c r="AD39" s="1302"/>
      <c r="AE39" s="1303"/>
      <c r="AF39" s="1304"/>
      <c r="AG39" s="1305"/>
      <c r="AH39" s="1305"/>
      <c r="AI39" s="1306"/>
      <c r="AJ39" s="1250"/>
      <c r="AK39" s="1251"/>
      <c r="AL39" s="1251"/>
      <c r="AM39" s="1252"/>
      <c r="AN39" s="1238"/>
      <c r="AO39" s="1239"/>
      <c r="AP39" s="1239"/>
      <c r="AQ39" s="1240"/>
      <c r="AS39"/>
      <c r="AT39"/>
      <c r="AU39" s="805"/>
      <c r="AV39" s="807"/>
      <c r="AW39" s="803"/>
      <c r="AX39" s="803"/>
      <c r="AY39" s="751"/>
      <c r="AZ39" s="801"/>
      <c r="BA39" s="1291"/>
      <c r="BB39" s="748"/>
      <c r="BC39" s="1288"/>
      <c r="BD39" s="748"/>
      <c r="BE39" s="748"/>
      <c r="BF39" s="1289"/>
      <c r="BG39" s="1052"/>
      <c r="BH39" s="1226"/>
      <c r="BI39" s="805"/>
      <c r="BJ39" s="805"/>
    </row>
    <row r="40" spans="2:62" ht="15.95" customHeight="1" x14ac:dyDescent="0.25">
      <c r="B40" s="1193">
        <v>12</v>
      </c>
      <c r="C40" s="843"/>
      <c r="D40" s="1307"/>
      <c r="E40" s="1307"/>
      <c r="F40" s="844"/>
      <c r="G40" s="853"/>
      <c r="H40" s="853"/>
      <c r="I40" s="1300"/>
      <c r="J40" s="1300"/>
      <c r="K40" s="1296" t="str">
        <f>IFERROR(IF(OR(C40="",I40=""),"",IF(C40="Metal Halide",INDEX(BASEHIDBALLAST[Metal Halide Ballast],MATCH(I40,BASEHIDBALLAST[Metal Halide Nominal],0)),IF(C40="Pulse Start Metal Halide",INDEX(BASEHIDBALLAST[Pulse Start Metal Halide Ballast],MATCH(I40,BASEHIDBALLAST[Pulse Start Metal Halide Nominal],0)),IF(C40="Mercury Vapor",INDEX(BASEHIDBALLAST[Mercury Vapor Ballast],MATCH(I40,BASEHIDBALLAST[Mercury Vapor Nominal],0)),IF(C40="High Pressure Sodium",INDEX(BASEHIDBALLAST[High Pressure Sodium Ballast],MATCH(I40,BASEHIDBALLAST[High Pressure Sodium Nominal],0))))))),"")</f>
        <v/>
      </c>
      <c r="L40" s="1297"/>
      <c r="M40" s="1228"/>
      <c r="N40" s="852"/>
      <c r="O40" s="852"/>
      <c r="P40" s="852"/>
      <c r="Q40" s="1232"/>
      <c r="R40" s="1230"/>
      <c r="S40" s="1230"/>
      <c r="T40" s="1230"/>
      <c r="U40" s="853"/>
      <c r="V40" s="853"/>
      <c r="W40" s="1231"/>
      <c r="X40" s="1231"/>
      <c r="Y40" s="1298"/>
      <c r="Z40" s="852"/>
      <c r="AA40" s="852"/>
      <c r="AB40" s="853"/>
      <c r="AC40" s="853"/>
      <c r="AD40" s="1302"/>
      <c r="AE40" s="1303"/>
      <c r="AF40" s="1304"/>
      <c r="AG40" s="1305"/>
      <c r="AH40" s="1305"/>
      <c r="AI40" s="1306"/>
      <c r="AJ40" s="1250" t="str">
        <f t="shared" ref="AJ40" si="18">IF(OR(C40="",I40="",K40="",G40="",M40="",Q40="",U40="",W40="",Y40="",AB40="",AF40="",AH40=""),"",IFERROR(ROUND(IF((AW40-AX40)&lt;=0,0,BG40*(AW40-AX40)),0),""))</f>
        <v/>
      </c>
      <c r="AK40" s="1251"/>
      <c r="AL40" s="1251"/>
      <c r="AM40" s="1252"/>
      <c r="AN40" s="1238" t="str">
        <f>IF(M02S02F44="","Update Install Status",IF(M02S02F49="Yes","Use New Load",IF(OR(C40="",I40="",K40="",G40="",M40="",Q40="",U40="",W40="",Y40="",AB40="",AF40="",AH40="",AD40=""),"",IF(BE40&lt;&gt;"",BE40,IF(BD40&lt;0,"No Incentive Savings",ROUND(MIN(AU40,BD40),2))))))</f>
        <v>Update Install Status</v>
      </c>
      <c r="AO40" s="1239"/>
      <c r="AP40" s="1239"/>
      <c r="AQ40" s="1240"/>
      <c r="AS40"/>
      <c r="AT40"/>
      <c r="AU40" s="804" t="str">
        <f>IF(OR(C40="",I40="",K40="",G40="",M40="",Q40="",U40="",W40="",Y40="",AB40="",AF40="",AH40=""),"",(ROUND((AF40+AH40)*U40,2)))</f>
        <v/>
      </c>
      <c r="AV40" s="806" t="str">
        <f>IF(OR(C40="",I40="",K40="",G40="",M40="",Q40="",U40="",W40="",Y40="",AB40="",AF40="",AH40=""),"",ROUND(AJ40*INDEX(ENDUSEALL[Factor],MATCH(INDEX(PMELIGHTHID[End Use Category],MATCH(BA40,PMELIGHTHID[Measure Validator],0)),ENDUSEALL[End Use to Coincident Peak Demand Factors],0)),4))</f>
        <v/>
      </c>
      <c r="AW40" s="802" t="str">
        <f>IF(OR(C40="",I40="",K40="",G40="",M40="",Q40="",U40="",W40="",Y40="",AB40="",AF40="",AH40=""),"",ROUND(K40*G40*AB40/1000,0))</f>
        <v/>
      </c>
      <c r="AX40" s="802" t="str">
        <f>IF(OR(C40="",I40="",K40="",G40="",M40="",Q40="",U40="",W40="",Y40="",AB40="",AF40="",AH40=""),"",IF(ISNUMBER(SEARCH("Network",M40)),ROUND(0.76*W40*U40*AB40/1000,0),ROUND(W40*U40*AB40/1000,0)))</f>
        <v/>
      </c>
      <c r="AY40" s="750" t="str">
        <f>IF(OR(C40="",I40="",K40="",G40="",M40="",Q40="",U40="",W40="",Y40="",AB40="",AF40="",AH40=""),"",IF(G40&gt;=U40,ROUND(K40*U40,0),IF(G40&lt;U40,ROUND(K40*G40,0))))</f>
        <v/>
      </c>
      <c r="AZ40" s="800" t="str">
        <f>IF(OR(C40="",G40="",I40="",K40="",M40="",Q40="",U40="",W40="",Y40="",AB40="",AD40="",AF40="",AH40=""),"",ROUND(W40*U40,0))</f>
        <v/>
      </c>
      <c r="BA40" s="1290" t="str">
        <f>IFERROR(IF(ISNUMBER(SEARCH("Pulse Start",C40)),CONCATENATE("Metal Halide","-","LED","-",M40),CONCATENATE(C40,"-","LED","-",M40)),"")</f>
        <v>-LED-</v>
      </c>
      <c r="BB40" s="747" t="str">
        <f>IF(OR(C40="",I40="",K40="",G40="",M40="",Q40="",U40="",W40="",Y40="",AB40="",AF40="",AH40=""),"",INDEX(PMELIGHTHID[Measure '#],MATCH(BA40,PMELIGHTHID[Measure Validator],0)))</f>
        <v/>
      </c>
      <c r="BC40" s="1287" t="str">
        <f ca="1">IFERROR(IF(OR(C40="",AH40=""),"",IF(BB40="","",IF(AND(AND(SUBLIGHTDATE1&lt;&gt;"No",SUBLIGHTDATE2&lt;&gt;"No",SUBLIGHTDATE3&lt;&gt;"No"),M02S02F44="No",OR(M02S02F43&lt;=DATEVALUE("12/31/2021"),M02S02F43=""),OR(TODAY()&lt;=LIGHTING2021,ACTLIGHT&lt;&gt;"")),LIGHTRATE21*(INDEX(PMELIGHTHID[Inc Rate Unit],MATCH(BA40,PMELIGHTHID[Measure Validator],0))),INDEX(PMELIGHTHID[Inc Rate Unit],MATCH(BA40,PMELIGHTHID[Measure Validator],0))))),"")</f>
        <v/>
      </c>
      <c r="BD40" s="747" t="str">
        <f>IFERROR(ROUND(IF(OR(C40="",AH40=""),"",IF(BB40="","",(AY40-AZ40)*BC40)),2),"")</f>
        <v/>
      </c>
      <c r="BE40" s="747" t="str">
        <f>IF(OR(C40="",I40="",K40="",G40="",M40="",Q40="",U40="",W40="",Y40="",AB40="",AF40="",AH40=""),"",IFERROR(IF(AB40&lt;INDEX(PMELIGHTHID[Op Hr 1],MATCH(BA40,PMELIGHTHID[Measure Validator],0)),"Operating Hours Invalid",IF(ISNUMBER(SEARCH("SPILLOVER",Y40)),PROJSTATELI,IF((AW40-AX40)&lt;0,"No Savings",""))),"ERROR"))</f>
        <v/>
      </c>
      <c r="BF40" s="1289" t="str">
        <f>IF(AND(ISBLANK(AF40),ISBLANK(AH40)),"",IF(BD40&gt;AU40,"Yes","No"))</f>
        <v/>
      </c>
      <c r="BG40" s="1051">
        <f>IF(M02S02F32&lt;&gt;"",INDEX(SPACEHEAT[HIF],MATCH(M02S02F32,SHEAT,0)),1)</f>
        <v>1</v>
      </c>
      <c r="BH40" s="1225">
        <f t="shared" ref="BH40" si="19">IFERROR(ROUND(BJ40*1.1,2),0)</f>
        <v>0</v>
      </c>
      <c r="BI40" s="804" t="str">
        <f>IF(M02S02F44="","Update Install Status",IF(M02S02F49="Yes","Use New Load",IF(OR(C40="",I40="",K40="",G40="",M40="",Q40="",U40="",W40="",Y40="",AB40="",AF40="",AH40="",AD40=""),"",IF(BE40&lt;&gt;"",BE40,ROUND(BH40*BONUSADJ,2)))))</f>
        <v>Update Install Status</v>
      </c>
      <c r="BJ40" s="804" t="str">
        <f>IF(M02S02F44="","Update Install Status",IF(M02S02F49="Yes","Use New Load",IF(OR(C40="",I40="",K40="",G40="",M40="",Q40="",U40="",W40="",Y40="",AB40="",AF40="",AH40="",AD40=""),"",IF(BE40&lt;&gt;"",BE40,IF(BD40&lt;0,"No Incentive Savings",ROUND(MIN(AU40,BD40),2))))))</f>
        <v>Update Install Status</v>
      </c>
    </row>
    <row r="41" spans="2:62" ht="15.95" customHeight="1" x14ac:dyDescent="0.25">
      <c r="B41" s="1193"/>
      <c r="C41" s="845"/>
      <c r="D41" s="1308"/>
      <c r="E41" s="1308"/>
      <c r="F41" s="846"/>
      <c r="G41" s="1299"/>
      <c r="H41" s="1299"/>
      <c r="I41" s="1301"/>
      <c r="J41" s="1301"/>
      <c r="K41" s="1273"/>
      <c r="L41" s="1274"/>
      <c r="M41" s="1228"/>
      <c r="N41" s="852"/>
      <c r="O41" s="852"/>
      <c r="P41" s="852"/>
      <c r="Q41" s="1230"/>
      <c r="R41" s="1230"/>
      <c r="S41" s="1230"/>
      <c r="T41" s="1230"/>
      <c r="U41" s="853"/>
      <c r="V41" s="853"/>
      <c r="W41" s="1231"/>
      <c r="X41" s="1231"/>
      <c r="Y41" s="852"/>
      <c r="Z41" s="852"/>
      <c r="AA41" s="852"/>
      <c r="AB41" s="853"/>
      <c r="AC41" s="853"/>
      <c r="AD41" s="1302"/>
      <c r="AE41" s="1303"/>
      <c r="AF41" s="1304"/>
      <c r="AG41" s="1305"/>
      <c r="AH41" s="1305"/>
      <c r="AI41" s="1306"/>
      <c r="AJ41" s="1250"/>
      <c r="AK41" s="1251"/>
      <c r="AL41" s="1251"/>
      <c r="AM41" s="1252"/>
      <c r="AN41" s="1238"/>
      <c r="AO41" s="1239"/>
      <c r="AP41" s="1239"/>
      <c r="AQ41" s="1240"/>
      <c r="AS41"/>
      <c r="AT41"/>
      <c r="AU41" s="805"/>
      <c r="AV41" s="807"/>
      <c r="AW41" s="803"/>
      <c r="AX41" s="803"/>
      <c r="AY41" s="751"/>
      <c r="AZ41" s="801"/>
      <c r="BA41" s="1291"/>
      <c r="BB41" s="748"/>
      <c r="BC41" s="1288"/>
      <c r="BD41" s="748"/>
      <c r="BE41" s="748"/>
      <c r="BF41" s="1289"/>
      <c r="BG41" s="1052"/>
      <c r="BH41" s="1226"/>
      <c r="BI41" s="805"/>
      <c r="BJ41" s="805"/>
    </row>
    <row r="42" spans="2:62" ht="15.95" customHeight="1" x14ac:dyDescent="0.25">
      <c r="B42" s="1193">
        <v>13</v>
      </c>
      <c r="C42" s="843"/>
      <c r="D42" s="1307"/>
      <c r="E42" s="1307"/>
      <c r="F42" s="844"/>
      <c r="G42" s="853"/>
      <c r="H42" s="853"/>
      <c r="I42" s="1300"/>
      <c r="J42" s="1300"/>
      <c r="K42" s="1296" t="str">
        <f>IFERROR(IF(OR(C42="",I42=""),"",IF(C42="Metal Halide",INDEX(BASEHIDBALLAST[Metal Halide Ballast],MATCH(I42,BASEHIDBALLAST[Metal Halide Nominal],0)),IF(C42="Pulse Start Metal Halide",INDEX(BASEHIDBALLAST[Pulse Start Metal Halide Ballast],MATCH(I42,BASEHIDBALLAST[Pulse Start Metal Halide Nominal],0)),IF(C42="Mercury Vapor",INDEX(BASEHIDBALLAST[Mercury Vapor Ballast],MATCH(I42,BASEHIDBALLAST[Mercury Vapor Nominal],0)),IF(C42="High Pressure Sodium",INDEX(BASEHIDBALLAST[High Pressure Sodium Ballast],MATCH(I42,BASEHIDBALLAST[High Pressure Sodium Nominal],0))))))),"")</f>
        <v/>
      </c>
      <c r="L42" s="1297"/>
      <c r="M42" s="1228"/>
      <c r="N42" s="852"/>
      <c r="O42" s="852"/>
      <c r="P42" s="852"/>
      <c r="Q42" s="1232"/>
      <c r="R42" s="1230"/>
      <c r="S42" s="1230"/>
      <c r="T42" s="1230"/>
      <c r="U42" s="853"/>
      <c r="V42" s="853"/>
      <c r="W42" s="1231"/>
      <c r="X42" s="1231"/>
      <c r="Y42" s="1298"/>
      <c r="Z42" s="852"/>
      <c r="AA42" s="852"/>
      <c r="AB42" s="853"/>
      <c r="AC42" s="853"/>
      <c r="AD42" s="1302"/>
      <c r="AE42" s="1303"/>
      <c r="AF42" s="1304"/>
      <c r="AG42" s="1305"/>
      <c r="AH42" s="1305"/>
      <c r="AI42" s="1306"/>
      <c r="AJ42" s="1250" t="str">
        <f t="shared" ref="AJ42" si="20">IF(OR(C42="",I42="",K42="",G42="",M42="",Q42="",U42="",W42="",Y42="",AB42="",AF42="",AH42=""),"",IFERROR(ROUND(IF((AW42-AX42)&lt;=0,0,BG42*(AW42-AX42)),0),""))</f>
        <v/>
      </c>
      <c r="AK42" s="1251"/>
      <c r="AL42" s="1251"/>
      <c r="AM42" s="1252"/>
      <c r="AN42" s="1238" t="str">
        <f>IF(M02S02F44="","Update Install Status",IF(M02S02F49="Yes","Use New Load",IF(OR(C42="",I42="",K42="",G42="",M42="",Q42="",U42="",W42="",Y42="",AB42="",AF42="",AH42="",AD42=""),"",IF(BE42&lt;&gt;"",BE42,IF(BD42&lt;0,"No Incentive Savings",ROUND(MIN(AU42,BD42),2))))))</f>
        <v>Update Install Status</v>
      </c>
      <c r="AO42" s="1239"/>
      <c r="AP42" s="1239"/>
      <c r="AQ42" s="1240"/>
      <c r="AS42"/>
      <c r="AT42"/>
      <c r="AU42" s="804" t="str">
        <f>IF(OR(C42="",I42="",K42="",G42="",M42="",Q42="",U42="",W42="",Y42="",AB42="",AF42="",AH42=""),"",(ROUND((AF42+AH42)*U42,2)))</f>
        <v/>
      </c>
      <c r="AV42" s="806" t="str">
        <f>IF(OR(C42="",I42="",K42="",G42="",M42="",Q42="",U42="",W42="",Y42="",AB42="",AF42="",AH42=""),"",ROUND(AJ42*INDEX(ENDUSEALL[Factor],MATCH(INDEX(PMELIGHTHID[End Use Category],MATCH(BA42,PMELIGHTHID[Measure Validator],0)),ENDUSEALL[End Use to Coincident Peak Demand Factors],0)),4))</f>
        <v/>
      </c>
      <c r="AW42" s="802" t="str">
        <f>IF(OR(C42="",I42="",K42="",G42="",M42="",Q42="",U42="",W42="",Y42="",AB42="",AF42="",AH42=""),"",ROUND(K42*G42*AB42/1000,0))</f>
        <v/>
      </c>
      <c r="AX42" s="802" t="str">
        <f>IF(OR(C42="",I42="",K42="",G42="",M42="",Q42="",U42="",W42="",Y42="",AB42="",AF42="",AH42=""),"",IF(ISNUMBER(SEARCH("Network",M42)),ROUND(0.76*W42*U42*AB42/1000,0),ROUND(W42*U42*AB42/1000,0)))</f>
        <v/>
      </c>
      <c r="AY42" s="750" t="str">
        <f>IF(OR(C42="",I42="",K42="",G42="",M42="",Q42="",U42="",W42="",Y42="",AB42="",AF42="",AH42=""),"",IF(G42&gt;=U42,ROUND(K42*U42,0),IF(G42&lt;U42,ROUND(K42*G42,0))))</f>
        <v/>
      </c>
      <c r="AZ42" s="800" t="str">
        <f>IF(OR(C42="",G42="",I42="",K42="",M42="",Q42="",U42="",W42="",Y42="",AB42="",AD42="",AF42="",AH42=""),"",ROUND(W42*U42,0))</f>
        <v/>
      </c>
      <c r="BA42" s="1290" t="str">
        <f>IFERROR(IF(ISNUMBER(SEARCH("Pulse Start",C42)),CONCATENATE("Metal Halide","-","LED","-",M42),CONCATENATE(C42,"-","LED","-",M42)),"")</f>
        <v>-LED-</v>
      </c>
      <c r="BB42" s="747" t="str">
        <f>IF(OR(C42="",I42="",K42="",G42="",M42="",Q42="",U42="",W42="",Y42="",AB42="",AF42="",AH42=""),"",INDEX(PMELIGHTHID[Measure '#],MATCH(BA42,PMELIGHTHID[Measure Validator],0)))</f>
        <v/>
      </c>
      <c r="BC42" s="1287" t="str">
        <f ca="1">IFERROR(IF(OR(C42="",AH42=""),"",IF(BB42="","",IF(AND(AND(SUBLIGHTDATE1&lt;&gt;"No",SUBLIGHTDATE2&lt;&gt;"No",SUBLIGHTDATE3&lt;&gt;"No"),M02S02F44="No",OR(M02S02F43&lt;=DATEVALUE("12/31/2021"),M02S02F43=""),OR(TODAY()&lt;=LIGHTING2021,ACTLIGHT&lt;&gt;"")),LIGHTRATE21*(INDEX(PMELIGHTHID[Inc Rate Unit],MATCH(BA42,PMELIGHTHID[Measure Validator],0))),INDEX(PMELIGHTHID[Inc Rate Unit],MATCH(BA42,PMELIGHTHID[Measure Validator],0))))),"")</f>
        <v/>
      </c>
      <c r="BD42" s="747" t="str">
        <f>IFERROR(ROUND(IF(OR(C42="",AH42=""),"",IF(BB42="","",(AY42-AZ42)*BC42)),2),"")</f>
        <v/>
      </c>
      <c r="BE42" s="747" t="str">
        <f>IF(OR(C42="",I42="",K42="",G42="",M42="",Q42="",U42="",W42="",Y42="",AB42="",AF42="",AH42=""),"",IFERROR(IF(AB42&lt;INDEX(PMELIGHTHID[Op Hr 1],MATCH(BA42,PMELIGHTHID[Measure Validator],0)),"Operating Hours Invalid",IF(ISNUMBER(SEARCH("SPILLOVER",Y42)),PROJSTATELI,IF((AW42-AX42)&lt;0,"No Savings",""))),"ERROR"))</f>
        <v/>
      </c>
      <c r="BF42" s="1289" t="str">
        <f>IF(AND(ISBLANK(AF42),ISBLANK(AH42)),"",IF(BD42&gt;AU42,"Yes","No"))</f>
        <v/>
      </c>
      <c r="BG42" s="1051">
        <f>IF(M02S02F32&lt;&gt;"",INDEX(SPACEHEAT[HIF],MATCH(M02S02F32,SHEAT,0)),1)</f>
        <v>1</v>
      </c>
      <c r="BH42" s="1225">
        <f t="shared" ref="BH42" si="21">IFERROR(ROUND(BJ42*1.1,2),0)</f>
        <v>0</v>
      </c>
      <c r="BI42" s="804" t="str">
        <f>IF(M02S02F44="","Update Install Status",IF(M02S02F49="Yes","Use New Load",IF(OR(C42="",I42="",K42="",G42="",M42="",Q42="",U42="",W42="",Y42="",AB42="",AF42="",AH42="",AD42=""),"",IF(BE42&lt;&gt;"",BE42,ROUND(BH42*BONUSADJ,2)))))</f>
        <v>Update Install Status</v>
      </c>
      <c r="BJ42" s="804" t="str">
        <f>IF(M02S02F44="","Update Install Status",IF(M02S02F49="Yes","Use New Load",IF(OR(C42="",I42="",K42="",G42="",M42="",Q42="",U42="",W42="",Y42="",AB42="",AF42="",AH42="",AD42=""),"",IF(BE42&lt;&gt;"",BE42,IF(BD42&lt;0,"No Incentive Savings",ROUND(MIN(AU42,BD42),2))))))</f>
        <v>Update Install Status</v>
      </c>
    </row>
    <row r="43" spans="2:62" ht="15.95" customHeight="1" x14ac:dyDescent="0.25">
      <c r="B43" s="1193"/>
      <c r="C43" s="845"/>
      <c r="D43" s="1308"/>
      <c r="E43" s="1308"/>
      <c r="F43" s="846"/>
      <c r="G43" s="1299"/>
      <c r="H43" s="1299"/>
      <c r="I43" s="1301"/>
      <c r="J43" s="1301"/>
      <c r="K43" s="1273"/>
      <c r="L43" s="1274"/>
      <c r="M43" s="1228"/>
      <c r="N43" s="852"/>
      <c r="O43" s="852"/>
      <c r="P43" s="852"/>
      <c r="Q43" s="1230"/>
      <c r="R43" s="1230"/>
      <c r="S43" s="1230"/>
      <c r="T43" s="1230"/>
      <c r="U43" s="853"/>
      <c r="V43" s="853"/>
      <c r="W43" s="1231"/>
      <c r="X43" s="1231"/>
      <c r="Y43" s="852"/>
      <c r="Z43" s="852"/>
      <c r="AA43" s="852"/>
      <c r="AB43" s="853"/>
      <c r="AC43" s="853"/>
      <c r="AD43" s="1302"/>
      <c r="AE43" s="1303"/>
      <c r="AF43" s="1304"/>
      <c r="AG43" s="1305"/>
      <c r="AH43" s="1305"/>
      <c r="AI43" s="1306"/>
      <c r="AJ43" s="1250"/>
      <c r="AK43" s="1251"/>
      <c r="AL43" s="1251"/>
      <c r="AM43" s="1252"/>
      <c r="AN43" s="1238"/>
      <c r="AO43" s="1239"/>
      <c r="AP43" s="1239"/>
      <c r="AQ43" s="1240"/>
      <c r="AS43"/>
      <c r="AT43"/>
      <c r="AU43" s="805"/>
      <c r="AV43" s="807"/>
      <c r="AW43" s="803"/>
      <c r="AX43" s="803"/>
      <c r="AY43" s="751"/>
      <c r="AZ43" s="801"/>
      <c r="BA43" s="1291"/>
      <c r="BB43" s="748"/>
      <c r="BC43" s="1288"/>
      <c r="BD43" s="748"/>
      <c r="BE43" s="748"/>
      <c r="BF43" s="1289"/>
      <c r="BG43" s="1052"/>
      <c r="BH43" s="1226"/>
      <c r="BI43" s="805"/>
      <c r="BJ43" s="805"/>
    </row>
    <row r="44" spans="2:62" ht="15.95" customHeight="1" x14ac:dyDescent="0.25">
      <c r="B44" s="1193">
        <v>14</v>
      </c>
      <c r="C44" s="843"/>
      <c r="D44" s="1307"/>
      <c r="E44" s="1307"/>
      <c r="F44" s="844"/>
      <c r="G44" s="853"/>
      <c r="H44" s="853"/>
      <c r="I44" s="1300"/>
      <c r="J44" s="1300"/>
      <c r="K44" s="1296" t="str">
        <f>IFERROR(IF(OR(C44="",I44=""),"",IF(C44="Metal Halide",INDEX(BASEHIDBALLAST[Metal Halide Ballast],MATCH(I44,BASEHIDBALLAST[Metal Halide Nominal],0)),IF(C44="Pulse Start Metal Halide",INDEX(BASEHIDBALLAST[Pulse Start Metal Halide Ballast],MATCH(I44,BASEHIDBALLAST[Pulse Start Metal Halide Nominal],0)),IF(C44="Mercury Vapor",INDEX(BASEHIDBALLAST[Mercury Vapor Ballast],MATCH(I44,BASEHIDBALLAST[Mercury Vapor Nominal],0)),IF(C44="High Pressure Sodium",INDEX(BASEHIDBALLAST[High Pressure Sodium Ballast],MATCH(I44,BASEHIDBALLAST[High Pressure Sodium Nominal],0))))))),"")</f>
        <v/>
      </c>
      <c r="L44" s="1297"/>
      <c r="M44" s="1228"/>
      <c r="N44" s="852"/>
      <c r="O44" s="852"/>
      <c r="P44" s="852"/>
      <c r="Q44" s="1232"/>
      <c r="R44" s="1230"/>
      <c r="S44" s="1230"/>
      <c r="T44" s="1230"/>
      <c r="U44" s="853"/>
      <c r="V44" s="853"/>
      <c r="W44" s="1231"/>
      <c r="X44" s="1231"/>
      <c r="Y44" s="1298"/>
      <c r="Z44" s="852"/>
      <c r="AA44" s="852"/>
      <c r="AB44" s="853"/>
      <c r="AC44" s="853"/>
      <c r="AD44" s="1302"/>
      <c r="AE44" s="1303"/>
      <c r="AF44" s="1304"/>
      <c r="AG44" s="1305"/>
      <c r="AH44" s="1305"/>
      <c r="AI44" s="1306"/>
      <c r="AJ44" s="1250" t="str">
        <f t="shared" ref="AJ44" si="22">IF(OR(C44="",I44="",K44="",G44="",M44="",Q44="",U44="",W44="",Y44="",AB44="",AF44="",AH44=""),"",IFERROR(ROUND(IF((AW44-AX44)&lt;=0,0,BG44*(AW44-AX44)),0),""))</f>
        <v/>
      </c>
      <c r="AK44" s="1251"/>
      <c r="AL44" s="1251"/>
      <c r="AM44" s="1252"/>
      <c r="AN44" s="1238" t="str">
        <f>IF(M02S02F44="","Update Install Status",IF(M02S02F49="Yes","Use New Load",IF(OR(C44="",I44="",K44="",G44="",M44="",Q44="",U44="",W44="",Y44="",AB44="",AF44="",AH44="",AD44=""),"",IF(BE44&lt;&gt;"",BE44,IF(BD44&lt;0,"No Incentive Savings",ROUND(MIN(AU44,BD44),2))))))</f>
        <v>Update Install Status</v>
      </c>
      <c r="AO44" s="1239"/>
      <c r="AP44" s="1239"/>
      <c r="AQ44" s="1240"/>
      <c r="AS44"/>
      <c r="AT44"/>
      <c r="AU44" s="804" t="str">
        <f>IF(OR(C44="",I44="",K44="",G44="",M44="",Q44="",U44="",W44="",Y44="",AB44="",AF44="",AH44=""),"",(ROUND((AF44+AH44)*U44,2)))</f>
        <v/>
      </c>
      <c r="AV44" s="806" t="str">
        <f>IF(OR(C44="",I44="",K44="",G44="",M44="",Q44="",U44="",W44="",Y44="",AB44="",AF44="",AH44=""),"",ROUND(AJ44*INDEX(ENDUSEALL[Factor],MATCH(INDEX(PMELIGHTHID[End Use Category],MATCH(BA44,PMELIGHTHID[Measure Validator],0)),ENDUSEALL[End Use to Coincident Peak Demand Factors],0)),4))</f>
        <v/>
      </c>
      <c r="AW44" s="802" t="str">
        <f>IF(OR(C44="",I44="",K44="",G44="",M44="",Q44="",U44="",W44="",Y44="",AB44="",AF44="",AH44=""),"",ROUND(K44*G44*AB44/1000,0))</f>
        <v/>
      </c>
      <c r="AX44" s="802" t="str">
        <f>IF(OR(C44="",I44="",K44="",G44="",M44="",Q44="",U44="",W44="",Y44="",AB44="",AF44="",AH44=""),"",IF(ISNUMBER(SEARCH("Network",M44)),ROUND(0.76*W44*U44*AB44/1000,0),ROUND(W44*U44*AB44/1000,0)))</f>
        <v/>
      </c>
      <c r="AY44" s="750" t="str">
        <f>IF(OR(C44="",I44="",K44="",G44="",M44="",Q44="",U44="",W44="",Y44="",AB44="",AF44="",AH44=""),"",IF(G44&gt;=U44,ROUND(K44*U44,0),IF(G44&lt;U44,ROUND(K44*G44,0))))</f>
        <v/>
      </c>
      <c r="AZ44" s="800" t="str">
        <f>IF(OR(C44="",G44="",I44="",K44="",M44="",Q44="",U44="",W44="",Y44="",AB44="",AD44="",AF44="",AH44=""),"",ROUND(W44*U44,0))</f>
        <v/>
      </c>
      <c r="BA44" s="1290" t="str">
        <f>IFERROR(IF(ISNUMBER(SEARCH("Pulse Start",C44)),CONCATENATE("Metal Halide","-","LED","-",M44),CONCATENATE(C44,"-","LED","-",M44)),"")</f>
        <v>-LED-</v>
      </c>
      <c r="BB44" s="747" t="str">
        <f>IF(OR(C44="",I44="",K44="",G44="",M44="",Q44="",U44="",W44="",Y44="",AB44="",AF44="",AH44=""),"",INDEX(PMELIGHTHID[Measure '#],MATCH(BA44,PMELIGHTHID[Measure Validator],0)))</f>
        <v/>
      </c>
      <c r="BC44" s="1287" t="str">
        <f ca="1">IFERROR(IF(OR(C44="",AH44=""),"",IF(BB44="","",IF(AND(AND(SUBLIGHTDATE1&lt;&gt;"No",SUBLIGHTDATE2&lt;&gt;"No",SUBLIGHTDATE3&lt;&gt;"No"),M02S02F44="No",OR(M02S02F43&lt;=DATEVALUE("12/31/2021"),M02S02F43=""),OR(TODAY()&lt;=LIGHTING2021,ACTLIGHT&lt;&gt;"")),LIGHTRATE21*(INDEX(PMELIGHTHID[Inc Rate Unit],MATCH(BA44,PMELIGHTHID[Measure Validator],0))),INDEX(PMELIGHTHID[Inc Rate Unit],MATCH(BA44,PMELIGHTHID[Measure Validator],0))))),"")</f>
        <v/>
      </c>
      <c r="BD44" s="747" t="str">
        <f>IFERROR(ROUND(IF(OR(C44="",AH44=""),"",IF(BB44="","",(AY44-AZ44)*BC44)),2),"")</f>
        <v/>
      </c>
      <c r="BE44" s="747" t="str">
        <f>IF(OR(C44="",I44="",K44="",G44="",M44="",Q44="",U44="",W44="",Y44="",AB44="",AF44="",AH44=""),"",IFERROR(IF(AB44&lt;INDEX(PMELIGHTHID[Op Hr 1],MATCH(BA44,PMELIGHTHID[Measure Validator],0)),"Operating Hours Invalid",IF(ISNUMBER(SEARCH("SPILLOVER",Y44)),PROJSTATELI,IF((AW44-AX44)&lt;0,"No Savings",""))),"ERROR"))</f>
        <v/>
      </c>
      <c r="BF44" s="1289" t="str">
        <f>IF(AND(ISBLANK(AF44),ISBLANK(AH44)),"",IF(BD44&gt;AU44,"Yes","No"))</f>
        <v/>
      </c>
      <c r="BG44" s="1051">
        <f>IF(M02S02F32&lt;&gt;"",INDEX(SPACEHEAT[HIF],MATCH(M02S02F32,SHEAT,0)),1)</f>
        <v>1</v>
      </c>
      <c r="BH44" s="1225">
        <f t="shared" ref="BH44" si="23">IFERROR(ROUND(BJ44*1.1,2),0)</f>
        <v>0</v>
      </c>
      <c r="BI44" s="804" t="str">
        <f>IF(M02S02F44="","Update Install Status",IF(M02S02F49="Yes","Use New Load",IF(OR(C44="",I44="",K44="",G44="",M44="",Q44="",U44="",W44="",Y44="",AB44="",AF44="",AH44="",AD44=""),"",IF(BE44&lt;&gt;"",BE44,ROUND(BH44*BONUSADJ,2)))))</f>
        <v>Update Install Status</v>
      </c>
      <c r="BJ44" s="804" t="str">
        <f>IF(M02S02F44="","Update Install Status",IF(M02S02F49="Yes","Use New Load",IF(OR(C44="",I44="",K44="",G44="",M44="",Q44="",U44="",W44="",Y44="",AB44="",AF44="",AH44="",AD44=""),"",IF(BE44&lt;&gt;"",BE44,IF(BD44&lt;0,"No Incentive Savings",ROUND(MIN(AU44,BD44),2))))))</f>
        <v>Update Install Status</v>
      </c>
    </row>
    <row r="45" spans="2:62" ht="15.95" customHeight="1" x14ac:dyDescent="0.25">
      <c r="B45" s="1193"/>
      <c r="C45" s="845"/>
      <c r="D45" s="1308"/>
      <c r="E45" s="1308"/>
      <c r="F45" s="846"/>
      <c r="G45" s="1299"/>
      <c r="H45" s="1299"/>
      <c r="I45" s="1301"/>
      <c r="J45" s="1301"/>
      <c r="K45" s="1273"/>
      <c r="L45" s="1274"/>
      <c r="M45" s="1228"/>
      <c r="N45" s="852"/>
      <c r="O45" s="852"/>
      <c r="P45" s="852"/>
      <c r="Q45" s="1230"/>
      <c r="R45" s="1230"/>
      <c r="S45" s="1230"/>
      <c r="T45" s="1230"/>
      <c r="U45" s="853"/>
      <c r="V45" s="853"/>
      <c r="W45" s="1231"/>
      <c r="X45" s="1231"/>
      <c r="Y45" s="852"/>
      <c r="Z45" s="852"/>
      <c r="AA45" s="852"/>
      <c r="AB45" s="853"/>
      <c r="AC45" s="853"/>
      <c r="AD45" s="1302"/>
      <c r="AE45" s="1303"/>
      <c r="AF45" s="1304"/>
      <c r="AG45" s="1305"/>
      <c r="AH45" s="1305"/>
      <c r="AI45" s="1306"/>
      <c r="AJ45" s="1250"/>
      <c r="AK45" s="1251"/>
      <c r="AL45" s="1251"/>
      <c r="AM45" s="1252"/>
      <c r="AN45" s="1238"/>
      <c r="AO45" s="1239"/>
      <c r="AP45" s="1239"/>
      <c r="AQ45" s="1240"/>
      <c r="AS45"/>
      <c r="AT45"/>
      <c r="AU45" s="805"/>
      <c r="AV45" s="807"/>
      <c r="AW45" s="803"/>
      <c r="AX45" s="803"/>
      <c r="AY45" s="751"/>
      <c r="AZ45" s="801"/>
      <c r="BA45" s="1291"/>
      <c r="BB45" s="748"/>
      <c r="BC45" s="1288"/>
      <c r="BD45" s="748"/>
      <c r="BE45" s="748"/>
      <c r="BF45" s="1289"/>
      <c r="BG45" s="1052"/>
      <c r="BH45" s="1226"/>
      <c r="BI45" s="805"/>
      <c r="BJ45" s="805"/>
    </row>
    <row r="46" spans="2:62" ht="15.95" customHeight="1" x14ac:dyDescent="0.25">
      <c r="B46" s="1193">
        <v>15</v>
      </c>
      <c r="C46" s="1205"/>
      <c r="D46" s="1292"/>
      <c r="E46" s="1292"/>
      <c r="F46" s="1206"/>
      <c r="G46" s="916"/>
      <c r="H46" s="916"/>
      <c r="I46" s="1294"/>
      <c r="J46" s="1294"/>
      <c r="K46" s="1296" t="str">
        <f>IFERROR(IF(OR(C46="",I46=""),"",IF(C46="Metal Halide",INDEX(BASEHIDBALLAST[Metal Halide Ballast],MATCH(I46,BASEHIDBALLAST[Metal Halide Nominal],0)),IF(C46="Pulse Start Metal Halide",INDEX(BASEHIDBALLAST[Pulse Start Metal Halide Ballast],MATCH(I46,BASEHIDBALLAST[Pulse Start Metal Halide Nominal],0)),IF(C46="Mercury Vapor",INDEX(BASEHIDBALLAST[Mercury Vapor Ballast],MATCH(I46,BASEHIDBALLAST[Mercury Vapor Nominal],0)),IF(C46="High Pressure Sodium",INDEX(BASEHIDBALLAST[High Pressure Sodium Ballast],MATCH(I46,BASEHIDBALLAST[High Pressure Sodium Nominal],0))))))),"")</f>
        <v/>
      </c>
      <c r="L46" s="1297"/>
      <c r="M46" s="1259"/>
      <c r="N46" s="880"/>
      <c r="O46" s="880"/>
      <c r="P46" s="880"/>
      <c r="Q46" s="1229"/>
      <c r="R46" s="1229"/>
      <c r="S46" s="1229"/>
      <c r="T46" s="1229"/>
      <c r="U46" s="916"/>
      <c r="V46" s="916"/>
      <c r="W46" s="1237"/>
      <c r="X46" s="1237"/>
      <c r="Y46" s="880"/>
      <c r="Z46" s="880"/>
      <c r="AA46" s="880"/>
      <c r="AB46" s="916"/>
      <c r="AC46" s="916"/>
      <c r="AD46" s="1245"/>
      <c r="AE46" s="1246"/>
      <c r="AF46" s="1247"/>
      <c r="AG46" s="1248"/>
      <c r="AH46" s="1248"/>
      <c r="AI46" s="1249"/>
      <c r="AJ46" s="1250" t="str">
        <f t="shared" ref="AJ46" si="24">IF(OR(C46="",I46="",K46="",G46="",M46="",Q46="",U46="",W46="",Y46="",AB46="",AF46="",AH46=""),"",IFERROR(ROUND(IF((AW46-AX46)&lt;=0,0,BG46*(AW46-AX46)),0),""))</f>
        <v/>
      </c>
      <c r="AK46" s="1251"/>
      <c r="AL46" s="1251"/>
      <c r="AM46" s="1252"/>
      <c r="AN46" s="1238" t="str">
        <f>IF(M02S02F44="","Update Install Status",IF(M02S02F49="Yes","Use New Load",IF(OR(C46="",I46="",K46="",G46="",M46="",Q46="",U46="",W46="",Y46="",AB46="",AF46="",AH46="",AD46=""),"",IF(BE46&lt;&gt;"",BE46,IF(BD46&lt;0,"No Incentive Savings",ROUND(MIN(AU46,BD46),2))))))</f>
        <v>Update Install Status</v>
      </c>
      <c r="AO46" s="1239"/>
      <c r="AP46" s="1239"/>
      <c r="AQ46" s="1240"/>
      <c r="AS46"/>
      <c r="AT46"/>
      <c r="AU46" s="804" t="str">
        <f>IF(OR(C46="",I46="",K46="",G46="",M46="",Q46="",U46="",W46="",Y46="",AB46="",AF46="",AH46=""),"",(ROUND((AF46+AH46)*U46,2)))</f>
        <v/>
      </c>
      <c r="AV46" s="806" t="str">
        <f>IF(OR(C46="",I46="",K46="",G46="",M46="",Q46="",U46="",W46="",Y46="",AB46="",AF46="",AH46=""),"",ROUND(AJ46*INDEX(ENDUSEALL[Factor],MATCH(INDEX(PMELIGHTHID[End Use Category],MATCH(BA46,PMELIGHTHID[Measure Validator],0)),ENDUSEALL[End Use to Coincident Peak Demand Factors],0)),4))</f>
        <v/>
      </c>
      <c r="AW46" s="802" t="str">
        <f>IF(OR(C46="",I46="",K46="",G46="",M46="",Q46="",U46="",W46="",Y46="",AB46="",AF46="",AH46=""),"",ROUND(K46*G46*AB46/1000,0))</f>
        <v/>
      </c>
      <c r="AX46" s="802" t="str">
        <f>IF(OR(C46="",I46="",K46="",G46="",M46="",Q46="",U46="",W46="",Y46="",AB46="",AF46="",AH46=""),"",IF(ISNUMBER(SEARCH("Network",M46)),ROUND(0.76*W46*U46*AB46/1000,0),ROUND(W46*U46*AB46/1000,0)))</f>
        <v/>
      </c>
      <c r="AY46" s="750" t="str">
        <f>IF(OR(C46="",I46="",K46="",G46="",M46="",Q46="",U46="",W46="",Y46="",AB46="",AF46="",AH46=""),"",IF(G46&gt;=U46,ROUND(K46*U46,0),IF(G46&lt;U46,ROUND(K46*G46,0))))</f>
        <v/>
      </c>
      <c r="AZ46" s="800" t="str">
        <f>IF(OR(C46="",G46="",I46="",K46="",M46="",Q46="",U46="",W46="",Y46="",AB46="",AD46="",AF46="",AH46=""),"",ROUND(W46*U46,0))</f>
        <v/>
      </c>
      <c r="BA46" s="1290" t="str">
        <f>IFERROR(IF(ISNUMBER(SEARCH("Pulse Start",C46)),CONCATENATE("Metal Halide","-","LED","-",M46),CONCATENATE(C46,"-","LED","-",M46)),"")</f>
        <v>-LED-</v>
      </c>
      <c r="BB46" s="747" t="str">
        <f>IF(OR(C46="",I46="",K46="",G46="",M46="",Q46="",U46="",W46="",Y46="",AB46="",AF46="",AH46=""),"",INDEX(PMELIGHTHID[Measure '#],MATCH(BA46,PMELIGHTHID[Measure Validator],0)))</f>
        <v/>
      </c>
      <c r="BC46" s="1287" t="str">
        <f ca="1">IFERROR(IF(OR(C46="",AH46=""),"",IF(BB46="","",IF(AND(AND(SUBLIGHTDATE1&lt;&gt;"No",SUBLIGHTDATE2&lt;&gt;"No",SUBLIGHTDATE3&lt;&gt;"No"),M02S02F44="No",OR(M02S02F43&lt;=DATEVALUE("12/31/2021"),M02S02F43=""),OR(TODAY()&lt;=LIGHTING2021,ACTLIGHT&lt;&gt;"")),LIGHTRATE21*(INDEX(PMELIGHTHID[Inc Rate Unit],MATCH(BA46,PMELIGHTHID[Measure Validator],0))),INDEX(PMELIGHTHID[Inc Rate Unit],MATCH(BA46,PMELIGHTHID[Measure Validator],0))))),"")</f>
        <v/>
      </c>
      <c r="BD46" s="747" t="str">
        <f>IFERROR(ROUND(IF(OR(C46="",AH46=""),"",IF(BB46="","",(AY46-AZ46)*BC46)),2),"")</f>
        <v/>
      </c>
      <c r="BE46" s="747" t="str">
        <f>IF(OR(C46="",I46="",K46="",G46="",M46="",Q46="",U46="",W46="",Y46="",AB46="",AF46="",AH46=""),"",IFERROR(IF(AB46&lt;INDEX(PMELIGHTHID[Op Hr 1],MATCH(BA46,PMELIGHTHID[Measure Validator],0)),"Operating Hours Invalid",IF(ISNUMBER(SEARCH("SPILLOVER",Y46)),PROJSTATELI,IF((AW46-AX46)&lt;0,"No Savings",""))),"ERROR"))</f>
        <v/>
      </c>
      <c r="BF46" s="1289" t="str">
        <f>IF(AND(ISBLANK(AF46),ISBLANK(AH46)),"",IF(BD46&gt;AU46,"Yes","No"))</f>
        <v/>
      </c>
      <c r="BG46" s="1051">
        <f>IF(M02S02F32&lt;&gt;"",INDEX(SPACEHEAT[HIF],MATCH(M02S02F32,SHEAT,0)),1)</f>
        <v>1</v>
      </c>
      <c r="BH46" s="1225">
        <f t="shared" ref="BH46" si="25">IFERROR(ROUND(BJ46*1.1,2),0)</f>
        <v>0</v>
      </c>
      <c r="BI46" s="804" t="str">
        <f>IF(M02S02F44="","Update Install Status",IF(M02S02F49="Yes","Use New Load",IF(OR(C46="",I46="",K46="",G46="",M46="",Q46="",U46="",W46="",Y46="",AB46="",AF46="",AH46="",AD46=""),"",IF(BE46&lt;&gt;"",BE46,ROUND(BH46*BONUSADJ,2)))))</f>
        <v>Update Install Status</v>
      </c>
      <c r="BJ46" s="804" t="str">
        <f>IF(M02S02F44="","Update Install Status",IF(M02S02F49="Yes","Use New Load",IF(OR(C46="",I46="",K46="",G46="",M46="",Q46="",U46="",W46="",Y46="",AB46="",AF46="",AH46="",AD46=""),"",IF(BE46&lt;&gt;"",BE46,IF(BD46&lt;0,"No Incentive Savings",ROUND(MIN(AU46,BD46),2))))))</f>
        <v>Update Install Status</v>
      </c>
    </row>
    <row r="47" spans="2:62" ht="15.95" customHeight="1" x14ac:dyDescent="0.25">
      <c r="B47" s="1193"/>
      <c r="C47" s="1207"/>
      <c r="D47" s="1263"/>
      <c r="E47" s="1263"/>
      <c r="F47" s="1208"/>
      <c r="G47" s="1293"/>
      <c r="H47" s="1293"/>
      <c r="I47" s="1295"/>
      <c r="J47" s="1295"/>
      <c r="K47" s="1273"/>
      <c r="L47" s="1274"/>
      <c r="M47" s="1259"/>
      <c r="N47" s="880"/>
      <c r="O47" s="880"/>
      <c r="P47" s="880"/>
      <c r="Q47" s="1229"/>
      <c r="R47" s="1229"/>
      <c r="S47" s="1229"/>
      <c r="T47" s="1229"/>
      <c r="U47" s="916"/>
      <c r="V47" s="916"/>
      <c r="W47" s="1237"/>
      <c r="X47" s="1237"/>
      <c r="Y47" s="880"/>
      <c r="Z47" s="880"/>
      <c r="AA47" s="880"/>
      <c r="AB47" s="916"/>
      <c r="AC47" s="916"/>
      <c r="AD47" s="1245"/>
      <c r="AE47" s="1246"/>
      <c r="AF47" s="1247"/>
      <c r="AG47" s="1248"/>
      <c r="AH47" s="1248"/>
      <c r="AI47" s="1249"/>
      <c r="AJ47" s="1250"/>
      <c r="AK47" s="1251"/>
      <c r="AL47" s="1251"/>
      <c r="AM47" s="1252"/>
      <c r="AN47" s="1238"/>
      <c r="AO47" s="1239"/>
      <c r="AP47" s="1239"/>
      <c r="AQ47" s="1240"/>
      <c r="AS47"/>
      <c r="AT47"/>
      <c r="AU47" s="805"/>
      <c r="AV47" s="807"/>
      <c r="AW47" s="803"/>
      <c r="AX47" s="803"/>
      <c r="AY47" s="751"/>
      <c r="AZ47" s="801"/>
      <c r="BA47" s="1291"/>
      <c r="BB47" s="748"/>
      <c r="BC47" s="1288"/>
      <c r="BD47" s="748"/>
      <c r="BE47" s="748"/>
      <c r="BF47" s="1289"/>
      <c r="BG47" s="1052"/>
      <c r="BH47" s="1226"/>
      <c r="BI47" s="805"/>
      <c r="BJ47" s="805"/>
    </row>
    <row r="48" spans="2:62" ht="15.95" customHeight="1" x14ac:dyDescent="0.25">
      <c r="B48" s="1193">
        <v>16</v>
      </c>
      <c r="C48" s="1205"/>
      <c r="D48" s="1292"/>
      <c r="E48" s="1292"/>
      <c r="F48" s="1206"/>
      <c r="G48" s="916"/>
      <c r="H48" s="916"/>
      <c r="I48" s="1294"/>
      <c r="J48" s="1294"/>
      <c r="K48" s="1296" t="str">
        <f>IFERROR(IF(OR(C48="",I48=""),"",IF(C48="Metal Halide",INDEX(BASEHIDBALLAST[Metal Halide Ballast],MATCH(I48,BASEHIDBALLAST[Metal Halide Nominal],0)),IF(C48="Pulse Start Metal Halide",INDEX(BASEHIDBALLAST[Pulse Start Metal Halide Ballast],MATCH(I48,BASEHIDBALLAST[Pulse Start Metal Halide Nominal],0)),IF(C48="Mercury Vapor",INDEX(BASEHIDBALLAST[Mercury Vapor Ballast],MATCH(I48,BASEHIDBALLAST[Mercury Vapor Nominal],0)),IF(C48="High Pressure Sodium",INDEX(BASEHIDBALLAST[High Pressure Sodium Ballast],MATCH(I48,BASEHIDBALLAST[High Pressure Sodium Nominal],0))))))),"")</f>
        <v/>
      </c>
      <c r="L48" s="1297"/>
      <c r="M48" s="1259"/>
      <c r="N48" s="880"/>
      <c r="O48" s="880"/>
      <c r="P48" s="880"/>
      <c r="Q48" s="1229"/>
      <c r="R48" s="1229"/>
      <c r="S48" s="1229"/>
      <c r="T48" s="1229"/>
      <c r="U48" s="916"/>
      <c r="V48" s="916"/>
      <c r="W48" s="1237"/>
      <c r="X48" s="1237"/>
      <c r="Y48" s="880"/>
      <c r="Z48" s="880"/>
      <c r="AA48" s="880"/>
      <c r="AB48" s="916"/>
      <c r="AC48" s="916"/>
      <c r="AD48" s="1245"/>
      <c r="AE48" s="1246"/>
      <c r="AF48" s="1247"/>
      <c r="AG48" s="1248"/>
      <c r="AH48" s="1248"/>
      <c r="AI48" s="1249"/>
      <c r="AJ48" s="1250" t="str">
        <f t="shared" ref="AJ48" si="26">IF(OR(C48="",I48="",K48="",G48="",M48="",Q48="",U48="",W48="",Y48="",AB48="",AF48="",AH48=""),"",IFERROR(ROUND(IF((AW48-AX48)&lt;=0,0,BG48*(AW48-AX48)),0),""))</f>
        <v/>
      </c>
      <c r="AK48" s="1251"/>
      <c r="AL48" s="1251"/>
      <c r="AM48" s="1252"/>
      <c r="AN48" s="1238" t="str">
        <f>IF(M02S02F44="","Update Install Status",IF(M02S02F49="Yes","Use New Load",IF(OR(C48="",I48="",K48="",G48="",M48="",Q48="",U48="",W48="",Y48="",AB48="",AF48="",AH48="",AD48=""),"",IF(BE48&lt;&gt;"",BE48,IF(BD48&lt;0,"No Incentive Savings",ROUND(MIN(AU48,BD48),2))))))</f>
        <v>Update Install Status</v>
      </c>
      <c r="AO48" s="1239"/>
      <c r="AP48" s="1239"/>
      <c r="AQ48" s="1240"/>
      <c r="AS48"/>
      <c r="AT48"/>
      <c r="AU48" s="804" t="str">
        <f>IF(OR(C48="",I48="",K48="",G48="",M48="",Q48="",U48="",W48="",Y48="",AB48="",AF48="",AH48=""),"",(ROUND((AF48+AH48)*U48,2)))</f>
        <v/>
      </c>
      <c r="AV48" s="806" t="str">
        <f>IF(OR(C48="",I48="",K48="",G48="",M48="",Q48="",U48="",W48="",Y48="",AB48="",AF48="",AH48=""),"",ROUND(AJ48*INDEX(ENDUSEALL[Factor],MATCH(INDEX(PMELIGHTHID[End Use Category],MATCH(BA48,PMELIGHTHID[Measure Validator],0)),ENDUSEALL[End Use to Coincident Peak Demand Factors],0)),4))</f>
        <v/>
      </c>
      <c r="AW48" s="802" t="str">
        <f>IF(OR(C48="",I48="",K48="",G48="",M48="",Q48="",U48="",W48="",Y48="",AB48="",AF48="",AH48=""),"",ROUND(K48*G48*AB48/1000,0))</f>
        <v/>
      </c>
      <c r="AX48" s="802" t="str">
        <f>IF(OR(C48="",I48="",K48="",G48="",M48="",Q48="",U48="",W48="",Y48="",AB48="",AF48="",AH48=""),"",IF(ISNUMBER(SEARCH("Network",M48)),ROUND(0.76*W48*U48*AB48/1000,0),ROUND(W48*U48*AB48/1000,0)))</f>
        <v/>
      </c>
      <c r="AY48" s="750" t="str">
        <f>IF(OR(C48="",I48="",K48="",G48="",M48="",Q48="",U48="",W48="",Y48="",AB48="",AF48="",AH48=""),"",IF(G48&gt;=U48,ROUND(K48*U48,0),IF(G48&lt;U48,ROUND(K48*G48,0))))</f>
        <v/>
      </c>
      <c r="AZ48" s="800" t="str">
        <f>IF(OR(C48="",G48="",I48="",K48="",M48="",Q48="",U48="",W48="",Y48="",AB48="",AD48="",AF48="",AH48=""),"",ROUND(W48*U48,0))</f>
        <v/>
      </c>
      <c r="BA48" s="1290" t="str">
        <f>IFERROR(IF(ISNUMBER(SEARCH("Pulse Start",C48)),CONCATENATE("Metal Halide","-","LED","-",M48),CONCATENATE(C48,"-","LED","-",M48)),"")</f>
        <v>-LED-</v>
      </c>
      <c r="BB48" s="747" t="str">
        <f>IF(OR(C48="",I48="",K48="",G48="",M48="",Q48="",U48="",W48="",Y48="",AB48="",AF48="",AH48=""),"",INDEX(PMELIGHTHID[Measure '#],MATCH(BA48,PMELIGHTHID[Measure Validator],0)))</f>
        <v/>
      </c>
      <c r="BC48" s="1287" t="str">
        <f ca="1">IFERROR(IF(OR(C48="",AH48=""),"",IF(BB48="","",IF(AND(AND(SUBLIGHTDATE1&lt;&gt;"No",SUBLIGHTDATE2&lt;&gt;"No",SUBLIGHTDATE3&lt;&gt;"No"),M02S02F44="No",OR(M02S02F43&lt;=DATEVALUE("12/31/2021"),M02S02F43=""),OR(TODAY()&lt;=LIGHTING2021,ACTLIGHT&lt;&gt;"")),LIGHTRATE21*(INDEX(PMELIGHTHID[Inc Rate Unit],MATCH(BA48,PMELIGHTHID[Measure Validator],0))),INDEX(PMELIGHTHID[Inc Rate Unit],MATCH(BA48,PMELIGHTHID[Measure Validator],0))))),"")</f>
        <v/>
      </c>
      <c r="BD48" s="747" t="str">
        <f>IFERROR(ROUND(IF(OR(C48="",AH48=""),"",IF(BB48="","",(AY48-AZ48)*BC48)),2),"")</f>
        <v/>
      </c>
      <c r="BE48" s="747" t="str">
        <f>IF(OR(C48="",I48="",K48="",G48="",M48="",Q48="",U48="",W48="",Y48="",AB48="",AF48="",AH48=""),"",IFERROR(IF(AB48&lt;INDEX(PMELIGHTHID[Op Hr 1],MATCH(BA48,PMELIGHTHID[Measure Validator],0)),"Operating Hours Invalid",IF(ISNUMBER(SEARCH("SPILLOVER",Y48)),PROJSTATELI,IF((AW48-AX48)&lt;0,"No Savings",""))),"ERROR"))</f>
        <v/>
      </c>
      <c r="BF48" s="1289" t="str">
        <f>IF(AND(ISBLANK(AF48),ISBLANK(AH48)),"",IF(BD48&gt;AU48,"Yes","No"))</f>
        <v/>
      </c>
      <c r="BG48" s="1051">
        <f>IF(M02S02F32&lt;&gt;"",INDEX(SPACEHEAT[HIF],MATCH(M02S02F32,SHEAT,0)),1)</f>
        <v>1</v>
      </c>
      <c r="BH48" s="1225">
        <f t="shared" ref="BH48" si="27">IFERROR(ROUND(BJ48*1.1,2),0)</f>
        <v>0</v>
      </c>
      <c r="BI48" s="804" t="str">
        <f>IF(M02S02F44="","Update Install Status",IF(M02S02F49="Yes","Use New Load",IF(OR(C48="",I48="",K48="",G48="",M48="",Q48="",U48="",W48="",Y48="",AB48="",AF48="",AH48="",AD48=""),"",IF(BE48&lt;&gt;"",BE48,ROUND(BH48*BONUSADJ,2)))))</f>
        <v>Update Install Status</v>
      </c>
      <c r="BJ48" s="804" t="str">
        <f>IF(M02S02F44="","Update Install Status",IF(M02S02F49="Yes","Use New Load",IF(OR(C48="",I48="",K48="",G48="",M48="",Q48="",U48="",W48="",Y48="",AB48="",AF48="",AH48="",AD48=""),"",IF(BE48&lt;&gt;"",BE48,IF(BD48&lt;0,"No Incentive Savings",ROUND(MIN(AU48,BD48),2))))))</f>
        <v>Update Install Status</v>
      </c>
    </row>
    <row r="49" spans="2:62" ht="15.95" customHeight="1" x14ac:dyDescent="0.25">
      <c r="B49" s="1193"/>
      <c r="C49" s="1207"/>
      <c r="D49" s="1263"/>
      <c r="E49" s="1263"/>
      <c r="F49" s="1208"/>
      <c r="G49" s="1293"/>
      <c r="H49" s="1293"/>
      <c r="I49" s="1295"/>
      <c r="J49" s="1295"/>
      <c r="K49" s="1273"/>
      <c r="L49" s="1274"/>
      <c r="M49" s="1259"/>
      <c r="N49" s="880"/>
      <c r="O49" s="880"/>
      <c r="P49" s="880"/>
      <c r="Q49" s="1229"/>
      <c r="R49" s="1229"/>
      <c r="S49" s="1229"/>
      <c r="T49" s="1229"/>
      <c r="U49" s="916"/>
      <c r="V49" s="916"/>
      <c r="W49" s="1237"/>
      <c r="X49" s="1237"/>
      <c r="Y49" s="880"/>
      <c r="Z49" s="880"/>
      <c r="AA49" s="880"/>
      <c r="AB49" s="916"/>
      <c r="AC49" s="916"/>
      <c r="AD49" s="1245"/>
      <c r="AE49" s="1246"/>
      <c r="AF49" s="1247"/>
      <c r="AG49" s="1248"/>
      <c r="AH49" s="1248"/>
      <c r="AI49" s="1249"/>
      <c r="AJ49" s="1250"/>
      <c r="AK49" s="1251"/>
      <c r="AL49" s="1251"/>
      <c r="AM49" s="1252"/>
      <c r="AN49" s="1238"/>
      <c r="AO49" s="1239"/>
      <c r="AP49" s="1239"/>
      <c r="AQ49" s="1240"/>
      <c r="AS49"/>
      <c r="AT49"/>
      <c r="AU49" s="805"/>
      <c r="AV49" s="807"/>
      <c r="AW49" s="803"/>
      <c r="AX49" s="803"/>
      <c r="AY49" s="751"/>
      <c r="AZ49" s="801"/>
      <c r="BA49" s="1291"/>
      <c r="BB49" s="748"/>
      <c r="BC49" s="1288"/>
      <c r="BD49" s="748"/>
      <c r="BE49" s="748"/>
      <c r="BF49" s="1289"/>
      <c r="BG49" s="1052"/>
      <c r="BH49" s="1226"/>
      <c r="BI49" s="805"/>
      <c r="BJ49" s="805"/>
    </row>
    <row r="50" spans="2:62" ht="15.95" customHeight="1" x14ac:dyDescent="0.25">
      <c r="B50" s="1193">
        <v>17</v>
      </c>
      <c r="C50" s="1205"/>
      <c r="D50" s="1292"/>
      <c r="E50" s="1292"/>
      <c r="F50" s="1206"/>
      <c r="G50" s="916"/>
      <c r="H50" s="916"/>
      <c r="I50" s="1294"/>
      <c r="J50" s="1294"/>
      <c r="K50" s="1296" t="str">
        <f>IFERROR(IF(OR(C50="",I50=""),"",IF(C50="Metal Halide",INDEX(BASEHIDBALLAST[Metal Halide Ballast],MATCH(I50,BASEHIDBALLAST[Metal Halide Nominal],0)),IF(C50="Pulse Start Metal Halide",INDEX(BASEHIDBALLAST[Pulse Start Metal Halide Ballast],MATCH(I50,BASEHIDBALLAST[Pulse Start Metal Halide Nominal],0)),IF(C50="Mercury Vapor",INDEX(BASEHIDBALLAST[Mercury Vapor Ballast],MATCH(I50,BASEHIDBALLAST[Mercury Vapor Nominal],0)),IF(C50="High Pressure Sodium",INDEX(BASEHIDBALLAST[High Pressure Sodium Ballast],MATCH(I50,BASEHIDBALLAST[High Pressure Sodium Nominal],0))))))),"")</f>
        <v/>
      </c>
      <c r="L50" s="1297"/>
      <c r="M50" s="1259"/>
      <c r="N50" s="880"/>
      <c r="O50" s="880"/>
      <c r="P50" s="880"/>
      <c r="Q50" s="1229"/>
      <c r="R50" s="1229"/>
      <c r="S50" s="1229"/>
      <c r="T50" s="1229"/>
      <c r="U50" s="916"/>
      <c r="V50" s="916"/>
      <c r="W50" s="1237"/>
      <c r="X50" s="1237"/>
      <c r="Y50" s="880"/>
      <c r="Z50" s="880"/>
      <c r="AA50" s="880"/>
      <c r="AB50" s="916"/>
      <c r="AC50" s="916"/>
      <c r="AD50" s="1245"/>
      <c r="AE50" s="1246"/>
      <c r="AF50" s="1247"/>
      <c r="AG50" s="1248"/>
      <c r="AH50" s="1248"/>
      <c r="AI50" s="1249"/>
      <c r="AJ50" s="1250" t="str">
        <f t="shared" ref="AJ50" si="28">IF(OR(C50="",I50="",K50="",G50="",M50="",Q50="",U50="",W50="",Y50="",AB50="",AF50="",AH50=""),"",IFERROR(ROUND(IF((AW50-AX50)&lt;=0,0,BG50*(AW50-AX50)),0),""))</f>
        <v/>
      </c>
      <c r="AK50" s="1251"/>
      <c r="AL50" s="1251"/>
      <c r="AM50" s="1252"/>
      <c r="AN50" s="1238" t="str">
        <f>IF(M02S02F44="","Update Install Status",IF(M02S02F49="Yes","Use New Load",IF(OR(C50="",I50="",K50="",G50="",M50="",Q50="",U50="",W50="",Y50="",AB50="",AF50="",AH50="",AD50=""),"",IF(BE50&lt;&gt;"",BE50,IF(BD50&lt;0,"No Incentive Savings",ROUND(MIN(AU50,BD50),2))))))</f>
        <v>Update Install Status</v>
      </c>
      <c r="AO50" s="1239"/>
      <c r="AP50" s="1239"/>
      <c r="AQ50" s="1240"/>
      <c r="AS50"/>
      <c r="AT50"/>
      <c r="AU50" s="804" t="str">
        <f>IF(OR(C50="",I50="",K50="",G50="",M50="",Q50="",U50="",W50="",Y50="",AB50="",AF50="",AH50=""),"",(ROUND((AF50+AH50)*U50,2)))</f>
        <v/>
      </c>
      <c r="AV50" s="806" t="str">
        <f>IF(OR(C50="",I50="",K50="",G50="",M50="",Q50="",U50="",W50="",Y50="",AB50="",AF50="",AH50=""),"",ROUND(AJ50*INDEX(ENDUSEALL[Factor],MATCH(INDEX(PMELIGHTHID[End Use Category],MATCH(BA50,PMELIGHTHID[Measure Validator],0)),ENDUSEALL[End Use to Coincident Peak Demand Factors],0)),4))</f>
        <v/>
      </c>
      <c r="AW50" s="802" t="str">
        <f>IF(OR(C50="",I50="",K50="",G50="",M50="",Q50="",U50="",W50="",Y50="",AB50="",AF50="",AH50=""),"",ROUND(K50*G50*AB50/1000,0))</f>
        <v/>
      </c>
      <c r="AX50" s="802" t="str">
        <f>IF(OR(C50="",I50="",K50="",G50="",M50="",Q50="",U50="",W50="",Y50="",AB50="",AF50="",AH50=""),"",IF(ISNUMBER(SEARCH("Network",M50)),ROUND(0.76*W50*U50*AB50/1000,0),ROUND(W50*U50*AB50/1000,0)))</f>
        <v/>
      </c>
      <c r="AY50" s="750" t="str">
        <f>IF(OR(C50="",I50="",K50="",G50="",M50="",Q50="",U50="",W50="",Y50="",AB50="",AF50="",AH50=""),"",IF(G50&gt;=U50,ROUND(K50*U50,0),IF(G50&lt;U50,ROUND(K50*G50,0))))</f>
        <v/>
      </c>
      <c r="AZ50" s="800" t="str">
        <f>IF(OR(C50="",G50="",I50="",K50="",M50="",Q50="",U50="",W50="",Y50="",AB50="",AD50="",AF50="",AH50=""),"",ROUND(W50*U50,0))</f>
        <v/>
      </c>
      <c r="BA50" s="1290" t="str">
        <f>IFERROR(IF(ISNUMBER(SEARCH("Pulse Start",C50)),CONCATENATE("Metal Halide","-","LED","-",M50),CONCATENATE(C50,"-","LED","-",M50)),"")</f>
        <v>-LED-</v>
      </c>
      <c r="BB50" s="747" t="str">
        <f>IF(OR(C50="",I50="",K50="",G50="",M50="",Q50="",U50="",W50="",Y50="",AB50="",AF50="",AH50=""),"",INDEX(PMELIGHTHID[Measure '#],MATCH(BA50,PMELIGHTHID[Measure Validator],0)))</f>
        <v/>
      </c>
      <c r="BC50" s="1287" t="str">
        <f ca="1">IFERROR(IF(OR(C50="",AH50=""),"",IF(BB50="","",IF(AND(AND(SUBLIGHTDATE1&lt;&gt;"No",SUBLIGHTDATE2&lt;&gt;"No",SUBLIGHTDATE3&lt;&gt;"No"),M02S02F44="No",OR(M02S02F43&lt;=DATEVALUE("12/31/2021"),M02S02F43=""),OR(TODAY()&lt;=LIGHTING2021,ACTLIGHT&lt;&gt;"")),LIGHTRATE21*(INDEX(PMELIGHTHID[Inc Rate Unit],MATCH(BA50,PMELIGHTHID[Measure Validator],0))),INDEX(PMELIGHTHID[Inc Rate Unit],MATCH(BA50,PMELIGHTHID[Measure Validator],0))))),"")</f>
        <v/>
      </c>
      <c r="BD50" s="747" t="str">
        <f>IFERROR(ROUND(IF(OR(C50="",AH50=""),"",IF(BB50="","",(AY50-AZ50)*BC50)),2),"")</f>
        <v/>
      </c>
      <c r="BE50" s="747" t="str">
        <f>IF(OR(C50="",I50="",K50="",G50="",M50="",Q50="",U50="",W50="",Y50="",AB50="",AF50="",AH50=""),"",IFERROR(IF(AB50&lt;INDEX(PMELIGHTHID[Op Hr 1],MATCH(BA50,PMELIGHTHID[Measure Validator],0)),"Operating Hours Invalid",IF(ISNUMBER(SEARCH("SPILLOVER",Y50)),PROJSTATELI,IF((AW50-AX50)&lt;0,"No Savings",""))),"ERROR"))</f>
        <v/>
      </c>
      <c r="BF50" s="1289" t="str">
        <f>IF(AND(ISBLANK(AF50),ISBLANK(AH50)),"",IF(BD50&gt;AU50,"Yes","No"))</f>
        <v/>
      </c>
      <c r="BG50" s="1051">
        <f>IF(M02S02F32&lt;&gt;"",INDEX(SPACEHEAT[HIF],MATCH(M02S02F32,SHEAT,0)),1)</f>
        <v>1</v>
      </c>
      <c r="BH50" s="1225">
        <f t="shared" ref="BH50" si="29">IFERROR(ROUND(BJ50*1.1,2),0)</f>
        <v>0</v>
      </c>
      <c r="BI50" s="804" t="str">
        <f>IF(M02S02F44="","Update Install Status",IF(M02S02F49="Yes","Use New Load",IF(OR(C50="",I50="",K50="",G50="",M50="",Q50="",U50="",W50="",Y50="",AB50="",AF50="",AH50="",AD50=""),"",IF(BE50&lt;&gt;"",BE50,ROUND(BH50*BONUSADJ,2)))))</f>
        <v>Update Install Status</v>
      </c>
      <c r="BJ50" s="804" t="str">
        <f>IF(M02S02F44="","Update Install Status",IF(M02S02F49="Yes","Use New Load",IF(OR(C50="",I50="",K50="",G50="",M50="",Q50="",U50="",W50="",Y50="",AB50="",AF50="",AH50="",AD50=""),"",IF(BE50&lt;&gt;"",BE50,IF(BD50&lt;0,"No Incentive Savings",ROUND(MIN(AU50,BD50),2))))))</f>
        <v>Update Install Status</v>
      </c>
    </row>
    <row r="51" spans="2:62" ht="15.95" customHeight="1" x14ac:dyDescent="0.25">
      <c r="B51" s="1193"/>
      <c r="C51" s="1207"/>
      <c r="D51" s="1263"/>
      <c r="E51" s="1263"/>
      <c r="F51" s="1208"/>
      <c r="G51" s="1293"/>
      <c r="H51" s="1293"/>
      <c r="I51" s="1295"/>
      <c r="J51" s="1295"/>
      <c r="K51" s="1273"/>
      <c r="L51" s="1274"/>
      <c r="M51" s="1259"/>
      <c r="N51" s="880"/>
      <c r="O51" s="880"/>
      <c r="P51" s="880"/>
      <c r="Q51" s="1229"/>
      <c r="R51" s="1229"/>
      <c r="S51" s="1229"/>
      <c r="T51" s="1229"/>
      <c r="U51" s="916"/>
      <c r="V51" s="916"/>
      <c r="W51" s="1237"/>
      <c r="X51" s="1237"/>
      <c r="Y51" s="880"/>
      <c r="Z51" s="880"/>
      <c r="AA51" s="880"/>
      <c r="AB51" s="916"/>
      <c r="AC51" s="916"/>
      <c r="AD51" s="1245"/>
      <c r="AE51" s="1246"/>
      <c r="AF51" s="1247"/>
      <c r="AG51" s="1248"/>
      <c r="AH51" s="1248"/>
      <c r="AI51" s="1249"/>
      <c r="AJ51" s="1250"/>
      <c r="AK51" s="1251"/>
      <c r="AL51" s="1251"/>
      <c r="AM51" s="1252"/>
      <c r="AN51" s="1238"/>
      <c r="AO51" s="1239"/>
      <c r="AP51" s="1239"/>
      <c r="AQ51" s="1240"/>
      <c r="AS51"/>
      <c r="AT51"/>
      <c r="AU51" s="805"/>
      <c r="AV51" s="807"/>
      <c r="AW51" s="803"/>
      <c r="AX51" s="803"/>
      <c r="AY51" s="751"/>
      <c r="AZ51" s="801"/>
      <c r="BA51" s="1291"/>
      <c r="BB51" s="748"/>
      <c r="BC51" s="1288"/>
      <c r="BD51" s="748"/>
      <c r="BE51" s="748"/>
      <c r="BF51" s="1289"/>
      <c r="BG51" s="1052"/>
      <c r="BH51" s="1226"/>
      <c r="BI51" s="805"/>
      <c r="BJ51" s="805"/>
    </row>
    <row r="52" spans="2:62" ht="15.95" customHeight="1" x14ac:dyDescent="0.25">
      <c r="B52" s="1193">
        <v>18</v>
      </c>
      <c r="C52" s="1205"/>
      <c r="D52" s="1292"/>
      <c r="E52" s="1292"/>
      <c r="F52" s="1206"/>
      <c r="G52" s="916"/>
      <c r="H52" s="916"/>
      <c r="I52" s="1294"/>
      <c r="J52" s="1294"/>
      <c r="K52" s="1296" t="str">
        <f>IFERROR(IF(OR(C52="",I52=""),"",IF(C52="Metal Halide",INDEX(BASEHIDBALLAST[Metal Halide Ballast],MATCH(I52,BASEHIDBALLAST[Metal Halide Nominal],0)),IF(C52="Pulse Start Metal Halide",INDEX(BASEHIDBALLAST[Pulse Start Metal Halide Ballast],MATCH(I52,BASEHIDBALLAST[Pulse Start Metal Halide Nominal],0)),IF(C52="Mercury Vapor",INDEX(BASEHIDBALLAST[Mercury Vapor Ballast],MATCH(I52,BASEHIDBALLAST[Mercury Vapor Nominal],0)),IF(C52="High Pressure Sodium",INDEX(BASEHIDBALLAST[High Pressure Sodium Ballast],MATCH(I52,BASEHIDBALLAST[High Pressure Sodium Nominal],0))))))),"")</f>
        <v/>
      </c>
      <c r="L52" s="1297"/>
      <c r="M52" s="1259"/>
      <c r="N52" s="880"/>
      <c r="O52" s="880"/>
      <c r="P52" s="880"/>
      <c r="Q52" s="1229"/>
      <c r="R52" s="1229"/>
      <c r="S52" s="1229"/>
      <c r="T52" s="1229"/>
      <c r="U52" s="916"/>
      <c r="V52" s="916"/>
      <c r="W52" s="1237"/>
      <c r="X52" s="1237"/>
      <c r="Y52" s="880"/>
      <c r="Z52" s="880"/>
      <c r="AA52" s="880"/>
      <c r="AB52" s="916"/>
      <c r="AC52" s="916"/>
      <c r="AD52" s="1245"/>
      <c r="AE52" s="1246"/>
      <c r="AF52" s="1247"/>
      <c r="AG52" s="1248"/>
      <c r="AH52" s="1248"/>
      <c r="AI52" s="1249"/>
      <c r="AJ52" s="1250" t="str">
        <f t="shared" ref="AJ52" si="30">IF(OR(C52="",I52="",K52="",G52="",M52="",Q52="",U52="",W52="",Y52="",AB52="",AF52="",AH52=""),"",IFERROR(ROUND(IF((AW52-AX52)&lt;=0,0,BG52*(AW52-AX52)),0),""))</f>
        <v/>
      </c>
      <c r="AK52" s="1251"/>
      <c r="AL52" s="1251"/>
      <c r="AM52" s="1252"/>
      <c r="AN52" s="1238" t="str">
        <f>IF(M02S02F44="","Update Install Status",IF(M02S02F49="Yes","Use New Load",IF(OR(C52="",I52="",K52="",G52="",M52="",Q52="",U52="",W52="",Y52="",AB52="",AF52="",AH52="",AD52=""),"",IF(BE52&lt;&gt;"",BE52,IF(BD52&lt;0,"No Incentive Savings",ROUND(MIN(AU52,BD52),2))))))</f>
        <v>Update Install Status</v>
      </c>
      <c r="AO52" s="1239"/>
      <c r="AP52" s="1239"/>
      <c r="AQ52" s="1240"/>
      <c r="AS52"/>
      <c r="AT52"/>
      <c r="AU52" s="804" t="str">
        <f>IF(OR(C52="",I52="",K52="",G52="",M52="",Q52="",U52="",W52="",Y52="",AB52="",AF52="",AH52=""),"",(ROUND((AF52+AH52)*U52,2)))</f>
        <v/>
      </c>
      <c r="AV52" s="806" t="str">
        <f>IF(OR(C52="",I52="",K52="",G52="",M52="",Q52="",U52="",W52="",Y52="",AB52="",AF52="",AH52=""),"",ROUND(AJ52*INDEX(ENDUSEALL[Factor],MATCH(INDEX(PMELIGHTHID[End Use Category],MATCH(BA52,PMELIGHTHID[Measure Validator],0)),ENDUSEALL[End Use to Coincident Peak Demand Factors],0)),4))</f>
        <v/>
      </c>
      <c r="AW52" s="802" t="str">
        <f>IF(OR(C52="",I52="",K52="",G52="",M52="",Q52="",U52="",W52="",Y52="",AB52="",AF52="",AH52=""),"",ROUND(K52*G52*AB52/1000,0))</f>
        <v/>
      </c>
      <c r="AX52" s="802" t="str">
        <f>IF(OR(C52="",I52="",K52="",G52="",M52="",Q52="",U52="",W52="",Y52="",AB52="",AF52="",AH52=""),"",IF(ISNUMBER(SEARCH("Network",M52)),ROUND(0.76*W52*U52*AB52/1000,0),ROUND(W52*U52*AB52/1000,0)))</f>
        <v/>
      </c>
      <c r="AY52" s="750" t="str">
        <f>IF(OR(C52="",I52="",K52="",G52="",M52="",Q52="",U52="",W52="",Y52="",AB52="",AF52="",AH52=""),"",IF(G52&gt;=U52,ROUND(K52*U52,0),IF(G52&lt;U52,ROUND(K52*G52,0))))</f>
        <v/>
      </c>
      <c r="AZ52" s="800" t="str">
        <f>IF(OR(C52="",G52="",I52="",K52="",M52="",Q52="",U52="",W52="",Y52="",AB52="",AD52="",AF52="",AH52=""),"",ROUND(W52*U52,0))</f>
        <v/>
      </c>
      <c r="BA52" s="1290" t="str">
        <f>IFERROR(IF(ISNUMBER(SEARCH("Pulse Start",C52)),CONCATENATE("Metal Halide","-","LED","-",M52),CONCATENATE(C52,"-","LED","-",M52)),"")</f>
        <v>-LED-</v>
      </c>
      <c r="BB52" s="747" t="str">
        <f>IF(OR(C52="",I52="",K52="",G52="",M52="",Q52="",U52="",W52="",Y52="",AB52="",AF52="",AH52=""),"",INDEX(PMELIGHTHID[Measure '#],MATCH(BA52,PMELIGHTHID[Measure Validator],0)))</f>
        <v/>
      </c>
      <c r="BC52" s="1287" t="str">
        <f ca="1">IFERROR(IF(OR(C52="",AH52=""),"",IF(BB52="","",IF(AND(AND(SUBLIGHTDATE1&lt;&gt;"No",SUBLIGHTDATE2&lt;&gt;"No",SUBLIGHTDATE3&lt;&gt;"No"),M02S02F44="No",OR(M02S02F43&lt;=DATEVALUE("12/31/2021"),M02S02F43=""),OR(TODAY()&lt;=LIGHTING2021,ACTLIGHT&lt;&gt;"")),LIGHTRATE21*(INDEX(PMELIGHTHID[Inc Rate Unit],MATCH(BA52,PMELIGHTHID[Measure Validator],0))),INDEX(PMELIGHTHID[Inc Rate Unit],MATCH(BA52,PMELIGHTHID[Measure Validator],0))))),"")</f>
        <v/>
      </c>
      <c r="BD52" s="747" t="str">
        <f>IFERROR(ROUND(IF(OR(C52="",AH52=""),"",IF(BB52="","",(AY52-AZ52)*BC52)),2),"")</f>
        <v/>
      </c>
      <c r="BE52" s="747" t="str">
        <f>IF(OR(C52="",I52="",K52="",G52="",M52="",Q52="",U52="",W52="",Y52="",AB52="",AF52="",AH52=""),"",IFERROR(IF(AB52&lt;INDEX(PMELIGHTHID[Op Hr 1],MATCH(BA52,PMELIGHTHID[Measure Validator],0)),"Operating Hours Invalid",IF(ISNUMBER(SEARCH("SPILLOVER",Y52)),PROJSTATELI,IF((AW52-AX52)&lt;0,"No Savings",""))),"ERROR"))</f>
        <v/>
      </c>
      <c r="BF52" s="1289" t="str">
        <f>IF(AND(ISBLANK(AF52),ISBLANK(AH52)),"",IF(BD52&gt;AU52,"Yes","No"))</f>
        <v/>
      </c>
      <c r="BG52" s="1051">
        <f>IF(M02S02F32&lt;&gt;"",INDEX(SPACEHEAT[HIF],MATCH(M02S02F32,SHEAT,0)),1)</f>
        <v>1</v>
      </c>
      <c r="BH52" s="1225">
        <f t="shared" ref="BH52" si="31">IFERROR(ROUND(BJ52*1.1,2),0)</f>
        <v>0</v>
      </c>
      <c r="BI52" s="804" t="str">
        <f>IF(M02S02F44="","Update Install Status",IF(M02S02F49="Yes","Use New Load",IF(OR(C52="",I52="",K52="",G52="",M52="",Q52="",U52="",W52="",Y52="",AB52="",AF52="",AH52="",AD52=""),"",IF(BE52&lt;&gt;"",BE52,ROUND(BH52*BONUSADJ,2)))))</f>
        <v>Update Install Status</v>
      </c>
      <c r="BJ52" s="804" t="str">
        <f>IF(M02S02F44="","Update Install Status",IF(M02S02F49="Yes","Use New Load",IF(OR(C52="",I52="",K52="",G52="",M52="",Q52="",U52="",W52="",Y52="",AB52="",AF52="",AH52="",AD52=""),"",IF(BE52&lt;&gt;"",BE52,IF(BD52&lt;0,"No Incentive Savings",ROUND(MIN(AU52,BD52),2))))))</f>
        <v>Update Install Status</v>
      </c>
    </row>
    <row r="53" spans="2:62" ht="15.95" customHeight="1" x14ac:dyDescent="0.25">
      <c r="B53" s="1193"/>
      <c r="C53" s="1207"/>
      <c r="D53" s="1263"/>
      <c r="E53" s="1263"/>
      <c r="F53" s="1208"/>
      <c r="G53" s="1293"/>
      <c r="H53" s="1293"/>
      <c r="I53" s="1295"/>
      <c r="J53" s="1295"/>
      <c r="K53" s="1273"/>
      <c r="L53" s="1274"/>
      <c r="M53" s="1259"/>
      <c r="N53" s="880"/>
      <c r="O53" s="880"/>
      <c r="P53" s="880"/>
      <c r="Q53" s="1229"/>
      <c r="R53" s="1229"/>
      <c r="S53" s="1229"/>
      <c r="T53" s="1229"/>
      <c r="U53" s="916"/>
      <c r="V53" s="916"/>
      <c r="W53" s="1237"/>
      <c r="X53" s="1237"/>
      <c r="Y53" s="880"/>
      <c r="Z53" s="880"/>
      <c r="AA53" s="880"/>
      <c r="AB53" s="916"/>
      <c r="AC53" s="916"/>
      <c r="AD53" s="1245"/>
      <c r="AE53" s="1246"/>
      <c r="AF53" s="1247"/>
      <c r="AG53" s="1248"/>
      <c r="AH53" s="1248"/>
      <c r="AI53" s="1249"/>
      <c r="AJ53" s="1250"/>
      <c r="AK53" s="1251"/>
      <c r="AL53" s="1251"/>
      <c r="AM53" s="1252"/>
      <c r="AN53" s="1238"/>
      <c r="AO53" s="1239"/>
      <c r="AP53" s="1239"/>
      <c r="AQ53" s="1240"/>
      <c r="AS53"/>
      <c r="AT53"/>
      <c r="AU53" s="805"/>
      <c r="AV53" s="807"/>
      <c r="AW53" s="803"/>
      <c r="AX53" s="803"/>
      <c r="AY53" s="751"/>
      <c r="AZ53" s="801"/>
      <c r="BA53" s="1291"/>
      <c r="BB53" s="748"/>
      <c r="BC53" s="1288"/>
      <c r="BD53" s="748"/>
      <c r="BE53" s="748"/>
      <c r="BF53" s="1289"/>
      <c r="BG53" s="1052"/>
      <c r="BH53" s="1226"/>
      <c r="BI53" s="805"/>
      <c r="BJ53" s="805"/>
    </row>
    <row r="54" spans="2:62" ht="15.95" customHeight="1" x14ac:dyDescent="0.25">
      <c r="B54" s="1193">
        <v>19</v>
      </c>
      <c r="C54" s="843"/>
      <c r="D54" s="1307"/>
      <c r="E54" s="1307"/>
      <c r="F54" s="844"/>
      <c r="G54" s="853"/>
      <c r="H54" s="853"/>
      <c r="I54" s="1300"/>
      <c r="J54" s="1300"/>
      <c r="K54" s="1296" t="str">
        <f>IFERROR(IF(OR(C54="",I54=""),"",IF(C54="Metal Halide",INDEX(BASEHIDBALLAST[Metal Halide Ballast],MATCH(I54,BASEHIDBALLAST[Metal Halide Nominal],0)),IF(C54="Pulse Start Metal Halide",INDEX(BASEHIDBALLAST[Pulse Start Metal Halide Ballast],MATCH(I54,BASEHIDBALLAST[Pulse Start Metal Halide Nominal],0)),IF(C54="Mercury Vapor",INDEX(BASEHIDBALLAST[Mercury Vapor Ballast],MATCH(I54,BASEHIDBALLAST[Mercury Vapor Nominal],0)),IF(C54="High Pressure Sodium",INDEX(BASEHIDBALLAST[High Pressure Sodium Ballast],MATCH(I54,BASEHIDBALLAST[High Pressure Sodium Nominal],0))))))),"")</f>
        <v/>
      </c>
      <c r="L54" s="1297"/>
      <c r="M54" s="1228"/>
      <c r="N54" s="852"/>
      <c r="O54" s="852"/>
      <c r="P54" s="852"/>
      <c r="Q54" s="1232"/>
      <c r="R54" s="1230"/>
      <c r="S54" s="1230"/>
      <c r="T54" s="1230"/>
      <c r="U54" s="853"/>
      <c r="V54" s="853"/>
      <c r="W54" s="1231"/>
      <c r="X54" s="1231"/>
      <c r="Y54" s="1298"/>
      <c r="Z54" s="852"/>
      <c r="AA54" s="852"/>
      <c r="AB54" s="853"/>
      <c r="AC54" s="853"/>
      <c r="AD54" s="1302"/>
      <c r="AE54" s="1303"/>
      <c r="AF54" s="1304"/>
      <c r="AG54" s="1305"/>
      <c r="AH54" s="1305"/>
      <c r="AI54" s="1306"/>
      <c r="AJ54" s="1250" t="str">
        <f t="shared" ref="AJ54" si="32">IF(OR(C54="",I54="",K54="",G54="",M54="",Q54="",U54="",W54="",Y54="",AB54="",AF54="",AH54=""),"",IFERROR(ROUND(IF((AW54-AX54)&lt;=0,0,BG54*(AW54-AX54)),0),""))</f>
        <v/>
      </c>
      <c r="AK54" s="1251"/>
      <c r="AL54" s="1251"/>
      <c r="AM54" s="1252"/>
      <c r="AN54" s="1238" t="str">
        <f>IF(M02S02F44="","Update Install Status",IF(M02S02F49="Yes","Use New Load",IF(OR(C54="",I54="",K54="",G54="",M54="",Q54="",U54="",W54="",Y54="",AB54="",AF54="",AH54="",AD54=""),"",IF(BE54&lt;&gt;"",BE54,IF(BD54&lt;0,"No Incentive Savings",ROUND(MIN(AU54,BD54),2))))))</f>
        <v>Update Install Status</v>
      </c>
      <c r="AO54" s="1239"/>
      <c r="AP54" s="1239"/>
      <c r="AQ54" s="1240"/>
      <c r="AS54"/>
      <c r="AT54"/>
      <c r="AU54" s="804" t="str">
        <f>IF(OR(C54="",I54="",K54="",G54="",M54="",Q54="",U54="",W54="",Y54="",AB54="",AF54="",AH54=""),"",(ROUND((AF54+AH54)*U54,2)))</f>
        <v/>
      </c>
      <c r="AV54" s="806" t="str">
        <f>IF(OR(C54="",I54="",K54="",G54="",M54="",Q54="",U54="",W54="",Y54="",AB54="",AF54="",AH54=""),"",ROUND(AJ54*INDEX(ENDUSEALL[Factor],MATCH(INDEX(PMELIGHTHID[End Use Category],MATCH(BA54,PMELIGHTHID[Measure Validator],0)),ENDUSEALL[End Use to Coincident Peak Demand Factors],0)),4))</f>
        <v/>
      </c>
      <c r="AW54" s="802" t="str">
        <f>IF(OR(C54="",I54="",K54="",G54="",M54="",Q54="",U54="",W54="",Y54="",AB54="",AF54="",AH54=""),"",ROUND(K54*G54*AB54/1000,0))</f>
        <v/>
      </c>
      <c r="AX54" s="802" t="str">
        <f>IF(OR(C54="",I54="",K54="",G54="",M54="",Q54="",U54="",W54="",Y54="",AB54="",AF54="",AH54=""),"",IF(ISNUMBER(SEARCH("Network",M54)),ROUND(0.76*W54*U54*AB54/1000,0),ROUND(W54*U54*AB54/1000,0)))</f>
        <v/>
      </c>
      <c r="AY54" s="750" t="str">
        <f>IF(OR(C54="",I54="",K54="",G54="",M54="",Q54="",U54="",W54="",Y54="",AB54="",AF54="",AH54=""),"",IF(G54&gt;=U54,ROUND(K54*U54,0),IF(G54&lt;U54,ROUND(K54*G54,0))))</f>
        <v/>
      </c>
      <c r="AZ54" s="800" t="str">
        <f>IF(OR(C54="",G54="",I54="",K54="",M54="",Q54="",U54="",W54="",Y54="",AB54="",AD54="",AF54="",AH54=""),"",ROUND(W54*U54,0))</f>
        <v/>
      </c>
      <c r="BA54" s="1290" t="str">
        <f>IFERROR(IF(ISNUMBER(SEARCH("Pulse Start",C54)),CONCATENATE("Metal Halide","-","LED","-",M54),CONCATENATE(C54,"-","LED","-",M54)),"")</f>
        <v>-LED-</v>
      </c>
      <c r="BB54" s="747" t="str">
        <f>IF(OR(C54="",I54="",K54="",G54="",M54="",Q54="",U54="",W54="",Y54="",AB54="",AF54="",AH54=""),"",INDEX(PMELIGHTHID[Measure '#],MATCH(BA54,PMELIGHTHID[Measure Validator],0)))</f>
        <v/>
      </c>
      <c r="BC54" s="1287" t="str">
        <f ca="1">IFERROR(IF(OR(C54="",AH54=""),"",IF(BB54="","",IF(AND(AND(SUBLIGHTDATE1&lt;&gt;"No",SUBLIGHTDATE2&lt;&gt;"No",SUBLIGHTDATE3&lt;&gt;"No"),M02S02F44="No",OR(M02S02F43&lt;=DATEVALUE("12/31/2021"),M02S02F43=""),OR(TODAY()&lt;=LIGHTING2021,ACTLIGHT&lt;&gt;"")),LIGHTRATE21*(INDEX(PMELIGHTHID[Inc Rate Unit],MATCH(BA54,PMELIGHTHID[Measure Validator],0))),INDEX(PMELIGHTHID[Inc Rate Unit],MATCH(BA54,PMELIGHTHID[Measure Validator],0))))),"")</f>
        <v/>
      </c>
      <c r="BD54" s="747" t="str">
        <f>IFERROR(ROUND(IF(OR(C54="",AH54=""),"",IF(BB54="","",(AY54-AZ54)*BC54)),2),"")</f>
        <v/>
      </c>
      <c r="BE54" s="747" t="str">
        <f>IF(OR(C54="",I54="",K54="",G54="",M54="",Q54="",U54="",W54="",Y54="",AB54="",AF54="",AH54=""),"",IFERROR(IF(AB54&lt;INDEX(PMELIGHTHID[Op Hr 1],MATCH(BA54,PMELIGHTHID[Measure Validator],0)),"Operating Hours Invalid",IF(ISNUMBER(SEARCH("SPILLOVER",Y54)),PROJSTATELI,IF((AW54-AX54)&lt;0,"No Savings",""))),"ERROR"))</f>
        <v/>
      </c>
      <c r="BF54" s="1289" t="str">
        <f>IF(AND(ISBLANK(AF54),ISBLANK(AH54)),"",IF(BD54&gt;AU54,"Yes","No"))</f>
        <v/>
      </c>
      <c r="BG54" s="1051">
        <f>IF(M02S02F32&lt;&gt;"",INDEX(SPACEHEAT[HIF],MATCH(M02S02F32,SHEAT,0)),1)</f>
        <v>1</v>
      </c>
      <c r="BH54" s="1225">
        <f t="shared" ref="BH54" si="33">IFERROR(ROUND(BJ54*1.1,2),0)</f>
        <v>0</v>
      </c>
      <c r="BI54" s="804" t="str">
        <f>IF(M02S02F44="","Update Install Status",IF(M02S02F49="Yes","Use New Load",IF(OR(C54="",I54="",K54="",G54="",M54="",Q54="",U54="",W54="",Y54="",AB54="",AF54="",AH54="",AD54=""),"",IF(BE54&lt;&gt;"",BE54,ROUND(BH54*BONUSADJ,2)))))</f>
        <v>Update Install Status</v>
      </c>
      <c r="BJ54" s="804" t="str">
        <f>IF(M02S02F44="","Update Install Status",IF(M02S02F49="Yes","Use New Load",IF(OR(C54="",I54="",K54="",G54="",M54="",Q54="",U54="",W54="",Y54="",AB54="",AF54="",AH54="",AD54=""),"",IF(BE54&lt;&gt;"",BE54,IF(BD54&lt;0,"No Incentive Savings",ROUND(MIN(AU54,BD54),2))))))</f>
        <v>Update Install Status</v>
      </c>
    </row>
    <row r="55" spans="2:62" ht="15.95" customHeight="1" x14ac:dyDescent="0.25">
      <c r="B55" s="1193"/>
      <c r="C55" s="845"/>
      <c r="D55" s="1308"/>
      <c r="E55" s="1308"/>
      <c r="F55" s="846"/>
      <c r="G55" s="1299"/>
      <c r="H55" s="1299"/>
      <c r="I55" s="1301"/>
      <c r="J55" s="1301"/>
      <c r="K55" s="1273"/>
      <c r="L55" s="1274"/>
      <c r="M55" s="1228"/>
      <c r="N55" s="852"/>
      <c r="O55" s="852"/>
      <c r="P55" s="852"/>
      <c r="Q55" s="1230"/>
      <c r="R55" s="1230"/>
      <c r="S55" s="1230"/>
      <c r="T55" s="1230"/>
      <c r="U55" s="853"/>
      <c r="V55" s="853"/>
      <c r="W55" s="1231"/>
      <c r="X55" s="1231"/>
      <c r="Y55" s="852"/>
      <c r="Z55" s="852"/>
      <c r="AA55" s="852"/>
      <c r="AB55" s="853"/>
      <c r="AC55" s="853"/>
      <c r="AD55" s="1302"/>
      <c r="AE55" s="1303"/>
      <c r="AF55" s="1304"/>
      <c r="AG55" s="1305"/>
      <c r="AH55" s="1305"/>
      <c r="AI55" s="1306"/>
      <c r="AJ55" s="1250"/>
      <c r="AK55" s="1251"/>
      <c r="AL55" s="1251"/>
      <c r="AM55" s="1252"/>
      <c r="AN55" s="1238"/>
      <c r="AO55" s="1239"/>
      <c r="AP55" s="1239"/>
      <c r="AQ55" s="1240"/>
      <c r="AS55"/>
      <c r="AT55"/>
      <c r="AU55" s="805"/>
      <c r="AV55" s="807"/>
      <c r="AW55" s="803"/>
      <c r="AX55" s="803"/>
      <c r="AY55" s="751"/>
      <c r="AZ55" s="801"/>
      <c r="BA55" s="1291"/>
      <c r="BB55" s="748"/>
      <c r="BC55" s="1288"/>
      <c r="BD55" s="748"/>
      <c r="BE55" s="748"/>
      <c r="BF55" s="1289"/>
      <c r="BG55" s="1052"/>
      <c r="BH55" s="1226"/>
      <c r="BI55" s="805"/>
      <c r="BJ55" s="805"/>
    </row>
    <row r="56" spans="2:62" ht="15.95" customHeight="1" x14ac:dyDescent="0.25">
      <c r="B56" s="1193">
        <v>20</v>
      </c>
      <c r="C56" s="843"/>
      <c r="D56" s="1307"/>
      <c r="E56" s="1307"/>
      <c r="F56" s="844"/>
      <c r="G56" s="853"/>
      <c r="H56" s="853"/>
      <c r="I56" s="1300"/>
      <c r="J56" s="1300"/>
      <c r="K56" s="1296" t="str">
        <f>IFERROR(IF(OR(C56="",I56=""),"",IF(C56="Metal Halide",INDEX(BASEHIDBALLAST[Metal Halide Ballast],MATCH(I56,BASEHIDBALLAST[Metal Halide Nominal],0)),IF(C56="Pulse Start Metal Halide",INDEX(BASEHIDBALLAST[Pulse Start Metal Halide Ballast],MATCH(I56,BASEHIDBALLAST[Pulse Start Metal Halide Nominal],0)),IF(C56="Mercury Vapor",INDEX(BASEHIDBALLAST[Mercury Vapor Ballast],MATCH(I56,BASEHIDBALLAST[Mercury Vapor Nominal],0)),IF(C56="High Pressure Sodium",INDEX(BASEHIDBALLAST[High Pressure Sodium Ballast],MATCH(I56,BASEHIDBALLAST[High Pressure Sodium Nominal],0))))))),"")</f>
        <v/>
      </c>
      <c r="L56" s="1297"/>
      <c r="M56" s="1228"/>
      <c r="N56" s="852"/>
      <c r="O56" s="852"/>
      <c r="P56" s="852"/>
      <c r="Q56" s="1232"/>
      <c r="R56" s="1230"/>
      <c r="S56" s="1230"/>
      <c r="T56" s="1230"/>
      <c r="U56" s="853"/>
      <c r="V56" s="853"/>
      <c r="W56" s="1231"/>
      <c r="X56" s="1231"/>
      <c r="Y56" s="1298"/>
      <c r="Z56" s="852"/>
      <c r="AA56" s="852"/>
      <c r="AB56" s="853"/>
      <c r="AC56" s="853"/>
      <c r="AD56" s="1302"/>
      <c r="AE56" s="1303"/>
      <c r="AF56" s="1304"/>
      <c r="AG56" s="1305"/>
      <c r="AH56" s="1305"/>
      <c r="AI56" s="1306"/>
      <c r="AJ56" s="1250" t="str">
        <f t="shared" ref="AJ56" si="34">IF(OR(C56="",I56="",K56="",G56="",M56="",Q56="",U56="",W56="",Y56="",AB56="",AF56="",AH56=""),"",IFERROR(ROUND(IF((AW56-AX56)&lt;=0,0,BG56*(AW56-AX56)),0),""))</f>
        <v/>
      </c>
      <c r="AK56" s="1251"/>
      <c r="AL56" s="1251"/>
      <c r="AM56" s="1252"/>
      <c r="AN56" s="1238" t="str">
        <f>IF(M02S02F44="","Update Install Status",IF(M02S02F49="Yes","Use New Load",IF(OR(C56="",I56="",K56="",G56="",M56="",Q56="",U56="",W56="",Y56="",AB56="",AF56="",AH56="",AD56=""),"",IF(BE56&lt;&gt;"",BE56,IF(BD56&lt;0,"No Incentive Savings",ROUND(MIN(AU56,BD56),2))))))</f>
        <v>Update Install Status</v>
      </c>
      <c r="AO56" s="1239"/>
      <c r="AP56" s="1239"/>
      <c r="AQ56" s="1240"/>
      <c r="AS56"/>
      <c r="AT56"/>
      <c r="AU56" s="804" t="str">
        <f>IF(OR(C56="",I56="",K56="",G56="",M56="",Q56="",U56="",W56="",Y56="",AB56="",AF56="",AH56=""),"",(ROUND((AF56+AH56)*U56,2)))</f>
        <v/>
      </c>
      <c r="AV56" s="806" t="str">
        <f>IF(OR(C56="",I56="",K56="",G56="",M56="",Q56="",U56="",W56="",Y56="",AB56="",AF56="",AH56=""),"",ROUND(AJ56*INDEX(ENDUSEALL[Factor],MATCH(INDEX(PMELIGHTHID[End Use Category],MATCH(BA56,PMELIGHTHID[Measure Validator],0)),ENDUSEALL[End Use to Coincident Peak Demand Factors],0)),4))</f>
        <v/>
      </c>
      <c r="AW56" s="802" t="str">
        <f>IF(OR(C56="",I56="",K56="",G56="",M56="",Q56="",U56="",W56="",Y56="",AB56="",AF56="",AH56=""),"",ROUND(K56*G56*AB56/1000,0))</f>
        <v/>
      </c>
      <c r="AX56" s="802" t="str">
        <f>IF(OR(C56="",I56="",K56="",G56="",M56="",Q56="",U56="",W56="",Y56="",AB56="",AF56="",AH56=""),"",IF(ISNUMBER(SEARCH("Network",M56)),ROUND(0.76*W56*U56*AB56/1000,0),ROUND(W56*U56*AB56/1000,0)))</f>
        <v/>
      </c>
      <c r="AY56" s="750" t="str">
        <f>IF(OR(C56="",I56="",K56="",G56="",M56="",Q56="",U56="",W56="",Y56="",AB56="",AF56="",AH56=""),"",IF(G56&gt;=U56,ROUND(K56*U56,0),IF(G56&lt;U56,ROUND(K56*G56,0))))</f>
        <v/>
      </c>
      <c r="AZ56" s="800" t="str">
        <f>IF(OR(C56="",G56="",I56="",K56="",M56="",Q56="",U56="",W56="",Y56="",AB56="",AD56="",AF56="",AH56=""),"",ROUND(W56*U56,0))</f>
        <v/>
      </c>
      <c r="BA56" s="1290" t="str">
        <f>IFERROR(IF(ISNUMBER(SEARCH("Pulse Start",C56)),CONCATENATE("Metal Halide","-","LED","-",M56),CONCATENATE(C56,"-","LED","-",M56)),"")</f>
        <v>-LED-</v>
      </c>
      <c r="BB56" s="747" t="str">
        <f>IF(OR(C56="",I56="",K56="",G56="",M56="",Q56="",U56="",W56="",Y56="",AB56="",AF56="",AH56=""),"",INDEX(PMELIGHTHID[Measure '#],MATCH(BA56,PMELIGHTHID[Measure Validator],0)))</f>
        <v/>
      </c>
      <c r="BC56" s="1287" t="str">
        <f ca="1">IFERROR(IF(OR(C56="",AH56=""),"",IF(BB56="","",IF(AND(AND(SUBLIGHTDATE1&lt;&gt;"No",SUBLIGHTDATE2&lt;&gt;"No",SUBLIGHTDATE3&lt;&gt;"No"),M02S02F44="No",OR(M02S02F43&lt;=DATEVALUE("12/31/2021"),M02S02F43=""),OR(TODAY()&lt;=LIGHTING2021,ACTLIGHT&lt;&gt;"")),LIGHTRATE21*(INDEX(PMELIGHTHID[Inc Rate Unit],MATCH(BA56,PMELIGHTHID[Measure Validator],0))),INDEX(PMELIGHTHID[Inc Rate Unit],MATCH(BA56,PMELIGHTHID[Measure Validator],0))))),"")</f>
        <v/>
      </c>
      <c r="BD56" s="747" t="str">
        <f>IFERROR(ROUND(IF(OR(C56="",AH56=""),"",IF(BB56="","",(AY56-AZ56)*BC56)),2),"")</f>
        <v/>
      </c>
      <c r="BE56" s="747" t="str">
        <f>IF(OR(C56="",I56="",K56="",G56="",M56="",Q56="",U56="",W56="",Y56="",AB56="",AF56="",AH56=""),"",IFERROR(IF(AB56&lt;INDEX(PMELIGHTHID[Op Hr 1],MATCH(BA56,PMELIGHTHID[Measure Validator],0)),"Operating Hours Invalid",IF(ISNUMBER(SEARCH("SPILLOVER",Y56)),PROJSTATELI,IF((AW56-AX56)&lt;0,"No Savings",""))),"ERROR"))</f>
        <v/>
      </c>
      <c r="BF56" s="1289" t="str">
        <f>IF(AND(ISBLANK(AF56),ISBLANK(AH56)),"",IF(BD56&gt;AU56,"Yes","No"))</f>
        <v/>
      </c>
      <c r="BG56" s="1051">
        <f>IF(M02S02F32&lt;&gt;"",INDEX(SPACEHEAT[HIF],MATCH(M02S02F32,SHEAT,0)),1)</f>
        <v>1</v>
      </c>
      <c r="BH56" s="1225">
        <f t="shared" ref="BH56" si="35">IFERROR(ROUND(BJ56*1.1,2),0)</f>
        <v>0</v>
      </c>
      <c r="BI56" s="804" t="str">
        <f>IF(M02S02F44="","Update Install Status",IF(M02S02F49="Yes","Use New Load",IF(OR(C56="",I56="",K56="",G56="",M56="",Q56="",U56="",W56="",Y56="",AB56="",AF56="",AH56="",AD56=""),"",IF(BE56&lt;&gt;"",BE56,ROUND(BH56*BONUSADJ,2)))))</f>
        <v>Update Install Status</v>
      </c>
      <c r="BJ56" s="804" t="str">
        <f>IF(M02S02F44="","Update Install Status",IF(M02S02F49="Yes","Use New Load",IF(OR(C56="",I56="",K56="",G56="",M56="",Q56="",U56="",W56="",Y56="",AB56="",AF56="",AH56="",AD56=""),"",IF(BE56&lt;&gt;"",BE56,IF(BD56&lt;0,"No Incentive Savings",ROUND(MIN(AU56,BD56),2))))))</f>
        <v>Update Install Status</v>
      </c>
    </row>
    <row r="57" spans="2:62" ht="15.95" customHeight="1" x14ac:dyDescent="0.25">
      <c r="B57" s="1193"/>
      <c r="C57" s="845"/>
      <c r="D57" s="1308"/>
      <c r="E57" s="1308"/>
      <c r="F57" s="846"/>
      <c r="G57" s="1299"/>
      <c r="H57" s="1299"/>
      <c r="I57" s="1301"/>
      <c r="J57" s="1301"/>
      <c r="K57" s="1273"/>
      <c r="L57" s="1274"/>
      <c r="M57" s="1228"/>
      <c r="N57" s="852"/>
      <c r="O57" s="852"/>
      <c r="P57" s="852"/>
      <c r="Q57" s="1230"/>
      <c r="R57" s="1230"/>
      <c r="S57" s="1230"/>
      <c r="T57" s="1230"/>
      <c r="U57" s="853"/>
      <c r="V57" s="853"/>
      <c r="W57" s="1231"/>
      <c r="X57" s="1231"/>
      <c r="Y57" s="852"/>
      <c r="Z57" s="852"/>
      <c r="AA57" s="852"/>
      <c r="AB57" s="853"/>
      <c r="AC57" s="853"/>
      <c r="AD57" s="1302"/>
      <c r="AE57" s="1303"/>
      <c r="AF57" s="1304"/>
      <c r="AG57" s="1305"/>
      <c r="AH57" s="1305"/>
      <c r="AI57" s="1306"/>
      <c r="AJ57" s="1250"/>
      <c r="AK57" s="1251"/>
      <c r="AL57" s="1251"/>
      <c r="AM57" s="1252"/>
      <c r="AN57" s="1238"/>
      <c r="AO57" s="1239"/>
      <c r="AP57" s="1239"/>
      <c r="AQ57" s="1240"/>
      <c r="AS57"/>
      <c r="AT57"/>
      <c r="AU57" s="805"/>
      <c r="AV57" s="807"/>
      <c r="AW57" s="803"/>
      <c r="AX57" s="803"/>
      <c r="AY57" s="751"/>
      <c r="AZ57" s="801"/>
      <c r="BA57" s="1291"/>
      <c r="BB57" s="748"/>
      <c r="BC57" s="1288"/>
      <c r="BD57" s="748"/>
      <c r="BE57" s="748"/>
      <c r="BF57" s="1289"/>
      <c r="BG57" s="1052"/>
      <c r="BH57" s="1226"/>
      <c r="BI57" s="805"/>
      <c r="BJ57" s="805"/>
    </row>
    <row r="58" spans="2:62" ht="15.95" customHeight="1" x14ac:dyDescent="0.25">
      <c r="B58" s="1193">
        <v>21</v>
      </c>
      <c r="C58" s="843"/>
      <c r="D58" s="1307"/>
      <c r="E58" s="1307"/>
      <c r="F58" s="844"/>
      <c r="G58" s="853"/>
      <c r="H58" s="853"/>
      <c r="I58" s="1300"/>
      <c r="J58" s="1300"/>
      <c r="K58" s="1296" t="str">
        <f>IFERROR(IF(OR(C58="",I58=""),"",IF(C58="Metal Halide",INDEX(BASEHIDBALLAST[Metal Halide Ballast],MATCH(I58,BASEHIDBALLAST[Metal Halide Nominal],0)),IF(C58="Pulse Start Metal Halide",INDEX(BASEHIDBALLAST[Pulse Start Metal Halide Ballast],MATCH(I58,BASEHIDBALLAST[Pulse Start Metal Halide Nominal],0)),IF(C58="Mercury Vapor",INDEX(BASEHIDBALLAST[Mercury Vapor Ballast],MATCH(I58,BASEHIDBALLAST[Mercury Vapor Nominal],0)),IF(C58="High Pressure Sodium",INDEX(BASEHIDBALLAST[High Pressure Sodium Ballast],MATCH(I58,BASEHIDBALLAST[High Pressure Sodium Nominal],0))))))),"")</f>
        <v/>
      </c>
      <c r="L58" s="1297"/>
      <c r="M58" s="1228"/>
      <c r="N58" s="852"/>
      <c r="O58" s="852"/>
      <c r="P58" s="852"/>
      <c r="Q58" s="1232"/>
      <c r="R58" s="1230"/>
      <c r="S58" s="1230"/>
      <c r="T58" s="1230"/>
      <c r="U58" s="853"/>
      <c r="V58" s="853"/>
      <c r="W58" s="1231"/>
      <c r="X58" s="1231"/>
      <c r="Y58" s="1298"/>
      <c r="Z58" s="852"/>
      <c r="AA58" s="852"/>
      <c r="AB58" s="853"/>
      <c r="AC58" s="853"/>
      <c r="AD58" s="1302"/>
      <c r="AE58" s="1303"/>
      <c r="AF58" s="1304"/>
      <c r="AG58" s="1305"/>
      <c r="AH58" s="1305"/>
      <c r="AI58" s="1306"/>
      <c r="AJ58" s="1250" t="str">
        <f t="shared" ref="AJ58" si="36">IF(OR(C58="",I58="",K58="",G58="",M58="",Q58="",U58="",W58="",Y58="",AB58="",AF58="",AH58=""),"",IFERROR(ROUND(IF((AW58-AX58)&lt;=0,0,BG58*(AW58-AX58)),0),""))</f>
        <v/>
      </c>
      <c r="AK58" s="1251"/>
      <c r="AL58" s="1251"/>
      <c r="AM58" s="1252"/>
      <c r="AN58" s="1238" t="str">
        <f>IF(M02S02F44="","Update Install Status",IF(M02S02F49="Yes","Use New Load",IF(OR(C58="",I58="",K58="",G58="",M58="",Q58="",U58="",W58="",Y58="",AB58="",AF58="",AH58="",AD58=""),"",IF(BE58&lt;&gt;"",BE58,IF(BD58&lt;0,"No Incentive Savings",ROUND(MIN(AU58,BD58),2))))))</f>
        <v>Update Install Status</v>
      </c>
      <c r="AO58" s="1239"/>
      <c r="AP58" s="1239"/>
      <c r="AQ58" s="1240"/>
      <c r="AS58"/>
      <c r="AT58"/>
      <c r="AU58" s="804" t="str">
        <f>IF(OR(C58="",I58="",K58="",G58="",M58="",Q58="",U58="",W58="",Y58="",AB58="",AF58="",AH58=""),"",(ROUND((AF58+AH58)*U58,2)))</f>
        <v/>
      </c>
      <c r="AV58" s="806" t="str">
        <f>IF(OR(C58="",I58="",K58="",G58="",M58="",Q58="",U58="",W58="",Y58="",AB58="",AF58="",AH58=""),"",ROUND(AJ58*INDEX(ENDUSEALL[Factor],MATCH(INDEX(PMELIGHTHID[End Use Category],MATCH(BA58,PMELIGHTHID[Measure Validator],0)),ENDUSEALL[End Use to Coincident Peak Demand Factors],0)),4))</f>
        <v/>
      </c>
      <c r="AW58" s="802" t="str">
        <f>IF(OR(C58="",I58="",K58="",G58="",M58="",Q58="",U58="",W58="",Y58="",AB58="",AF58="",AH58=""),"",ROUND(K58*G58*AB58/1000,0))</f>
        <v/>
      </c>
      <c r="AX58" s="802" t="str">
        <f>IF(OR(C58="",I58="",K58="",G58="",M58="",Q58="",U58="",W58="",Y58="",AB58="",AF58="",AH58=""),"",IF(ISNUMBER(SEARCH("Network",M58)),ROUND(0.76*W58*U58*AB58/1000,0),ROUND(W58*U58*AB58/1000,0)))</f>
        <v/>
      </c>
      <c r="AY58" s="750" t="str">
        <f>IF(OR(C58="",I58="",K58="",G58="",M58="",Q58="",U58="",W58="",Y58="",AB58="",AF58="",AH58=""),"",IF(G58&gt;=U58,ROUND(K58*U58,0),IF(G58&lt;U58,ROUND(K58*G58,0))))</f>
        <v/>
      </c>
      <c r="AZ58" s="800" t="str">
        <f>IF(OR(C58="",G58="",I58="",K58="",M58="",Q58="",U58="",W58="",Y58="",AB58="",AD58="",AF58="",AH58=""),"",ROUND(W58*U58,0))</f>
        <v/>
      </c>
      <c r="BA58" s="1290" t="str">
        <f>IFERROR(IF(ISNUMBER(SEARCH("Pulse Start",C58)),CONCATENATE("Metal Halide","-","LED","-",M58),CONCATENATE(C58,"-","LED","-",M58)),"")</f>
        <v>-LED-</v>
      </c>
      <c r="BB58" s="747" t="str">
        <f>IF(OR(C58="",I58="",K58="",G58="",M58="",Q58="",U58="",W58="",Y58="",AB58="",AF58="",AH58=""),"",INDEX(PMELIGHTHID[Measure '#],MATCH(BA58,PMELIGHTHID[Measure Validator],0)))</f>
        <v/>
      </c>
      <c r="BC58" s="1287" t="str">
        <f ca="1">IFERROR(IF(OR(C58="",AH58=""),"",IF(BB58="","",IF(AND(AND(SUBLIGHTDATE1&lt;&gt;"No",SUBLIGHTDATE2&lt;&gt;"No",SUBLIGHTDATE3&lt;&gt;"No"),M02S02F44="No",OR(M02S02F43&lt;=DATEVALUE("12/31/2021"),M02S02F43=""),OR(TODAY()&lt;=LIGHTING2021,ACTLIGHT&lt;&gt;"")),LIGHTRATE21*(INDEX(PMELIGHTHID[Inc Rate Unit],MATCH(BA58,PMELIGHTHID[Measure Validator],0))),INDEX(PMELIGHTHID[Inc Rate Unit],MATCH(BA58,PMELIGHTHID[Measure Validator],0))))),"")</f>
        <v/>
      </c>
      <c r="BD58" s="747" t="str">
        <f>IFERROR(ROUND(IF(OR(C58="",AH58=""),"",IF(BB58="","",(AY58-AZ58)*BC58)),2),"")</f>
        <v/>
      </c>
      <c r="BE58" s="747" t="str">
        <f>IF(OR(C58="",I58="",K58="",G58="",M58="",Q58="",U58="",W58="",Y58="",AB58="",AF58="",AH58=""),"",IFERROR(IF(AB58&lt;INDEX(PMELIGHTHID[Op Hr 1],MATCH(BA58,PMELIGHTHID[Measure Validator],0)),"Operating Hours Invalid",IF(ISNUMBER(SEARCH("SPILLOVER",Y58)),PROJSTATELI,IF((AW58-AX58)&lt;0,"No Savings",""))),"ERROR"))</f>
        <v/>
      </c>
      <c r="BF58" s="1289" t="str">
        <f>IF(AND(ISBLANK(AF58),ISBLANK(AH58)),"",IF(BD58&gt;AU58,"Yes","No"))</f>
        <v/>
      </c>
      <c r="BG58" s="1051">
        <f>IF(M02S02F32&lt;&gt;"",INDEX(SPACEHEAT[HIF],MATCH(M02S02F32,SHEAT,0)),1)</f>
        <v>1</v>
      </c>
      <c r="BH58" s="1225">
        <f t="shared" ref="BH58" si="37">IFERROR(ROUND(BJ58*1.1,2),0)</f>
        <v>0</v>
      </c>
      <c r="BI58" s="804" t="str">
        <f>IF(M02S02F44="","Update Install Status",IF(M02S02F49="Yes","Use New Load",IF(OR(C58="",I58="",K58="",G58="",M58="",Q58="",U58="",W58="",Y58="",AB58="",AF58="",AH58="",AD58=""),"",IF(BE58&lt;&gt;"",BE58,ROUND(BH58*BONUSADJ,2)))))</f>
        <v>Update Install Status</v>
      </c>
      <c r="BJ58" s="804" t="str">
        <f>IF(M02S02F44="","Update Install Status",IF(M02S02F49="Yes","Use New Load",IF(OR(C58="",I58="",K58="",G58="",M58="",Q58="",U58="",W58="",Y58="",AB58="",AF58="",AH58="",AD58=""),"",IF(BE58&lt;&gt;"",BE58,IF(BD58&lt;0,"No Incentive Savings",ROUND(MIN(AU58,BD58),2))))))</f>
        <v>Update Install Status</v>
      </c>
    </row>
    <row r="59" spans="2:62" ht="15.95" customHeight="1" x14ac:dyDescent="0.25">
      <c r="B59" s="1193"/>
      <c r="C59" s="845"/>
      <c r="D59" s="1308"/>
      <c r="E59" s="1308"/>
      <c r="F59" s="846"/>
      <c r="G59" s="1299"/>
      <c r="H59" s="1299"/>
      <c r="I59" s="1301"/>
      <c r="J59" s="1301"/>
      <c r="K59" s="1273"/>
      <c r="L59" s="1274"/>
      <c r="M59" s="1228"/>
      <c r="N59" s="852"/>
      <c r="O59" s="852"/>
      <c r="P59" s="852"/>
      <c r="Q59" s="1230"/>
      <c r="R59" s="1230"/>
      <c r="S59" s="1230"/>
      <c r="T59" s="1230"/>
      <c r="U59" s="853"/>
      <c r="V59" s="853"/>
      <c r="W59" s="1231"/>
      <c r="X59" s="1231"/>
      <c r="Y59" s="852"/>
      <c r="Z59" s="852"/>
      <c r="AA59" s="852"/>
      <c r="AB59" s="853"/>
      <c r="AC59" s="853"/>
      <c r="AD59" s="1302"/>
      <c r="AE59" s="1303"/>
      <c r="AF59" s="1304"/>
      <c r="AG59" s="1305"/>
      <c r="AH59" s="1305"/>
      <c r="AI59" s="1306"/>
      <c r="AJ59" s="1250"/>
      <c r="AK59" s="1251"/>
      <c r="AL59" s="1251"/>
      <c r="AM59" s="1252"/>
      <c r="AN59" s="1238"/>
      <c r="AO59" s="1239"/>
      <c r="AP59" s="1239"/>
      <c r="AQ59" s="1240"/>
      <c r="AS59"/>
      <c r="AT59"/>
      <c r="AU59" s="805"/>
      <c r="AV59" s="807"/>
      <c r="AW59" s="803"/>
      <c r="AX59" s="803"/>
      <c r="AY59" s="751"/>
      <c r="AZ59" s="801"/>
      <c r="BA59" s="1291"/>
      <c r="BB59" s="748"/>
      <c r="BC59" s="1288"/>
      <c r="BD59" s="748"/>
      <c r="BE59" s="748"/>
      <c r="BF59" s="1289"/>
      <c r="BG59" s="1052"/>
      <c r="BH59" s="1226"/>
      <c r="BI59" s="805"/>
      <c r="BJ59" s="805"/>
    </row>
    <row r="60" spans="2:62" ht="15.95" customHeight="1" x14ac:dyDescent="0.25">
      <c r="B60" s="1193">
        <v>22</v>
      </c>
      <c r="C60" s="843"/>
      <c r="D60" s="1307"/>
      <c r="E60" s="1307"/>
      <c r="F60" s="844"/>
      <c r="G60" s="853"/>
      <c r="H60" s="853"/>
      <c r="I60" s="1300"/>
      <c r="J60" s="1300"/>
      <c r="K60" s="1296" t="str">
        <f>IFERROR(IF(OR(C60="",I60=""),"",IF(C60="Metal Halide",INDEX(BASEHIDBALLAST[Metal Halide Ballast],MATCH(I60,BASEHIDBALLAST[Metal Halide Nominal],0)),IF(C60="Pulse Start Metal Halide",INDEX(BASEHIDBALLAST[Pulse Start Metal Halide Ballast],MATCH(I60,BASEHIDBALLAST[Pulse Start Metal Halide Nominal],0)),IF(C60="Mercury Vapor",INDEX(BASEHIDBALLAST[Mercury Vapor Ballast],MATCH(I60,BASEHIDBALLAST[Mercury Vapor Nominal],0)),IF(C60="High Pressure Sodium",INDEX(BASEHIDBALLAST[High Pressure Sodium Ballast],MATCH(I60,BASEHIDBALLAST[High Pressure Sodium Nominal],0))))))),"")</f>
        <v/>
      </c>
      <c r="L60" s="1297"/>
      <c r="M60" s="1228"/>
      <c r="N60" s="852"/>
      <c r="O60" s="852"/>
      <c r="P60" s="852"/>
      <c r="Q60" s="1232"/>
      <c r="R60" s="1230"/>
      <c r="S60" s="1230"/>
      <c r="T60" s="1230"/>
      <c r="U60" s="853"/>
      <c r="V60" s="853"/>
      <c r="W60" s="1231"/>
      <c r="X60" s="1231"/>
      <c r="Y60" s="1298"/>
      <c r="Z60" s="852"/>
      <c r="AA60" s="852"/>
      <c r="AB60" s="853"/>
      <c r="AC60" s="853"/>
      <c r="AD60" s="1302"/>
      <c r="AE60" s="1303"/>
      <c r="AF60" s="1304"/>
      <c r="AG60" s="1305"/>
      <c r="AH60" s="1305"/>
      <c r="AI60" s="1306"/>
      <c r="AJ60" s="1250" t="str">
        <f t="shared" ref="AJ60" si="38">IF(OR(C60="",I60="",K60="",G60="",M60="",Q60="",U60="",W60="",Y60="",AB60="",AF60="",AH60=""),"",IFERROR(ROUND(IF((AW60-AX60)&lt;=0,0,BG60*(AW60-AX60)),0),""))</f>
        <v/>
      </c>
      <c r="AK60" s="1251"/>
      <c r="AL60" s="1251"/>
      <c r="AM60" s="1252"/>
      <c r="AN60" s="1238" t="str">
        <f>IF(M02S02F44="","Update Install Status",IF(M02S02F49="Yes","Use New Load",IF(OR(C60="",I60="",K60="",G60="",M60="",Q60="",U60="",W60="",Y60="",AB60="",AF60="",AH60="",AD60=""),"",IF(BE60&lt;&gt;"",BE60,IF(BD60&lt;0,"No Incentive Savings",ROUND(MIN(AU60,BD60),2))))))</f>
        <v>Update Install Status</v>
      </c>
      <c r="AO60" s="1239"/>
      <c r="AP60" s="1239"/>
      <c r="AQ60" s="1240"/>
      <c r="AS60"/>
      <c r="AT60"/>
      <c r="AU60" s="804" t="str">
        <f>IF(OR(C60="",I60="",K60="",G60="",M60="",Q60="",U60="",W60="",Y60="",AB60="",AF60="",AH60=""),"",(ROUND((AF60+AH60)*U60,2)))</f>
        <v/>
      </c>
      <c r="AV60" s="806" t="str">
        <f>IF(OR(C60="",I60="",K60="",G60="",M60="",Q60="",U60="",W60="",Y60="",AB60="",AF60="",AH60=""),"",ROUND(AJ60*INDEX(ENDUSEALL[Factor],MATCH(INDEX(PMELIGHTHID[End Use Category],MATCH(BA60,PMELIGHTHID[Measure Validator],0)),ENDUSEALL[End Use to Coincident Peak Demand Factors],0)),4))</f>
        <v/>
      </c>
      <c r="AW60" s="802" t="str">
        <f>IF(OR(C60="",I60="",K60="",G60="",M60="",Q60="",U60="",W60="",Y60="",AB60="",AF60="",AH60=""),"",ROUND(K60*G60*AB60/1000,0))</f>
        <v/>
      </c>
      <c r="AX60" s="802" t="str">
        <f>IF(OR(C60="",I60="",K60="",G60="",M60="",Q60="",U60="",W60="",Y60="",AB60="",AF60="",AH60=""),"",IF(ISNUMBER(SEARCH("Network",M60)),ROUND(0.76*W60*U60*AB60/1000,0),ROUND(W60*U60*AB60/1000,0)))</f>
        <v/>
      </c>
      <c r="AY60" s="750" t="str">
        <f>IF(OR(C60="",I60="",K60="",G60="",M60="",Q60="",U60="",W60="",Y60="",AB60="",AF60="",AH60=""),"",IF(G60&gt;=U60,ROUND(K60*U60,0),IF(G60&lt;U60,ROUND(K60*G60,0))))</f>
        <v/>
      </c>
      <c r="AZ60" s="800" t="str">
        <f>IF(OR(C60="",G60="",I60="",K60="",M60="",Q60="",U60="",W60="",Y60="",AB60="",AD60="",AF60="",AH60=""),"",ROUND(W60*U60,0))</f>
        <v/>
      </c>
      <c r="BA60" s="1290" t="str">
        <f>IFERROR(IF(ISNUMBER(SEARCH("Pulse Start",C60)),CONCATENATE("Metal Halide","-","LED","-",M60),CONCATENATE(C60,"-","LED","-",M60)),"")</f>
        <v>-LED-</v>
      </c>
      <c r="BB60" s="747" t="str">
        <f>IF(OR(C60="",I60="",K60="",G60="",M60="",Q60="",U60="",W60="",Y60="",AB60="",AF60="",AH60=""),"",INDEX(PMELIGHTHID[Measure '#],MATCH(BA60,PMELIGHTHID[Measure Validator],0)))</f>
        <v/>
      </c>
      <c r="BC60" s="1287" t="str">
        <f ca="1">IFERROR(IF(OR(C60="",AH60=""),"",IF(BB60="","",IF(AND(AND(SUBLIGHTDATE1&lt;&gt;"No",SUBLIGHTDATE2&lt;&gt;"No",SUBLIGHTDATE3&lt;&gt;"No"),M02S02F44="No",OR(M02S02F43&lt;=DATEVALUE("12/31/2021"),M02S02F43=""),OR(TODAY()&lt;=LIGHTING2021,ACTLIGHT&lt;&gt;"")),LIGHTRATE21*(INDEX(PMELIGHTHID[Inc Rate Unit],MATCH(BA60,PMELIGHTHID[Measure Validator],0))),INDEX(PMELIGHTHID[Inc Rate Unit],MATCH(BA60,PMELIGHTHID[Measure Validator],0))))),"")</f>
        <v/>
      </c>
      <c r="BD60" s="747" t="str">
        <f>IFERROR(ROUND(IF(OR(C60="",AH60=""),"",IF(BB60="","",(AY60-AZ60)*BC60)),2),"")</f>
        <v/>
      </c>
      <c r="BE60" s="747" t="str">
        <f>IF(OR(C60="",I60="",K60="",G60="",M60="",Q60="",U60="",W60="",Y60="",AB60="",AF60="",AH60=""),"",IFERROR(IF(AB60&lt;INDEX(PMELIGHTHID[Op Hr 1],MATCH(BA60,PMELIGHTHID[Measure Validator],0)),"Operating Hours Invalid",IF(ISNUMBER(SEARCH("SPILLOVER",Y60)),PROJSTATELI,IF((AW60-AX60)&lt;0,"No Savings",""))),"ERROR"))</f>
        <v/>
      </c>
      <c r="BF60" s="1289" t="str">
        <f>IF(AND(ISBLANK(AF60),ISBLANK(AH60)),"",IF(BD60&gt;AU60,"Yes","No"))</f>
        <v/>
      </c>
      <c r="BG60" s="1051">
        <f>IF(M02S02F32&lt;&gt;"",INDEX(SPACEHEAT[HIF],MATCH(M02S02F32,SHEAT,0)),1)</f>
        <v>1</v>
      </c>
      <c r="BH60" s="1225">
        <f t="shared" ref="BH60" si="39">IFERROR(ROUND(BJ60*1.1,2),0)</f>
        <v>0</v>
      </c>
      <c r="BI60" s="804" t="str">
        <f>IF(M02S02F44="","Update Install Status",IF(M02S02F49="Yes","Use New Load",IF(OR(C60="",I60="",K60="",G60="",M60="",Q60="",U60="",W60="",Y60="",AB60="",AF60="",AH60="",AD60=""),"",IF(BE60&lt;&gt;"",BE60,ROUND(BH60*BONUSADJ,2)))))</f>
        <v>Update Install Status</v>
      </c>
      <c r="BJ60" s="804" t="str">
        <f>IF(M02S02F44="","Update Install Status",IF(M02S02F49="Yes","Use New Load",IF(OR(C60="",I60="",K60="",G60="",M60="",Q60="",U60="",W60="",Y60="",AB60="",AF60="",AH60="",AD60=""),"",IF(BE60&lt;&gt;"",BE60,IF(BD60&lt;0,"No Incentive Savings",ROUND(MIN(AU60,BD60),2))))))</f>
        <v>Update Install Status</v>
      </c>
    </row>
    <row r="61" spans="2:62" ht="15.95" customHeight="1" x14ac:dyDescent="0.25">
      <c r="B61" s="1193"/>
      <c r="C61" s="845"/>
      <c r="D61" s="1308"/>
      <c r="E61" s="1308"/>
      <c r="F61" s="846"/>
      <c r="G61" s="1299"/>
      <c r="H61" s="1299"/>
      <c r="I61" s="1301"/>
      <c r="J61" s="1301"/>
      <c r="K61" s="1273"/>
      <c r="L61" s="1274"/>
      <c r="M61" s="1228"/>
      <c r="N61" s="852"/>
      <c r="O61" s="852"/>
      <c r="P61" s="852"/>
      <c r="Q61" s="1230"/>
      <c r="R61" s="1230"/>
      <c r="S61" s="1230"/>
      <c r="T61" s="1230"/>
      <c r="U61" s="853"/>
      <c r="V61" s="853"/>
      <c r="W61" s="1231"/>
      <c r="X61" s="1231"/>
      <c r="Y61" s="852"/>
      <c r="Z61" s="852"/>
      <c r="AA61" s="852"/>
      <c r="AB61" s="853"/>
      <c r="AC61" s="853"/>
      <c r="AD61" s="1302"/>
      <c r="AE61" s="1303"/>
      <c r="AF61" s="1304"/>
      <c r="AG61" s="1305"/>
      <c r="AH61" s="1305"/>
      <c r="AI61" s="1306"/>
      <c r="AJ61" s="1250"/>
      <c r="AK61" s="1251"/>
      <c r="AL61" s="1251"/>
      <c r="AM61" s="1252"/>
      <c r="AN61" s="1238"/>
      <c r="AO61" s="1239"/>
      <c r="AP61" s="1239"/>
      <c r="AQ61" s="1240"/>
      <c r="AS61"/>
      <c r="AT61"/>
      <c r="AU61" s="805"/>
      <c r="AV61" s="807"/>
      <c r="AW61" s="803"/>
      <c r="AX61" s="803"/>
      <c r="AY61" s="751"/>
      <c r="AZ61" s="801"/>
      <c r="BA61" s="1291"/>
      <c r="BB61" s="748"/>
      <c r="BC61" s="1288"/>
      <c r="BD61" s="748"/>
      <c r="BE61" s="748"/>
      <c r="BF61" s="1289"/>
      <c r="BG61" s="1052"/>
      <c r="BH61" s="1226"/>
      <c r="BI61" s="805"/>
      <c r="BJ61" s="805"/>
    </row>
    <row r="62" spans="2:62" ht="15.95" customHeight="1" x14ac:dyDescent="0.25">
      <c r="B62" s="1193">
        <v>23</v>
      </c>
      <c r="C62" s="843"/>
      <c r="D62" s="1307"/>
      <c r="E62" s="1307"/>
      <c r="F62" s="844"/>
      <c r="G62" s="853"/>
      <c r="H62" s="853"/>
      <c r="I62" s="1300"/>
      <c r="J62" s="1300"/>
      <c r="K62" s="1296" t="str">
        <f>IFERROR(IF(OR(C62="",I62=""),"",IF(C62="Metal Halide",INDEX(BASEHIDBALLAST[Metal Halide Ballast],MATCH(I62,BASEHIDBALLAST[Metal Halide Nominal],0)),IF(C62="Pulse Start Metal Halide",INDEX(BASEHIDBALLAST[Pulse Start Metal Halide Ballast],MATCH(I62,BASEHIDBALLAST[Pulse Start Metal Halide Nominal],0)),IF(C62="Mercury Vapor",INDEX(BASEHIDBALLAST[Mercury Vapor Ballast],MATCH(I62,BASEHIDBALLAST[Mercury Vapor Nominal],0)),IF(C62="High Pressure Sodium",INDEX(BASEHIDBALLAST[High Pressure Sodium Ballast],MATCH(I62,BASEHIDBALLAST[High Pressure Sodium Nominal],0))))))),"")</f>
        <v/>
      </c>
      <c r="L62" s="1297"/>
      <c r="M62" s="1228"/>
      <c r="N62" s="852"/>
      <c r="O62" s="852"/>
      <c r="P62" s="852"/>
      <c r="Q62" s="1232"/>
      <c r="R62" s="1230"/>
      <c r="S62" s="1230"/>
      <c r="T62" s="1230"/>
      <c r="U62" s="853"/>
      <c r="V62" s="853"/>
      <c r="W62" s="1231"/>
      <c r="X62" s="1231"/>
      <c r="Y62" s="1298"/>
      <c r="Z62" s="852"/>
      <c r="AA62" s="852"/>
      <c r="AB62" s="853"/>
      <c r="AC62" s="853"/>
      <c r="AD62" s="1302"/>
      <c r="AE62" s="1303"/>
      <c r="AF62" s="1304"/>
      <c r="AG62" s="1305"/>
      <c r="AH62" s="1305"/>
      <c r="AI62" s="1306"/>
      <c r="AJ62" s="1250" t="str">
        <f t="shared" ref="AJ62" si="40">IF(OR(C62="",I62="",K62="",G62="",M62="",Q62="",U62="",W62="",Y62="",AB62="",AF62="",AH62=""),"",IFERROR(ROUND(IF((AW62-AX62)&lt;=0,0,BG62*(AW62-AX62)),0),""))</f>
        <v/>
      </c>
      <c r="AK62" s="1251"/>
      <c r="AL62" s="1251"/>
      <c r="AM62" s="1252"/>
      <c r="AN62" s="1238" t="str">
        <f>IF(M02S02F44="","Update Install Status",IF(M02S02F49="Yes","Use New Load",IF(OR(C62="",I62="",K62="",G62="",M62="",Q62="",U62="",W62="",Y62="",AB62="",AF62="",AH62="",AD62=""),"",IF(BE62&lt;&gt;"",BE62,IF(BD62&lt;0,"No Incentive Savings",ROUND(MIN(AU62,BD62),2))))))</f>
        <v>Update Install Status</v>
      </c>
      <c r="AO62" s="1239"/>
      <c r="AP62" s="1239"/>
      <c r="AQ62" s="1240"/>
      <c r="AS62"/>
      <c r="AT62"/>
      <c r="AU62" s="804" t="str">
        <f>IF(OR(C62="",I62="",K62="",G62="",M62="",Q62="",U62="",W62="",Y62="",AB62="",AF62="",AH62=""),"",(ROUND((AF62+AH62)*U62,2)))</f>
        <v/>
      </c>
      <c r="AV62" s="806" t="str">
        <f>IF(OR(C62="",I62="",K62="",G62="",M62="",Q62="",U62="",W62="",Y62="",AB62="",AF62="",AH62=""),"",ROUND(AJ62*INDEX(ENDUSEALL[Factor],MATCH(INDEX(PMELIGHTHID[End Use Category],MATCH(BA62,PMELIGHTHID[Measure Validator],0)),ENDUSEALL[End Use to Coincident Peak Demand Factors],0)),4))</f>
        <v/>
      </c>
      <c r="AW62" s="802" t="str">
        <f>IF(OR(C62="",I62="",K62="",G62="",M62="",Q62="",U62="",W62="",Y62="",AB62="",AF62="",AH62=""),"",ROUND(K62*G62*AB62/1000,0))</f>
        <v/>
      </c>
      <c r="AX62" s="802" t="str">
        <f>IF(OR(C62="",I62="",K62="",G62="",M62="",Q62="",U62="",W62="",Y62="",AB62="",AF62="",AH62=""),"",IF(ISNUMBER(SEARCH("Network",M62)),ROUND(0.76*W62*U62*AB62/1000,0),ROUND(W62*U62*AB62/1000,0)))</f>
        <v/>
      </c>
      <c r="AY62" s="750" t="str">
        <f>IF(OR(C62="",I62="",K62="",G62="",M62="",Q62="",U62="",W62="",Y62="",AB62="",AF62="",AH62=""),"",IF(G62&gt;=U62,ROUND(K62*U62,0),IF(G62&lt;U62,ROUND(K62*G62,0))))</f>
        <v/>
      </c>
      <c r="AZ62" s="800" t="str">
        <f>IF(OR(C62="",G62="",I62="",K62="",M62="",Q62="",U62="",W62="",Y62="",AB62="",AD62="",AF62="",AH62=""),"",ROUND(W62*U62,0))</f>
        <v/>
      </c>
      <c r="BA62" s="1290" t="str">
        <f>IFERROR(IF(ISNUMBER(SEARCH("Pulse Start",C62)),CONCATENATE("Metal Halide","-","LED","-",M62),CONCATENATE(C62,"-","LED","-",M62)),"")</f>
        <v>-LED-</v>
      </c>
      <c r="BB62" s="747" t="str">
        <f>IF(OR(C62="",I62="",K62="",G62="",M62="",Q62="",U62="",W62="",Y62="",AB62="",AF62="",AH62=""),"",INDEX(PMELIGHTHID[Measure '#],MATCH(BA62,PMELIGHTHID[Measure Validator],0)))</f>
        <v/>
      </c>
      <c r="BC62" s="1287" t="str">
        <f ca="1">IFERROR(IF(OR(C62="",AH62=""),"",IF(BB62="","",IF(AND(AND(SUBLIGHTDATE1&lt;&gt;"No",SUBLIGHTDATE2&lt;&gt;"No",SUBLIGHTDATE3&lt;&gt;"No"),M02S02F44="No",OR(M02S02F43&lt;=DATEVALUE("12/31/2021"),M02S02F43=""),OR(TODAY()&lt;=LIGHTING2021,ACTLIGHT&lt;&gt;"")),LIGHTRATE21*(INDEX(PMELIGHTHID[Inc Rate Unit],MATCH(BA62,PMELIGHTHID[Measure Validator],0))),INDEX(PMELIGHTHID[Inc Rate Unit],MATCH(BA62,PMELIGHTHID[Measure Validator],0))))),"")</f>
        <v/>
      </c>
      <c r="BD62" s="747" t="str">
        <f>IFERROR(ROUND(IF(OR(C62="",AH62=""),"",IF(BB62="","",(AY62-AZ62)*BC62)),2),"")</f>
        <v/>
      </c>
      <c r="BE62" s="747" t="str">
        <f>IF(OR(C62="",I62="",K62="",G62="",M62="",Q62="",U62="",W62="",Y62="",AB62="",AF62="",AH62=""),"",IFERROR(IF(AB62&lt;INDEX(PMELIGHTHID[Op Hr 1],MATCH(BA62,PMELIGHTHID[Measure Validator],0)),"Operating Hours Invalid",IF(ISNUMBER(SEARCH("SPILLOVER",Y62)),PROJSTATELI,IF((AW62-AX62)&lt;0,"No Savings",""))),"ERROR"))</f>
        <v/>
      </c>
      <c r="BF62" s="1289" t="str">
        <f>IF(AND(ISBLANK(AF62),ISBLANK(AH62)),"",IF(BD62&gt;AU62,"Yes","No"))</f>
        <v/>
      </c>
      <c r="BG62" s="1051">
        <f>IF(M02S02F32&lt;&gt;"",INDEX(SPACEHEAT[HIF],MATCH(M02S02F32,SHEAT,0)),1)</f>
        <v>1</v>
      </c>
      <c r="BH62" s="1225">
        <f t="shared" ref="BH62" si="41">IFERROR(ROUND(BJ62*1.1,2),0)</f>
        <v>0</v>
      </c>
      <c r="BI62" s="804" t="str">
        <f>IF(M02S02F44="","Update Install Status",IF(M02S02F49="Yes","Use New Load",IF(OR(C62="",I62="",K62="",G62="",M62="",Q62="",U62="",W62="",Y62="",AB62="",AF62="",AH62="",AD62=""),"",IF(BE62&lt;&gt;"",BE62,ROUND(BH62*BONUSADJ,2)))))</f>
        <v>Update Install Status</v>
      </c>
      <c r="BJ62" s="804" t="str">
        <f>IF(M02S02F44="","Update Install Status",IF(M02S02F49="Yes","Use New Load",IF(OR(C62="",I62="",K62="",G62="",M62="",Q62="",U62="",W62="",Y62="",AB62="",AF62="",AH62="",AD62=""),"",IF(BE62&lt;&gt;"",BE62,IF(BD62&lt;0,"No Incentive Savings",ROUND(MIN(AU62,BD62),2))))))</f>
        <v>Update Install Status</v>
      </c>
    </row>
    <row r="63" spans="2:62" ht="15.95" customHeight="1" x14ac:dyDescent="0.25">
      <c r="B63" s="1193"/>
      <c r="C63" s="845"/>
      <c r="D63" s="1308"/>
      <c r="E63" s="1308"/>
      <c r="F63" s="846"/>
      <c r="G63" s="1299"/>
      <c r="H63" s="1299"/>
      <c r="I63" s="1301"/>
      <c r="J63" s="1301"/>
      <c r="K63" s="1273"/>
      <c r="L63" s="1274"/>
      <c r="M63" s="1228"/>
      <c r="N63" s="852"/>
      <c r="O63" s="852"/>
      <c r="P63" s="852"/>
      <c r="Q63" s="1230"/>
      <c r="R63" s="1230"/>
      <c r="S63" s="1230"/>
      <c r="T63" s="1230"/>
      <c r="U63" s="853"/>
      <c r="V63" s="853"/>
      <c r="W63" s="1231"/>
      <c r="X63" s="1231"/>
      <c r="Y63" s="852"/>
      <c r="Z63" s="852"/>
      <c r="AA63" s="852"/>
      <c r="AB63" s="853"/>
      <c r="AC63" s="853"/>
      <c r="AD63" s="1302"/>
      <c r="AE63" s="1303"/>
      <c r="AF63" s="1304"/>
      <c r="AG63" s="1305"/>
      <c r="AH63" s="1305"/>
      <c r="AI63" s="1306"/>
      <c r="AJ63" s="1250"/>
      <c r="AK63" s="1251"/>
      <c r="AL63" s="1251"/>
      <c r="AM63" s="1252"/>
      <c r="AN63" s="1238"/>
      <c r="AO63" s="1239"/>
      <c r="AP63" s="1239"/>
      <c r="AQ63" s="1240"/>
      <c r="AS63"/>
      <c r="AT63"/>
      <c r="AU63" s="805"/>
      <c r="AV63" s="807"/>
      <c r="AW63" s="803"/>
      <c r="AX63" s="803"/>
      <c r="AY63" s="751"/>
      <c r="AZ63" s="801"/>
      <c r="BA63" s="1291"/>
      <c r="BB63" s="748"/>
      <c r="BC63" s="1288"/>
      <c r="BD63" s="748"/>
      <c r="BE63" s="748"/>
      <c r="BF63" s="1289"/>
      <c r="BG63" s="1052"/>
      <c r="BH63" s="1226"/>
      <c r="BI63" s="805"/>
      <c r="BJ63" s="805"/>
    </row>
    <row r="64" spans="2:62" ht="15.95" customHeight="1" x14ac:dyDescent="0.25">
      <c r="B64" s="1193">
        <v>24</v>
      </c>
      <c r="C64" s="843"/>
      <c r="D64" s="1307"/>
      <c r="E64" s="1307"/>
      <c r="F64" s="844"/>
      <c r="G64" s="853"/>
      <c r="H64" s="853"/>
      <c r="I64" s="1300"/>
      <c r="J64" s="1300"/>
      <c r="K64" s="1296" t="str">
        <f>IFERROR(IF(OR(C64="",I64=""),"",IF(C64="Metal Halide",INDEX(BASEHIDBALLAST[Metal Halide Ballast],MATCH(I64,BASEHIDBALLAST[Metal Halide Nominal],0)),IF(C64="Pulse Start Metal Halide",INDEX(BASEHIDBALLAST[Pulse Start Metal Halide Ballast],MATCH(I64,BASEHIDBALLAST[Pulse Start Metal Halide Nominal],0)),IF(C64="Mercury Vapor",INDEX(BASEHIDBALLAST[Mercury Vapor Ballast],MATCH(I64,BASEHIDBALLAST[Mercury Vapor Nominal],0)),IF(C64="High Pressure Sodium",INDEX(BASEHIDBALLAST[High Pressure Sodium Ballast],MATCH(I64,BASEHIDBALLAST[High Pressure Sodium Nominal],0))))))),"")</f>
        <v/>
      </c>
      <c r="L64" s="1297"/>
      <c r="M64" s="1228"/>
      <c r="N64" s="852"/>
      <c r="O64" s="852"/>
      <c r="P64" s="852"/>
      <c r="Q64" s="1232"/>
      <c r="R64" s="1230"/>
      <c r="S64" s="1230"/>
      <c r="T64" s="1230"/>
      <c r="U64" s="853"/>
      <c r="V64" s="853"/>
      <c r="W64" s="1231"/>
      <c r="X64" s="1231"/>
      <c r="Y64" s="1298"/>
      <c r="Z64" s="852"/>
      <c r="AA64" s="852"/>
      <c r="AB64" s="853"/>
      <c r="AC64" s="853"/>
      <c r="AD64" s="1302"/>
      <c r="AE64" s="1303"/>
      <c r="AF64" s="1304"/>
      <c r="AG64" s="1305"/>
      <c r="AH64" s="1305"/>
      <c r="AI64" s="1306"/>
      <c r="AJ64" s="1250" t="str">
        <f t="shared" ref="AJ64" si="42">IF(OR(C64="",I64="",K64="",G64="",M64="",Q64="",U64="",W64="",Y64="",AB64="",AF64="",AH64=""),"",IFERROR(ROUND(IF((AW64-AX64)&lt;=0,0,BG64*(AW64-AX64)),0),""))</f>
        <v/>
      </c>
      <c r="AK64" s="1251"/>
      <c r="AL64" s="1251"/>
      <c r="AM64" s="1252"/>
      <c r="AN64" s="1238" t="str">
        <f>IF(M02S02F44="","Update Install Status",IF(M02S02F49="Yes","Use New Load",IF(OR(C64="",I64="",K64="",G64="",M64="",Q64="",U64="",W64="",Y64="",AB64="",AF64="",AH64="",AD64=""),"",IF(BE64&lt;&gt;"",BE64,IF(BD64&lt;0,"No Incentive Savings",ROUND(MIN(AU64,BD64),2))))))</f>
        <v>Update Install Status</v>
      </c>
      <c r="AO64" s="1239"/>
      <c r="AP64" s="1239"/>
      <c r="AQ64" s="1240"/>
      <c r="AS64"/>
      <c r="AT64"/>
      <c r="AU64" s="804" t="str">
        <f>IF(OR(C64="",I64="",K64="",G64="",M64="",Q64="",U64="",W64="",Y64="",AB64="",AF64="",AH64=""),"",(ROUND((AF64+AH64)*U64,2)))</f>
        <v/>
      </c>
      <c r="AV64" s="806" t="str">
        <f>IF(OR(C64="",I64="",K64="",G64="",M64="",Q64="",U64="",W64="",Y64="",AB64="",AF64="",AH64=""),"",ROUND(AJ64*INDEX(ENDUSEALL[Factor],MATCH(INDEX(PMELIGHTHID[End Use Category],MATCH(BA64,PMELIGHTHID[Measure Validator],0)),ENDUSEALL[End Use to Coincident Peak Demand Factors],0)),4))</f>
        <v/>
      </c>
      <c r="AW64" s="802" t="str">
        <f>IF(OR(C64="",I64="",K64="",G64="",M64="",Q64="",U64="",W64="",Y64="",AB64="",AF64="",AH64=""),"",ROUND(K64*G64*AB64/1000,0))</f>
        <v/>
      </c>
      <c r="AX64" s="802" t="str">
        <f>IF(OR(C64="",I64="",K64="",G64="",M64="",Q64="",U64="",W64="",Y64="",AB64="",AF64="",AH64=""),"",IF(ISNUMBER(SEARCH("Network",M64)),ROUND(0.76*W64*U64*AB64/1000,0),ROUND(W64*U64*AB64/1000,0)))</f>
        <v/>
      </c>
      <c r="AY64" s="750" t="str">
        <f>IF(OR(C64="",I64="",K64="",G64="",M64="",Q64="",U64="",W64="",Y64="",AB64="",AF64="",AH64=""),"",IF(G64&gt;=U64,ROUND(K64*U64,0),IF(G64&lt;U64,ROUND(K64*G64,0))))</f>
        <v/>
      </c>
      <c r="AZ64" s="800" t="str">
        <f>IF(OR(C64="",G64="",I64="",K64="",M64="",Q64="",U64="",W64="",Y64="",AB64="",AD64="",AF64="",AH64=""),"",ROUND(W64*U64,0))</f>
        <v/>
      </c>
      <c r="BA64" s="1290" t="str">
        <f>IFERROR(IF(ISNUMBER(SEARCH("Pulse Start",C64)),CONCATENATE("Metal Halide","-","LED","-",M64),CONCATENATE(C64,"-","LED","-",M64)),"")</f>
        <v>-LED-</v>
      </c>
      <c r="BB64" s="747" t="str">
        <f>IF(OR(C64="",I64="",K64="",G64="",M64="",Q64="",U64="",W64="",Y64="",AB64="",AF64="",AH64=""),"",INDEX(PMELIGHTHID[Measure '#],MATCH(BA64,PMELIGHTHID[Measure Validator],0)))</f>
        <v/>
      </c>
      <c r="BC64" s="1287" t="str">
        <f ca="1">IFERROR(IF(OR(C64="",AH64=""),"",IF(BB64="","",IF(AND(AND(SUBLIGHTDATE1&lt;&gt;"No",SUBLIGHTDATE2&lt;&gt;"No",SUBLIGHTDATE3&lt;&gt;"No"),M02S02F44="No",OR(M02S02F43&lt;=DATEVALUE("12/31/2021"),M02S02F43=""),OR(TODAY()&lt;=LIGHTING2021,ACTLIGHT&lt;&gt;"")),LIGHTRATE21*(INDEX(PMELIGHTHID[Inc Rate Unit],MATCH(BA64,PMELIGHTHID[Measure Validator],0))),INDEX(PMELIGHTHID[Inc Rate Unit],MATCH(BA64,PMELIGHTHID[Measure Validator],0))))),"")</f>
        <v/>
      </c>
      <c r="BD64" s="747" t="str">
        <f>IFERROR(ROUND(IF(OR(C64="",AH64=""),"",IF(BB64="","",(AY64-AZ64)*BC64)),2),"")</f>
        <v/>
      </c>
      <c r="BE64" s="747" t="str">
        <f>IF(OR(C64="",I64="",K64="",G64="",M64="",Q64="",U64="",W64="",Y64="",AB64="",AF64="",AH64=""),"",IFERROR(IF(AB64&lt;INDEX(PMELIGHTHID[Op Hr 1],MATCH(BA64,PMELIGHTHID[Measure Validator],0)),"Operating Hours Invalid",IF(ISNUMBER(SEARCH("SPILLOVER",Y64)),PROJSTATELI,IF((AW64-AX64)&lt;0,"No Savings",""))),"ERROR"))</f>
        <v/>
      </c>
      <c r="BF64" s="1289" t="str">
        <f>IF(AND(ISBLANK(AF64),ISBLANK(AH64)),"",IF(BD64&gt;AU64,"Yes","No"))</f>
        <v/>
      </c>
      <c r="BG64" s="1051">
        <f>IF(M02S02F32&lt;&gt;"",INDEX(SPACEHEAT[HIF],MATCH(M02S02F32,SHEAT,0)),1)</f>
        <v>1</v>
      </c>
      <c r="BH64" s="1225">
        <f t="shared" ref="BH64" si="43">IFERROR(ROUND(BJ64*1.1,2),0)</f>
        <v>0</v>
      </c>
      <c r="BI64" s="804" t="str">
        <f>IF(M02S02F44="","Update Install Status",IF(M02S02F49="Yes","Use New Load",IF(OR(C64="",I64="",K64="",G64="",M64="",Q64="",U64="",W64="",Y64="",AB64="",AF64="",AH64="",AD64=""),"",IF(BE64&lt;&gt;"",BE64,ROUND(BH64*BONUSADJ,2)))))</f>
        <v>Update Install Status</v>
      </c>
      <c r="BJ64" s="804" t="str">
        <f>IF(M02S02F44="","Update Install Status",IF(M02S02F49="Yes","Use New Load",IF(OR(C64="",I64="",K64="",G64="",M64="",Q64="",U64="",W64="",Y64="",AB64="",AF64="",AH64="",AD64=""),"",IF(BE64&lt;&gt;"",BE64,IF(BD64&lt;0,"No Incentive Savings",ROUND(MIN(AU64,BD64),2))))))</f>
        <v>Update Install Status</v>
      </c>
    </row>
    <row r="65" spans="2:62" ht="15.95" customHeight="1" x14ac:dyDescent="0.25">
      <c r="B65" s="1193"/>
      <c r="C65" s="845"/>
      <c r="D65" s="1308"/>
      <c r="E65" s="1308"/>
      <c r="F65" s="846"/>
      <c r="G65" s="1299"/>
      <c r="H65" s="1299"/>
      <c r="I65" s="1301"/>
      <c r="J65" s="1301"/>
      <c r="K65" s="1273"/>
      <c r="L65" s="1274"/>
      <c r="M65" s="1228"/>
      <c r="N65" s="852"/>
      <c r="O65" s="852"/>
      <c r="P65" s="852"/>
      <c r="Q65" s="1230"/>
      <c r="R65" s="1230"/>
      <c r="S65" s="1230"/>
      <c r="T65" s="1230"/>
      <c r="U65" s="853"/>
      <c r="V65" s="853"/>
      <c r="W65" s="1231"/>
      <c r="X65" s="1231"/>
      <c r="Y65" s="852"/>
      <c r="Z65" s="852"/>
      <c r="AA65" s="852"/>
      <c r="AB65" s="853"/>
      <c r="AC65" s="853"/>
      <c r="AD65" s="1302"/>
      <c r="AE65" s="1303"/>
      <c r="AF65" s="1304"/>
      <c r="AG65" s="1305"/>
      <c r="AH65" s="1305"/>
      <c r="AI65" s="1306"/>
      <c r="AJ65" s="1250"/>
      <c r="AK65" s="1251"/>
      <c r="AL65" s="1251"/>
      <c r="AM65" s="1252"/>
      <c r="AN65" s="1238"/>
      <c r="AO65" s="1239"/>
      <c r="AP65" s="1239"/>
      <c r="AQ65" s="1240"/>
      <c r="AS65"/>
      <c r="AT65"/>
      <c r="AU65" s="805"/>
      <c r="AV65" s="807"/>
      <c r="AW65" s="803"/>
      <c r="AX65" s="803"/>
      <c r="AY65" s="751"/>
      <c r="AZ65" s="801"/>
      <c r="BA65" s="1291"/>
      <c r="BB65" s="748"/>
      <c r="BC65" s="1288"/>
      <c r="BD65" s="748"/>
      <c r="BE65" s="748"/>
      <c r="BF65" s="1289"/>
      <c r="BG65" s="1052"/>
      <c r="BH65" s="1226"/>
      <c r="BI65" s="805"/>
      <c r="BJ65" s="805"/>
    </row>
    <row r="66" spans="2:62" ht="15.95" customHeight="1" x14ac:dyDescent="0.25">
      <c r="B66" s="1193">
        <v>25</v>
      </c>
      <c r="C66" s="843"/>
      <c r="D66" s="1307"/>
      <c r="E66" s="1307"/>
      <c r="F66" s="844"/>
      <c r="G66" s="853"/>
      <c r="H66" s="853"/>
      <c r="I66" s="1300"/>
      <c r="J66" s="1300"/>
      <c r="K66" s="1296" t="str">
        <f>IFERROR(IF(OR(C66="",I66=""),"",IF(C66="Metal Halide",INDEX(BASEHIDBALLAST[Metal Halide Ballast],MATCH(I66,BASEHIDBALLAST[Metal Halide Nominal],0)),IF(C66="Pulse Start Metal Halide",INDEX(BASEHIDBALLAST[Pulse Start Metal Halide Ballast],MATCH(I66,BASEHIDBALLAST[Pulse Start Metal Halide Nominal],0)),IF(C66="Mercury Vapor",INDEX(BASEHIDBALLAST[Mercury Vapor Ballast],MATCH(I66,BASEHIDBALLAST[Mercury Vapor Nominal],0)),IF(C66="High Pressure Sodium",INDEX(BASEHIDBALLAST[High Pressure Sodium Ballast],MATCH(I66,BASEHIDBALLAST[High Pressure Sodium Nominal],0))))))),"")</f>
        <v/>
      </c>
      <c r="L66" s="1297"/>
      <c r="M66" s="1228"/>
      <c r="N66" s="852"/>
      <c r="O66" s="852"/>
      <c r="P66" s="852"/>
      <c r="Q66" s="1232"/>
      <c r="R66" s="1230"/>
      <c r="S66" s="1230"/>
      <c r="T66" s="1230"/>
      <c r="U66" s="853"/>
      <c r="V66" s="853"/>
      <c r="W66" s="1231"/>
      <c r="X66" s="1231"/>
      <c r="Y66" s="1298"/>
      <c r="Z66" s="852"/>
      <c r="AA66" s="852"/>
      <c r="AB66" s="853"/>
      <c r="AC66" s="853"/>
      <c r="AD66" s="1302"/>
      <c r="AE66" s="1303"/>
      <c r="AF66" s="1304"/>
      <c r="AG66" s="1305"/>
      <c r="AH66" s="1305"/>
      <c r="AI66" s="1306"/>
      <c r="AJ66" s="1250" t="str">
        <f t="shared" ref="AJ66" si="44">IF(OR(C66="",I66="",K66="",G66="",M66="",Q66="",U66="",W66="",Y66="",AB66="",AF66="",AH66=""),"",IFERROR(ROUND(IF((AW66-AX66)&lt;=0,0,BG66*(AW66-AX66)),0),""))</f>
        <v/>
      </c>
      <c r="AK66" s="1251"/>
      <c r="AL66" s="1251"/>
      <c r="AM66" s="1252"/>
      <c r="AN66" s="1238" t="str">
        <f>IF(M02S02F44="","Update Install Status",IF(M02S02F49="Yes","Use New Load",IF(OR(C66="",I66="",K66="",G66="",M66="",Q66="",U66="",W66="",Y66="",AB66="",AF66="",AH66="",AD66=""),"",IF(BE66&lt;&gt;"",BE66,IF(BD66&lt;0,"No Incentive Savings",ROUND(MIN(AU66,BD66),2))))))</f>
        <v>Update Install Status</v>
      </c>
      <c r="AO66" s="1239"/>
      <c r="AP66" s="1239"/>
      <c r="AQ66" s="1240"/>
      <c r="AS66"/>
      <c r="AT66"/>
      <c r="AU66" s="804" t="str">
        <f>IF(OR(C66="",I66="",K66="",G66="",M66="",Q66="",U66="",W66="",Y66="",AB66="",AF66="",AH66=""),"",(ROUND((AF66+AH66)*U66,2)))</f>
        <v/>
      </c>
      <c r="AV66" s="806" t="str">
        <f>IF(OR(C66="",I66="",K66="",G66="",M66="",Q66="",U66="",W66="",Y66="",AB66="",AF66="",AH66=""),"",ROUND(AJ66*INDEX(ENDUSEALL[Factor],MATCH(INDEX(PMELIGHTHID[End Use Category],MATCH(BA66,PMELIGHTHID[Measure Validator],0)),ENDUSEALL[End Use to Coincident Peak Demand Factors],0)),4))</f>
        <v/>
      </c>
      <c r="AW66" s="802" t="str">
        <f>IF(OR(C66="",I66="",K66="",G66="",M66="",Q66="",U66="",W66="",Y66="",AB66="",AF66="",AH66=""),"",ROUND(K66*G66*AB66/1000,0))</f>
        <v/>
      </c>
      <c r="AX66" s="802" t="str">
        <f>IF(OR(C66="",I66="",K66="",G66="",M66="",Q66="",U66="",W66="",Y66="",AB66="",AF66="",AH66=""),"",IF(ISNUMBER(SEARCH("Network",M66)),ROUND(0.76*W66*U66*AB66/1000,0),ROUND(W66*U66*AB66/1000,0)))</f>
        <v/>
      </c>
      <c r="AY66" s="750" t="str">
        <f>IF(OR(C66="",I66="",K66="",G66="",M66="",Q66="",U66="",W66="",Y66="",AB66="",AF66="",AH66=""),"",IF(G66&gt;=U66,ROUND(K66*U66,0),IF(G66&lt;U66,ROUND(K66*G66,0))))</f>
        <v/>
      </c>
      <c r="AZ66" s="800" t="str">
        <f>IF(OR(C66="",G66="",I66="",K66="",M66="",Q66="",U66="",W66="",Y66="",AB66="",AD66="",AF66="",AH66=""),"",ROUND(W66*U66,0))</f>
        <v/>
      </c>
      <c r="BA66" s="1290" t="str">
        <f>IFERROR(IF(ISNUMBER(SEARCH("Pulse Start",C66)),CONCATENATE("Metal Halide","-","LED","-",M66),CONCATENATE(C66,"-","LED","-",M66)),"")</f>
        <v>-LED-</v>
      </c>
      <c r="BB66" s="747" t="str">
        <f>IF(OR(C66="",I66="",K66="",G66="",M66="",Q66="",U66="",W66="",Y66="",AB66="",AF66="",AH66=""),"",INDEX(PMELIGHTHID[Measure '#],MATCH(BA66,PMELIGHTHID[Measure Validator],0)))</f>
        <v/>
      </c>
      <c r="BC66" s="1287" t="str">
        <f ca="1">IFERROR(IF(OR(C66="",AH66=""),"",IF(BB66="","",IF(AND(AND(SUBLIGHTDATE1&lt;&gt;"No",SUBLIGHTDATE2&lt;&gt;"No",SUBLIGHTDATE3&lt;&gt;"No"),M02S02F44="No",OR(M02S02F43&lt;=DATEVALUE("12/31/2021"),M02S02F43=""),OR(TODAY()&lt;=LIGHTING2021,ACTLIGHT&lt;&gt;"")),LIGHTRATE21*(INDEX(PMELIGHTHID[Inc Rate Unit],MATCH(BA66,PMELIGHTHID[Measure Validator],0))),INDEX(PMELIGHTHID[Inc Rate Unit],MATCH(BA66,PMELIGHTHID[Measure Validator],0))))),"")</f>
        <v/>
      </c>
      <c r="BD66" s="747" t="str">
        <f>IFERROR(ROUND(IF(OR(C66="",AH66=""),"",IF(BB66="","",(AY66-AZ66)*BC66)),2),"")</f>
        <v/>
      </c>
      <c r="BE66" s="747" t="str">
        <f>IF(OR(C66="",I66="",K66="",G66="",M66="",Q66="",U66="",W66="",Y66="",AB66="",AF66="",AH66=""),"",IFERROR(IF(AB66&lt;INDEX(PMELIGHTHID[Op Hr 1],MATCH(BA66,PMELIGHTHID[Measure Validator],0)),"Operating Hours Invalid",IF(ISNUMBER(SEARCH("SPILLOVER",Y66)),PROJSTATELI,IF((AW66-AX66)&lt;0,"No Savings",""))),"ERROR"))</f>
        <v/>
      </c>
      <c r="BF66" s="1289" t="str">
        <f>IF(AND(ISBLANK(AF66),ISBLANK(AH66)),"",IF(BD66&gt;AU66,"Yes","No"))</f>
        <v/>
      </c>
      <c r="BG66" s="1051">
        <f>IF(M02S02F32&lt;&gt;"",INDEX(SPACEHEAT[HIF],MATCH(M02S02F32,SHEAT,0)),1)</f>
        <v>1</v>
      </c>
      <c r="BH66" s="1225">
        <f t="shared" ref="BH66" si="45">IFERROR(ROUND(BJ66*1.1,2),0)</f>
        <v>0</v>
      </c>
      <c r="BI66" s="804" t="str">
        <f>IF(M02S02F44="","Update Install Status",IF(M02S02F49="Yes","Use New Load",IF(OR(C66="",I66="",K66="",G66="",M66="",Q66="",U66="",W66="",Y66="",AB66="",AF66="",AH66="",AD66=""),"",IF(BE66&lt;&gt;"",BE66,ROUND(BH66*BONUSADJ,2)))))</f>
        <v>Update Install Status</v>
      </c>
      <c r="BJ66" s="804" t="str">
        <f>IF(M02S02F44="","Update Install Status",IF(M02S02F49="Yes","Use New Load",IF(OR(C66="",I66="",K66="",G66="",M66="",Q66="",U66="",W66="",Y66="",AB66="",AF66="",AH66="",AD66=""),"",IF(BE66&lt;&gt;"",BE66,IF(BD66&lt;0,"No Incentive Savings",ROUND(MIN(AU66,BD66),2))))))</f>
        <v>Update Install Status</v>
      </c>
    </row>
    <row r="67" spans="2:62" ht="15.95" customHeight="1" x14ac:dyDescent="0.25">
      <c r="B67" s="1193"/>
      <c r="C67" s="845"/>
      <c r="D67" s="1308"/>
      <c r="E67" s="1308"/>
      <c r="F67" s="846"/>
      <c r="G67" s="1299"/>
      <c r="H67" s="1299"/>
      <c r="I67" s="1301"/>
      <c r="J67" s="1301"/>
      <c r="K67" s="1273"/>
      <c r="L67" s="1274"/>
      <c r="M67" s="1228"/>
      <c r="N67" s="852"/>
      <c r="O67" s="852"/>
      <c r="P67" s="852"/>
      <c r="Q67" s="1230"/>
      <c r="R67" s="1230"/>
      <c r="S67" s="1230"/>
      <c r="T67" s="1230"/>
      <c r="U67" s="853"/>
      <c r="V67" s="853"/>
      <c r="W67" s="1231"/>
      <c r="X67" s="1231"/>
      <c r="Y67" s="852"/>
      <c r="Z67" s="852"/>
      <c r="AA67" s="852"/>
      <c r="AB67" s="853"/>
      <c r="AC67" s="853"/>
      <c r="AD67" s="1302"/>
      <c r="AE67" s="1303"/>
      <c r="AF67" s="1304"/>
      <c r="AG67" s="1305"/>
      <c r="AH67" s="1305"/>
      <c r="AI67" s="1306"/>
      <c r="AJ67" s="1250"/>
      <c r="AK67" s="1251"/>
      <c r="AL67" s="1251"/>
      <c r="AM67" s="1252"/>
      <c r="AN67" s="1238"/>
      <c r="AO67" s="1239"/>
      <c r="AP67" s="1239"/>
      <c r="AQ67" s="1240"/>
      <c r="AS67"/>
      <c r="AT67"/>
      <c r="AU67" s="805"/>
      <c r="AV67" s="807"/>
      <c r="AW67" s="803"/>
      <c r="AX67" s="803"/>
      <c r="AY67" s="751"/>
      <c r="AZ67" s="801"/>
      <c r="BA67" s="1291"/>
      <c r="BB67" s="748"/>
      <c r="BC67" s="1288"/>
      <c r="BD67" s="748"/>
      <c r="BE67" s="748"/>
      <c r="BF67" s="1289"/>
      <c r="BG67" s="1052"/>
      <c r="BH67" s="1226"/>
      <c r="BI67" s="805"/>
      <c r="BJ67" s="805"/>
    </row>
    <row r="68" spans="2:62" ht="15.95" customHeight="1" x14ac:dyDescent="0.25">
      <c r="B68" s="1193">
        <v>26</v>
      </c>
      <c r="C68" s="843"/>
      <c r="D68" s="1307"/>
      <c r="E68" s="1307"/>
      <c r="F68" s="844"/>
      <c r="G68" s="853"/>
      <c r="H68" s="853"/>
      <c r="I68" s="1300"/>
      <c r="J68" s="1300"/>
      <c r="K68" s="1296" t="str">
        <f>IFERROR(IF(OR(C68="",I68=""),"",IF(C68="Metal Halide",INDEX(BASEHIDBALLAST[Metal Halide Ballast],MATCH(I68,BASEHIDBALLAST[Metal Halide Nominal],0)),IF(C68="Pulse Start Metal Halide",INDEX(BASEHIDBALLAST[Pulse Start Metal Halide Ballast],MATCH(I68,BASEHIDBALLAST[Pulse Start Metal Halide Nominal],0)),IF(C68="Mercury Vapor",INDEX(BASEHIDBALLAST[Mercury Vapor Ballast],MATCH(I68,BASEHIDBALLAST[Mercury Vapor Nominal],0)),IF(C68="High Pressure Sodium",INDEX(BASEHIDBALLAST[High Pressure Sodium Ballast],MATCH(I68,BASEHIDBALLAST[High Pressure Sodium Nominal],0))))))),"")</f>
        <v/>
      </c>
      <c r="L68" s="1297"/>
      <c r="M68" s="1228"/>
      <c r="N68" s="852"/>
      <c r="O68" s="852"/>
      <c r="P68" s="852"/>
      <c r="Q68" s="1232"/>
      <c r="R68" s="1230"/>
      <c r="S68" s="1230"/>
      <c r="T68" s="1230"/>
      <c r="U68" s="853"/>
      <c r="V68" s="853"/>
      <c r="W68" s="1231"/>
      <c r="X68" s="1231"/>
      <c r="Y68" s="1298"/>
      <c r="Z68" s="852"/>
      <c r="AA68" s="852"/>
      <c r="AB68" s="853"/>
      <c r="AC68" s="853"/>
      <c r="AD68" s="1302"/>
      <c r="AE68" s="1303"/>
      <c r="AF68" s="1304"/>
      <c r="AG68" s="1305"/>
      <c r="AH68" s="1305"/>
      <c r="AI68" s="1306"/>
      <c r="AJ68" s="1250" t="str">
        <f t="shared" ref="AJ68" si="46">IF(OR(C68="",I68="",K68="",G68="",M68="",Q68="",U68="",W68="",Y68="",AB68="",AF68="",AH68=""),"",IFERROR(ROUND(IF((AW68-AX68)&lt;=0,0,BG68*(AW68-AX68)),0),""))</f>
        <v/>
      </c>
      <c r="AK68" s="1251"/>
      <c r="AL68" s="1251"/>
      <c r="AM68" s="1252"/>
      <c r="AN68" s="1238" t="str">
        <f>IF(M02S02F44="","Update Install Status",IF(M02S02F49="Yes","Use New Load",IF(OR(C68="",I68="",K68="",G68="",M68="",Q68="",U68="",W68="",Y68="",AB68="",AF68="",AH68="",AD68=""),"",IF(BE68&lt;&gt;"",BE68,IF(BD68&lt;0,"No Incentive Savings",ROUND(MIN(AU68,BD68),2))))))</f>
        <v>Update Install Status</v>
      </c>
      <c r="AO68" s="1239"/>
      <c r="AP68" s="1239"/>
      <c r="AQ68" s="1240"/>
      <c r="AS68"/>
      <c r="AT68"/>
      <c r="AU68" s="804" t="str">
        <f>IF(OR(C68="",I68="",K68="",G68="",M68="",Q68="",U68="",W68="",Y68="",AB68="",AF68="",AH68=""),"",(ROUND((AF68+AH68)*U68,2)))</f>
        <v/>
      </c>
      <c r="AV68" s="806" t="str">
        <f>IF(OR(C68="",I68="",K68="",G68="",M68="",Q68="",U68="",W68="",Y68="",AB68="",AF68="",AH68=""),"",ROUND(AJ68*INDEX(ENDUSEALL[Factor],MATCH(INDEX(PMELIGHTHID[End Use Category],MATCH(BA68,PMELIGHTHID[Measure Validator],0)),ENDUSEALL[End Use to Coincident Peak Demand Factors],0)),4))</f>
        <v/>
      </c>
      <c r="AW68" s="802" t="str">
        <f>IF(OR(C68="",I68="",K68="",G68="",M68="",Q68="",U68="",W68="",Y68="",AB68="",AF68="",AH68=""),"",ROUND(K68*G68*AB68/1000,0))</f>
        <v/>
      </c>
      <c r="AX68" s="802" t="str">
        <f>IF(OR(C68="",I68="",K68="",G68="",M68="",Q68="",U68="",W68="",Y68="",AB68="",AF68="",AH68=""),"",IF(ISNUMBER(SEARCH("Network",M68)),ROUND(0.76*W68*U68*AB68/1000,0),ROUND(W68*U68*AB68/1000,0)))</f>
        <v/>
      </c>
      <c r="AY68" s="750" t="str">
        <f>IF(OR(C68="",I68="",K68="",G68="",M68="",Q68="",U68="",W68="",Y68="",AB68="",AF68="",AH68=""),"",IF(G68&gt;=U68,ROUND(K68*U68,0),IF(G68&lt;U68,ROUND(K68*G68,0))))</f>
        <v/>
      </c>
      <c r="AZ68" s="800" t="str">
        <f>IF(OR(C68="",G68="",I68="",K68="",M68="",Q68="",U68="",W68="",Y68="",AB68="",AD68="",AF68="",AH68=""),"",ROUND(W68*U68,0))</f>
        <v/>
      </c>
      <c r="BA68" s="1290" t="str">
        <f>IFERROR(IF(ISNUMBER(SEARCH("Pulse Start",C68)),CONCATENATE("Metal Halide","-","LED","-",M68),CONCATENATE(C68,"-","LED","-",M68)),"")</f>
        <v>-LED-</v>
      </c>
      <c r="BB68" s="747" t="str">
        <f>IF(OR(C68="",I68="",K68="",G68="",M68="",Q68="",U68="",W68="",Y68="",AB68="",AF68="",AH68=""),"",INDEX(PMELIGHTHID[Measure '#],MATCH(BA68,PMELIGHTHID[Measure Validator],0)))</f>
        <v/>
      </c>
      <c r="BC68" s="1287" t="str">
        <f ca="1">IFERROR(IF(OR(C68="",AH68=""),"",IF(BB68="","",IF(AND(AND(SUBLIGHTDATE1&lt;&gt;"No",SUBLIGHTDATE2&lt;&gt;"No",SUBLIGHTDATE3&lt;&gt;"No"),M02S02F44="No",OR(M02S02F43&lt;=DATEVALUE("12/31/2021"),M02S02F43=""),OR(TODAY()&lt;=LIGHTING2021,ACTLIGHT&lt;&gt;"")),LIGHTRATE21*(INDEX(PMELIGHTHID[Inc Rate Unit],MATCH(BA68,PMELIGHTHID[Measure Validator],0))),INDEX(PMELIGHTHID[Inc Rate Unit],MATCH(BA68,PMELIGHTHID[Measure Validator],0))))),"")</f>
        <v/>
      </c>
      <c r="BD68" s="747" t="str">
        <f>IFERROR(ROUND(IF(OR(C68="",AH68=""),"",IF(BB68="","",(AY68-AZ68)*BC68)),2),"")</f>
        <v/>
      </c>
      <c r="BE68" s="747" t="str">
        <f>IF(OR(C68="",I68="",K68="",G68="",M68="",Q68="",U68="",W68="",Y68="",AB68="",AF68="",AH68=""),"",IFERROR(IF(AB68&lt;INDEX(PMELIGHTHID[Op Hr 1],MATCH(BA68,PMELIGHTHID[Measure Validator],0)),"Operating Hours Invalid",IF(ISNUMBER(SEARCH("SPILLOVER",Y68)),PROJSTATELI,IF((AW68-AX68)&lt;0,"No Savings",""))),"ERROR"))</f>
        <v/>
      </c>
      <c r="BF68" s="1289" t="str">
        <f>IF(AND(ISBLANK(AF68),ISBLANK(AH68)),"",IF(BD68&gt;AU68,"Yes","No"))</f>
        <v/>
      </c>
      <c r="BG68" s="1051">
        <f>IF(M02S02F32&lt;&gt;"",INDEX(SPACEHEAT[HIF],MATCH(M02S02F32,SHEAT,0)),1)</f>
        <v>1</v>
      </c>
      <c r="BH68" s="1225">
        <f t="shared" ref="BH68" si="47">IFERROR(ROUND(BJ68*1.1,2),0)</f>
        <v>0</v>
      </c>
      <c r="BI68" s="804" t="str">
        <f>IF(M02S02F44="","Update Install Status",IF(M02S02F49="Yes","Use New Load",IF(OR(C68="",I68="",K68="",G68="",M68="",Q68="",U68="",W68="",Y68="",AB68="",AF68="",AH68="",AD68=""),"",IF(BE68&lt;&gt;"",BE68,ROUND(BH68*BONUSADJ,2)))))</f>
        <v>Update Install Status</v>
      </c>
      <c r="BJ68" s="804" t="str">
        <f>IF(M02S02F44="","Update Install Status",IF(M02S02F49="Yes","Use New Load",IF(OR(C68="",I68="",K68="",G68="",M68="",Q68="",U68="",W68="",Y68="",AB68="",AF68="",AH68="",AD68=""),"",IF(BE68&lt;&gt;"",BE68,IF(BD68&lt;0,"No Incentive Savings",ROUND(MIN(AU68,BD68),2))))))</f>
        <v>Update Install Status</v>
      </c>
    </row>
    <row r="69" spans="2:62" ht="15.95" customHeight="1" x14ac:dyDescent="0.25">
      <c r="B69" s="1193"/>
      <c r="C69" s="845"/>
      <c r="D69" s="1308"/>
      <c r="E69" s="1308"/>
      <c r="F69" s="846"/>
      <c r="G69" s="1299"/>
      <c r="H69" s="1299"/>
      <c r="I69" s="1301"/>
      <c r="J69" s="1301"/>
      <c r="K69" s="1273"/>
      <c r="L69" s="1274"/>
      <c r="M69" s="1228"/>
      <c r="N69" s="852"/>
      <c r="O69" s="852"/>
      <c r="P69" s="852"/>
      <c r="Q69" s="1230"/>
      <c r="R69" s="1230"/>
      <c r="S69" s="1230"/>
      <c r="T69" s="1230"/>
      <c r="U69" s="853"/>
      <c r="V69" s="853"/>
      <c r="W69" s="1231"/>
      <c r="X69" s="1231"/>
      <c r="Y69" s="852"/>
      <c r="Z69" s="852"/>
      <c r="AA69" s="852"/>
      <c r="AB69" s="853"/>
      <c r="AC69" s="853"/>
      <c r="AD69" s="1302"/>
      <c r="AE69" s="1303"/>
      <c r="AF69" s="1304"/>
      <c r="AG69" s="1305"/>
      <c r="AH69" s="1305"/>
      <c r="AI69" s="1306"/>
      <c r="AJ69" s="1250"/>
      <c r="AK69" s="1251"/>
      <c r="AL69" s="1251"/>
      <c r="AM69" s="1252"/>
      <c r="AN69" s="1238"/>
      <c r="AO69" s="1239"/>
      <c r="AP69" s="1239"/>
      <c r="AQ69" s="1240"/>
      <c r="AS69"/>
      <c r="AT69"/>
      <c r="AU69" s="805"/>
      <c r="AV69" s="807"/>
      <c r="AW69" s="803"/>
      <c r="AX69" s="803"/>
      <c r="AY69" s="751"/>
      <c r="AZ69" s="801"/>
      <c r="BA69" s="1291"/>
      <c r="BB69" s="748"/>
      <c r="BC69" s="1288"/>
      <c r="BD69" s="748"/>
      <c r="BE69" s="748"/>
      <c r="BF69" s="1289"/>
      <c r="BG69" s="1052"/>
      <c r="BH69" s="1226"/>
      <c r="BI69" s="805"/>
      <c r="BJ69" s="805"/>
    </row>
    <row r="70" spans="2:62" ht="15.95" customHeight="1" x14ac:dyDescent="0.25">
      <c r="B70" s="1193">
        <v>27</v>
      </c>
      <c r="C70" s="843"/>
      <c r="D70" s="1307"/>
      <c r="E70" s="1307"/>
      <c r="F70" s="844"/>
      <c r="G70" s="853"/>
      <c r="H70" s="853"/>
      <c r="I70" s="1300"/>
      <c r="J70" s="1300"/>
      <c r="K70" s="1296" t="str">
        <f>IFERROR(IF(OR(C70="",I70=""),"",IF(C70="Metal Halide",INDEX(BASEHIDBALLAST[Metal Halide Ballast],MATCH(I70,BASEHIDBALLAST[Metal Halide Nominal],0)),IF(C70="Pulse Start Metal Halide",INDEX(BASEHIDBALLAST[Pulse Start Metal Halide Ballast],MATCH(I70,BASEHIDBALLAST[Pulse Start Metal Halide Nominal],0)),IF(C70="Mercury Vapor",INDEX(BASEHIDBALLAST[Mercury Vapor Ballast],MATCH(I70,BASEHIDBALLAST[Mercury Vapor Nominal],0)),IF(C70="High Pressure Sodium",INDEX(BASEHIDBALLAST[High Pressure Sodium Ballast],MATCH(I70,BASEHIDBALLAST[High Pressure Sodium Nominal],0))))))),"")</f>
        <v/>
      </c>
      <c r="L70" s="1297"/>
      <c r="M70" s="1228"/>
      <c r="N70" s="852"/>
      <c r="O70" s="852"/>
      <c r="P70" s="852"/>
      <c r="Q70" s="1232"/>
      <c r="R70" s="1230"/>
      <c r="S70" s="1230"/>
      <c r="T70" s="1230"/>
      <c r="U70" s="853"/>
      <c r="V70" s="853"/>
      <c r="W70" s="1231"/>
      <c r="X70" s="1231"/>
      <c r="Y70" s="1298"/>
      <c r="Z70" s="852"/>
      <c r="AA70" s="852"/>
      <c r="AB70" s="853"/>
      <c r="AC70" s="853"/>
      <c r="AD70" s="1302"/>
      <c r="AE70" s="1303"/>
      <c r="AF70" s="1304"/>
      <c r="AG70" s="1305"/>
      <c r="AH70" s="1305"/>
      <c r="AI70" s="1306"/>
      <c r="AJ70" s="1250" t="str">
        <f t="shared" ref="AJ70" si="48">IF(OR(C70="",I70="",K70="",G70="",M70="",Q70="",U70="",W70="",Y70="",AB70="",AF70="",AH70=""),"",IFERROR(ROUND(IF((AW70-AX70)&lt;=0,0,BG70*(AW70-AX70)),0),""))</f>
        <v/>
      </c>
      <c r="AK70" s="1251"/>
      <c r="AL70" s="1251"/>
      <c r="AM70" s="1252"/>
      <c r="AN70" s="1238" t="str">
        <f>IF(M02S02F44="","Update Install Status",IF(M02S02F49="Yes","Use New Load",IF(OR(C70="",I70="",K70="",G70="",M70="",Q70="",U70="",W70="",Y70="",AB70="",AF70="",AH70="",AD70=""),"",IF(BE70&lt;&gt;"",BE70,IF(BD70&lt;0,"No Incentive Savings",ROUND(MIN(AU70,BD70),2))))))</f>
        <v>Update Install Status</v>
      </c>
      <c r="AO70" s="1239"/>
      <c r="AP70" s="1239"/>
      <c r="AQ70" s="1240"/>
      <c r="AS70"/>
      <c r="AT70"/>
      <c r="AU70" s="804" t="str">
        <f>IF(OR(C70="",I70="",K70="",G70="",M70="",Q70="",U70="",W70="",Y70="",AB70="",AF70="",AH70=""),"",(ROUND((AF70+AH70)*U70,2)))</f>
        <v/>
      </c>
      <c r="AV70" s="806" t="str">
        <f>IF(OR(C70="",I70="",K70="",G70="",M70="",Q70="",U70="",W70="",Y70="",AB70="",AF70="",AH70=""),"",ROUND(AJ70*INDEX(ENDUSEALL[Factor],MATCH(INDEX(PMELIGHTHID[End Use Category],MATCH(BA70,PMELIGHTHID[Measure Validator],0)),ENDUSEALL[End Use to Coincident Peak Demand Factors],0)),4))</f>
        <v/>
      </c>
      <c r="AW70" s="802" t="str">
        <f>IF(OR(C70="",I70="",K70="",G70="",M70="",Q70="",U70="",W70="",Y70="",AB70="",AF70="",AH70=""),"",ROUND(K70*G70*AB70/1000,0))</f>
        <v/>
      </c>
      <c r="AX70" s="802" t="str">
        <f>IF(OR(C70="",I70="",K70="",G70="",M70="",Q70="",U70="",W70="",Y70="",AB70="",AF70="",AH70=""),"",IF(ISNUMBER(SEARCH("Network",M70)),ROUND(0.76*W70*U70*AB70/1000,0),ROUND(W70*U70*AB70/1000,0)))</f>
        <v/>
      </c>
      <c r="AY70" s="750" t="str">
        <f>IF(OR(C70="",I70="",K70="",G70="",M70="",Q70="",U70="",W70="",Y70="",AB70="",AF70="",AH70=""),"",IF(G70&gt;=U70,ROUND(K70*U70,0),IF(G70&lt;U70,ROUND(K70*G70,0))))</f>
        <v/>
      </c>
      <c r="AZ70" s="800" t="str">
        <f>IF(OR(C70="",G70="",I70="",K70="",M70="",Q70="",U70="",W70="",Y70="",AB70="",AD70="",AF70="",AH70=""),"",ROUND(W70*U70,0))</f>
        <v/>
      </c>
      <c r="BA70" s="1290" t="str">
        <f>IFERROR(IF(ISNUMBER(SEARCH("Pulse Start",C70)),CONCATENATE("Metal Halide","-","LED","-",M70),CONCATENATE(C70,"-","LED","-",M70)),"")</f>
        <v>-LED-</v>
      </c>
      <c r="BB70" s="747" t="str">
        <f>IF(OR(C70="",I70="",K70="",G70="",M70="",Q70="",U70="",W70="",Y70="",AB70="",AF70="",AH70=""),"",INDEX(PMELIGHTHID[Measure '#],MATCH(BA70,PMELIGHTHID[Measure Validator],0)))</f>
        <v/>
      </c>
      <c r="BC70" s="1287" t="str">
        <f ca="1">IFERROR(IF(OR(C70="",AH70=""),"",IF(BB70="","",IF(AND(AND(SUBLIGHTDATE1&lt;&gt;"No",SUBLIGHTDATE2&lt;&gt;"No",SUBLIGHTDATE3&lt;&gt;"No"),M02S02F44="No",OR(M02S02F43&lt;=DATEVALUE("12/31/2021"),M02S02F43=""),OR(TODAY()&lt;=LIGHTING2021,ACTLIGHT&lt;&gt;"")),LIGHTRATE21*(INDEX(PMELIGHTHID[Inc Rate Unit],MATCH(BA70,PMELIGHTHID[Measure Validator],0))),INDEX(PMELIGHTHID[Inc Rate Unit],MATCH(BA70,PMELIGHTHID[Measure Validator],0))))),"")</f>
        <v/>
      </c>
      <c r="BD70" s="747" t="str">
        <f>IFERROR(ROUND(IF(OR(C70="",AH70=""),"",IF(BB70="","",(AY70-AZ70)*BC70)),2),"")</f>
        <v/>
      </c>
      <c r="BE70" s="747" t="str">
        <f>IF(OR(C70="",I70="",K70="",G70="",M70="",Q70="",U70="",W70="",Y70="",AB70="",AF70="",AH70=""),"",IFERROR(IF(AB70&lt;INDEX(PMELIGHTHID[Op Hr 1],MATCH(BA70,PMELIGHTHID[Measure Validator],0)),"Operating Hours Invalid",IF(ISNUMBER(SEARCH("SPILLOVER",Y70)),PROJSTATELI,IF((AW70-AX70)&lt;0,"No Savings",""))),"ERROR"))</f>
        <v/>
      </c>
      <c r="BF70" s="1289" t="str">
        <f>IF(AND(ISBLANK(AF70),ISBLANK(AH70)),"",IF(BD70&gt;AU70,"Yes","No"))</f>
        <v/>
      </c>
      <c r="BG70" s="1051">
        <f>IF(M02S02F32&lt;&gt;"",INDEX(SPACEHEAT[HIF],MATCH(M02S02F32,SHEAT,0)),1)</f>
        <v>1</v>
      </c>
      <c r="BH70" s="1225">
        <f t="shared" ref="BH70" si="49">IFERROR(ROUND(BJ70*1.1,2),0)</f>
        <v>0</v>
      </c>
      <c r="BI70" s="804" t="str">
        <f>IF(M02S02F44="","Update Install Status",IF(M02S02F49="Yes","Use New Load",IF(OR(C70="",I70="",K70="",G70="",M70="",Q70="",U70="",W70="",Y70="",AB70="",AF70="",AH70="",AD70=""),"",IF(BE70&lt;&gt;"",BE70,ROUND(BH70*BONUSADJ,2)))))</f>
        <v>Update Install Status</v>
      </c>
      <c r="BJ70" s="804" t="str">
        <f>IF(M02S02F44="","Update Install Status",IF(M02S02F49="Yes","Use New Load",IF(OR(C70="",I70="",K70="",G70="",M70="",Q70="",U70="",W70="",Y70="",AB70="",AF70="",AH70="",AD70=""),"",IF(BE70&lt;&gt;"",BE70,IF(BD70&lt;0,"No Incentive Savings",ROUND(MIN(AU70,BD70),2))))))</f>
        <v>Update Install Status</v>
      </c>
    </row>
    <row r="71" spans="2:62" ht="15.95" customHeight="1" x14ac:dyDescent="0.25">
      <c r="B71" s="1193"/>
      <c r="C71" s="845"/>
      <c r="D71" s="1308"/>
      <c r="E71" s="1308"/>
      <c r="F71" s="846"/>
      <c r="G71" s="1299"/>
      <c r="H71" s="1299"/>
      <c r="I71" s="1301"/>
      <c r="J71" s="1301"/>
      <c r="K71" s="1273"/>
      <c r="L71" s="1274"/>
      <c r="M71" s="1228"/>
      <c r="N71" s="852"/>
      <c r="O71" s="852"/>
      <c r="P71" s="852"/>
      <c r="Q71" s="1230"/>
      <c r="R71" s="1230"/>
      <c r="S71" s="1230"/>
      <c r="T71" s="1230"/>
      <c r="U71" s="853"/>
      <c r="V71" s="853"/>
      <c r="W71" s="1231"/>
      <c r="X71" s="1231"/>
      <c r="Y71" s="852"/>
      <c r="Z71" s="852"/>
      <c r="AA71" s="852"/>
      <c r="AB71" s="853"/>
      <c r="AC71" s="853"/>
      <c r="AD71" s="1302"/>
      <c r="AE71" s="1303"/>
      <c r="AF71" s="1304"/>
      <c r="AG71" s="1305"/>
      <c r="AH71" s="1305"/>
      <c r="AI71" s="1306"/>
      <c r="AJ71" s="1250"/>
      <c r="AK71" s="1251"/>
      <c r="AL71" s="1251"/>
      <c r="AM71" s="1252"/>
      <c r="AN71" s="1238"/>
      <c r="AO71" s="1239"/>
      <c r="AP71" s="1239"/>
      <c r="AQ71" s="1240"/>
      <c r="AS71"/>
      <c r="AT71"/>
      <c r="AU71" s="805"/>
      <c r="AV71" s="807"/>
      <c r="AW71" s="803"/>
      <c r="AX71" s="803"/>
      <c r="AY71" s="751"/>
      <c r="AZ71" s="801"/>
      <c r="BA71" s="1291"/>
      <c r="BB71" s="748"/>
      <c r="BC71" s="1288"/>
      <c r="BD71" s="748"/>
      <c r="BE71" s="748"/>
      <c r="BF71" s="1289"/>
      <c r="BG71" s="1052"/>
      <c r="BH71" s="1226"/>
      <c r="BI71" s="805"/>
      <c r="BJ71" s="805"/>
    </row>
    <row r="72" spans="2:62" ht="15.95" customHeight="1" x14ac:dyDescent="0.25">
      <c r="B72" s="1193">
        <v>28</v>
      </c>
      <c r="C72" s="843"/>
      <c r="D72" s="1307"/>
      <c r="E72" s="1307"/>
      <c r="F72" s="844"/>
      <c r="G72" s="853"/>
      <c r="H72" s="853"/>
      <c r="I72" s="1300"/>
      <c r="J72" s="1300"/>
      <c r="K72" s="1296" t="str">
        <f>IFERROR(IF(OR(C72="",I72=""),"",IF(C72="Metal Halide",INDEX(BASEHIDBALLAST[Metal Halide Ballast],MATCH(I72,BASEHIDBALLAST[Metal Halide Nominal],0)),IF(C72="Pulse Start Metal Halide",INDEX(BASEHIDBALLAST[Pulse Start Metal Halide Ballast],MATCH(I72,BASEHIDBALLAST[Pulse Start Metal Halide Nominal],0)),IF(C72="Mercury Vapor",INDEX(BASEHIDBALLAST[Mercury Vapor Ballast],MATCH(I72,BASEHIDBALLAST[Mercury Vapor Nominal],0)),IF(C72="High Pressure Sodium",INDEX(BASEHIDBALLAST[High Pressure Sodium Ballast],MATCH(I72,BASEHIDBALLAST[High Pressure Sodium Nominal],0))))))),"")</f>
        <v/>
      </c>
      <c r="L72" s="1297"/>
      <c r="M72" s="1228"/>
      <c r="N72" s="852"/>
      <c r="O72" s="852"/>
      <c r="P72" s="852"/>
      <c r="Q72" s="1232"/>
      <c r="R72" s="1230"/>
      <c r="S72" s="1230"/>
      <c r="T72" s="1230"/>
      <c r="U72" s="853"/>
      <c r="V72" s="853"/>
      <c r="W72" s="1231"/>
      <c r="X72" s="1231"/>
      <c r="Y72" s="1298"/>
      <c r="Z72" s="852"/>
      <c r="AA72" s="852"/>
      <c r="AB72" s="853"/>
      <c r="AC72" s="853"/>
      <c r="AD72" s="1302"/>
      <c r="AE72" s="1303"/>
      <c r="AF72" s="1304"/>
      <c r="AG72" s="1305"/>
      <c r="AH72" s="1305"/>
      <c r="AI72" s="1306"/>
      <c r="AJ72" s="1250" t="str">
        <f t="shared" ref="AJ72" si="50">IF(OR(C72="",I72="",K72="",G72="",M72="",Q72="",U72="",W72="",Y72="",AB72="",AF72="",AH72=""),"",IFERROR(ROUND(IF((AW72-AX72)&lt;=0,0,BG72*(AW72-AX72)),0),""))</f>
        <v/>
      </c>
      <c r="AK72" s="1251"/>
      <c r="AL72" s="1251"/>
      <c r="AM72" s="1252"/>
      <c r="AN72" s="1238" t="str">
        <f>IF(M02S02F44="","Update Install Status",IF(M02S02F49="Yes","Use New Load",IF(OR(C72="",I72="",K72="",G72="",M72="",Q72="",U72="",W72="",Y72="",AB72="",AF72="",AH72="",AD72=""),"",IF(BE72&lt;&gt;"",BE72,IF(BD72&lt;0,"No Incentive Savings",ROUND(MIN(AU72,BD72),2))))))</f>
        <v>Update Install Status</v>
      </c>
      <c r="AO72" s="1239"/>
      <c r="AP72" s="1239"/>
      <c r="AQ72" s="1240"/>
      <c r="AS72"/>
      <c r="AT72"/>
      <c r="AU72" s="804" t="str">
        <f>IF(OR(C72="",I72="",K72="",G72="",M72="",Q72="",U72="",W72="",Y72="",AB72="",AF72="",AH72=""),"",(ROUND((AF72+AH72)*U72,2)))</f>
        <v/>
      </c>
      <c r="AV72" s="806" t="str">
        <f>IF(OR(C72="",I72="",K72="",G72="",M72="",Q72="",U72="",W72="",Y72="",AB72="",AF72="",AH72=""),"",ROUND(AJ72*INDEX(ENDUSEALL[Factor],MATCH(INDEX(PMELIGHTHID[End Use Category],MATCH(BA72,PMELIGHTHID[Measure Validator],0)),ENDUSEALL[End Use to Coincident Peak Demand Factors],0)),4))</f>
        <v/>
      </c>
      <c r="AW72" s="802" t="str">
        <f>IF(OR(C72="",I72="",K72="",G72="",M72="",Q72="",U72="",W72="",Y72="",AB72="",AF72="",AH72=""),"",ROUND(K72*G72*AB72/1000,0))</f>
        <v/>
      </c>
      <c r="AX72" s="802" t="str">
        <f>IF(OR(C72="",I72="",K72="",G72="",M72="",Q72="",U72="",W72="",Y72="",AB72="",AF72="",AH72=""),"",IF(ISNUMBER(SEARCH("Network",M72)),ROUND(0.76*W72*U72*AB72/1000,0),ROUND(W72*U72*AB72/1000,0)))</f>
        <v/>
      </c>
      <c r="AY72" s="750" t="str">
        <f>IF(OR(C72="",I72="",K72="",G72="",M72="",Q72="",U72="",W72="",Y72="",AB72="",AF72="",AH72=""),"",IF(G72&gt;=U72,ROUND(K72*U72,0),IF(G72&lt;U72,ROUND(K72*G72,0))))</f>
        <v/>
      </c>
      <c r="AZ72" s="800" t="str">
        <f>IF(OR(C72="",G72="",I72="",K72="",M72="",Q72="",U72="",W72="",Y72="",AB72="",AD72="",AF72="",AH72=""),"",ROUND(W72*U72,0))</f>
        <v/>
      </c>
      <c r="BA72" s="1290" t="str">
        <f>IFERROR(IF(ISNUMBER(SEARCH("Pulse Start",C72)),CONCATENATE("Metal Halide","-","LED","-",M72),CONCATENATE(C72,"-","LED","-",M72)),"")</f>
        <v>-LED-</v>
      </c>
      <c r="BB72" s="747" t="str">
        <f>IF(OR(C72="",I72="",K72="",G72="",M72="",Q72="",U72="",W72="",Y72="",AB72="",AF72="",AH72=""),"",INDEX(PMELIGHTHID[Measure '#],MATCH(BA72,PMELIGHTHID[Measure Validator],0)))</f>
        <v/>
      </c>
      <c r="BC72" s="1287" t="str">
        <f ca="1">IFERROR(IF(OR(C72="",AH72=""),"",IF(BB72="","",IF(AND(AND(SUBLIGHTDATE1&lt;&gt;"No",SUBLIGHTDATE2&lt;&gt;"No",SUBLIGHTDATE3&lt;&gt;"No"),M02S02F44="No",OR(M02S02F43&lt;=DATEVALUE("12/31/2021"),M02S02F43=""),OR(TODAY()&lt;=LIGHTING2021,ACTLIGHT&lt;&gt;"")),LIGHTRATE21*(INDEX(PMELIGHTHID[Inc Rate Unit],MATCH(BA72,PMELIGHTHID[Measure Validator],0))),INDEX(PMELIGHTHID[Inc Rate Unit],MATCH(BA72,PMELIGHTHID[Measure Validator],0))))),"")</f>
        <v/>
      </c>
      <c r="BD72" s="747" t="str">
        <f>IFERROR(ROUND(IF(OR(C72="",AH72=""),"",IF(BB72="","",(AY72-AZ72)*BC72)),2),"")</f>
        <v/>
      </c>
      <c r="BE72" s="747" t="str">
        <f>IF(OR(C72="",I72="",K72="",G72="",M72="",Q72="",U72="",W72="",Y72="",AB72="",AF72="",AH72=""),"",IFERROR(IF(AB72&lt;INDEX(PMELIGHTHID[Op Hr 1],MATCH(BA72,PMELIGHTHID[Measure Validator],0)),"Operating Hours Invalid",IF(ISNUMBER(SEARCH("SPILLOVER",Y72)),PROJSTATELI,IF((AW72-AX72)&lt;0,"No Savings",""))),"ERROR"))</f>
        <v/>
      </c>
      <c r="BF72" s="1289" t="str">
        <f>IF(AND(ISBLANK(AF72),ISBLANK(AH72)),"",IF(BD72&gt;AU72,"Yes","No"))</f>
        <v/>
      </c>
      <c r="BG72" s="1051">
        <f>IF(M02S02F32&lt;&gt;"",INDEX(SPACEHEAT[HIF],MATCH(M02S02F32,SHEAT,0)),1)</f>
        <v>1</v>
      </c>
      <c r="BH72" s="1225">
        <f t="shared" ref="BH72" si="51">IFERROR(ROUND(BJ72*1.1,2),0)</f>
        <v>0</v>
      </c>
      <c r="BI72" s="804" t="str">
        <f>IF(M02S02F44="","Update Install Status",IF(M02S02F49="Yes","Use New Load",IF(OR(C72="",I72="",K72="",G72="",M72="",Q72="",U72="",W72="",Y72="",AB72="",AF72="",AH72="",AD72=""),"",IF(BE72&lt;&gt;"",BE72,ROUND(BH72*BONUSADJ,2)))))</f>
        <v>Update Install Status</v>
      </c>
      <c r="BJ72" s="804" t="str">
        <f>IF(M02S02F44="","Update Install Status",IF(M02S02F49="Yes","Use New Load",IF(OR(C72="",I72="",K72="",G72="",M72="",Q72="",U72="",W72="",Y72="",AB72="",AF72="",AH72="",AD72=""),"",IF(BE72&lt;&gt;"",BE72,IF(BD72&lt;0,"No Incentive Savings",ROUND(MIN(AU72,BD72),2))))))</f>
        <v>Update Install Status</v>
      </c>
    </row>
    <row r="73" spans="2:62" ht="15.95" customHeight="1" x14ac:dyDescent="0.25">
      <c r="B73" s="1193"/>
      <c r="C73" s="845"/>
      <c r="D73" s="1308"/>
      <c r="E73" s="1308"/>
      <c r="F73" s="846"/>
      <c r="G73" s="1299"/>
      <c r="H73" s="1299"/>
      <c r="I73" s="1301"/>
      <c r="J73" s="1301"/>
      <c r="K73" s="1273"/>
      <c r="L73" s="1274"/>
      <c r="M73" s="1228"/>
      <c r="N73" s="852"/>
      <c r="O73" s="852"/>
      <c r="P73" s="852"/>
      <c r="Q73" s="1230"/>
      <c r="R73" s="1230"/>
      <c r="S73" s="1230"/>
      <c r="T73" s="1230"/>
      <c r="U73" s="853"/>
      <c r="V73" s="853"/>
      <c r="W73" s="1231"/>
      <c r="X73" s="1231"/>
      <c r="Y73" s="852"/>
      <c r="Z73" s="852"/>
      <c r="AA73" s="852"/>
      <c r="AB73" s="853"/>
      <c r="AC73" s="853"/>
      <c r="AD73" s="1302"/>
      <c r="AE73" s="1303"/>
      <c r="AF73" s="1304"/>
      <c r="AG73" s="1305"/>
      <c r="AH73" s="1305"/>
      <c r="AI73" s="1306"/>
      <c r="AJ73" s="1250"/>
      <c r="AK73" s="1251"/>
      <c r="AL73" s="1251"/>
      <c r="AM73" s="1252"/>
      <c r="AN73" s="1238"/>
      <c r="AO73" s="1239"/>
      <c r="AP73" s="1239"/>
      <c r="AQ73" s="1240"/>
      <c r="AS73"/>
      <c r="AT73"/>
      <c r="AU73" s="805"/>
      <c r="AV73" s="807"/>
      <c r="AW73" s="803"/>
      <c r="AX73" s="803"/>
      <c r="AY73" s="751"/>
      <c r="AZ73" s="801"/>
      <c r="BA73" s="1291"/>
      <c r="BB73" s="748"/>
      <c r="BC73" s="1288"/>
      <c r="BD73" s="748"/>
      <c r="BE73" s="748"/>
      <c r="BF73" s="1289"/>
      <c r="BG73" s="1052"/>
      <c r="BH73" s="1226"/>
      <c r="BI73" s="805"/>
      <c r="BJ73" s="805"/>
    </row>
    <row r="74" spans="2:62" ht="15.95" customHeight="1" x14ac:dyDescent="0.25">
      <c r="B74" s="1193">
        <v>29</v>
      </c>
      <c r="C74" s="843"/>
      <c r="D74" s="1307"/>
      <c r="E74" s="1307"/>
      <c r="F74" s="844"/>
      <c r="G74" s="853"/>
      <c r="H74" s="853"/>
      <c r="I74" s="1300"/>
      <c r="J74" s="1300"/>
      <c r="K74" s="1296" t="str">
        <f>IFERROR(IF(OR(C74="",I74=""),"",IF(C74="Metal Halide",INDEX(BASEHIDBALLAST[Metal Halide Ballast],MATCH(I74,BASEHIDBALLAST[Metal Halide Nominal],0)),IF(C74="Pulse Start Metal Halide",INDEX(BASEHIDBALLAST[Pulse Start Metal Halide Ballast],MATCH(I74,BASEHIDBALLAST[Pulse Start Metal Halide Nominal],0)),IF(C74="Mercury Vapor",INDEX(BASEHIDBALLAST[Mercury Vapor Ballast],MATCH(I74,BASEHIDBALLAST[Mercury Vapor Nominal],0)),IF(C74="High Pressure Sodium",INDEX(BASEHIDBALLAST[High Pressure Sodium Ballast],MATCH(I74,BASEHIDBALLAST[High Pressure Sodium Nominal],0))))))),"")</f>
        <v/>
      </c>
      <c r="L74" s="1297"/>
      <c r="M74" s="1228"/>
      <c r="N74" s="852"/>
      <c r="O74" s="852"/>
      <c r="P74" s="852"/>
      <c r="Q74" s="1232"/>
      <c r="R74" s="1230"/>
      <c r="S74" s="1230"/>
      <c r="T74" s="1230"/>
      <c r="U74" s="853"/>
      <c r="V74" s="853"/>
      <c r="W74" s="1231"/>
      <c r="X74" s="1231"/>
      <c r="Y74" s="1298"/>
      <c r="Z74" s="852"/>
      <c r="AA74" s="852"/>
      <c r="AB74" s="853"/>
      <c r="AC74" s="853"/>
      <c r="AD74" s="1302"/>
      <c r="AE74" s="1303"/>
      <c r="AF74" s="1304"/>
      <c r="AG74" s="1305"/>
      <c r="AH74" s="1305"/>
      <c r="AI74" s="1306"/>
      <c r="AJ74" s="1250" t="str">
        <f t="shared" ref="AJ74" si="52">IF(OR(C74="",I74="",K74="",G74="",M74="",Q74="",U74="",W74="",Y74="",AB74="",AF74="",AH74=""),"",IFERROR(ROUND(IF((AW74-AX74)&lt;=0,0,BG74*(AW74-AX74)),0),""))</f>
        <v/>
      </c>
      <c r="AK74" s="1251"/>
      <c r="AL74" s="1251"/>
      <c r="AM74" s="1252"/>
      <c r="AN74" s="1238" t="str">
        <f>IF(M02S02F44="","Update Install Status",IF(M02S02F49="Yes","Use New Load",IF(OR(C74="",I74="",K74="",G74="",M74="",Q74="",U74="",W74="",Y74="",AB74="",AF74="",AH74="",AD74=""),"",IF(BE74&lt;&gt;"",BE74,IF(BD74&lt;0,"No Incentive Savings",ROUND(MIN(AU74,BD74),2))))))</f>
        <v>Update Install Status</v>
      </c>
      <c r="AO74" s="1239"/>
      <c r="AP74" s="1239"/>
      <c r="AQ74" s="1240"/>
      <c r="AS74"/>
      <c r="AT74"/>
      <c r="AU74" s="804" t="str">
        <f>IF(OR(C74="",I74="",K74="",G74="",M74="",Q74="",U74="",W74="",Y74="",AB74="",AF74="",AH74=""),"",(ROUND((AF74+AH74)*U74,2)))</f>
        <v/>
      </c>
      <c r="AV74" s="806" t="str">
        <f>IF(OR(C74="",I74="",K74="",G74="",M74="",Q74="",U74="",W74="",Y74="",AB74="",AF74="",AH74=""),"",ROUND(AJ74*INDEX(ENDUSEALL[Factor],MATCH(INDEX(PMELIGHTHID[End Use Category],MATCH(BA74,PMELIGHTHID[Measure Validator],0)),ENDUSEALL[End Use to Coincident Peak Demand Factors],0)),4))</f>
        <v/>
      </c>
      <c r="AW74" s="802" t="str">
        <f>IF(OR(C74="",I74="",K74="",G74="",M74="",Q74="",U74="",W74="",Y74="",AB74="",AF74="",AH74=""),"",ROUND(K74*G74*AB74/1000,0))</f>
        <v/>
      </c>
      <c r="AX74" s="802" t="str">
        <f>IF(OR(C74="",I74="",K74="",G74="",M74="",Q74="",U74="",W74="",Y74="",AB74="",AF74="",AH74=""),"",IF(ISNUMBER(SEARCH("Network",M74)),ROUND(0.76*W74*U74*AB74/1000,0),ROUND(W74*U74*AB74/1000,0)))</f>
        <v/>
      </c>
      <c r="AY74" s="750" t="str">
        <f>IF(OR(C74="",I74="",K74="",G74="",M74="",Q74="",U74="",W74="",Y74="",AB74="",AF74="",AH74=""),"",IF(G74&gt;=U74,ROUND(K74*U74,0),IF(G74&lt;U74,ROUND(K74*G74,0))))</f>
        <v/>
      </c>
      <c r="AZ74" s="800" t="str">
        <f>IF(OR(C74="",G74="",I74="",K74="",M74="",Q74="",U74="",W74="",Y74="",AB74="",AD74="",AF74="",AH74=""),"",ROUND(W74*U74,0))</f>
        <v/>
      </c>
      <c r="BA74" s="1290" t="str">
        <f>IFERROR(IF(ISNUMBER(SEARCH("Pulse Start",C74)),CONCATENATE("Metal Halide","-","LED","-",M74),CONCATENATE(C74,"-","LED","-",M74)),"")</f>
        <v>-LED-</v>
      </c>
      <c r="BB74" s="747" t="str">
        <f>IF(OR(C74="",I74="",K74="",G74="",M74="",Q74="",U74="",W74="",Y74="",AB74="",AF74="",AH74=""),"",INDEX(PMELIGHTHID[Measure '#],MATCH(BA74,PMELIGHTHID[Measure Validator],0)))</f>
        <v/>
      </c>
      <c r="BC74" s="1287" t="str">
        <f ca="1">IFERROR(IF(OR(C74="",AH74=""),"",IF(BB74="","",IF(AND(AND(SUBLIGHTDATE1&lt;&gt;"No",SUBLIGHTDATE2&lt;&gt;"No",SUBLIGHTDATE3&lt;&gt;"No"),M02S02F44="No",OR(M02S02F43&lt;=DATEVALUE("12/31/2021"),M02S02F43=""),OR(TODAY()&lt;=LIGHTING2021,ACTLIGHT&lt;&gt;"")),LIGHTRATE21*(INDEX(PMELIGHTHID[Inc Rate Unit],MATCH(BA74,PMELIGHTHID[Measure Validator],0))),INDEX(PMELIGHTHID[Inc Rate Unit],MATCH(BA74,PMELIGHTHID[Measure Validator],0))))),"")</f>
        <v/>
      </c>
      <c r="BD74" s="747" t="str">
        <f>IFERROR(ROUND(IF(OR(C74="",AH74=""),"",IF(BB74="","",(AY74-AZ74)*BC74)),2),"")</f>
        <v/>
      </c>
      <c r="BE74" s="747" t="str">
        <f>IF(OR(C74="",I74="",K74="",G74="",M74="",Q74="",U74="",W74="",Y74="",AB74="",AF74="",AH74=""),"",IFERROR(IF(AB74&lt;INDEX(PMELIGHTHID[Op Hr 1],MATCH(BA74,PMELIGHTHID[Measure Validator],0)),"Operating Hours Invalid",IF(ISNUMBER(SEARCH("SPILLOVER",Y74)),PROJSTATELI,IF((AW74-AX74)&lt;0,"No Savings",""))),"ERROR"))</f>
        <v/>
      </c>
      <c r="BF74" s="1289" t="str">
        <f>IF(AND(ISBLANK(AF74),ISBLANK(AH74)),"",IF(BD74&gt;AU74,"Yes","No"))</f>
        <v/>
      </c>
      <c r="BG74" s="1051">
        <f>IF(M02S02F32&lt;&gt;"",INDEX(SPACEHEAT[HIF],MATCH(M02S02F32,SHEAT,0)),1)</f>
        <v>1</v>
      </c>
      <c r="BH74" s="1225">
        <f t="shared" ref="BH74" si="53">IFERROR(ROUND(BJ74*1.1,2),0)</f>
        <v>0</v>
      </c>
      <c r="BI74" s="804" t="str">
        <f>IF(M02S02F44="","Update Install Status",IF(M02S02F49="Yes","Use New Load",IF(OR(C74="",I74="",K74="",G74="",M74="",Q74="",U74="",W74="",Y74="",AB74="",AF74="",AH74="",AD74=""),"",IF(BE74&lt;&gt;"",BE74,ROUND(BH74*BONUSADJ,2)))))</f>
        <v>Update Install Status</v>
      </c>
      <c r="BJ74" s="804" t="str">
        <f>IF(M02S02F44="","Update Install Status",IF(M02S02F49="Yes","Use New Load",IF(OR(C74="",I74="",K74="",G74="",M74="",Q74="",U74="",W74="",Y74="",AB74="",AF74="",AH74="",AD74=""),"",IF(BE74&lt;&gt;"",BE74,IF(BD74&lt;0,"No Incentive Savings",ROUND(MIN(AU74,BD74),2))))))</f>
        <v>Update Install Status</v>
      </c>
    </row>
    <row r="75" spans="2:62" ht="15.95" customHeight="1" x14ac:dyDescent="0.25">
      <c r="B75" s="1193"/>
      <c r="C75" s="845"/>
      <c r="D75" s="1308"/>
      <c r="E75" s="1308"/>
      <c r="F75" s="846"/>
      <c r="G75" s="1299"/>
      <c r="H75" s="1299"/>
      <c r="I75" s="1301"/>
      <c r="J75" s="1301"/>
      <c r="K75" s="1273"/>
      <c r="L75" s="1274"/>
      <c r="M75" s="1228"/>
      <c r="N75" s="852"/>
      <c r="O75" s="852"/>
      <c r="P75" s="852"/>
      <c r="Q75" s="1230"/>
      <c r="R75" s="1230"/>
      <c r="S75" s="1230"/>
      <c r="T75" s="1230"/>
      <c r="U75" s="853"/>
      <c r="V75" s="853"/>
      <c r="W75" s="1231"/>
      <c r="X75" s="1231"/>
      <c r="Y75" s="852"/>
      <c r="Z75" s="852"/>
      <c r="AA75" s="852"/>
      <c r="AB75" s="853"/>
      <c r="AC75" s="853"/>
      <c r="AD75" s="1302"/>
      <c r="AE75" s="1303"/>
      <c r="AF75" s="1304"/>
      <c r="AG75" s="1305"/>
      <c r="AH75" s="1305"/>
      <c r="AI75" s="1306"/>
      <c r="AJ75" s="1250"/>
      <c r="AK75" s="1251"/>
      <c r="AL75" s="1251"/>
      <c r="AM75" s="1252"/>
      <c r="AN75" s="1238"/>
      <c r="AO75" s="1239"/>
      <c r="AP75" s="1239"/>
      <c r="AQ75" s="1240"/>
      <c r="AS75"/>
      <c r="AT75"/>
      <c r="AU75" s="805"/>
      <c r="AV75" s="807"/>
      <c r="AW75" s="803"/>
      <c r="AX75" s="803"/>
      <c r="AY75" s="751"/>
      <c r="AZ75" s="801"/>
      <c r="BA75" s="1291"/>
      <c r="BB75" s="748"/>
      <c r="BC75" s="1288"/>
      <c r="BD75" s="748"/>
      <c r="BE75" s="748"/>
      <c r="BF75" s="1289"/>
      <c r="BG75" s="1052"/>
      <c r="BH75" s="1226"/>
      <c r="BI75" s="805"/>
      <c r="BJ75" s="805"/>
    </row>
    <row r="76" spans="2:62" ht="15.95" customHeight="1" x14ac:dyDescent="0.25">
      <c r="B76" s="1193">
        <v>30</v>
      </c>
      <c r="C76" s="843"/>
      <c r="D76" s="1307"/>
      <c r="E76" s="1307"/>
      <c r="F76" s="844"/>
      <c r="G76" s="853"/>
      <c r="H76" s="853"/>
      <c r="I76" s="1300"/>
      <c r="J76" s="1300"/>
      <c r="K76" s="1296" t="str">
        <f>IFERROR(IF(OR(C76="",I76=""),"",IF(C76="Metal Halide",INDEX(BASEHIDBALLAST[Metal Halide Ballast],MATCH(I76,BASEHIDBALLAST[Metal Halide Nominal],0)),IF(C76="Pulse Start Metal Halide",INDEX(BASEHIDBALLAST[Pulse Start Metal Halide Ballast],MATCH(I76,BASEHIDBALLAST[Pulse Start Metal Halide Nominal],0)),IF(C76="Mercury Vapor",INDEX(BASEHIDBALLAST[Mercury Vapor Ballast],MATCH(I76,BASEHIDBALLAST[Mercury Vapor Nominal],0)),IF(C76="High Pressure Sodium",INDEX(BASEHIDBALLAST[High Pressure Sodium Ballast],MATCH(I76,BASEHIDBALLAST[High Pressure Sodium Nominal],0))))))),"")</f>
        <v/>
      </c>
      <c r="L76" s="1297"/>
      <c r="M76" s="1228"/>
      <c r="N76" s="852"/>
      <c r="O76" s="852"/>
      <c r="P76" s="852"/>
      <c r="Q76" s="1232"/>
      <c r="R76" s="1230"/>
      <c r="S76" s="1230"/>
      <c r="T76" s="1230"/>
      <c r="U76" s="853"/>
      <c r="V76" s="853"/>
      <c r="W76" s="1231"/>
      <c r="X76" s="1231"/>
      <c r="Y76" s="1298"/>
      <c r="Z76" s="852"/>
      <c r="AA76" s="852"/>
      <c r="AB76" s="853"/>
      <c r="AC76" s="853"/>
      <c r="AD76" s="1302"/>
      <c r="AE76" s="1303"/>
      <c r="AF76" s="1304"/>
      <c r="AG76" s="1305"/>
      <c r="AH76" s="1305"/>
      <c r="AI76" s="1306"/>
      <c r="AJ76" s="1250" t="str">
        <f t="shared" ref="AJ76" si="54">IF(OR(C76="",I76="",K76="",G76="",M76="",Q76="",U76="",W76="",Y76="",AB76="",AF76="",AH76=""),"",IFERROR(ROUND(IF((AW76-AX76)&lt;=0,0,BG76*(AW76-AX76)),0),""))</f>
        <v/>
      </c>
      <c r="AK76" s="1251"/>
      <c r="AL76" s="1251"/>
      <c r="AM76" s="1252"/>
      <c r="AN76" s="1238" t="str">
        <f>IF(M02S02F44="","Update Install Status",IF(M02S02F49="Yes","Use New Load",IF(OR(C76="",I76="",K76="",G76="",M76="",Q76="",U76="",W76="",Y76="",AB76="",AF76="",AH76="",AD76=""),"",IF(BE76&lt;&gt;"",BE76,IF(BD76&lt;0,"No Incentive Savings",ROUND(MIN(AU76,BD76),2))))))</f>
        <v>Update Install Status</v>
      </c>
      <c r="AO76" s="1239"/>
      <c r="AP76" s="1239"/>
      <c r="AQ76" s="1240"/>
      <c r="AS76"/>
      <c r="AT76"/>
      <c r="AU76" s="804" t="str">
        <f>IF(OR(C76="",I76="",K76="",G76="",M76="",Q76="",U76="",W76="",Y76="",AB76="",AF76="",AH76=""),"",(ROUND((AF76+AH76)*U76,2)))</f>
        <v/>
      </c>
      <c r="AV76" s="806" t="str">
        <f>IF(OR(C76="",I76="",K76="",G76="",M76="",Q76="",U76="",W76="",Y76="",AB76="",AF76="",AH76=""),"",ROUND(AJ76*INDEX(ENDUSEALL[Factor],MATCH(INDEX(PMELIGHTHID[End Use Category],MATCH(BA76,PMELIGHTHID[Measure Validator],0)),ENDUSEALL[End Use to Coincident Peak Demand Factors],0)),4))</f>
        <v/>
      </c>
      <c r="AW76" s="802" t="str">
        <f>IF(OR(C76="",I76="",K76="",G76="",M76="",Q76="",U76="",W76="",Y76="",AB76="",AF76="",AH76=""),"",ROUND(K76*G76*AB76/1000,0))</f>
        <v/>
      </c>
      <c r="AX76" s="802" t="str">
        <f>IF(OR(C76="",I76="",K76="",G76="",M76="",Q76="",U76="",W76="",Y76="",AB76="",AF76="",AH76=""),"",IF(ISNUMBER(SEARCH("Network",M76)),ROUND(0.76*W76*U76*AB76/1000,0),ROUND(W76*U76*AB76/1000,0)))</f>
        <v/>
      </c>
      <c r="AY76" s="750" t="str">
        <f>IF(OR(C76="",I76="",K76="",G76="",M76="",Q76="",U76="",W76="",Y76="",AB76="",AF76="",AH76=""),"",IF(G76&gt;=U76,ROUND(K76*U76,0),IF(G76&lt;U76,ROUND(K76*G76,0))))</f>
        <v/>
      </c>
      <c r="AZ76" s="800" t="str">
        <f>IF(OR(C76="",G76="",I76="",K76="",M76="",Q76="",U76="",W76="",Y76="",AB76="",AD76="",AF76="",AH76=""),"",ROUND(W76*U76,0))</f>
        <v/>
      </c>
      <c r="BA76" s="1290" t="str">
        <f>IFERROR(IF(ISNUMBER(SEARCH("Pulse Start",C76)),CONCATENATE("Metal Halide","-","LED","-",M76),CONCATENATE(C76,"-","LED","-",M76)),"")</f>
        <v>-LED-</v>
      </c>
      <c r="BB76" s="747" t="str">
        <f>IF(OR(C76="",I76="",K76="",G76="",M76="",Q76="",U76="",W76="",Y76="",AB76="",AF76="",AH76=""),"",INDEX(PMELIGHTHID[Measure '#],MATCH(BA76,PMELIGHTHID[Measure Validator],0)))</f>
        <v/>
      </c>
      <c r="BC76" s="1287" t="str">
        <f ca="1">IFERROR(IF(OR(C76="",AH76=""),"",IF(BB76="","",IF(AND(AND(SUBLIGHTDATE1&lt;&gt;"No",SUBLIGHTDATE2&lt;&gt;"No",SUBLIGHTDATE3&lt;&gt;"No"),M02S02F44="No",OR(M02S02F43&lt;=DATEVALUE("12/31/2021"),M02S02F43=""),OR(TODAY()&lt;=LIGHTING2021,ACTLIGHT&lt;&gt;"")),LIGHTRATE21*(INDEX(PMELIGHTHID[Inc Rate Unit],MATCH(BA76,PMELIGHTHID[Measure Validator],0))),INDEX(PMELIGHTHID[Inc Rate Unit],MATCH(BA76,PMELIGHTHID[Measure Validator],0))))),"")</f>
        <v/>
      </c>
      <c r="BD76" s="747" t="str">
        <f>IFERROR(ROUND(IF(OR(C76="",AH76=""),"",IF(BB76="","",(AY76-AZ76)*BC76)),2),"")</f>
        <v/>
      </c>
      <c r="BE76" s="747" t="str">
        <f>IF(OR(C76="",I76="",K76="",G76="",M76="",Q76="",U76="",W76="",Y76="",AB76="",AF76="",AH76=""),"",IFERROR(IF(AB76&lt;INDEX(PMELIGHTHID[Op Hr 1],MATCH(BA76,PMELIGHTHID[Measure Validator],0)),"Operating Hours Invalid",IF(ISNUMBER(SEARCH("SPILLOVER",Y76)),PROJSTATELI,IF((AW76-AX76)&lt;0,"No Savings",""))),"ERROR"))</f>
        <v/>
      </c>
      <c r="BF76" s="1289" t="str">
        <f>IF(AND(ISBLANK(AF76),ISBLANK(AH76)),"",IF(BD76&gt;AU76,"Yes","No"))</f>
        <v/>
      </c>
      <c r="BG76" s="1051">
        <f>IF(M02S02F32&lt;&gt;"",INDEX(SPACEHEAT[HIF],MATCH(M02S02F32,SHEAT,0)),1)</f>
        <v>1</v>
      </c>
      <c r="BH76" s="1225">
        <f t="shared" ref="BH76" si="55">IFERROR(ROUND(BJ76*1.1,2),0)</f>
        <v>0</v>
      </c>
      <c r="BI76" s="804" t="str">
        <f>IF(M02S02F44="","Update Install Status",IF(M02S02F49="Yes","Use New Load",IF(OR(C76="",I76="",K76="",G76="",M76="",Q76="",U76="",W76="",Y76="",AB76="",AF76="",AH76="",AD76=""),"",IF(BE76&lt;&gt;"",BE76,ROUND(BH76*BONUSADJ,2)))))</f>
        <v>Update Install Status</v>
      </c>
      <c r="BJ76" s="804" t="str">
        <f>IF(M02S02F44="","Update Install Status",IF(M02S02F49="Yes","Use New Load",IF(OR(C76="",I76="",K76="",G76="",M76="",Q76="",U76="",W76="",Y76="",AB76="",AF76="",AH76="",AD76=""),"",IF(BE76&lt;&gt;"",BE76,IF(BD76&lt;0,"No Incentive Savings",ROUND(MIN(AU76,BD76),2))))))</f>
        <v>Update Install Status</v>
      </c>
    </row>
    <row r="77" spans="2:62" ht="15.95" customHeight="1" thickBot="1" x14ac:dyDescent="0.3">
      <c r="B77" s="1193"/>
      <c r="C77" s="845"/>
      <c r="D77" s="1308"/>
      <c r="E77" s="1308"/>
      <c r="F77" s="846"/>
      <c r="G77" s="1299"/>
      <c r="H77" s="1299"/>
      <c r="I77" s="1301"/>
      <c r="J77" s="1301"/>
      <c r="K77" s="1273"/>
      <c r="L77" s="1274"/>
      <c r="M77" s="1228"/>
      <c r="N77" s="852"/>
      <c r="O77" s="852"/>
      <c r="P77" s="852"/>
      <c r="Q77" s="1312"/>
      <c r="R77" s="1312"/>
      <c r="S77" s="1312"/>
      <c r="T77" s="1312"/>
      <c r="U77" s="853"/>
      <c r="V77" s="853"/>
      <c r="W77" s="1313"/>
      <c r="X77" s="1313"/>
      <c r="Y77" s="1309"/>
      <c r="Z77" s="1309"/>
      <c r="AA77" s="1309"/>
      <c r="AB77" s="1314"/>
      <c r="AC77" s="1314"/>
      <c r="AD77" s="1321"/>
      <c r="AE77" s="1322"/>
      <c r="AF77" s="1323"/>
      <c r="AG77" s="1324"/>
      <c r="AH77" s="1324"/>
      <c r="AI77" s="1325"/>
      <c r="AJ77" s="1326"/>
      <c r="AK77" s="1327"/>
      <c r="AL77" s="1327"/>
      <c r="AM77" s="1328"/>
      <c r="AN77" s="1238"/>
      <c r="AO77" s="1239"/>
      <c r="AP77" s="1239"/>
      <c r="AQ77" s="1240"/>
      <c r="AS77"/>
      <c r="AT77"/>
      <c r="AU77" s="805"/>
      <c r="AV77" s="807"/>
      <c r="AW77" s="803"/>
      <c r="AX77" s="803"/>
      <c r="AY77" s="751"/>
      <c r="AZ77" s="801"/>
      <c r="BA77" s="1291"/>
      <c r="BB77" s="748"/>
      <c r="BC77" s="1288"/>
      <c r="BD77" s="748"/>
      <c r="BE77" s="748"/>
      <c r="BF77" s="1289"/>
      <c r="BG77" s="1052"/>
      <c r="BH77" s="1226"/>
      <c r="BI77" s="805"/>
      <c r="BJ77" s="805"/>
    </row>
    <row r="78" spans="2:62" ht="15.95" customHeight="1" x14ac:dyDescent="0.25">
      <c r="B78" s="1193"/>
      <c r="C78" s="874" t="s">
        <v>1229</v>
      </c>
      <c r="D78" s="874"/>
      <c r="E78" s="874"/>
      <c r="F78" s="874"/>
      <c r="G78" s="874" t="s">
        <v>1491</v>
      </c>
      <c r="H78" s="874"/>
      <c r="I78" s="874" t="s">
        <v>1370</v>
      </c>
      <c r="J78" s="874"/>
      <c r="K78" s="874" t="s">
        <v>1365</v>
      </c>
      <c r="L78" s="874"/>
      <c r="M78" s="1310" t="s">
        <v>1394</v>
      </c>
      <c r="N78" s="1310"/>
      <c r="O78" s="1310"/>
      <c r="P78" s="1310"/>
      <c r="Q78" s="1310" t="s">
        <v>1364</v>
      </c>
      <c r="R78" s="1310"/>
      <c r="S78" s="1310"/>
      <c r="T78" s="1310"/>
      <c r="U78" s="874" t="s">
        <v>1489</v>
      </c>
      <c r="V78" s="874"/>
      <c r="W78" s="874" t="s">
        <v>1365</v>
      </c>
      <c r="X78" s="874"/>
      <c r="Y78" s="874" t="s">
        <v>1357</v>
      </c>
      <c r="Z78" s="874"/>
      <c r="AA78" s="874"/>
      <c r="AB78" s="874" t="s">
        <v>1147</v>
      </c>
      <c r="AC78" s="874"/>
      <c r="AD78" s="1330" t="s">
        <v>1674</v>
      </c>
      <c r="AE78" s="1330"/>
      <c r="AF78" s="1332" t="s">
        <v>1225</v>
      </c>
      <c r="AG78" s="1332"/>
      <c r="AH78" s="1332" t="s">
        <v>1145</v>
      </c>
      <c r="AI78" s="1332"/>
      <c r="AJ78" s="874" t="s">
        <v>88</v>
      </c>
      <c r="AK78" s="874"/>
      <c r="AL78" s="874"/>
      <c r="AM78" s="874"/>
      <c r="AN78" s="874" t="s">
        <v>448</v>
      </c>
      <c r="AO78" s="874"/>
      <c r="AP78" s="874"/>
      <c r="AQ78" s="874"/>
      <c r="AU78" s="799" t="s">
        <v>191</v>
      </c>
      <c r="AV78" s="799" t="s">
        <v>1226</v>
      </c>
      <c r="AW78" s="799" t="s">
        <v>827</v>
      </c>
      <c r="AX78" s="799" t="s">
        <v>193</v>
      </c>
      <c r="AY78" s="799" t="s">
        <v>1361</v>
      </c>
      <c r="AZ78" s="799" t="s">
        <v>1362</v>
      </c>
      <c r="BA78" s="799" t="s">
        <v>1228</v>
      </c>
      <c r="BB78" s="799" t="s">
        <v>125</v>
      </c>
      <c r="BC78" s="799" t="s">
        <v>1011</v>
      </c>
      <c r="BD78" s="799" t="s">
        <v>1379</v>
      </c>
      <c r="BE78" s="799" t="s">
        <v>473</v>
      </c>
      <c r="BF78" s="799" t="s">
        <v>1352</v>
      </c>
      <c r="BG78" s="745" t="s">
        <v>2251</v>
      </c>
      <c r="BH78" s="1336" t="s">
        <v>2006</v>
      </c>
      <c r="BI78" s="1336" t="s">
        <v>2007</v>
      </c>
      <c r="BJ78" s="1334" t="s">
        <v>2008</v>
      </c>
    </row>
    <row r="79" spans="2:62" ht="15.95" customHeight="1" thickBot="1" x14ac:dyDescent="0.3">
      <c r="B79" s="1193"/>
      <c r="C79" s="877"/>
      <c r="D79" s="877"/>
      <c r="E79" s="877"/>
      <c r="F79" s="877"/>
      <c r="G79" s="877"/>
      <c r="H79" s="877"/>
      <c r="I79" s="877"/>
      <c r="J79" s="877"/>
      <c r="K79" s="877"/>
      <c r="L79" s="877"/>
      <c r="M79" s="1311"/>
      <c r="N79" s="1311"/>
      <c r="O79" s="1311"/>
      <c r="P79" s="1311"/>
      <c r="Q79" s="1311"/>
      <c r="R79" s="1311"/>
      <c r="S79" s="1311"/>
      <c r="T79" s="1311"/>
      <c r="U79" s="877"/>
      <c r="V79" s="877"/>
      <c r="W79" s="877"/>
      <c r="X79" s="877"/>
      <c r="Y79" s="877"/>
      <c r="Z79" s="877"/>
      <c r="AA79" s="877"/>
      <c r="AB79" s="877"/>
      <c r="AC79" s="877"/>
      <c r="AD79" s="1331"/>
      <c r="AE79" s="1331"/>
      <c r="AF79" s="1333"/>
      <c r="AG79" s="1333"/>
      <c r="AH79" s="1333"/>
      <c r="AI79" s="1333"/>
      <c r="AJ79" s="877"/>
      <c r="AK79" s="877"/>
      <c r="AL79" s="877"/>
      <c r="AM79" s="877"/>
      <c r="AN79" s="877"/>
      <c r="AO79" s="877"/>
      <c r="AP79" s="877"/>
      <c r="AQ79" s="877"/>
      <c r="AU79" s="746"/>
      <c r="AV79" s="746"/>
      <c r="AW79" s="746"/>
      <c r="AX79" s="746"/>
      <c r="AY79" s="746"/>
      <c r="AZ79" s="746"/>
      <c r="BA79" s="746"/>
      <c r="BB79" s="746"/>
      <c r="BC79" s="746"/>
      <c r="BD79" s="746"/>
      <c r="BE79" s="746"/>
      <c r="BF79" s="746"/>
      <c r="BG79" s="746"/>
      <c r="BH79" s="1335"/>
      <c r="BI79" s="1335"/>
      <c r="BJ79" s="1335"/>
    </row>
    <row r="80" spans="2:62" ht="15.95" hidden="1" customHeight="1" x14ac:dyDescent="0.25">
      <c r="B80" s="1193">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BH80" s="259"/>
      <c r="BI80" s="259"/>
      <c r="BJ80" s="259"/>
    </row>
    <row r="81" spans="2:62" ht="15.95" hidden="1" customHeight="1" x14ac:dyDescent="0.25">
      <c r="B81" s="119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BH81" s="259"/>
      <c r="BI81" s="259"/>
      <c r="BJ81" s="259"/>
    </row>
    <row r="82" spans="2:62" ht="15.95" hidden="1" customHeight="1" x14ac:dyDescent="0.25">
      <c r="B82" s="1193">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BH82" s="259"/>
      <c r="BI82" s="259"/>
      <c r="BJ82" s="259"/>
    </row>
    <row r="83" spans="2:62" ht="15.95" hidden="1" customHeight="1" x14ac:dyDescent="0.25">
      <c r="B83" s="119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BH83" s="259"/>
      <c r="BI83" s="259"/>
      <c r="BJ83" s="259"/>
    </row>
    <row r="84" spans="2:62" ht="15.95" hidden="1" customHeight="1" x14ac:dyDescent="0.25">
      <c r="B84" s="1193">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BH84" s="259"/>
      <c r="BI84" s="259"/>
      <c r="BJ84" s="259"/>
    </row>
    <row r="85" spans="2:62" ht="15.95" hidden="1" customHeight="1" x14ac:dyDescent="0.25">
      <c r="B85" s="119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BH85" s="259"/>
      <c r="BI85" s="259"/>
      <c r="BJ85" s="259"/>
    </row>
    <row r="86" spans="2:62" ht="15.95" hidden="1" customHeight="1" x14ac:dyDescent="0.25">
      <c r="B86" s="1193">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BH86" s="259"/>
      <c r="BI86" s="259"/>
      <c r="BJ86" s="259"/>
    </row>
    <row r="87" spans="2:62" ht="15.95" hidden="1" customHeight="1" x14ac:dyDescent="0.25">
      <c r="B87" s="119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BH87" s="259"/>
      <c r="BI87" s="259"/>
      <c r="BJ87" s="259"/>
    </row>
    <row r="88" spans="2:62" ht="15.95" hidden="1" customHeight="1" x14ac:dyDescent="0.25">
      <c r="B88" s="1193">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BH88" s="259"/>
      <c r="BI88" s="259"/>
      <c r="BJ88" s="259"/>
    </row>
    <row r="89" spans="2:62" ht="15.95" hidden="1" customHeight="1" x14ac:dyDescent="0.25">
      <c r="B89" s="119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BH89" s="259"/>
      <c r="BI89" s="259"/>
      <c r="BJ89" s="259"/>
    </row>
    <row r="90" spans="2:62" ht="15.95" hidden="1" customHeight="1" x14ac:dyDescent="0.25">
      <c r="B90" s="1193">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BH90" s="259"/>
      <c r="BI90" s="259"/>
      <c r="BJ90" s="259"/>
    </row>
    <row r="91" spans="2:62" ht="15.95" hidden="1" customHeight="1" x14ac:dyDescent="0.25">
      <c r="B91" s="119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BH91" s="259"/>
      <c r="BI91" s="259"/>
      <c r="BJ91" s="259"/>
    </row>
    <row r="92" spans="2:62" ht="15.95" hidden="1" customHeight="1" x14ac:dyDescent="0.25">
      <c r="B92" s="1193">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BH92" s="259"/>
      <c r="BI92" s="259"/>
      <c r="BJ92" s="259"/>
    </row>
    <row r="93" spans="2:62" ht="15.95" hidden="1" customHeight="1" x14ac:dyDescent="0.25">
      <c r="B93" s="119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BH93" s="259"/>
      <c r="BI93" s="259"/>
      <c r="BJ93" s="259"/>
    </row>
    <row r="94" spans="2:62" ht="15.95" hidden="1" customHeight="1" x14ac:dyDescent="0.25">
      <c r="B94" s="1193">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BH94" s="259"/>
      <c r="BI94" s="259"/>
      <c r="BJ94" s="259"/>
    </row>
    <row r="95" spans="2:62" ht="15.95" hidden="1" customHeight="1" x14ac:dyDescent="0.25">
      <c r="B95" s="119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BH95" s="259"/>
      <c r="BI95" s="259"/>
      <c r="BJ95" s="259"/>
    </row>
    <row r="96" spans="2:62" ht="15.95" hidden="1" customHeight="1" x14ac:dyDescent="0.25">
      <c r="B96" s="1193">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BH96" s="259"/>
      <c r="BI96" s="259"/>
      <c r="BJ96" s="259"/>
    </row>
    <row r="97" spans="2:62" ht="15.95" hidden="1" customHeight="1" x14ac:dyDescent="0.25">
      <c r="B97" s="119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BH97" s="259"/>
      <c r="BI97" s="259"/>
      <c r="BJ97" s="259"/>
    </row>
    <row r="98" spans="2:62" ht="15.95" hidden="1" customHeight="1" x14ac:dyDescent="0.25">
      <c r="B98" s="1193">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BH98" s="259"/>
      <c r="BI98" s="259"/>
      <c r="BJ98" s="259"/>
    </row>
    <row r="99" spans="2:62" ht="15.95" hidden="1" customHeight="1" x14ac:dyDescent="0.25">
      <c r="B99" s="119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BH99" s="259"/>
      <c r="BI99" s="259"/>
      <c r="BJ99" s="259"/>
    </row>
    <row r="100" spans="2:62" ht="15.95" hidden="1" customHeight="1" x14ac:dyDescent="0.25">
      <c r="B100" s="1193">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BH100" s="259"/>
      <c r="BI100" s="259"/>
      <c r="BJ100" s="259"/>
    </row>
    <row r="101" spans="2:62" ht="15.95" hidden="1" customHeight="1" x14ac:dyDescent="0.25">
      <c r="B101" s="119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BH101" s="259"/>
      <c r="BI101" s="259"/>
      <c r="BJ101" s="259"/>
    </row>
    <row r="102" spans="2:62" ht="15.95" hidden="1" customHeight="1" x14ac:dyDescent="0.25">
      <c r="B102" s="1193">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BH102" s="259"/>
      <c r="BI102" s="259"/>
      <c r="BJ102" s="259"/>
    </row>
    <row r="103" spans="2:62" ht="15.95" hidden="1" customHeight="1" x14ac:dyDescent="0.25">
      <c r="B103" s="119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BH103" s="259"/>
      <c r="BI103" s="259"/>
      <c r="BJ103" s="259"/>
    </row>
    <row r="104" spans="2:62" ht="15.95" hidden="1" customHeight="1" x14ac:dyDescent="0.25">
      <c r="B104" s="1193">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BH104" s="259"/>
      <c r="BI104" s="259"/>
      <c r="BJ104" s="259"/>
    </row>
    <row r="105" spans="2:62" ht="15.95" hidden="1" customHeight="1" x14ac:dyDescent="0.25">
      <c r="B105" s="119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BH105" s="259"/>
      <c r="BI105" s="259"/>
      <c r="BJ105" s="259"/>
    </row>
    <row r="106" spans="2:62" ht="15.95" hidden="1" customHeight="1" x14ac:dyDescent="0.25">
      <c r="B106" s="1193">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BH106" s="259"/>
      <c r="BI106" s="259"/>
      <c r="BJ106" s="259"/>
    </row>
    <row r="107" spans="2:62" ht="15.95" hidden="1" customHeight="1" x14ac:dyDescent="0.25">
      <c r="B107" s="119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BH107" s="259"/>
      <c r="BI107" s="259"/>
      <c r="BJ107" s="259"/>
    </row>
    <row r="108" spans="2:62" ht="15.95" hidden="1" customHeight="1" x14ac:dyDescent="0.25">
      <c r="B108" s="1193">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BH108" s="259"/>
      <c r="BI108" s="259"/>
      <c r="BJ108" s="259"/>
    </row>
    <row r="109" spans="2:62" ht="15.95" hidden="1" customHeight="1" x14ac:dyDescent="0.25">
      <c r="B109" s="119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BH109" s="259"/>
      <c r="BI109" s="259"/>
      <c r="BJ109" s="259"/>
    </row>
    <row r="110" spans="2:62" ht="15.95" hidden="1" customHeight="1" x14ac:dyDescent="0.25">
      <c r="B110" s="1193">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BH110" s="259"/>
      <c r="BI110" s="259"/>
      <c r="BJ110" s="259"/>
    </row>
    <row r="111" spans="2:62" ht="15.95" hidden="1" customHeight="1" x14ac:dyDescent="0.25">
      <c r="B111" s="119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BH111" s="259"/>
      <c r="BI111" s="259"/>
      <c r="BJ111" s="259"/>
    </row>
    <row r="112" spans="2:62" ht="15.95" hidden="1" customHeight="1" x14ac:dyDescent="0.25">
      <c r="B112" s="1193">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BH112" s="259"/>
      <c r="BI112" s="259"/>
      <c r="BJ112" s="259"/>
    </row>
    <row r="113" spans="2:62" ht="15.95" hidden="1" customHeight="1" x14ac:dyDescent="0.25">
      <c r="B113" s="119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BH113" s="259"/>
      <c r="BI113" s="259"/>
      <c r="BJ113" s="259"/>
    </row>
    <row r="114" spans="2:62" ht="15.95" hidden="1" customHeight="1" x14ac:dyDescent="0.25">
      <c r="B114" s="1193">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BH114" s="259"/>
      <c r="BI114" s="259"/>
      <c r="BJ114" s="259"/>
    </row>
    <row r="115" spans="2:62" ht="15.95" hidden="1" customHeight="1" x14ac:dyDescent="0.25">
      <c r="B115" s="119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BH115" s="259"/>
      <c r="BI115" s="259"/>
      <c r="BJ115" s="259"/>
    </row>
    <row r="116" spans="2:62" ht="15.95" hidden="1" customHeight="1" x14ac:dyDescent="0.25">
      <c r="B116" s="1193">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BH116" s="259"/>
      <c r="BI116" s="259"/>
      <c r="BJ116" s="259"/>
    </row>
    <row r="117" spans="2:62" ht="15.95" hidden="1" customHeight="1" x14ac:dyDescent="0.25">
      <c r="B117" s="119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BH117" s="259"/>
      <c r="BI117" s="259"/>
      <c r="BJ117" s="259"/>
    </row>
    <row r="118" spans="2:62" ht="15.95" hidden="1" customHeight="1" x14ac:dyDescent="0.25">
      <c r="B118" s="1193">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BH118" s="259"/>
      <c r="BI118" s="259"/>
      <c r="BJ118" s="259"/>
    </row>
    <row r="119" spans="2:62" ht="15.95" hidden="1" customHeight="1" x14ac:dyDescent="0.25">
      <c r="B119" s="119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BH119" s="259"/>
      <c r="BI119" s="259"/>
      <c r="BJ119" s="259"/>
    </row>
    <row r="120" spans="2:62" ht="15.95" hidden="1" customHeight="1" x14ac:dyDescent="0.25">
      <c r="B120" s="1193">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BH120" s="259"/>
      <c r="BI120" s="259"/>
      <c r="BJ120" s="259"/>
    </row>
    <row r="121" spans="2:62" ht="15.95" hidden="1" customHeight="1" x14ac:dyDescent="0.25">
      <c r="B121" s="119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BH121" s="259"/>
      <c r="BI121" s="259"/>
      <c r="BJ121" s="259"/>
    </row>
    <row r="122" spans="2:62" ht="15.95" hidden="1" customHeight="1" x14ac:dyDescent="0.25">
      <c r="B122" s="1193">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BH122" s="259"/>
      <c r="BI122" s="259"/>
      <c r="BJ122" s="259"/>
    </row>
    <row r="123" spans="2:62" ht="15.95" hidden="1" customHeight="1" x14ac:dyDescent="0.25">
      <c r="B123" s="119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BH123" s="259"/>
      <c r="BI123" s="259"/>
      <c r="BJ123" s="259"/>
    </row>
    <row r="124" spans="2:62" ht="15.95" hidden="1" customHeight="1" x14ac:dyDescent="0.25">
      <c r="B124" s="1193">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BH124" s="259"/>
      <c r="BI124" s="259"/>
      <c r="BJ124" s="259"/>
    </row>
    <row r="125" spans="2:62" ht="15.95" hidden="1" customHeight="1" x14ac:dyDescent="0.25">
      <c r="B125" s="119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BH125" s="259"/>
      <c r="BI125" s="259"/>
      <c r="BJ125" s="259"/>
    </row>
    <row r="126" spans="2:62" ht="15.95" hidden="1" customHeight="1" x14ac:dyDescent="0.25">
      <c r="B126" s="1193">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BH126" s="259"/>
      <c r="BI126" s="259"/>
      <c r="BJ126" s="259"/>
    </row>
    <row r="127" spans="2:62" ht="15.95" hidden="1" customHeight="1" x14ac:dyDescent="0.25">
      <c r="B127" s="119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BH127" s="259"/>
      <c r="BI127" s="259"/>
      <c r="BJ127" s="259"/>
    </row>
    <row r="128" spans="2:62" ht="15.95" hidden="1" customHeight="1" x14ac:dyDescent="0.25">
      <c r="B128" s="1193">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BH128" s="259"/>
      <c r="BI128" s="259"/>
      <c r="BJ128" s="259"/>
    </row>
    <row r="129" spans="2:62" ht="15.95" hidden="1" customHeight="1" x14ac:dyDescent="0.25">
      <c r="B129" s="119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BH129" s="259"/>
      <c r="BI129" s="259"/>
      <c r="BJ129" s="259"/>
    </row>
    <row r="130" spans="2:62" ht="15.95" hidden="1" customHeight="1" x14ac:dyDescent="0.25">
      <c r="B130" s="1193">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BH130" s="259"/>
      <c r="BI130" s="259"/>
      <c r="BJ130" s="259"/>
    </row>
    <row r="131" spans="2:62" ht="15.95" hidden="1" customHeight="1" x14ac:dyDescent="0.25">
      <c r="B131" s="119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BH131" s="259"/>
      <c r="BI131" s="259"/>
      <c r="BJ131" s="259"/>
    </row>
    <row r="132" spans="2:62" ht="15.95" hidden="1" customHeight="1" x14ac:dyDescent="0.25">
      <c r="B132" s="1193">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BH132" s="259"/>
      <c r="BI132" s="259"/>
      <c r="BJ132" s="259"/>
    </row>
    <row r="133" spans="2:62" ht="15.95" hidden="1" customHeight="1" x14ac:dyDescent="0.25">
      <c r="B133" s="119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BH133" s="259"/>
      <c r="BI133" s="259"/>
      <c r="BJ133" s="259"/>
    </row>
    <row r="134" spans="2:62" ht="15.95" hidden="1" customHeight="1" x14ac:dyDescent="0.25">
      <c r="B134" s="1193">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BH134" s="259"/>
      <c r="BI134" s="259"/>
      <c r="BJ134" s="259"/>
    </row>
    <row r="135" spans="2:62" ht="15.95" hidden="1" customHeight="1" x14ac:dyDescent="0.25">
      <c r="B135" s="119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BH135" s="259"/>
      <c r="BI135" s="259"/>
      <c r="BJ135" s="259"/>
    </row>
    <row r="136" spans="2:62" ht="15.95" hidden="1" customHeight="1" x14ac:dyDescent="0.25">
      <c r="B136" s="1193">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BH136" s="259"/>
      <c r="BI136" s="259"/>
      <c r="BJ136" s="259"/>
    </row>
    <row r="137" spans="2:62" ht="15.95" hidden="1" customHeight="1" x14ac:dyDescent="0.25">
      <c r="B137" s="119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BH137" s="259"/>
      <c r="BI137" s="259"/>
      <c r="BJ137" s="259"/>
    </row>
    <row r="138" spans="2:62" ht="15.95" hidden="1" customHeight="1" x14ac:dyDescent="0.25">
      <c r="B138" s="1193">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BH138" s="259"/>
      <c r="BI138" s="259"/>
      <c r="BJ138" s="259"/>
    </row>
    <row r="139" spans="2:62" ht="15.95" hidden="1" customHeight="1" x14ac:dyDescent="0.25">
      <c r="B139" s="119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BH139" s="259"/>
      <c r="BI139" s="259"/>
      <c r="BJ139" s="259"/>
    </row>
    <row r="140" spans="2:62" ht="15.95" hidden="1" customHeight="1" x14ac:dyDescent="0.25">
      <c r="B140" s="1193">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BH140" s="259"/>
      <c r="BI140" s="259"/>
      <c r="BJ140" s="259"/>
    </row>
    <row r="141" spans="2:62" ht="15.95" hidden="1" customHeight="1" x14ac:dyDescent="0.25">
      <c r="B141" s="119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BH141" s="259"/>
      <c r="BI141" s="259"/>
      <c r="BJ141" s="259"/>
    </row>
    <row r="142" spans="2:62" ht="15.95" hidden="1" customHeight="1" x14ac:dyDescent="0.25">
      <c r="B142" s="1193">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BH142" s="259"/>
      <c r="BI142" s="259"/>
      <c r="BJ142" s="259"/>
    </row>
    <row r="143" spans="2:62" ht="15.95" hidden="1" customHeight="1" x14ac:dyDescent="0.25">
      <c r="B143" s="119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BH143" s="259"/>
      <c r="BI143" s="259"/>
      <c r="BJ143" s="259"/>
    </row>
    <row r="144" spans="2:62" ht="15.95" hidden="1" customHeight="1" x14ac:dyDescent="0.25">
      <c r="B144" s="1193">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BH144" s="259"/>
      <c r="BI144" s="259"/>
      <c r="BJ144" s="259"/>
    </row>
    <row r="145" spans="2:62" ht="15.95" hidden="1" customHeight="1" x14ac:dyDescent="0.25">
      <c r="B145" s="119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BH145" s="259"/>
      <c r="BI145" s="259"/>
      <c r="BJ145" s="259"/>
    </row>
    <row r="146" spans="2:62" ht="15.95" hidden="1" customHeight="1" x14ac:dyDescent="0.25">
      <c r="B146" s="1193">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BH146" s="259"/>
      <c r="BI146" s="259"/>
      <c r="BJ146" s="259"/>
    </row>
    <row r="147" spans="2:62" ht="15.95" hidden="1" customHeight="1" x14ac:dyDescent="0.25">
      <c r="B147" s="119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BH147" s="259"/>
      <c r="BI147" s="259"/>
      <c r="BJ147" s="259"/>
    </row>
    <row r="148" spans="2:62" ht="15.95" hidden="1" customHeight="1" x14ac:dyDescent="0.25">
      <c r="B148" s="1193">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BH148" s="259"/>
      <c r="BI148" s="259"/>
      <c r="BJ148" s="259"/>
    </row>
    <row r="149" spans="2:62" ht="15.95" hidden="1" customHeight="1" x14ac:dyDescent="0.25">
      <c r="B149" s="119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BH149" s="259"/>
      <c r="BI149" s="259"/>
      <c r="BJ149" s="259"/>
    </row>
    <row r="150" spans="2:62" ht="15.95" hidden="1" customHeight="1" x14ac:dyDescent="0.25">
      <c r="B150" s="1193">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BH150" s="259"/>
      <c r="BI150" s="259"/>
      <c r="BJ150" s="259"/>
    </row>
    <row r="151" spans="2:62" ht="15.95" hidden="1" customHeight="1" x14ac:dyDescent="0.25">
      <c r="B151" s="119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BH151" s="259"/>
      <c r="BI151" s="259"/>
      <c r="BJ151" s="259"/>
    </row>
    <row r="152" spans="2:62" ht="15.95" hidden="1" customHeight="1" x14ac:dyDescent="0.25">
      <c r="B152" s="1193">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BH152" s="259"/>
      <c r="BI152" s="259"/>
      <c r="BJ152" s="259"/>
    </row>
    <row r="153" spans="2:62" ht="15.95" hidden="1" customHeight="1" x14ac:dyDescent="0.25">
      <c r="B153" s="119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BH153" s="259"/>
      <c r="BI153" s="259"/>
      <c r="BJ153" s="259"/>
    </row>
    <row r="154" spans="2:62" ht="15.95" hidden="1" customHeight="1" x14ac:dyDescent="0.25">
      <c r="B154" s="1193">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BH154" s="259"/>
      <c r="BI154" s="259"/>
      <c r="BJ154" s="259"/>
    </row>
    <row r="155" spans="2:62" ht="15.95" hidden="1" customHeight="1" x14ac:dyDescent="0.25">
      <c r="B155" s="119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BH155" s="259"/>
      <c r="BI155" s="259"/>
      <c r="BJ155" s="259"/>
    </row>
    <row r="156" spans="2:62" ht="15.95" hidden="1" customHeight="1" x14ac:dyDescent="0.25">
      <c r="B156" s="1193">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BH156" s="259"/>
      <c r="BI156" s="259"/>
      <c r="BJ156" s="259"/>
    </row>
    <row r="157" spans="2:62" ht="15.95" hidden="1" customHeight="1" x14ac:dyDescent="0.25">
      <c r="B157" s="119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BH157" s="259"/>
      <c r="BI157" s="259"/>
      <c r="BJ157" s="259"/>
    </row>
    <row r="158" spans="2:62" ht="15.95" hidden="1" customHeight="1" x14ac:dyDescent="0.25">
      <c r="B158" s="1193">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BH158" s="259"/>
      <c r="BI158" s="259"/>
      <c r="BJ158" s="259"/>
    </row>
    <row r="159" spans="2:62" ht="15.95" hidden="1" customHeight="1" x14ac:dyDescent="0.25">
      <c r="B159" s="119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BH159" s="259"/>
      <c r="BI159" s="259"/>
      <c r="BJ159" s="259"/>
    </row>
    <row r="160" spans="2:62" ht="15.95" hidden="1" customHeight="1" x14ac:dyDescent="0.25">
      <c r="B160" s="1193">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BH160" s="259"/>
      <c r="BI160" s="259"/>
      <c r="BJ160" s="259"/>
    </row>
    <row r="161" spans="2:62" ht="15.95" hidden="1" customHeight="1" x14ac:dyDescent="0.25">
      <c r="B161" s="119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BH161" s="259"/>
      <c r="BI161" s="259"/>
      <c r="BJ161" s="259"/>
    </row>
    <row r="162" spans="2:62" ht="15.95" hidden="1" customHeight="1" x14ac:dyDescent="0.25">
      <c r="B162" s="1193">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BH162" s="259"/>
      <c r="BI162" s="259"/>
      <c r="BJ162" s="259"/>
    </row>
    <row r="163" spans="2:62" ht="15.95" hidden="1" customHeight="1" x14ac:dyDescent="0.25">
      <c r="B163" s="119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BH163" s="259"/>
      <c r="BI163" s="259"/>
      <c r="BJ163" s="259"/>
    </row>
    <row r="164" spans="2:62" ht="15.95" hidden="1" customHeight="1" x14ac:dyDescent="0.25">
      <c r="B164" s="1193">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BH164" s="259"/>
      <c r="BI164" s="259"/>
      <c r="BJ164" s="259"/>
    </row>
    <row r="165" spans="2:62" ht="15.95" hidden="1" customHeight="1" x14ac:dyDescent="0.25">
      <c r="B165" s="119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BH165" s="259"/>
      <c r="BI165" s="259"/>
      <c r="BJ165" s="259"/>
    </row>
    <row r="166" spans="2:62" ht="15.95" hidden="1" customHeight="1" x14ac:dyDescent="0.25">
      <c r="B166" s="1193">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BH166" s="259"/>
      <c r="BI166" s="259"/>
      <c r="BJ166" s="259"/>
    </row>
    <row r="167" spans="2:62" ht="15.95" hidden="1" customHeight="1" x14ac:dyDescent="0.25">
      <c r="B167" s="119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BH167" s="259"/>
      <c r="BI167" s="259"/>
      <c r="BJ167" s="259"/>
    </row>
    <row r="168" spans="2:62" ht="15.95" hidden="1" customHeight="1" x14ac:dyDescent="0.25">
      <c r="B168" s="1193">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BH168" s="259"/>
      <c r="BI168" s="259"/>
      <c r="BJ168" s="259"/>
    </row>
    <row r="169" spans="2:62" ht="15.95" hidden="1" customHeight="1" x14ac:dyDescent="0.25">
      <c r="B169" s="119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BH169" s="259"/>
      <c r="BI169" s="259"/>
      <c r="BJ169" s="259"/>
    </row>
    <row r="170" spans="2:62" ht="15.95" hidden="1" customHeight="1" x14ac:dyDescent="0.25">
      <c r="B170" s="1193">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BH170" s="259"/>
      <c r="BI170" s="259"/>
      <c r="BJ170" s="259"/>
    </row>
    <row r="171" spans="2:62" ht="15.95" hidden="1" customHeight="1" x14ac:dyDescent="0.25">
      <c r="B171" s="119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BH171" s="259"/>
      <c r="BI171" s="259"/>
      <c r="BJ171" s="259"/>
    </row>
    <row r="172" spans="2:62" ht="15.95" hidden="1" customHeight="1" x14ac:dyDescent="0.25">
      <c r="B172" s="1193">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BH172" s="259"/>
      <c r="BI172" s="259"/>
      <c r="BJ172" s="259"/>
    </row>
    <row r="173" spans="2:62" ht="15.95" hidden="1" customHeight="1" x14ac:dyDescent="0.25">
      <c r="B173" s="119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BH173" s="259"/>
      <c r="BI173" s="259"/>
      <c r="BJ173" s="259"/>
    </row>
    <row r="174" spans="2:62" ht="15.95" hidden="1" customHeight="1" x14ac:dyDescent="0.25">
      <c r="B174" s="1193">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BH174" s="259"/>
      <c r="BI174" s="259"/>
      <c r="BJ174" s="259"/>
    </row>
    <row r="175" spans="2:62" ht="15.95" hidden="1" customHeight="1" x14ac:dyDescent="0.25">
      <c r="B175" s="119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BH175" s="259"/>
      <c r="BI175" s="259"/>
      <c r="BJ175" s="259"/>
    </row>
    <row r="176" spans="2:62" ht="15.95" hidden="1" customHeight="1" x14ac:dyDescent="0.25">
      <c r="B176" s="1193">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BH176" s="259"/>
      <c r="BI176" s="259"/>
      <c r="BJ176" s="259"/>
    </row>
    <row r="177" spans="2:62" ht="15.95" hidden="1" customHeight="1" x14ac:dyDescent="0.25">
      <c r="B177" s="119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BH177" s="259"/>
      <c r="BI177" s="259"/>
      <c r="BJ177" s="259"/>
    </row>
    <row r="178" spans="2:62" ht="15.95" hidden="1" customHeight="1" x14ac:dyDescent="0.25">
      <c r="B178" s="1193">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BH178" s="259"/>
      <c r="BI178" s="259"/>
      <c r="BJ178" s="259"/>
    </row>
    <row r="179" spans="2:62" ht="15.95" hidden="1" customHeight="1" x14ac:dyDescent="0.25">
      <c r="B179" s="119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BH179" s="259"/>
      <c r="BI179" s="259"/>
      <c r="BJ179" s="259"/>
    </row>
    <row r="180" spans="2:62" ht="15.95" hidden="1" customHeight="1" x14ac:dyDescent="0.25">
      <c r="B180" s="1193">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BH180" s="259"/>
      <c r="BI180" s="259"/>
      <c r="BJ180" s="259"/>
    </row>
    <row r="181" spans="2:62" ht="15.95" hidden="1" customHeight="1" x14ac:dyDescent="0.25">
      <c r="B181" s="119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BH181" s="259"/>
      <c r="BI181" s="259"/>
      <c r="BJ181" s="259"/>
    </row>
    <row r="182" spans="2:62" ht="15.95" hidden="1" customHeight="1" x14ac:dyDescent="0.25">
      <c r="B182" s="1193">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BH182" s="259"/>
      <c r="BI182" s="259"/>
      <c r="BJ182" s="259"/>
    </row>
    <row r="183" spans="2:62" ht="15.95" hidden="1" customHeight="1" x14ac:dyDescent="0.25">
      <c r="B183" s="119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BH183" s="259"/>
      <c r="BI183" s="259"/>
      <c r="BJ183" s="259"/>
    </row>
    <row r="184" spans="2:62" ht="15.95" hidden="1" customHeight="1" x14ac:dyDescent="0.25">
      <c r="B184" s="1193">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BH184" s="259"/>
      <c r="BI184" s="259"/>
      <c r="BJ184" s="259"/>
    </row>
    <row r="185" spans="2:62" ht="15.95" hidden="1" customHeight="1" x14ac:dyDescent="0.25">
      <c r="B185" s="119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BH185" s="259"/>
      <c r="BI185" s="259"/>
      <c r="BJ185" s="259"/>
    </row>
    <row r="186" spans="2:62" ht="15.95" hidden="1" customHeight="1" x14ac:dyDescent="0.25">
      <c r="B186" s="1193">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BH186" s="259"/>
      <c r="BI186" s="259"/>
      <c r="BJ186" s="259"/>
    </row>
    <row r="187" spans="2:62" ht="15.95" hidden="1" customHeight="1" x14ac:dyDescent="0.25">
      <c r="B187" s="119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BH187" s="259"/>
      <c r="BI187" s="259"/>
      <c r="BJ187" s="259"/>
    </row>
    <row r="188" spans="2:62" ht="15.95" hidden="1" customHeight="1" x14ac:dyDescent="0.25">
      <c r="B188" s="1193">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BH188" s="259"/>
      <c r="BI188" s="259"/>
      <c r="BJ188" s="259"/>
    </row>
    <row r="189" spans="2:62" ht="15.95" hidden="1" customHeight="1" x14ac:dyDescent="0.25">
      <c r="B189" s="119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BH189" s="259"/>
      <c r="BI189" s="259"/>
      <c r="BJ189" s="259"/>
    </row>
    <row r="190" spans="2:62" ht="15.95" hidden="1" customHeight="1" x14ac:dyDescent="0.25">
      <c r="B190" s="1193">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BH190" s="259"/>
      <c r="BI190" s="259"/>
      <c r="BJ190" s="259"/>
    </row>
    <row r="191" spans="2:62" ht="15.95" hidden="1" customHeight="1" x14ac:dyDescent="0.25">
      <c r="B191" s="119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BH191" s="259"/>
      <c r="BI191" s="259"/>
      <c r="BJ191" s="259"/>
    </row>
    <row r="192" spans="2:62" ht="15.95" hidden="1" customHeight="1" x14ac:dyDescent="0.25">
      <c r="B192" s="1193">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BH192" s="259"/>
      <c r="BI192" s="259"/>
      <c r="BJ192" s="259"/>
    </row>
    <row r="193" spans="2:62" ht="15.95" hidden="1" customHeight="1" x14ac:dyDescent="0.25">
      <c r="B193" s="119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BH193" s="259"/>
      <c r="BI193" s="259"/>
      <c r="BJ193" s="259"/>
    </row>
    <row r="194" spans="2:62" ht="15.95" hidden="1" customHeight="1" x14ac:dyDescent="0.25">
      <c r="B194" s="1193">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BH194" s="259"/>
      <c r="BI194" s="259"/>
      <c r="BJ194" s="259"/>
    </row>
    <row r="195" spans="2:62" ht="15.95" hidden="1" customHeight="1" x14ac:dyDescent="0.25">
      <c r="B195" s="119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BH195" s="259"/>
      <c r="BI195" s="259"/>
      <c r="BJ195" s="259"/>
    </row>
    <row r="196" spans="2:62" ht="15.95" hidden="1" customHeight="1" x14ac:dyDescent="0.25">
      <c r="B196" s="1193">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BH196" s="259"/>
      <c r="BI196" s="259"/>
      <c r="BJ196" s="259"/>
    </row>
    <row r="197" spans="2:62" ht="15.95" hidden="1" customHeight="1" x14ac:dyDescent="0.25">
      <c r="B197" s="119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BH197" s="259"/>
      <c r="BI197" s="259"/>
      <c r="BJ197" s="259"/>
    </row>
    <row r="198" spans="2:62" ht="15.95" hidden="1" customHeight="1" x14ac:dyDescent="0.25">
      <c r="B198" s="1193">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BH198" s="259"/>
      <c r="BI198" s="259"/>
      <c r="BJ198" s="259"/>
    </row>
    <row r="199" spans="2:62" ht="15.95" hidden="1" customHeight="1" x14ac:dyDescent="0.25">
      <c r="B199" s="119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BH199" s="259"/>
      <c r="BI199" s="259"/>
      <c r="BJ199" s="259"/>
    </row>
    <row r="200" spans="2:62"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c r="BH200" s="804">
        <f>SUM(BH16:BH199)</f>
        <v>0</v>
      </c>
      <c r="BI200" s="804">
        <f>SUM(BI16:BI199)</f>
        <v>0</v>
      </c>
      <c r="BJ200" s="804">
        <f>SUM(BJ16:BJ199)</f>
        <v>0</v>
      </c>
    </row>
    <row r="201" spans="2:62"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c r="BH201" s="805"/>
      <c r="BI201" s="805"/>
      <c r="BJ201" s="805"/>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62" ht="15" hidden="1" customHeight="1" x14ac:dyDescent="0.25"/>
  </sheetData>
  <sheetProtection algorithmName="SHA-512" hashValue="hLbWlj0KbQnPu9TwYuXHlqHJRTePGDHnziQn/Luzp8llQzuO11fQlqxxbYVOYRET70e1er4Jtm1PvQQugKA15A==" saltValue="YI8nfUMoZ4F/oCA/Y1AUnw==" spinCount="100000" sheet="1" objects="1" scenarios="1" selectLockedCells="1"/>
  <mergeCells count="1111">
    <mergeCell ref="BG16:BG17"/>
    <mergeCell ref="BG78:BG79"/>
    <mergeCell ref="BJ66:BJ67"/>
    <mergeCell ref="BJ68:BJ69"/>
    <mergeCell ref="BJ70:BJ71"/>
    <mergeCell ref="BJ72:BJ73"/>
    <mergeCell ref="BJ74:BJ75"/>
    <mergeCell ref="BJ76:BJ77"/>
    <mergeCell ref="BJ78:BJ79"/>
    <mergeCell ref="BJ200:BJ201"/>
    <mergeCell ref="BJ48:BJ49"/>
    <mergeCell ref="BJ50:BJ51"/>
    <mergeCell ref="BJ52:BJ53"/>
    <mergeCell ref="BJ54:BJ55"/>
    <mergeCell ref="BJ56:BJ57"/>
    <mergeCell ref="BJ58:BJ59"/>
    <mergeCell ref="BJ60:BJ61"/>
    <mergeCell ref="BJ62:BJ63"/>
    <mergeCell ref="BJ64:BJ65"/>
    <mergeCell ref="BH76:BH77"/>
    <mergeCell ref="BI76:BI77"/>
    <mergeCell ref="BH78:BH79"/>
    <mergeCell ref="BI78:BI79"/>
    <mergeCell ref="BH200:BH201"/>
    <mergeCell ref="BI200:BI201"/>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H66:BH67"/>
    <mergeCell ref="BI66:BI67"/>
    <mergeCell ref="BH68:BH69"/>
    <mergeCell ref="BI68:BI69"/>
    <mergeCell ref="BH70:BH71"/>
    <mergeCell ref="BI70:BI71"/>
    <mergeCell ref="BH54:BH55"/>
    <mergeCell ref="BI54:BI55"/>
    <mergeCell ref="BH26:BH27"/>
    <mergeCell ref="BI26:BI27"/>
    <mergeCell ref="BH28:BH29"/>
    <mergeCell ref="BI28:BI29"/>
    <mergeCell ref="BH30:BH31"/>
    <mergeCell ref="BI30:BI31"/>
    <mergeCell ref="BH32:BH33"/>
    <mergeCell ref="BI32:BI33"/>
    <mergeCell ref="BH34:BH35"/>
    <mergeCell ref="BI34:BI35"/>
    <mergeCell ref="BH72:BH73"/>
    <mergeCell ref="BI72:BI73"/>
    <mergeCell ref="BH36:BH37"/>
    <mergeCell ref="BI36:BI37"/>
    <mergeCell ref="BH38:BH39"/>
    <mergeCell ref="BI38:BI39"/>
    <mergeCell ref="BH40:BH41"/>
    <mergeCell ref="BI40:BI41"/>
    <mergeCell ref="BH42:BH43"/>
    <mergeCell ref="BI42:BI43"/>
    <mergeCell ref="BH44:BH45"/>
    <mergeCell ref="BI44:BI45"/>
    <mergeCell ref="BH74:BH75"/>
    <mergeCell ref="BI74:BI75"/>
    <mergeCell ref="BH56:BH57"/>
    <mergeCell ref="BI56:BI57"/>
    <mergeCell ref="BH58:BH59"/>
    <mergeCell ref="BI58:BI59"/>
    <mergeCell ref="BH60:BH61"/>
    <mergeCell ref="BI60:BI61"/>
    <mergeCell ref="BH62:BH63"/>
    <mergeCell ref="BI62:BI63"/>
    <mergeCell ref="BH64:BH65"/>
    <mergeCell ref="BI64:BI65"/>
    <mergeCell ref="BH46:BH47"/>
    <mergeCell ref="BI46:BI47"/>
    <mergeCell ref="BH48:BH49"/>
    <mergeCell ref="BI48:BI49"/>
    <mergeCell ref="BH50:BH51"/>
    <mergeCell ref="BI50:BI51"/>
    <mergeCell ref="BH52:BH53"/>
    <mergeCell ref="BI52:BI53"/>
    <mergeCell ref="BH16:BH17"/>
    <mergeCell ref="BI16:BI17"/>
    <mergeCell ref="BH18:BH19"/>
    <mergeCell ref="BI18:BI19"/>
    <mergeCell ref="BH20:BH21"/>
    <mergeCell ref="BI20:BI21"/>
    <mergeCell ref="BH22:BH23"/>
    <mergeCell ref="BI22:BI23"/>
    <mergeCell ref="BH24:BH25"/>
    <mergeCell ref="BI24:BI25"/>
    <mergeCell ref="AF15:AI15"/>
    <mergeCell ref="AJ15:AQ15"/>
    <mergeCell ref="B166:B167"/>
    <mergeCell ref="B168:B169"/>
    <mergeCell ref="B170:B171"/>
    <mergeCell ref="B172:B173"/>
    <mergeCell ref="B174:B175"/>
    <mergeCell ref="AV78:AV79"/>
    <mergeCell ref="AW78:AW79"/>
    <mergeCell ref="AX78:AX79"/>
    <mergeCell ref="AY78:AY79"/>
    <mergeCell ref="AZ78:AZ79"/>
    <mergeCell ref="BA78:BA79"/>
    <mergeCell ref="AD78:AE79"/>
    <mergeCell ref="AF78:AG79"/>
    <mergeCell ref="AH78:AI79"/>
    <mergeCell ref="AJ78:AM79"/>
    <mergeCell ref="AN78:AQ79"/>
    <mergeCell ref="AU78:AU79"/>
    <mergeCell ref="Y78:AA79"/>
    <mergeCell ref="AB78:AC79"/>
    <mergeCell ref="G78:H79"/>
    <mergeCell ref="AD76:AE77"/>
    <mergeCell ref="AF76:AG77"/>
    <mergeCell ref="AH76:AI77"/>
    <mergeCell ref="AJ76:AM77"/>
    <mergeCell ref="AN76:AQ77"/>
    <mergeCell ref="BA76:BA77"/>
    <mergeCell ref="AV70:AV71"/>
    <mergeCell ref="AW70:AW71"/>
    <mergeCell ref="B176:B177"/>
    <mergeCell ref="B154:B155"/>
    <mergeCell ref="B156:B157"/>
    <mergeCell ref="B158:B159"/>
    <mergeCell ref="B160:B161"/>
    <mergeCell ref="B162:B163"/>
    <mergeCell ref="B164:B165"/>
    <mergeCell ref="B118:B119"/>
    <mergeCell ref="B120:B121"/>
    <mergeCell ref="B122:B123"/>
    <mergeCell ref="B124:B125"/>
    <mergeCell ref="B126:B127"/>
    <mergeCell ref="B128:B129"/>
    <mergeCell ref="Y70:AA71"/>
    <mergeCell ref="AB70:AC71"/>
    <mergeCell ref="Y72:AA73"/>
    <mergeCell ref="AF70:AG71"/>
    <mergeCell ref="AH70:AI71"/>
    <mergeCell ref="AJ70:AM71"/>
    <mergeCell ref="AN70:AQ71"/>
    <mergeCell ref="AU70:AU71"/>
    <mergeCell ref="M18:P19"/>
    <mergeCell ref="Q18:T19"/>
    <mergeCell ref="U18:V19"/>
    <mergeCell ref="K78:L79"/>
    <mergeCell ref="B94:B95"/>
    <mergeCell ref="B96:B97"/>
    <mergeCell ref="B98:B99"/>
    <mergeCell ref="B100:B101"/>
    <mergeCell ref="B102:B103"/>
    <mergeCell ref="B104:B105"/>
    <mergeCell ref="B106:B107"/>
    <mergeCell ref="B108:B109"/>
    <mergeCell ref="B110:B111"/>
    <mergeCell ref="B112:B113"/>
    <mergeCell ref="B114:B115"/>
    <mergeCell ref="B116:B117"/>
    <mergeCell ref="B80:B81"/>
    <mergeCell ref="B78:B79"/>
    <mergeCell ref="C78:F79"/>
    <mergeCell ref="B72:B73"/>
    <mergeCell ref="C72:F73"/>
    <mergeCell ref="G72:H73"/>
    <mergeCell ref="I72:J73"/>
    <mergeCell ref="K72:L73"/>
    <mergeCell ref="B70:B71"/>
    <mergeCell ref="C70:F71"/>
    <mergeCell ref="G70:H71"/>
    <mergeCell ref="I70:J71"/>
    <mergeCell ref="K70:L71"/>
    <mergeCell ref="M72:P73"/>
    <mergeCell ref="Q72:T73"/>
    <mergeCell ref="U72:V73"/>
    <mergeCell ref="AU200:AU201"/>
    <mergeCell ref="AV200:AV201"/>
    <mergeCell ref="B190:B191"/>
    <mergeCell ref="B192:B193"/>
    <mergeCell ref="B194:B195"/>
    <mergeCell ref="B196:B197"/>
    <mergeCell ref="B198:B199"/>
    <mergeCell ref="M200:AG201"/>
    <mergeCell ref="B178:B179"/>
    <mergeCell ref="B180:B181"/>
    <mergeCell ref="B182:B183"/>
    <mergeCell ref="B184:B185"/>
    <mergeCell ref="B186:B187"/>
    <mergeCell ref="B188:B189"/>
    <mergeCell ref="B82:B83"/>
    <mergeCell ref="B84:B85"/>
    <mergeCell ref="B142:B143"/>
    <mergeCell ref="B144:B145"/>
    <mergeCell ref="B146:B147"/>
    <mergeCell ref="B148:B149"/>
    <mergeCell ref="B150:B151"/>
    <mergeCell ref="B152:B153"/>
    <mergeCell ref="B130:B131"/>
    <mergeCell ref="B132:B133"/>
    <mergeCell ref="B134:B135"/>
    <mergeCell ref="B136:B137"/>
    <mergeCell ref="B138:B139"/>
    <mergeCell ref="B140:B141"/>
    <mergeCell ref="B86:B87"/>
    <mergeCell ref="B88:B89"/>
    <mergeCell ref="B90:B91"/>
    <mergeCell ref="B92:B93"/>
    <mergeCell ref="BF76:BF77"/>
    <mergeCell ref="AU76:AU77"/>
    <mergeCell ref="AV76:AV77"/>
    <mergeCell ref="AW76:AW77"/>
    <mergeCell ref="AX76:AX77"/>
    <mergeCell ref="AY76:AY77"/>
    <mergeCell ref="BB76:BB77"/>
    <mergeCell ref="BC76:BC77"/>
    <mergeCell ref="BD76:BD77"/>
    <mergeCell ref="I78:J79"/>
    <mergeCell ref="M78:P79"/>
    <mergeCell ref="Q78:T79"/>
    <mergeCell ref="U78:V79"/>
    <mergeCell ref="W78:X79"/>
    <mergeCell ref="K74:L75"/>
    <mergeCell ref="BD74:BD75"/>
    <mergeCell ref="M74:P75"/>
    <mergeCell ref="Q74:T75"/>
    <mergeCell ref="U74:V75"/>
    <mergeCell ref="W74:X75"/>
    <mergeCell ref="M76:P77"/>
    <mergeCell ref="Q76:T77"/>
    <mergeCell ref="U76:V77"/>
    <mergeCell ref="W76:X77"/>
    <mergeCell ref="AU74:AU75"/>
    <mergeCell ref="Y74:AA75"/>
    <mergeCell ref="AB74:AC75"/>
    <mergeCell ref="BB78:BB79"/>
    <mergeCell ref="BC78:BC79"/>
    <mergeCell ref="BD78:BD79"/>
    <mergeCell ref="AZ76:AZ77"/>
    <mergeCell ref="AB76:AC77"/>
    <mergeCell ref="BB74:BB75"/>
    <mergeCell ref="BC74:BC75"/>
    <mergeCell ref="BA72:BA73"/>
    <mergeCell ref="BB72:BB73"/>
    <mergeCell ref="BC72:BC73"/>
    <mergeCell ref="AB72:AC73"/>
    <mergeCell ref="BE78:BE79"/>
    <mergeCell ref="BF78:BF79"/>
    <mergeCell ref="BE74:BE75"/>
    <mergeCell ref="BF74:BF75"/>
    <mergeCell ref="Y76:AA77"/>
    <mergeCell ref="B76:B77"/>
    <mergeCell ref="C76:F77"/>
    <mergeCell ref="G76:H77"/>
    <mergeCell ref="I76:J77"/>
    <mergeCell ref="K76:L77"/>
    <mergeCell ref="AV74:AV75"/>
    <mergeCell ref="AW74:AW75"/>
    <mergeCell ref="AX74:AX75"/>
    <mergeCell ref="AY74:AY75"/>
    <mergeCell ref="AZ74:AZ75"/>
    <mergeCell ref="BA74:BA75"/>
    <mergeCell ref="AD74:AE75"/>
    <mergeCell ref="AF74:AG75"/>
    <mergeCell ref="AH74:AI75"/>
    <mergeCell ref="AJ74:AM75"/>
    <mergeCell ref="AN74:AQ75"/>
    <mergeCell ref="B74:B75"/>
    <mergeCell ref="C74:F75"/>
    <mergeCell ref="G74:H75"/>
    <mergeCell ref="I74:J75"/>
    <mergeCell ref="BE76:BE77"/>
    <mergeCell ref="BD72:BD73"/>
    <mergeCell ref="BE72:BE73"/>
    <mergeCell ref="BF72:BF73"/>
    <mergeCell ref="AU72:AU73"/>
    <mergeCell ref="AV72:AV73"/>
    <mergeCell ref="AW72:AW73"/>
    <mergeCell ref="AX72:AX73"/>
    <mergeCell ref="AY72:AY73"/>
    <mergeCell ref="AZ72:AZ73"/>
    <mergeCell ref="AD72:AE73"/>
    <mergeCell ref="AF72:AG73"/>
    <mergeCell ref="AH72:AI73"/>
    <mergeCell ref="AJ72:AM73"/>
    <mergeCell ref="AN72:AQ73"/>
    <mergeCell ref="BB70:BB71"/>
    <mergeCell ref="BC70:BC71"/>
    <mergeCell ref="BD70:BD71"/>
    <mergeCell ref="BE70:BE71"/>
    <mergeCell ref="BF70:BF71"/>
    <mergeCell ref="K64:L65"/>
    <mergeCell ref="AV64:AV65"/>
    <mergeCell ref="AW64:AW65"/>
    <mergeCell ref="AX64:AX65"/>
    <mergeCell ref="AY64:AY65"/>
    <mergeCell ref="AZ64:AZ65"/>
    <mergeCell ref="AU62:AU63"/>
    <mergeCell ref="Y68:AA69"/>
    <mergeCell ref="W70:X71"/>
    <mergeCell ref="W72:X73"/>
    <mergeCell ref="B68:B69"/>
    <mergeCell ref="C68:F69"/>
    <mergeCell ref="G68:H69"/>
    <mergeCell ref="I68:J69"/>
    <mergeCell ref="K68:L69"/>
    <mergeCell ref="AB68:AC69"/>
    <mergeCell ref="U70:V71"/>
    <mergeCell ref="M68:P69"/>
    <mergeCell ref="Q68:T69"/>
    <mergeCell ref="U68:V69"/>
    <mergeCell ref="W68:X69"/>
    <mergeCell ref="M70:P71"/>
    <mergeCell ref="Q70:T71"/>
    <mergeCell ref="AV66:AV67"/>
    <mergeCell ref="AW66:AW67"/>
    <mergeCell ref="AX66:AX67"/>
    <mergeCell ref="AY66:AY67"/>
    <mergeCell ref="AD70:AE71"/>
    <mergeCell ref="AD68:AE69"/>
    <mergeCell ref="AF68:AG69"/>
    <mergeCell ref="AH68:AI69"/>
    <mergeCell ref="AJ68:AM69"/>
    <mergeCell ref="AY68:AY69"/>
    <mergeCell ref="BB66:BB67"/>
    <mergeCell ref="BC66:BC67"/>
    <mergeCell ref="AX70:AX71"/>
    <mergeCell ref="AY70:AY71"/>
    <mergeCell ref="BD66:BD67"/>
    <mergeCell ref="BE66:BE67"/>
    <mergeCell ref="AZ70:AZ71"/>
    <mergeCell ref="BA70:BA71"/>
    <mergeCell ref="AZ66:AZ67"/>
    <mergeCell ref="BA66:BA67"/>
    <mergeCell ref="AU66:AU67"/>
    <mergeCell ref="AZ68:AZ69"/>
    <mergeCell ref="BF66:BF67"/>
    <mergeCell ref="BE62:BE63"/>
    <mergeCell ref="BF62:BF63"/>
    <mergeCell ref="Y66:AA67"/>
    <mergeCell ref="AB66:AC67"/>
    <mergeCell ref="AN68:AQ69"/>
    <mergeCell ref="BA68:BA69"/>
    <mergeCell ref="BB68:BB69"/>
    <mergeCell ref="BC68:BC69"/>
    <mergeCell ref="BD68:BD69"/>
    <mergeCell ref="BE68:BE69"/>
    <mergeCell ref="BF68:BF69"/>
    <mergeCell ref="AU68:AU69"/>
    <mergeCell ref="AV68:AV69"/>
    <mergeCell ref="AW68:AW69"/>
    <mergeCell ref="AX68:AX69"/>
    <mergeCell ref="B66:B67"/>
    <mergeCell ref="C66:F67"/>
    <mergeCell ref="G66:H67"/>
    <mergeCell ref="I66:J67"/>
    <mergeCell ref="K66:L67"/>
    <mergeCell ref="AB64:AC65"/>
    <mergeCell ref="AD64:AE65"/>
    <mergeCell ref="AF64:AG65"/>
    <mergeCell ref="AH64:AI65"/>
    <mergeCell ref="AJ64:AM65"/>
    <mergeCell ref="AN64:AQ65"/>
    <mergeCell ref="Y64:AA65"/>
    <mergeCell ref="M62:P63"/>
    <mergeCell ref="Q62:T63"/>
    <mergeCell ref="U62:V63"/>
    <mergeCell ref="M64:P65"/>
    <mergeCell ref="Q64:T65"/>
    <mergeCell ref="U64:V65"/>
    <mergeCell ref="W64:X65"/>
    <mergeCell ref="M66:P67"/>
    <mergeCell ref="Q66:T67"/>
    <mergeCell ref="U66:V67"/>
    <mergeCell ref="AD66:AE67"/>
    <mergeCell ref="AF66:AG67"/>
    <mergeCell ref="AH66:AI67"/>
    <mergeCell ref="AJ66:AM67"/>
    <mergeCell ref="AN66:AQ67"/>
    <mergeCell ref="W66:X67"/>
    <mergeCell ref="B64:B65"/>
    <mergeCell ref="C64:F65"/>
    <mergeCell ref="G64:H65"/>
    <mergeCell ref="I64:J65"/>
    <mergeCell ref="BE60:BE61"/>
    <mergeCell ref="BF60:BF61"/>
    <mergeCell ref="AU60:AU61"/>
    <mergeCell ref="AV60:AV61"/>
    <mergeCell ref="BB64:BB65"/>
    <mergeCell ref="BC64:BC65"/>
    <mergeCell ref="AB60:AC61"/>
    <mergeCell ref="AD60:AE61"/>
    <mergeCell ref="AF60:AG61"/>
    <mergeCell ref="AH60:AI61"/>
    <mergeCell ref="AJ60:AM61"/>
    <mergeCell ref="AN60:AQ61"/>
    <mergeCell ref="Y60:AA61"/>
    <mergeCell ref="BB62:BB63"/>
    <mergeCell ref="BC62:BC63"/>
    <mergeCell ref="BD62:BD63"/>
    <mergeCell ref="AV62:AV63"/>
    <mergeCell ref="AW62:AW63"/>
    <mergeCell ref="AX62:AX63"/>
    <mergeCell ref="AY62:AY63"/>
    <mergeCell ref="AZ62:AZ63"/>
    <mergeCell ref="BA62:BA63"/>
    <mergeCell ref="AD62:AE63"/>
    <mergeCell ref="AF62:AG63"/>
    <mergeCell ref="AH62:AI63"/>
    <mergeCell ref="AJ62:AM63"/>
    <mergeCell ref="AN62:AQ63"/>
    <mergeCell ref="BA64:BA65"/>
    <mergeCell ref="BD64:BD65"/>
    <mergeCell ref="BE64:BE65"/>
    <mergeCell ref="BF64:BF65"/>
    <mergeCell ref="AU64:AU65"/>
    <mergeCell ref="B60:B61"/>
    <mergeCell ref="C60:F61"/>
    <mergeCell ref="G60:H61"/>
    <mergeCell ref="I60:J61"/>
    <mergeCell ref="K60:L61"/>
    <mergeCell ref="M60:P61"/>
    <mergeCell ref="Q60:T61"/>
    <mergeCell ref="W62:X63"/>
    <mergeCell ref="W60:X61"/>
    <mergeCell ref="U60:V61"/>
    <mergeCell ref="BA60:BA61"/>
    <mergeCell ref="BB60:BB61"/>
    <mergeCell ref="BC60:BC61"/>
    <mergeCell ref="BD60:BD61"/>
    <mergeCell ref="Y62:AA63"/>
    <mergeCell ref="AB62:AC63"/>
    <mergeCell ref="B62:B63"/>
    <mergeCell ref="C62:F63"/>
    <mergeCell ref="AW60:AW61"/>
    <mergeCell ref="AX60:AX61"/>
    <mergeCell ref="AY60:AY61"/>
    <mergeCell ref="AZ60:AZ61"/>
    <mergeCell ref="K62:L63"/>
    <mergeCell ref="G62:H63"/>
    <mergeCell ref="I62:J63"/>
    <mergeCell ref="AW58:AW59"/>
    <mergeCell ref="AX58:AX59"/>
    <mergeCell ref="AY58:AY59"/>
    <mergeCell ref="AD58:AE59"/>
    <mergeCell ref="AF58:AG59"/>
    <mergeCell ref="AH58:AI59"/>
    <mergeCell ref="AJ58:AM59"/>
    <mergeCell ref="AN58:AQ59"/>
    <mergeCell ref="AU58:AU59"/>
    <mergeCell ref="Y58:AA59"/>
    <mergeCell ref="AB58:AC59"/>
    <mergeCell ref="B58:B59"/>
    <mergeCell ref="C58:F59"/>
    <mergeCell ref="G58:H59"/>
    <mergeCell ref="I58:J59"/>
    <mergeCell ref="K58:L59"/>
    <mergeCell ref="M58:P59"/>
    <mergeCell ref="Q58:T59"/>
    <mergeCell ref="U58:V59"/>
    <mergeCell ref="W58:X59"/>
    <mergeCell ref="B56:B57"/>
    <mergeCell ref="C56:F57"/>
    <mergeCell ref="G56:H57"/>
    <mergeCell ref="I56:J57"/>
    <mergeCell ref="K56:L57"/>
    <mergeCell ref="AV54:AV55"/>
    <mergeCell ref="AW54:AW55"/>
    <mergeCell ref="AX54:AX55"/>
    <mergeCell ref="AY54:AY55"/>
    <mergeCell ref="AZ54:AZ55"/>
    <mergeCell ref="BA54:BA55"/>
    <mergeCell ref="AD54:AE55"/>
    <mergeCell ref="AF54:AG55"/>
    <mergeCell ref="AH54:AI55"/>
    <mergeCell ref="AJ54:AM55"/>
    <mergeCell ref="AN54:AQ55"/>
    <mergeCell ref="AU54:AU55"/>
    <mergeCell ref="BA56:BA57"/>
    <mergeCell ref="M56:P57"/>
    <mergeCell ref="Q56:T57"/>
    <mergeCell ref="U56:V57"/>
    <mergeCell ref="W56:X57"/>
    <mergeCell ref="AU56:AU57"/>
    <mergeCell ref="AV56:AV57"/>
    <mergeCell ref="AW56:AW57"/>
    <mergeCell ref="AX56:AX57"/>
    <mergeCell ref="AY56:AY57"/>
    <mergeCell ref="AZ56:AZ57"/>
    <mergeCell ref="AB56:AC57"/>
    <mergeCell ref="AD56:AE57"/>
    <mergeCell ref="AF56:AG57"/>
    <mergeCell ref="AH56:AI57"/>
    <mergeCell ref="AH52:AI53"/>
    <mergeCell ref="AJ52:AM53"/>
    <mergeCell ref="AN52:AQ53"/>
    <mergeCell ref="Y52:AA53"/>
    <mergeCell ref="Y56:AA57"/>
    <mergeCell ref="BB58:BB59"/>
    <mergeCell ref="BC58:BC59"/>
    <mergeCell ref="AZ58:AZ59"/>
    <mergeCell ref="BA58:BA59"/>
    <mergeCell ref="BA52:BA53"/>
    <mergeCell ref="BB52:BB53"/>
    <mergeCell ref="BC52:BC53"/>
    <mergeCell ref="BD52:BD53"/>
    <mergeCell ref="BE52:BE53"/>
    <mergeCell ref="BF52:BF53"/>
    <mergeCell ref="AU52:AU53"/>
    <mergeCell ref="AV52:AV53"/>
    <mergeCell ref="AW52:AW53"/>
    <mergeCell ref="AX52:AX53"/>
    <mergeCell ref="AY52:AY53"/>
    <mergeCell ref="AZ52:AZ53"/>
    <mergeCell ref="BE56:BE57"/>
    <mergeCell ref="BF56:BF57"/>
    <mergeCell ref="AJ56:AM57"/>
    <mergeCell ref="AN56:AQ57"/>
    <mergeCell ref="BD58:BD59"/>
    <mergeCell ref="BE58:BE59"/>
    <mergeCell ref="BF58:BF59"/>
    <mergeCell ref="BB56:BB57"/>
    <mergeCell ref="BC56:BC57"/>
    <mergeCell ref="BD56:BD57"/>
    <mergeCell ref="AV58:AV59"/>
    <mergeCell ref="K54:L55"/>
    <mergeCell ref="AB52:AC53"/>
    <mergeCell ref="K50:L51"/>
    <mergeCell ref="Q50:T51"/>
    <mergeCell ref="U50:V51"/>
    <mergeCell ref="W50:X51"/>
    <mergeCell ref="M52:P53"/>
    <mergeCell ref="Q52:T53"/>
    <mergeCell ref="U52:V53"/>
    <mergeCell ref="W52:X53"/>
    <mergeCell ref="M54:P55"/>
    <mergeCell ref="Q54:T55"/>
    <mergeCell ref="U54:V55"/>
    <mergeCell ref="W54:X55"/>
    <mergeCell ref="AD52:AE53"/>
    <mergeCell ref="AF52:AG53"/>
    <mergeCell ref="M50:P51"/>
    <mergeCell ref="BB54:BB55"/>
    <mergeCell ref="BC54:BC55"/>
    <mergeCell ref="BD54:BD55"/>
    <mergeCell ref="BE54:BE55"/>
    <mergeCell ref="BF54:BF55"/>
    <mergeCell ref="B52:B53"/>
    <mergeCell ref="C52:F53"/>
    <mergeCell ref="G52:H53"/>
    <mergeCell ref="I52:J53"/>
    <mergeCell ref="K52:L53"/>
    <mergeCell ref="AV50:AV51"/>
    <mergeCell ref="AW50:AW51"/>
    <mergeCell ref="AX50:AX51"/>
    <mergeCell ref="AY50:AY51"/>
    <mergeCell ref="AZ50:AZ51"/>
    <mergeCell ref="BA50:BA51"/>
    <mergeCell ref="AD50:AE51"/>
    <mergeCell ref="AF50:AG51"/>
    <mergeCell ref="AH50:AI51"/>
    <mergeCell ref="AJ50:AM51"/>
    <mergeCell ref="AN50:AQ51"/>
    <mergeCell ref="AU50:AU51"/>
    <mergeCell ref="B50:B51"/>
    <mergeCell ref="C50:F51"/>
    <mergeCell ref="G50:H51"/>
    <mergeCell ref="I50:J51"/>
    <mergeCell ref="Y54:AA55"/>
    <mergeCell ref="AB54:AC55"/>
    <mergeCell ref="B54:B55"/>
    <mergeCell ref="C54:F55"/>
    <mergeCell ref="G54:H55"/>
    <mergeCell ref="I54:J55"/>
    <mergeCell ref="BE48:BE49"/>
    <mergeCell ref="BF48:BF49"/>
    <mergeCell ref="AU48:AU49"/>
    <mergeCell ref="AV48:AV49"/>
    <mergeCell ref="AW48:AW49"/>
    <mergeCell ref="AX48:AX49"/>
    <mergeCell ref="AY48:AY49"/>
    <mergeCell ref="AZ48:AZ49"/>
    <mergeCell ref="AB48:AC49"/>
    <mergeCell ref="AD48:AE49"/>
    <mergeCell ref="AF48:AG49"/>
    <mergeCell ref="AH48:AI49"/>
    <mergeCell ref="AJ48:AM49"/>
    <mergeCell ref="AN48:AQ49"/>
    <mergeCell ref="Y48:AA49"/>
    <mergeCell ref="BB50:BB51"/>
    <mergeCell ref="BC50:BC51"/>
    <mergeCell ref="BA48:BA49"/>
    <mergeCell ref="BB48:BB49"/>
    <mergeCell ref="BC48:BC49"/>
    <mergeCell ref="Y50:AA51"/>
    <mergeCell ref="AB50:AC51"/>
    <mergeCell ref="BD50:BD51"/>
    <mergeCell ref="BE50:BE51"/>
    <mergeCell ref="BF50:BF51"/>
    <mergeCell ref="BD44:BD45"/>
    <mergeCell ref="B48:B49"/>
    <mergeCell ref="C48:F49"/>
    <mergeCell ref="G48:H49"/>
    <mergeCell ref="I48:J49"/>
    <mergeCell ref="K48:L49"/>
    <mergeCell ref="AV46:AV47"/>
    <mergeCell ref="AW46:AW47"/>
    <mergeCell ref="AX46:AX47"/>
    <mergeCell ref="AY46:AY47"/>
    <mergeCell ref="AD46:AE47"/>
    <mergeCell ref="AF46:AG47"/>
    <mergeCell ref="AH46:AI47"/>
    <mergeCell ref="AJ46:AM47"/>
    <mergeCell ref="AN46:AQ47"/>
    <mergeCell ref="AU46:AU47"/>
    <mergeCell ref="Y46:AA47"/>
    <mergeCell ref="AB46:AC47"/>
    <mergeCell ref="B46:B47"/>
    <mergeCell ref="C46:F47"/>
    <mergeCell ref="G46:H47"/>
    <mergeCell ref="I46:J47"/>
    <mergeCell ref="K46:L47"/>
    <mergeCell ref="M48:P49"/>
    <mergeCell ref="Q48:T49"/>
    <mergeCell ref="U48:V49"/>
    <mergeCell ref="W48:X49"/>
    <mergeCell ref="M46:P47"/>
    <mergeCell ref="Q46:T47"/>
    <mergeCell ref="U46:V47"/>
    <mergeCell ref="W46:X47"/>
    <mergeCell ref="BD48:BD49"/>
    <mergeCell ref="B44:B45"/>
    <mergeCell ref="C44:F45"/>
    <mergeCell ref="G44:H45"/>
    <mergeCell ref="I44:J45"/>
    <mergeCell ref="K44:L45"/>
    <mergeCell ref="AV42:AV43"/>
    <mergeCell ref="AW42:AW43"/>
    <mergeCell ref="AX42:AX43"/>
    <mergeCell ref="AY42:AY43"/>
    <mergeCell ref="AZ42:AZ43"/>
    <mergeCell ref="BA42:BA43"/>
    <mergeCell ref="AD42:AE43"/>
    <mergeCell ref="AF42:AG43"/>
    <mergeCell ref="AH42:AI43"/>
    <mergeCell ref="AJ42:AM43"/>
    <mergeCell ref="AN42:AQ43"/>
    <mergeCell ref="AU42:AU43"/>
    <mergeCell ref="BA44:BA45"/>
    <mergeCell ref="M44:P45"/>
    <mergeCell ref="Q44:T45"/>
    <mergeCell ref="U44:V45"/>
    <mergeCell ref="W44:X45"/>
    <mergeCell ref="AU44:AU45"/>
    <mergeCell ref="AV44:AV45"/>
    <mergeCell ref="AW44:AW45"/>
    <mergeCell ref="AX44:AX45"/>
    <mergeCell ref="AY44:AY45"/>
    <mergeCell ref="AZ44:AZ45"/>
    <mergeCell ref="AB44:AC45"/>
    <mergeCell ref="AD44:AE45"/>
    <mergeCell ref="AF44:AG45"/>
    <mergeCell ref="AH44:AI45"/>
    <mergeCell ref="AD40:AE41"/>
    <mergeCell ref="AF40:AG41"/>
    <mergeCell ref="AH40:AI41"/>
    <mergeCell ref="AJ40:AM41"/>
    <mergeCell ref="AN40:AQ41"/>
    <mergeCell ref="Y40:AA41"/>
    <mergeCell ref="Y44:AA45"/>
    <mergeCell ref="BB46:BB47"/>
    <mergeCell ref="BC46:BC47"/>
    <mergeCell ref="AZ46:AZ47"/>
    <mergeCell ref="BA46:BA47"/>
    <mergeCell ref="BA40:BA41"/>
    <mergeCell ref="BB40:BB41"/>
    <mergeCell ref="BC40:BC41"/>
    <mergeCell ref="BD40:BD41"/>
    <mergeCell ref="BE40:BE41"/>
    <mergeCell ref="BF40:BF41"/>
    <mergeCell ref="AU40:AU41"/>
    <mergeCell ref="AV40:AV41"/>
    <mergeCell ref="AW40:AW41"/>
    <mergeCell ref="AX40:AX41"/>
    <mergeCell ref="AY40:AY41"/>
    <mergeCell ref="AZ40:AZ41"/>
    <mergeCell ref="BE44:BE45"/>
    <mergeCell ref="BF44:BF45"/>
    <mergeCell ref="AJ44:AM45"/>
    <mergeCell ref="AN44:AQ45"/>
    <mergeCell ref="BD46:BD47"/>
    <mergeCell ref="BE46:BE47"/>
    <mergeCell ref="BF46:BF47"/>
    <mergeCell ref="BB44:BB45"/>
    <mergeCell ref="BC44:BC45"/>
    <mergeCell ref="W42:X43"/>
    <mergeCell ref="AB38:AC39"/>
    <mergeCell ref="B38:B39"/>
    <mergeCell ref="C38:F39"/>
    <mergeCell ref="G38:H39"/>
    <mergeCell ref="I38:J39"/>
    <mergeCell ref="Y42:AA43"/>
    <mergeCell ref="AB42:AC43"/>
    <mergeCell ref="B42:B43"/>
    <mergeCell ref="C42:F43"/>
    <mergeCell ref="G42:H43"/>
    <mergeCell ref="I42:J43"/>
    <mergeCell ref="K42:L43"/>
    <mergeCell ref="AB40:AC41"/>
    <mergeCell ref="K38:L39"/>
    <mergeCell ref="Q38:T39"/>
    <mergeCell ref="U38:V39"/>
    <mergeCell ref="W38:X39"/>
    <mergeCell ref="BF34:BF35"/>
    <mergeCell ref="BF38:BF39"/>
    <mergeCell ref="BB42:BB43"/>
    <mergeCell ref="BC42:BC43"/>
    <mergeCell ref="BD42:BD43"/>
    <mergeCell ref="BE42:BE43"/>
    <mergeCell ref="BF42:BF43"/>
    <mergeCell ref="B40:B41"/>
    <mergeCell ref="C40:F41"/>
    <mergeCell ref="G40:H41"/>
    <mergeCell ref="I40:J41"/>
    <mergeCell ref="K40:L41"/>
    <mergeCell ref="AV38:AV39"/>
    <mergeCell ref="AW38:AW39"/>
    <mergeCell ref="AX38:AX39"/>
    <mergeCell ref="AY38:AY39"/>
    <mergeCell ref="AZ38:AZ39"/>
    <mergeCell ref="BA38:BA39"/>
    <mergeCell ref="AD38:AE39"/>
    <mergeCell ref="AF38:AG39"/>
    <mergeCell ref="AH38:AI39"/>
    <mergeCell ref="AJ38:AM39"/>
    <mergeCell ref="AN38:AQ39"/>
    <mergeCell ref="AU38:AU39"/>
    <mergeCell ref="Y38:AA39"/>
    <mergeCell ref="M40:P41"/>
    <mergeCell ref="Q40:T41"/>
    <mergeCell ref="U40:V41"/>
    <mergeCell ref="W40:X41"/>
    <mergeCell ref="M42:P43"/>
    <mergeCell ref="Q42:T43"/>
    <mergeCell ref="U42:V43"/>
    <mergeCell ref="AF36:AG37"/>
    <mergeCell ref="AH36:AI37"/>
    <mergeCell ref="AJ36:AM37"/>
    <mergeCell ref="AN36:AQ37"/>
    <mergeCell ref="BB38:BB39"/>
    <mergeCell ref="BC38:BC39"/>
    <mergeCell ref="BA36:BA37"/>
    <mergeCell ref="BB36:BB37"/>
    <mergeCell ref="BC36:BC37"/>
    <mergeCell ref="AF32:AG33"/>
    <mergeCell ref="AH32:AI33"/>
    <mergeCell ref="AJ32:AM33"/>
    <mergeCell ref="AN32:AQ33"/>
    <mergeCell ref="BD36:BD37"/>
    <mergeCell ref="BE36:BE37"/>
    <mergeCell ref="BF36:BF37"/>
    <mergeCell ref="AU36:AU37"/>
    <mergeCell ref="AV36:AV37"/>
    <mergeCell ref="AW36:AW37"/>
    <mergeCell ref="AX36:AX37"/>
    <mergeCell ref="AY36:AY37"/>
    <mergeCell ref="AZ36:AZ37"/>
    <mergeCell ref="BD38:BD39"/>
    <mergeCell ref="BE38:BE39"/>
    <mergeCell ref="AV34:AV35"/>
    <mergeCell ref="AW34:AW35"/>
    <mergeCell ref="AX34:AX35"/>
    <mergeCell ref="AY34:AY35"/>
    <mergeCell ref="AZ34:AZ35"/>
    <mergeCell ref="BA34:BA35"/>
    <mergeCell ref="BD34:BD35"/>
    <mergeCell ref="BE34:BE35"/>
    <mergeCell ref="B36:B37"/>
    <mergeCell ref="C36:F37"/>
    <mergeCell ref="G36:H37"/>
    <mergeCell ref="I36:J37"/>
    <mergeCell ref="K36:L37"/>
    <mergeCell ref="Y34:AA35"/>
    <mergeCell ref="AB34:AC35"/>
    <mergeCell ref="B34:B35"/>
    <mergeCell ref="C34:F35"/>
    <mergeCell ref="G34:H35"/>
    <mergeCell ref="I34:J35"/>
    <mergeCell ref="K34:L35"/>
    <mergeCell ref="AB36:AC37"/>
    <mergeCell ref="Y36:AA37"/>
    <mergeCell ref="Y32:AA33"/>
    <mergeCell ref="BB34:BB35"/>
    <mergeCell ref="BC34:BC35"/>
    <mergeCell ref="B32:B33"/>
    <mergeCell ref="C32:F33"/>
    <mergeCell ref="G32:H33"/>
    <mergeCell ref="I32:J33"/>
    <mergeCell ref="K32:L33"/>
    <mergeCell ref="BA32:BA33"/>
    <mergeCell ref="BB32:BB33"/>
    <mergeCell ref="BC32:BC33"/>
    <mergeCell ref="AD34:AE35"/>
    <mergeCell ref="AF34:AG35"/>
    <mergeCell ref="AH34:AI35"/>
    <mergeCell ref="AJ34:AM35"/>
    <mergeCell ref="AN34:AQ35"/>
    <mergeCell ref="AU34:AU35"/>
    <mergeCell ref="AD36:AE37"/>
    <mergeCell ref="AB32:AC33"/>
    <mergeCell ref="AD32:AE33"/>
    <mergeCell ref="B28:B29"/>
    <mergeCell ref="C28:F29"/>
    <mergeCell ref="G28:H29"/>
    <mergeCell ref="I28:J29"/>
    <mergeCell ref="K28:L29"/>
    <mergeCell ref="Y26:AA27"/>
    <mergeCell ref="B26:B27"/>
    <mergeCell ref="C26:F27"/>
    <mergeCell ref="G26:H27"/>
    <mergeCell ref="I26:J27"/>
    <mergeCell ref="K26:L27"/>
    <mergeCell ref="M26:P27"/>
    <mergeCell ref="Q26:T27"/>
    <mergeCell ref="U26:V27"/>
    <mergeCell ref="W26:X27"/>
    <mergeCell ref="M28:P29"/>
    <mergeCell ref="Q28:T29"/>
    <mergeCell ref="U28:V29"/>
    <mergeCell ref="W28:X29"/>
    <mergeCell ref="B30:B31"/>
    <mergeCell ref="C30:F31"/>
    <mergeCell ref="M30:P31"/>
    <mergeCell ref="Q30:T31"/>
    <mergeCell ref="U30:V31"/>
    <mergeCell ref="W30:X31"/>
    <mergeCell ref="M32:P33"/>
    <mergeCell ref="Q32:T33"/>
    <mergeCell ref="U32:V33"/>
    <mergeCell ref="W32:X33"/>
    <mergeCell ref="BE24:BE25"/>
    <mergeCell ref="BA24:BA25"/>
    <mergeCell ref="BB24:BB25"/>
    <mergeCell ref="BC24:BC25"/>
    <mergeCell ref="BD24:BD25"/>
    <mergeCell ref="BF30:BF31"/>
    <mergeCell ref="AZ26:AZ27"/>
    <mergeCell ref="BD32:BD33"/>
    <mergeCell ref="BE32:BE33"/>
    <mergeCell ref="BF32:BF33"/>
    <mergeCell ref="AU32:AU33"/>
    <mergeCell ref="AV32:AV33"/>
    <mergeCell ref="AW32:AW33"/>
    <mergeCell ref="AX32:AX33"/>
    <mergeCell ref="AY32:AY33"/>
    <mergeCell ref="AZ32:AZ33"/>
    <mergeCell ref="BF28:BF29"/>
    <mergeCell ref="AZ28:AZ29"/>
    <mergeCell ref="BD26:BD27"/>
    <mergeCell ref="BE26:BE27"/>
    <mergeCell ref="BB26:BB27"/>
    <mergeCell ref="BC26:BC27"/>
    <mergeCell ref="BB28:BB29"/>
    <mergeCell ref="BC28:BC29"/>
    <mergeCell ref="BD28:BD29"/>
    <mergeCell ref="BE28:BE29"/>
    <mergeCell ref="AF24:AG25"/>
    <mergeCell ref="AH24:AI25"/>
    <mergeCell ref="AJ24:AM25"/>
    <mergeCell ref="AN24:AQ25"/>
    <mergeCell ref="BF22:BF23"/>
    <mergeCell ref="G30:H31"/>
    <mergeCell ref="I30:J31"/>
    <mergeCell ref="K30:L31"/>
    <mergeCell ref="AD30:AE31"/>
    <mergeCell ref="AF30:AG31"/>
    <mergeCell ref="AH30:AI31"/>
    <mergeCell ref="AJ30:AM31"/>
    <mergeCell ref="BF24:BF25"/>
    <mergeCell ref="AU24:AU25"/>
    <mergeCell ref="AV24:AV25"/>
    <mergeCell ref="AW24:AW25"/>
    <mergeCell ref="AX24:AX25"/>
    <mergeCell ref="AY24:AY25"/>
    <mergeCell ref="AZ24:AZ25"/>
    <mergeCell ref="BF26:BF27"/>
    <mergeCell ref="AY28:AY29"/>
    <mergeCell ref="AY26:AY27"/>
    <mergeCell ref="AU26:AU27"/>
    <mergeCell ref="AV26:AV27"/>
    <mergeCell ref="AW26:AW27"/>
    <mergeCell ref="AX26:AX27"/>
    <mergeCell ref="BB30:BB31"/>
    <mergeCell ref="BC30:BC31"/>
    <mergeCell ref="BD30:BD31"/>
    <mergeCell ref="BE30:BE31"/>
    <mergeCell ref="AD26:AE27"/>
    <mergeCell ref="AF26:AG27"/>
    <mergeCell ref="AH26:AI27"/>
    <mergeCell ref="AJ26:AM27"/>
    <mergeCell ref="AN26:AQ27"/>
    <mergeCell ref="AB28:AC29"/>
    <mergeCell ref="Y28:AA29"/>
    <mergeCell ref="Y30:AA31"/>
    <mergeCell ref="AB30:AC31"/>
    <mergeCell ref="AW30:AW31"/>
    <mergeCell ref="AX30:AX31"/>
    <mergeCell ref="AY30:AY31"/>
    <mergeCell ref="AN30:AQ31"/>
    <mergeCell ref="AU30:AU31"/>
    <mergeCell ref="AV30:AV31"/>
    <mergeCell ref="AZ30:AZ31"/>
    <mergeCell ref="BA30:BA31"/>
    <mergeCell ref="AB26:AC27"/>
    <mergeCell ref="AD28:AE29"/>
    <mergeCell ref="AF28:AG29"/>
    <mergeCell ref="AH28:AI29"/>
    <mergeCell ref="AJ28:AM29"/>
    <mergeCell ref="BA26:BA27"/>
    <mergeCell ref="BA28:BA29"/>
    <mergeCell ref="AU28:AU29"/>
    <mergeCell ref="AV28:AV29"/>
    <mergeCell ref="AW28:AW29"/>
    <mergeCell ref="AX28:AX29"/>
    <mergeCell ref="U20:V21"/>
    <mergeCell ref="W20:X21"/>
    <mergeCell ref="M22:P23"/>
    <mergeCell ref="B24:B25"/>
    <mergeCell ref="C24:F25"/>
    <mergeCell ref="G24:H25"/>
    <mergeCell ref="I24:J25"/>
    <mergeCell ref="K24:L25"/>
    <mergeCell ref="B22:B23"/>
    <mergeCell ref="C22:F23"/>
    <mergeCell ref="G22:H23"/>
    <mergeCell ref="I22:J23"/>
    <mergeCell ref="K22:L23"/>
    <mergeCell ref="M24:P25"/>
    <mergeCell ref="Q24:T25"/>
    <mergeCell ref="U24:V25"/>
    <mergeCell ref="B20:B21"/>
    <mergeCell ref="C20:F21"/>
    <mergeCell ref="G20:H21"/>
    <mergeCell ref="I20:J21"/>
    <mergeCell ref="K20:L21"/>
    <mergeCell ref="Q22:T23"/>
    <mergeCell ref="AU18:AU19"/>
    <mergeCell ref="AZ18:AZ19"/>
    <mergeCell ref="BA18:BA19"/>
    <mergeCell ref="BA20:BA21"/>
    <mergeCell ref="BB20:BB21"/>
    <mergeCell ref="BC20:BC21"/>
    <mergeCell ref="BD20:BD21"/>
    <mergeCell ref="BE20:BE21"/>
    <mergeCell ref="BF20:BF21"/>
    <mergeCell ref="AZ20:AZ21"/>
    <mergeCell ref="AU22:AU23"/>
    <mergeCell ref="AX22:AX23"/>
    <mergeCell ref="AY22:AY23"/>
    <mergeCell ref="AV18:AV19"/>
    <mergeCell ref="AW18:AW19"/>
    <mergeCell ref="AX18:AX19"/>
    <mergeCell ref="AU20:AU21"/>
    <mergeCell ref="AV20:AV21"/>
    <mergeCell ref="AW20:AW21"/>
    <mergeCell ref="AX20:AX21"/>
    <mergeCell ref="AZ22:AZ23"/>
    <mergeCell ref="BA22:BA23"/>
    <mergeCell ref="BB22:BB23"/>
    <mergeCell ref="AY20:AY21"/>
    <mergeCell ref="AV22:AV23"/>
    <mergeCell ref="AW22:AW23"/>
    <mergeCell ref="BC22:BC23"/>
    <mergeCell ref="BD22:BD23"/>
    <mergeCell ref="BE22:BE23"/>
    <mergeCell ref="BC16:BC17"/>
    <mergeCell ref="BD16:BD17"/>
    <mergeCell ref="BE16:BE17"/>
    <mergeCell ref="BF16:BF17"/>
    <mergeCell ref="B18:B19"/>
    <mergeCell ref="C18:F19"/>
    <mergeCell ref="G18:H19"/>
    <mergeCell ref="I18:J19"/>
    <mergeCell ref="K18:L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AB18:AC19"/>
    <mergeCell ref="AY18:AY19"/>
    <mergeCell ref="AD18:AE19"/>
    <mergeCell ref="AH18:AI19"/>
    <mergeCell ref="AJ18:AM19"/>
    <mergeCell ref="AN18:AQ19"/>
    <mergeCell ref="BB18:BB19"/>
    <mergeCell ref="BC18:BC19"/>
    <mergeCell ref="BD18:BD19"/>
    <mergeCell ref="BE18:BE19"/>
    <mergeCell ref="BF18:BF19"/>
    <mergeCell ref="Y22:AA23"/>
    <mergeCell ref="AH22:AI23"/>
    <mergeCell ref="AJ22:AM23"/>
    <mergeCell ref="AB24:AC25"/>
    <mergeCell ref="Y24:AA25"/>
    <mergeCell ref="AD24:AE25"/>
    <mergeCell ref="J11:Q13"/>
    <mergeCell ref="R11:U11"/>
    <mergeCell ref="V11:Y11"/>
    <mergeCell ref="Z11:AC11"/>
    <mergeCell ref="Q1:R1"/>
    <mergeCell ref="U1:V1"/>
    <mergeCell ref="Y1:Z1"/>
    <mergeCell ref="Y16:AA17"/>
    <mergeCell ref="I16:J17"/>
    <mergeCell ref="K16:L17"/>
    <mergeCell ref="R12:U13"/>
    <mergeCell ref="V12:Y13"/>
    <mergeCell ref="Z12:AC13"/>
    <mergeCell ref="C15:L15"/>
    <mergeCell ref="M16:P17"/>
    <mergeCell ref="Q16:T17"/>
    <mergeCell ref="U16:V17"/>
    <mergeCell ref="W16:X17"/>
    <mergeCell ref="M15:AE15"/>
    <mergeCell ref="C16:F17"/>
    <mergeCell ref="G16:H17"/>
    <mergeCell ref="AH1:AK1"/>
    <mergeCell ref="AB16:AC17"/>
    <mergeCell ref="AD16:AE17"/>
    <mergeCell ref="M20:P21"/>
    <mergeCell ref="Q20:T21"/>
    <mergeCell ref="M34:P35"/>
    <mergeCell ref="Q34:T35"/>
    <mergeCell ref="U34:V35"/>
    <mergeCell ref="W34:X35"/>
    <mergeCell ref="M36:P37"/>
    <mergeCell ref="Q36:T37"/>
    <mergeCell ref="U36:V37"/>
    <mergeCell ref="W36:X37"/>
    <mergeCell ref="M38:P39"/>
    <mergeCell ref="W18:X19"/>
    <mergeCell ref="W24:X25"/>
    <mergeCell ref="AL1:AP1"/>
    <mergeCell ref="AB22:AC23"/>
    <mergeCell ref="AN28:AQ29"/>
    <mergeCell ref="AQ1:AR1"/>
    <mergeCell ref="AH2:AK3"/>
    <mergeCell ref="AL2:AP3"/>
    <mergeCell ref="AQ2:AR3"/>
    <mergeCell ref="Y20:AA21"/>
    <mergeCell ref="AN20:AQ21"/>
    <mergeCell ref="U22:V23"/>
    <mergeCell ref="W22:X23"/>
    <mergeCell ref="Y18:AA19"/>
    <mergeCell ref="AF18:AG19"/>
    <mergeCell ref="AB20:AC21"/>
    <mergeCell ref="AD20:AE21"/>
    <mergeCell ref="AF20:AG21"/>
    <mergeCell ref="AH20:AI21"/>
    <mergeCell ref="AJ20:AM21"/>
    <mergeCell ref="AD22:AE23"/>
    <mergeCell ref="AF22:AG23"/>
    <mergeCell ref="AN22:AQ23"/>
    <mergeCell ref="O9:AF10"/>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AD11:AI14"/>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s>
  <conditionalFormatting sqref="AQ2:AR3">
    <cfRule type="cellIs" dxfId="591" priority="89" operator="equal">
      <formula>1</formula>
    </cfRule>
    <cfRule type="cellIs" dxfId="590" priority="90" operator="between">
      <formula>0.51</formula>
      <formula>0.99</formula>
    </cfRule>
    <cfRule type="cellIs" dxfId="589" priority="91" operator="lessThanOrEqual">
      <formula>0.5</formula>
    </cfRule>
  </conditionalFormatting>
  <conditionalFormatting sqref="BF18 BF20 BF22 BF24 BF26 BF28 BF30 BF32 BF34 BF36 BF38 BF40 BF42 BF44 BF46 BF48 BF50 BF52 BF54 BF56 BF58 BF60 BF62 BF64 BF66 BF68 BF70 BF72 BF74 BF76">
    <cfRule type="expression" dxfId="588" priority="86">
      <formula>BF18&gt;2.5</formula>
    </cfRule>
  </conditionalFormatting>
  <conditionalFormatting sqref="G30 G32 G34 G36 G38 G40 G42 G44 G54 G56 G58 G60 G62 G64 G66 G68 G70 G72 G74 G76">
    <cfRule type="expression" dxfId="587" priority="85">
      <formula>AND(ISBLANK($C30)=FALSE,OR(ISBLANK(G30)=TRUE,G30=""))</formula>
    </cfRule>
  </conditionalFormatting>
  <conditionalFormatting sqref="M30 M32 M34 M36 M38 M40 M42 M44 M54 M56 M58 M60 M62 M64 M66 M68 M70 M72 M74 M76">
    <cfRule type="expression" dxfId="586" priority="84">
      <formula>AND(ISBLANK($C30)=FALSE,OR(ISBLANK(M30)=TRUE,M30=""))</formula>
    </cfRule>
  </conditionalFormatting>
  <conditionalFormatting sqref="Y30 Y32 Y34 Y36 Y38 Y40 Y42 Y44 Y54 Y56 Y58 Y60 Y62 Y64 Y66 Y68 Y70 Y72 Y74 Y76">
    <cfRule type="expression" dxfId="585" priority="82">
      <formula>AND(ISBLANK($C30)=FALSE,OR(ISBLANK(Y30)=TRUE,Y30=""))</formula>
    </cfRule>
  </conditionalFormatting>
  <conditionalFormatting sqref="AB30 AB32 AB34 AB36 AB38 AB40 AB42 AB44 AB54 AB56 AB58 AB60 AB62 AB64 AB66 AB68 AB70 AB72 AB74 AB76">
    <cfRule type="expression" dxfId="584" priority="81">
      <formula>AND(ISBLANK($C30)=FALSE,OR(ISBLANK(AB30)=TRUE,AB30=""))</formula>
    </cfRule>
  </conditionalFormatting>
  <conditionalFormatting sqref="K20 K22 K24 K26 K28 K30 K32 K34 K36 K38 K40 K42 K44 K46 K48 K50 K52 K54 K56 K58 K60 K62 K64 K66 K68 K70 K72 K74 K76 K18">
    <cfRule type="expression" dxfId="583" priority="96">
      <formula>AND($I18="Other",$K18&lt;&gt;"")</formula>
    </cfRule>
  </conditionalFormatting>
  <conditionalFormatting sqref="AN18 AN20 AN22 AN24 AN26 AN28 AN30 AN32 AN34 AN36 AN38 AN40 AN42 AN44 AN46 AN48 AN50 AN52 AN54 AN56 AN58 AN60 AN62 AN64 AN66 AN68 AN70 AN72 AN74 AN76">
    <cfRule type="expression" dxfId="582" priority="78">
      <formula>NOT(ISNUMBER(AN18))</formula>
    </cfRule>
  </conditionalFormatting>
  <conditionalFormatting sqref="AN18 AN20 AN22 AN24 AN26 AN28 AN30 AN32 AN34 AN36 AN38 AN40 AN42 AN44 AN46 AN48 AN50 AN52 AN54 AN56 AN58 AN60 AN62 AN64 AN66 AN68 AN70 AN72 AN74 AN76">
    <cfRule type="expression" dxfId="581" priority="79">
      <formula>$BF18="Yes"</formula>
    </cfRule>
  </conditionalFormatting>
  <conditionalFormatting sqref="AH2 AL2">
    <cfRule type="expression" dxfId="580" priority="73">
      <formula>PROJSTATUS=PROJSTATELI</formula>
    </cfRule>
    <cfRule type="expression" dxfId="579" priority="74">
      <formula>PROJSTATUS=PROJSTATREVIEW</formula>
    </cfRule>
    <cfRule type="expression" dxfId="578" priority="75">
      <formula>PROJSTATUS=PROJSTATPREAPPROVE</formula>
    </cfRule>
    <cfRule type="expression" dxfId="577" priority="76">
      <formula>PROJSTATUS=PROJSTATSTANDARD</formula>
    </cfRule>
    <cfRule type="expression" dxfId="576" priority="77">
      <formula>PROJSTATUS=PROJSTATEXP</formula>
    </cfRule>
  </conditionalFormatting>
  <conditionalFormatting sqref="Q30:T45 Q54:T77">
    <cfRule type="expression" dxfId="575" priority="71">
      <formula>AND(ISBLANK($M30)=FALSE,OR(ISBLANK(Q30)=TRUE,Q30=""))</formula>
    </cfRule>
    <cfRule type="expression" dxfId="574" priority="72">
      <formula>AND(ISBLANK($C30)=FALSE,OR(ISBLANK(Q30)=TRUE,Q30=""))</formula>
    </cfRule>
  </conditionalFormatting>
  <conditionalFormatting sqref="U30:V45 U54:V77">
    <cfRule type="expression" dxfId="573" priority="69">
      <formula>AND(ISBLANK($M30)=FALSE,OR(ISBLANK(U30)=TRUE,U30=""))</formula>
    </cfRule>
    <cfRule type="expression" dxfId="572" priority="70">
      <formula>AND(ISBLANK($C30)=FALSE,OR(ISBLANK(U30)=TRUE,U30=""))</formula>
    </cfRule>
  </conditionalFormatting>
  <conditionalFormatting sqref="AB30:AC45 AB54:AC77">
    <cfRule type="expression" dxfId="571" priority="65">
      <formula>AND(ISBLANK($M30)=FALSE,OR(ISBLANK(AB30)=TRUE,AB30=""))</formula>
    </cfRule>
  </conditionalFormatting>
  <conditionalFormatting sqref="I30:J45 I54:J77">
    <cfRule type="expression" dxfId="570" priority="62">
      <formula>AND(ISBLANK($C30)=FALSE,OR(ISBLANK(I30)=TRUE,I30=""))</formula>
    </cfRule>
  </conditionalFormatting>
  <conditionalFormatting sqref="AF30 AF32 AF34 AF36 AF38 AF40 AF42 AF44 AF54 AF56 AF58 AF60 AF62 AF64 AF66 AF68 AF70 AF72 AF74 AF76 AH30 AH32 AH34 AH36 AH38 AH40 AH42 AH44 AH54 AH56 AH58 AH60 AH62 AH64 AH66 AH68 AH70 AH72 AH74 AH76">
    <cfRule type="expression" dxfId="569" priority="58">
      <formula>AND(ISBLANK($C30)=FALSE,OR(ISBLANK(AF30)=TRUE,AF30=""))</formula>
    </cfRule>
    <cfRule type="expression" dxfId="568" priority="59">
      <formula>AND(ISBLANK($M30)=FALSE,OR(ISBLANK(AF30)=TRUE,AF30=""))</formula>
    </cfRule>
  </conditionalFormatting>
  <conditionalFormatting sqref="AD30:AE45 AD54:AE77">
    <cfRule type="expression" dxfId="567" priority="54">
      <formula>AND(ISBLANK($O30)=FALSE,OR(ISBLANK(AD30)=TRUE,AD30=""))</formula>
    </cfRule>
    <cfRule type="expression" dxfId="566" priority="55">
      <formula>AND(ISBLANK($C30)=FALSE,OR(ISBLANK(AD30)=TRUE,AD30=""))</formula>
    </cfRule>
  </conditionalFormatting>
  <conditionalFormatting sqref="AH6:AI6">
    <cfRule type="expression" dxfId="565" priority="45">
      <formula>M02S02F43&gt;DATEVALUE("12/31/2021")</formula>
    </cfRule>
    <cfRule type="expression" dxfId="564" priority="47">
      <formula>M02S02F44&lt;&gt;"No"</formula>
    </cfRule>
    <cfRule type="expression" dxfId="563" priority="49">
      <formula>TODAY()&gt;=LIGHTING2021</formula>
    </cfRule>
    <cfRule type="expression" dxfId="562" priority="51">
      <formula>OR(SUBLIGHTDATE1&lt;&gt;"",SUBLIGHTDATE2&lt;&gt;"")</formula>
    </cfRule>
  </conditionalFormatting>
  <conditionalFormatting sqref="AJ6">
    <cfRule type="expression" dxfId="561" priority="50">
      <formula>TODAY()&gt;LIGHTING2021</formula>
    </cfRule>
  </conditionalFormatting>
  <conditionalFormatting sqref="AJ6:AP7">
    <cfRule type="expression" dxfId="560" priority="46">
      <formula>M02S02F43&gt;DATEVALUE("12/31/2021")</formula>
    </cfRule>
    <cfRule type="expression" dxfId="559" priority="48">
      <formula>M02S02F44&lt;&gt;"No"</formula>
    </cfRule>
  </conditionalFormatting>
  <conditionalFormatting sqref="O9">
    <cfRule type="expression" dxfId="558" priority="361">
      <formula>ISNUMBER(SEARCH("Inspection",$O$9))</formula>
    </cfRule>
  </conditionalFormatting>
  <conditionalFormatting sqref="G46 G48 G50 G52">
    <cfRule type="expression" dxfId="557" priority="43">
      <formula>AND(ISBLANK($C46)=FALSE,OR(ISBLANK(G46)=TRUE,G46=""))</formula>
    </cfRule>
  </conditionalFormatting>
  <conditionalFormatting sqref="I46:J53">
    <cfRule type="expression" dxfId="556" priority="42">
      <formula>AND(ISBLANK($C46)=FALSE,OR(ISBLANK(I46)=TRUE,I46=""))</formula>
    </cfRule>
  </conditionalFormatting>
  <conditionalFormatting sqref="M46 M48 M50 M52">
    <cfRule type="expression" dxfId="555" priority="29">
      <formula>AND(ISBLANK($C46)=FALSE,OR(ISBLANK(M46)=TRUE,M46=""))</formula>
    </cfRule>
  </conditionalFormatting>
  <conditionalFormatting sqref="Y46 Y48 Y50 Y52">
    <cfRule type="expression" dxfId="554" priority="28">
      <formula>AND(ISBLANK($C46)=FALSE,OR(ISBLANK(Y46)=TRUE,Y46=""))</formula>
    </cfRule>
  </conditionalFormatting>
  <conditionalFormatting sqref="AB46 AB48 AB50 AB52">
    <cfRule type="expression" dxfId="553" priority="27">
      <formula>AND(ISBLANK($C46)=FALSE,OR(ISBLANK(AB46)=TRUE,AB46=""))</formula>
    </cfRule>
  </conditionalFormatting>
  <conditionalFormatting sqref="Q46:T53">
    <cfRule type="expression" dxfId="552" priority="25">
      <formula>AND(ISBLANK($M46)=FALSE,OR(ISBLANK(Q46)=TRUE,Q46=""))</formula>
    </cfRule>
    <cfRule type="expression" dxfId="551" priority="26">
      <formula>AND(ISBLANK($C46)=FALSE,OR(ISBLANK(Q46)=TRUE,Q46=""))</formula>
    </cfRule>
  </conditionalFormatting>
  <conditionalFormatting sqref="U46:V53">
    <cfRule type="expression" dxfId="550" priority="23">
      <formula>AND(ISBLANK($M46)=FALSE,OR(ISBLANK(U46)=TRUE,U46=""))</formula>
    </cfRule>
    <cfRule type="expression" dxfId="549" priority="24">
      <formula>AND(ISBLANK($C46)=FALSE,OR(ISBLANK(U46)=TRUE,U46=""))</formula>
    </cfRule>
  </conditionalFormatting>
  <conditionalFormatting sqref="AB46:AC53">
    <cfRule type="expression" dxfId="548" priority="22">
      <formula>AND(ISBLANK($M46)=FALSE,OR(ISBLANK(AB46)=TRUE,AB46=""))</formula>
    </cfRule>
  </conditionalFormatting>
  <conditionalFormatting sqref="AF46 AF48 AF50 AF52 AH46 AH48 AH50 AH52">
    <cfRule type="expression" dxfId="547" priority="20">
      <formula>AND(ISBLANK($C46)=FALSE,OR(ISBLANK(AF46)=TRUE,AF46=""))</formula>
    </cfRule>
    <cfRule type="expression" dxfId="546" priority="21">
      <formula>AND(ISBLANK($M46)=FALSE,OR(ISBLANK(AF46)=TRUE,AF46=""))</formula>
    </cfRule>
  </conditionalFormatting>
  <conditionalFormatting sqref="AD46:AE53">
    <cfRule type="expression" dxfId="545" priority="18">
      <formula>AND(ISBLANK($O46)=FALSE,OR(ISBLANK(AD46)=TRUE,AD46=""))</formula>
    </cfRule>
    <cfRule type="expression" dxfId="544" priority="19">
      <formula>AND(ISBLANK($C46)=FALSE,OR(ISBLANK(AD46)=TRUE,AD46=""))</formula>
    </cfRule>
  </conditionalFormatting>
  <conditionalFormatting sqref="G18 G20 G22 G24 G26 G28">
    <cfRule type="expression" dxfId="543" priority="17">
      <formula>AND(ISBLANK($C18)=FALSE,OR(ISBLANK(G18)=TRUE,G18=""))</formula>
    </cfRule>
  </conditionalFormatting>
  <conditionalFormatting sqref="I18:J29">
    <cfRule type="expression" dxfId="542" priority="16">
      <formula>AND(ISBLANK($C18)=FALSE,OR(ISBLANK(I18)=TRUE,I18=""))</formula>
    </cfRule>
  </conditionalFormatting>
  <conditionalFormatting sqref="M20 M18 M22 M24 M26 M28">
    <cfRule type="expression" dxfId="541" priority="15">
      <formula>AND(ISBLANK($C18)=FALSE,OR(ISBLANK(M18)=TRUE,M18=""))</formula>
    </cfRule>
  </conditionalFormatting>
  <conditionalFormatting sqref="Y18 Y20 Y22 Y24 Y26 Y28">
    <cfRule type="expression" dxfId="540" priority="14">
      <formula>AND(ISBLANK($C18)=FALSE,OR(ISBLANK(Y18)=TRUE,Y18=""))</formula>
    </cfRule>
  </conditionalFormatting>
  <conditionalFormatting sqref="AB18 AB20 AB22 AB24 AB26 AB28">
    <cfRule type="expression" dxfId="539" priority="13">
      <formula>AND(ISBLANK($C18)=FALSE,OR(ISBLANK(AB18)=TRUE,AB18=""))</formula>
    </cfRule>
  </conditionalFormatting>
  <conditionalFormatting sqref="Q18:T29">
    <cfRule type="expression" dxfId="538" priority="11">
      <formula>AND(ISBLANK($M18)=FALSE,OR(ISBLANK(Q18)=TRUE,Q18=""))</formula>
    </cfRule>
    <cfRule type="expression" dxfId="537" priority="12">
      <formula>AND(ISBLANK($C18)=FALSE,OR(ISBLANK(Q18)=TRUE,Q18=""))</formula>
    </cfRule>
  </conditionalFormatting>
  <conditionalFormatting sqref="U18:V29">
    <cfRule type="expression" dxfId="536" priority="9">
      <formula>AND(ISBLANK($M18)=FALSE,OR(ISBLANK(U18)=TRUE,U18=""))</formula>
    </cfRule>
    <cfRule type="expression" dxfId="535" priority="10">
      <formula>AND(ISBLANK($C18)=FALSE,OR(ISBLANK(U18)=TRUE,U18=""))</formula>
    </cfRule>
  </conditionalFormatting>
  <conditionalFormatting sqref="W18:X19">
    <cfRule type="expression" dxfId="534" priority="7">
      <formula>AND(ISBLANK($Q18)=FALSE,OR(ISBLANK(W18)=TRUE,W18=""))</formula>
    </cfRule>
    <cfRule type="expression" dxfId="533" priority="8">
      <formula>AND(ISBLANK($C18)=FALSE,OR(ISBLANK(W18)=TRUE,W18=""))</formula>
    </cfRule>
  </conditionalFormatting>
  <conditionalFormatting sqref="Y18:AA19">
    <cfRule type="expression" dxfId="532" priority="6">
      <formula>AND(ISBLANK($M18)=FALSE,OR(ISBLANK(Y18)=TRUE,Y18=""))</formula>
    </cfRule>
  </conditionalFormatting>
  <conditionalFormatting sqref="AB18:AC29">
    <cfRule type="expression" dxfId="531" priority="5">
      <formula>AND(ISBLANK($M18)=FALSE,OR(ISBLANK(AB18)=TRUE,AB18=""))</formula>
    </cfRule>
  </conditionalFormatting>
  <conditionalFormatting sqref="AF18 AH18 AF20 AF22 AF24 AF26 AF28 AH20 AH22 AH24 AH26 AH28">
    <cfRule type="expression" dxfId="530" priority="3">
      <formula>AND(ISBLANK($C18)=FALSE,OR(ISBLANK(AF18)=TRUE,AF18=""))</formula>
    </cfRule>
    <cfRule type="expression" dxfId="529" priority="4">
      <formula>AND(ISBLANK($M18)=FALSE,OR(ISBLANK(AF18)=TRUE,AF18=""))</formula>
    </cfRule>
  </conditionalFormatting>
  <conditionalFormatting sqref="AD18:AE29">
    <cfRule type="expression" dxfId="528" priority="1">
      <formula>AND(ISBLANK($O18)=FALSE,OR(ISBLANK(AD18)=TRUE,AD18=""))</formula>
    </cfRule>
    <cfRule type="expression" dxfId="527" priority="2">
      <formula>AND(ISBLANK($C18)=FALSE,OR(ISBLANK(AD18)=TRUE,AD18=""))</formula>
    </cfRule>
  </conditionalFormatting>
  <dataValidations count="13">
    <dataValidation type="list" allowBlank="1" showInputMessage="1" showErrorMessage="1" prompt="Select the existing lighting type" sqref="C66 C68 C70 C72 C74 C76 C30 C32 C34 C36 C38 C40 C42 C44 C46 C48 C50 C52 C54 C56 C58 C60 C62 C64 C18 C20 C22 C24 C26 C28" xr:uid="{58D525CD-19D1-4E89-A156-AB4655F71B59}">
      <formula1>IF(ISBLANK(I18),BASEHIDTYPE,"")</formula1>
    </dataValidation>
    <dataValidation allowBlank="1" showInputMessage="1" showErrorMessage="1" prompt="Provide a brief description of where the lights are, e.g., &quot;1st Floor Hall&quot;, &quot;Office&quot;, &quot;Machine Shop&quot;, etc." sqref="Y66 Y68 Y70 Y72 Y74 Y76 Y30 Y32 Y34 Y36 Y38 Y40 Y42 Y44 Y46 Y48 Y50 Y52 Y54 Y56 Y58 Y60 Y62 Y64 Y18 Y20 Y22 Y24 Y26 Y28" xr:uid="{02395D06-8B6C-4113-8FFF-18DAC37A967E}"/>
    <dataValidation allowBlank="1" showInputMessage="1" showErrorMessage="1" prompt="If you select &quot;Other&quot; for the nominal wattage, enter the fixture wattage here" sqref="K76 K20 K22 K24 K26 K28 K30 K32 K34 K36 K38 K40 K42 K44 K46 K48 K50 K52 K54 K56 K58 K60 K62 K64 K66 K68 K70 K72 K74 K18" xr:uid="{728BCCC3-24BC-4D03-AC78-0F6973ED3827}"/>
    <dataValidation type="list" showInputMessage="1" showErrorMessage="1" prompt="Select the existing NOMINAL wattage" sqref="I66 I68 I70 I72 I74 I76 I30 I32 I34 I36 I38 I40 I42 I44 I46 I48 I50 I52 I54 I56 I58 I60 I62 I64 I18 I20 I22 I24 I26 I28" xr:uid="{FA7C844E-ADA1-41D2-9176-8F92B18816BD}">
      <formula1>BASEHIDWATT2</formula1>
    </dataValidation>
    <dataValidation allowBlank="1" showInputMessage="1" showErrorMessage="1" prompt="Enter material or labor cost per NEW FIXTURE._x000a__x000a_For in house installs estimate labor cost." sqref="AF76 AF52 AF54 AF56 AF58 AF60 AF62 AF64 AH30 AH32 AH34 AH36 AH38 AH40 AH42 AH44 AH46 AH48 AH50 AH52 AH54 AH56 AH58 AH60 AH62 AH64 AH66 AH68 AH70 AH72 AH74 AH76 AF66 AF68 AF70 AF72 AF74 AF30 AF32 AF34 AF36 AF38 AF40 AF42 AF44 AF46 AF48 AF50 AH18 AF18 AH20 AH22 AH24 AH26 AH28 AF20 AF22 AF24 AF26 AF28" xr:uid="{E547E380-E00C-49E7-ACFD-AE0EF3B6224B}"/>
    <dataValidation type="whole" showInputMessage="1" showErrorMessage="1" sqref="AB18:AC77" xr:uid="{B7C65A3A-E797-4B39-BFCF-3B1E3B50D8A1}">
      <formula1>1</formula1>
      <formula2>8760</formula2>
    </dataValidation>
    <dataValidation type="whole" allowBlank="1" showInputMessage="1" showErrorMessage="1" prompt="The number of HID fixtures currently installed." sqref="G18:H77" xr:uid="{9F84C758-A2B9-4E9F-A1EB-5B5F8A3C2A46}">
      <formula1>1</formula1>
      <formula2>100000</formula2>
    </dataValidation>
    <dataValidation operator="lessThanOrEqual" allowBlank="1" showInputMessage="1" showErrorMessage="1" prompt="Provide a brief description of the new LED's brand, model, and part number, if applicable" sqref="Q18:T77" xr:uid="{F635664F-D3BB-46A5-85EE-3A4D68406865}"/>
    <dataValidation type="list" allowBlank="1" showInputMessage="1" showErrorMessage="1" prompt="Select the type of new LED lighting that is being installed." sqref="M18:P77" xr:uid="{2E555C8F-BF78-4449-B862-49C48A9A1F69}">
      <formula1>"LED w/ Existing Ballast, Direct Wire LED, New Fixture, New Fixture w/ Network Controls"</formula1>
    </dataValidation>
    <dataValidation allowBlank="1" showInputMessage="1" showErrorMessage="1" prompt="Enter the wattage of the new LED fixture" sqref="W20:X21" xr:uid="{CE2E36C1-8235-49AF-A87D-F0F721E98ADD}"/>
    <dataValidation type="whole" operator="lessThanOrEqual" allowBlank="1" showInputMessage="1" showErrorMessage="1" prompt="Enter the quantity of new LED fixtures" sqref="U18:V77" xr:uid="{C36C8344-30B4-4E24-8119-9EBACC17AEEA}">
      <formula1>9999</formula1>
    </dataValidation>
    <dataValidation type="list" allowBlank="1" showInputMessage="1" showErrorMessage="1" sqref="AH6:AI6" xr:uid="{F693881C-D632-45D0-A6C2-0E00EE089C66}">
      <formula1>"No"</formula1>
    </dataValidation>
    <dataValidation type="list" allowBlank="1" showInputMessage="1" showErrorMessage="1" sqref="BG18:BG77" xr:uid="{E87A86B6-5139-42D1-8800-A1B3A0E0C60E}">
      <formula1>"1.0,1.07"</formula1>
    </dataValidation>
  </dataValidations>
  <hyperlinks>
    <hyperlink ref="B202" r:id="rId1" display="NIPSCO.Savings@LMCO.com" xr:uid="{E592E085-4BC1-4A29-BCA8-88FE8EDC5943}"/>
  </hyperlinks>
  <pageMargins left="0.25" right="0.25" top="0.25" bottom="0.25" header="0.25" footer="0.25"/>
  <pageSetup scale="36"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B6EE-881C-48D6-9D92-49A18B106897}">
  <sheetPr codeName="Sheet49">
    <pageSetUpPr fitToPage="1"/>
  </sheetPr>
  <dimension ref="B1:CC202"/>
  <sheetViews>
    <sheetView showGridLines="0" showRowColHeaders="0" zoomScale="85" zoomScaleNormal="85" workbookViewId="0">
      <selection activeCell="C18" sqref="C18:E19"/>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81" width="9.140625" style="69" hidden="1" customWidth="1"/>
  </cols>
  <sheetData>
    <row r="1" spans="2:62"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62" ht="15.95" customHeight="1" x14ac:dyDescent="0.25">
      <c r="AH2" s="602" t="str">
        <f>INCENSTATUS</f>
        <v>---</v>
      </c>
      <c r="AI2" s="603"/>
      <c r="AJ2" s="603"/>
      <c r="AK2" s="603"/>
      <c r="AL2" s="613" t="str">
        <f ca="1">PROJSTATUS</f>
        <v>Enter Measures</v>
      </c>
      <c r="AM2" s="613"/>
      <c r="AN2" s="613"/>
      <c r="AO2" s="613"/>
      <c r="AP2" s="613"/>
      <c r="AQ2" s="608">
        <f ca="1">PROGRESSSTATUS</f>
        <v>0</v>
      </c>
      <c r="AR2" s="609"/>
      <c r="AU2" s="519"/>
    </row>
    <row r="3" spans="2:62" ht="15.95" customHeight="1" x14ac:dyDescent="0.25">
      <c r="AH3" s="604"/>
      <c r="AI3" s="605"/>
      <c r="AJ3" s="605"/>
      <c r="AK3" s="605"/>
      <c r="AL3" s="614"/>
      <c r="AM3" s="614"/>
      <c r="AN3" s="614"/>
      <c r="AO3" s="614"/>
      <c r="AP3" s="614"/>
      <c r="AQ3" s="610"/>
      <c r="AR3" s="611"/>
      <c r="AU3" s="519"/>
    </row>
    <row r="4" spans="2:62" ht="15.95" customHeight="1" x14ac:dyDescent="0.25"/>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BA5" s="451"/>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row>
    <row r="8" spans="2:62" ht="15.95" customHeight="1" x14ac:dyDescent="0.25">
      <c r="AX8" s="452"/>
    </row>
    <row r="9" spans="2:62" ht="15.95" customHeight="1" x14ac:dyDescent="0.25">
      <c r="B9" s="69"/>
      <c r="C9" s="69"/>
      <c r="D9" s="69"/>
      <c r="E9" s="69"/>
      <c r="F9" s="69"/>
      <c r="G9" s="69"/>
      <c r="H9" s="69"/>
      <c r="I9" s="69"/>
      <c r="J9" s="69"/>
      <c r="K9" s="69"/>
      <c r="L9" s="69"/>
      <c r="M9" s="69"/>
      <c r="N9" s="69"/>
      <c r="O9" s="794" t="str">
        <f>IF(INCENSTATUS="---",CONCATENATE(M3S4," ","Summary"),IF(INCENSTATUS&gt;15000,"This project may require an inspection. Please submit photos of existing equipment and of new efficient equipment once installed.",CONCATENATE(M3S4," ","Summary")))</f>
        <v>Exit Signs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62" ht="15.95" customHeight="1" x14ac:dyDescent="0.25">
      <c r="B10" s="69"/>
      <c r="C10" s="69"/>
      <c r="D10" s="69"/>
      <c r="E10" s="69"/>
      <c r="F10" s="257"/>
      <c r="G10" s="257"/>
      <c r="H10" s="257"/>
      <c r="I10" s="257"/>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X10" s="452"/>
    </row>
    <row r="11" spans="2:62" ht="15.95" customHeight="1" x14ac:dyDescent="0.3">
      <c r="B11" s="69"/>
      <c r="C11" s="69"/>
      <c r="D11" s="69"/>
      <c r="E11" s="69"/>
      <c r="F11" s="257"/>
      <c r="G11" s="257"/>
      <c r="H11" s="257"/>
      <c r="I11" s="257"/>
      <c r="J11" s="876" t="str">
        <f>IF(COUNTIF(BF18:BF77,"Yes")&gt;0,"The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row>
    <row r="12" spans="2:62" ht="15.95" customHeight="1" x14ac:dyDescent="0.25">
      <c r="B12" s="69"/>
      <c r="D12" s="69"/>
      <c r="E12" s="69"/>
      <c r="F12" s="257"/>
      <c r="G12" s="257"/>
      <c r="H12" s="257"/>
      <c r="I12" s="257"/>
      <c r="J12" s="876"/>
      <c r="K12" s="876"/>
      <c r="L12" s="876"/>
      <c r="M12" s="876"/>
      <c r="N12" s="876"/>
      <c r="O12" s="876"/>
      <c r="P12" s="876"/>
      <c r="Q12" s="876"/>
      <c r="R12" s="1040">
        <f>SUM(AN18:AQ199)</f>
        <v>0</v>
      </c>
      <c r="S12" s="1040"/>
      <c r="T12" s="1040"/>
      <c r="U12" s="1040"/>
      <c r="V12" s="1040">
        <f>AU200</f>
        <v>0</v>
      </c>
      <c r="W12" s="1040"/>
      <c r="X12" s="1040"/>
      <c r="Y12" s="1040"/>
      <c r="Z12" s="1041">
        <f>SUM(AJ18:AM199)</f>
        <v>0</v>
      </c>
      <c r="AA12" s="1041"/>
      <c r="AB12" s="1041"/>
      <c r="AC12" s="1041"/>
      <c r="AD12" s="69"/>
      <c r="AE12" s="69"/>
      <c r="AF12" s="69"/>
      <c r="AG12" s="69"/>
      <c r="AH12" s="69"/>
      <c r="AI12" s="69"/>
      <c r="AJ12" s="69"/>
      <c r="AK12" s="69"/>
      <c r="AL12" s="69"/>
      <c r="AM12" s="69"/>
      <c r="AN12" s="69"/>
      <c r="AO12" s="69"/>
      <c r="AP12" s="69"/>
      <c r="AQ12" s="69"/>
      <c r="AR12" s="69"/>
    </row>
    <row r="13" spans="2:62" ht="15.95" customHeight="1" x14ac:dyDescent="0.25">
      <c r="B13" s="69"/>
      <c r="D13" s="69"/>
      <c r="E13" s="69"/>
      <c r="F13" s="266"/>
      <c r="G13" s="266"/>
      <c r="H13" s="266"/>
      <c r="I13" s="266"/>
      <c r="J13" s="876"/>
      <c r="K13" s="876"/>
      <c r="L13" s="876"/>
      <c r="M13" s="876"/>
      <c r="N13" s="876"/>
      <c r="O13" s="876"/>
      <c r="P13" s="876"/>
      <c r="Q13" s="876"/>
      <c r="R13" s="1040"/>
      <c r="S13" s="1040"/>
      <c r="T13" s="1040"/>
      <c r="U13" s="1040"/>
      <c r="V13" s="1040"/>
      <c r="W13" s="1040"/>
      <c r="X13" s="1040"/>
      <c r="Y13" s="1040"/>
      <c r="Z13" s="1041"/>
      <c r="AA13" s="1041"/>
      <c r="AB13" s="1041"/>
      <c r="AC13" s="1041"/>
      <c r="AD13" s="69"/>
      <c r="AE13" s="69"/>
      <c r="AF13" s="69"/>
      <c r="AG13" s="69"/>
      <c r="AH13" s="69"/>
      <c r="AI13" s="69"/>
      <c r="AJ13" s="69"/>
      <c r="AK13" s="69"/>
      <c r="AL13" s="69"/>
      <c r="AM13" s="69"/>
      <c r="AN13" s="69"/>
      <c r="AO13" s="69"/>
      <c r="AP13" s="69"/>
      <c r="AQ13" s="69"/>
      <c r="AR13" s="69"/>
      <c r="AU13" s="69">
        <f>SUMPRODUCT(--(LEN(C18:AI77)&gt;0))</f>
        <v>0</v>
      </c>
    </row>
    <row r="14" spans="2:62" ht="15.95" customHeight="1" x14ac:dyDescent="0.25">
      <c r="B14" s="69"/>
      <c r="H14" s="69"/>
      <c r="I14" s="69"/>
      <c r="J14" s="69"/>
      <c r="K14" s="69"/>
      <c r="L14" s="69"/>
      <c r="N14" s="69"/>
      <c r="O14" s="69"/>
      <c r="P14" s="69"/>
      <c r="Q14" s="69"/>
      <c r="AE14" s="69"/>
      <c r="AF14" s="69"/>
      <c r="AG14" s="69"/>
      <c r="AH14" s="69"/>
      <c r="AI14" s="69"/>
      <c r="AJ14" s="69"/>
      <c r="AK14" s="69"/>
      <c r="AL14" s="69"/>
      <c r="AM14" s="69"/>
      <c r="AN14" s="69"/>
      <c r="AP14" s="69"/>
      <c r="AQ14" s="69"/>
      <c r="AR14" s="69"/>
      <c r="AU14" s="69" t="str">
        <f>IF(M02S02F44="","CLICK HERE to update install status.",IF(M02S02F44="Yes","Haven't installed yet? CLICK HERE to update status and apply for Pre-Approval Incentives", IF(M02S02F44="No", "You ARE eligible to receive Pre-Approval Incentives")))</f>
        <v>CLICK HERE to update install status.</v>
      </c>
    </row>
    <row r="15" spans="2:62" ht="15.95" customHeight="1" thickBot="1" x14ac:dyDescent="0.3">
      <c r="B15" s="69"/>
      <c r="C15" s="1254" t="s">
        <v>85</v>
      </c>
      <c r="D15" s="1254"/>
      <c r="E15" s="1254"/>
      <c r="F15" s="1254"/>
      <c r="G15" s="1254"/>
      <c r="H15" s="1254"/>
      <c r="I15" s="1254"/>
      <c r="J15" s="1254"/>
      <c r="K15" s="1254"/>
      <c r="L15" s="1254"/>
      <c r="M15" s="1329" t="s">
        <v>1380</v>
      </c>
      <c r="N15" s="1254"/>
      <c r="O15" s="1254"/>
      <c r="P15" s="1254"/>
      <c r="Q15" s="1254"/>
      <c r="R15" s="1254"/>
      <c r="S15" s="1254"/>
      <c r="T15" s="1254"/>
      <c r="U15" s="1254"/>
      <c r="V15" s="1254"/>
      <c r="W15" s="1254"/>
      <c r="X15" s="1254"/>
      <c r="Y15" s="1254"/>
      <c r="Z15" s="1254"/>
      <c r="AA15" s="1254"/>
      <c r="AB15" s="1254"/>
      <c r="AC15" s="1254"/>
      <c r="AD15" s="1254"/>
      <c r="AE15" s="1255"/>
      <c r="AF15" s="1329" t="s">
        <v>1386</v>
      </c>
      <c r="AG15" s="1254"/>
      <c r="AH15" s="1254"/>
      <c r="AI15" s="1255"/>
      <c r="AJ15" s="1329" t="s">
        <v>1369</v>
      </c>
      <c r="AK15" s="1254"/>
      <c r="AL15" s="1254"/>
      <c r="AM15" s="1254"/>
      <c r="AN15" s="1254"/>
      <c r="AO15" s="1254"/>
      <c r="AP15" s="1254"/>
      <c r="AQ15" s="1254"/>
      <c r="AR15" s="69"/>
    </row>
    <row r="16" spans="2:62" ht="15.95" customHeight="1" x14ac:dyDescent="0.25">
      <c r="B16" s="1193"/>
      <c r="C16" s="798" t="s">
        <v>1229</v>
      </c>
      <c r="D16" s="798"/>
      <c r="E16" s="798"/>
      <c r="F16" s="798" t="s">
        <v>1385</v>
      </c>
      <c r="G16" s="798"/>
      <c r="H16" s="798"/>
      <c r="I16" s="798" t="s">
        <v>1491</v>
      </c>
      <c r="J16" s="798"/>
      <c r="K16" s="798" t="s">
        <v>1382</v>
      </c>
      <c r="L16" s="798"/>
      <c r="M16" s="1338" t="s">
        <v>1897</v>
      </c>
      <c r="N16" s="798"/>
      <c r="O16" s="798"/>
      <c r="P16" s="798" t="s">
        <v>1364</v>
      </c>
      <c r="Q16" s="798"/>
      <c r="R16" s="798"/>
      <c r="S16" s="798"/>
      <c r="T16" s="798" t="s">
        <v>1490</v>
      </c>
      <c r="U16" s="798"/>
      <c r="V16" s="798" t="s">
        <v>1382</v>
      </c>
      <c r="W16" s="798"/>
      <c r="X16" s="798" t="s">
        <v>1357</v>
      </c>
      <c r="Y16" s="798"/>
      <c r="Z16" s="798"/>
      <c r="AA16" s="798"/>
      <c r="AB16" s="798" t="s">
        <v>1147</v>
      </c>
      <c r="AC16" s="798"/>
      <c r="AD16" s="1025" t="s">
        <v>1674</v>
      </c>
      <c r="AE16" s="1025"/>
      <c r="AF16" s="1025" t="s">
        <v>1225</v>
      </c>
      <c r="AG16" s="798"/>
      <c r="AH16" s="1025" t="s">
        <v>1145</v>
      </c>
      <c r="AI16" s="1025"/>
      <c r="AJ16" s="798" t="s">
        <v>88</v>
      </c>
      <c r="AK16" s="798"/>
      <c r="AL16" s="798"/>
      <c r="AM16" s="798"/>
      <c r="AN16" s="798" t="s">
        <v>448</v>
      </c>
      <c r="AO16" s="798"/>
      <c r="AP16" s="798"/>
      <c r="AQ16" s="798"/>
      <c r="AU16" s="799" t="s">
        <v>191</v>
      </c>
      <c r="AV16" s="799" t="s">
        <v>192</v>
      </c>
      <c r="AW16" s="799" t="s">
        <v>207</v>
      </c>
      <c r="AX16" s="799" t="s">
        <v>193</v>
      </c>
      <c r="AY16" s="799" t="s">
        <v>1361</v>
      </c>
      <c r="AZ16" s="799" t="s">
        <v>1362</v>
      </c>
      <c r="BA16" s="799" t="s">
        <v>1228</v>
      </c>
      <c r="BB16" s="799" t="s">
        <v>125</v>
      </c>
      <c r="BC16" s="799" t="s">
        <v>1363</v>
      </c>
      <c r="BD16" s="799" t="s">
        <v>118</v>
      </c>
      <c r="BE16" s="799" t="s">
        <v>473</v>
      </c>
      <c r="BF16" s="799" t="s">
        <v>1352</v>
      </c>
      <c r="BG16" s="745" t="s">
        <v>2251</v>
      </c>
      <c r="BH16" s="745" t="s">
        <v>2006</v>
      </c>
      <c r="BI16" s="745" t="s">
        <v>2007</v>
      </c>
      <c r="BJ16" s="745" t="s">
        <v>2008</v>
      </c>
    </row>
    <row r="17" spans="2:62" ht="15.95" customHeight="1" thickBot="1" x14ac:dyDescent="0.3">
      <c r="B17" s="1193"/>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1258"/>
      <c r="AE17" s="1258"/>
      <c r="AF17" s="746"/>
      <c r="AG17" s="746"/>
      <c r="AH17" s="1258"/>
      <c r="AI17" s="1258"/>
      <c r="AJ17" s="746"/>
      <c r="AK17" s="746"/>
      <c r="AL17" s="746"/>
      <c r="AM17" s="746"/>
      <c r="AN17" s="746"/>
      <c r="AO17" s="746"/>
      <c r="AP17" s="746"/>
      <c r="AQ17" s="746"/>
      <c r="AU17" s="746"/>
      <c r="AV17" s="746"/>
      <c r="AW17" s="746"/>
      <c r="AX17" s="746"/>
      <c r="AY17" s="746" t="s">
        <v>1360</v>
      </c>
      <c r="AZ17" s="746"/>
      <c r="BA17" s="746"/>
      <c r="BB17" s="746"/>
      <c r="BC17" s="746"/>
      <c r="BD17" s="746"/>
      <c r="BE17" s="746"/>
      <c r="BF17" s="746"/>
      <c r="BG17" s="746"/>
      <c r="BH17" s="746"/>
      <c r="BI17" s="746"/>
      <c r="BJ17" s="746"/>
    </row>
    <row r="18" spans="2:62" ht="15.95" customHeight="1" x14ac:dyDescent="0.25">
      <c r="B18" s="1204">
        <v>1</v>
      </c>
      <c r="C18" s="1205"/>
      <c r="D18" s="1292"/>
      <c r="E18" s="1206"/>
      <c r="F18" s="1205"/>
      <c r="G18" s="1292"/>
      <c r="H18" s="1206"/>
      <c r="I18" s="1339"/>
      <c r="J18" s="1340"/>
      <c r="K18" s="1341"/>
      <c r="L18" s="1342"/>
      <c r="M18" s="1345" t="str">
        <f t="shared" ref="M18" si="0">IF(ISNUMBER(SEARCH("Exit",C18)),"Exit Sign","")</f>
        <v/>
      </c>
      <c r="N18" s="1307"/>
      <c r="O18" s="844"/>
      <c r="P18" s="881"/>
      <c r="Q18" s="894"/>
      <c r="R18" s="894"/>
      <c r="S18" s="895"/>
      <c r="T18" s="1339"/>
      <c r="U18" s="1340"/>
      <c r="V18" s="1341"/>
      <c r="W18" s="1360"/>
      <c r="X18" s="881"/>
      <c r="Y18" s="894"/>
      <c r="Z18" s="894"/>
      <c r="AA18" s="895"/>
      <c r="AB18" s="1346" t="str">
        <f t="shared" ref="AB18" si="1">IF(C18="Exit Sign",8760,"")</f>
        <v/>
      </c>
      <c r="AC18" s="1347"/>
      <c r="AD18" s="1350"/>
      <c r="AE18" s="1351"/>
      <c r="AF18" s="1352"/>
      <c r="AG18" s="1353"/>
      <c r="AH18" s="1353"/>
      <c r="AI18" s="1355"/>
      <c r="AJ18" s="1356" t="str">
        <f t="shared" ref="AJ18" si="2">IF(OR(C18="",F18="",K18="",I18="",M18="",V18="",P18="",X18="",AB18="",AF18="",AH18="",T18=""),"",IFERROR(ROUND(IF((AW18-AX18)&lt;=0,0,BG18*(AW18-AX18)),0),""))</f>
        <v/>
      </c>
      <c r="AK18" s="1356"/>
      <c r="AL18" s="1356"/>
      <c r="AM18" s="1357"/>
      <c r="AN18" s="1238" t="str">
        <f>IF(M02S02F44="","Update Install Status",IF(M02S02F49="Yes","Use New Load",IF(OR(C18="",F18="",K18="",I18="",M18="",V18="",P18="",X18="",AB18="",AF18="",AH18="",T18="",AD18=""),"",IF(BE18&lt;&gt;"",BE18,ROUND(MIN(AU18,BD18),2)))))</f>
        <v>Update Install Status</v>
      </c>
      <c r="AO18" s="1239"/>
      <c r="AP18" s="1239"/>
      <c r="AQ18" s="1240"/>
      <c r="AU18" s="804" t="str">
        <f>IF(OR(C18="",F18="",K18="",I18="",M18="",V18="",P18="",X18="",AB18="",AF18="",AH18="",T18=""),"",(ROUND((AF18+AH18)*T18,2)))</f>
        <v/>
      </c>
      <c r="AV18" s="806" t="str">
        <f>IF(OR(C18="",F18="",K18="",I18="",M18="",V18="",P18="",X18="",AB18="",AF18="",AH18="",T18=""),"",ROUND(AJ18*INDEX(ENDUSEALL[Factor],MATCH(IF(ISNUMBER(SEARCH("CFL",F18)),"Miscellaneous","Lighting"),ENDUSEALL[End Use to Coincident Peak Demand Factors],0)),4))</f>
        <v/>
      </c>
      <c r="AW18" s="802" t="str">
        <f>IF(OR(C18="",F18="",K18="",I18="",M18="",V18="",P18="",X18="",AB18="",AF18="",AH18="",T18=""),"",IF(AND(C18="Incandescent",OR(ISNUMBER(SEARCH("PAR",F18)),ISNUMBER(SEARCH("A-Lamp",F18)))),ROUND(0.24*K18*I18*AB18/1000,2),
IF(C18="Halogen",ROUND(0.34*K18*I18*AB18/1000,2),
ROUND(K18*I18*AB18/1000,2))))</f>
        <v/>
      </c>
      <c r="AX18" s="802" t="str">
        <f>IF(OR(C18="",F18="",K18="",I18="",M18="",V18="",P18="",X18="",AB18="",AF18="",AH18="",T18=""),"",ROUND(V18*T18*AB18/1000,0))</f>
        <v/>
      </c>
      <c r="AY18" s="802" t="str">
        <f>IF(OR(C18="",F18="",K18="",I18="",M18="",V18="",P18="",X18="",AB18="",AF18="",AH18="",T18=""),"",IF(AND(C18="Incandescent",ISNUMBER(SEARCH("A-Lamp",F18))),ROUND(0.24*K18*I18,2),
IF(C18="Halogen",ROUND(0.34*K18*I18,2),ROUND(K18*I18,2))))</f>
        <v/>
      </c>
      <c r="AZ18" s="802" t="str">
        <f>IF(OR(C18="",F18="",K18="",I18="",M18="",V18="",P18="",X18="",AB18="",AF18="",AH18="",T18=""),"",ROUND(V18*T18,0))</f>
        <v/>
      </c>
      <c r="BA18" s="800" t="str">
        <f>IF(OR(AND(C18="Exit Sign",M18&lt;&gt;"Exit Sign"),AND(M18="Exit Sign",OR(C18="Incandescent",C18="Halogen"))),"Invalid",IF(C18="Exit Sign",CONCATENATE(C18," ",F18),IF(ISNUMBER(SEARCH("A-Lamp",F18)),CONCATENATE(C18," ",F18,"-LED"),IF(ISNUMBER(SEARCH("MR-16",F18)),CONCATENATE(C18," ",F18,"-LED"),CONCATENATE(C18," ",F18,"-LED")))))</f>
        <v xml:space="preserve"> -LED</v>
      </c>
      <c r="BB18" s="808" t="str">
        <f>IFERROR(IF(OR(C18="",F18="",K18="",I18="",M18="",V18="",P18="",X18="",AB18="",AF18="",AH18="",T18=""),"",INDEX(PMELIGHTINCAN[Measure '#],MATCH(BA18,PMELIGHTINCAN[Measure Validator],0))),"")</f>
        <v/>
      </c>
      <c r="BC18" s="808" t="str">
        <f>IFERROR(IF(OR(C18="",AH18=""),"",INDEX(PMELIGHTINCAN[Inc Rate Unit],MATCH(BA18,PMELIGHTINCAN[Measure Validator],0))),"")</f>
        <v/>
      </c>
      <c r="BD18" s="808" t="str">
        <f>IFERROR(ROUND(IF(OR(C18="",AH18=""),"",IF(BB18="","",(T18)*BC18)),2),"")</f>
        <v/>
      </c>
      <c r="BE18" s="800" t="str">
        <f>IF(OR(C18="",F18="",K18="",I18="",M18="",V18="",P18="",X18="",AB18="",AF18="",AH18="",T18=""),"",IFERROR(IF(BA18="Invalid","Invalid",IF(BA18="Reflector","Select Eligible Reflector Lamp",IF(AB18&lt;INDEX(PMELIGHTINCAN[Op Hr 1],MATCH(BA18,PMELIGHTINCAN[Measure Validator],0)),"Operating Hours Invalid",IF(ISNUMBER(SEARCH("SPILLOVER",X18)),PROJSTATELI,IF((AW18-AX18)&lt;=0,"No Savings",""))))),"ERROR"))</f>
        <v/>
      </c>
      <c r="BF18" s="802" t="str">
        <f>IF(AND(ISBLANK(AF18),ISBLANK(AH18)),"",IF(NOT(ISNUMBER(BB18)),"",IF(BD18&gt;AU18,"Yes","No")))</f>
        <v/>
      </c>
      <c r="BG18" s="1051">
        <f>IF(M02S02F32&lt;&gt;"",INDEX(SPACEHEAT[HIF],MATCH(M02S02F32,SHEAT,0)),1)</f>
        <v>1</v>
      </c>
      <c r="BH18" s="1369">
        <f>IFERROR(ROUND(BJ18*1.1,2),0)</f>
        <v>0</v>
      </c>
      <c r="BI18" s="1368" t="str">
        <f>IF(M02S02F44="","Update Install Status",IF(M02S02F49="Yes","Use New Load",IF(OR(C18="",F18="",K18="",I18="",M18="",V18="",P18="",X18="",AB18="",AF18="",AH18="",T18="",AD18=""),"",IF(BE18&lt;&gt;"",BE18,ROUND(BH18*BONUSADJ,2)))))</f>
        <v>Update Install Status</v>
      </c>
      <c r="BJ18" s="1368" t="str">
        <f>IF(M02S02F44="","Update Install Status",IF(M02S02F49="Yes","Use New Load",IF(OR(C18="",F18="",K18="",I18="",M18="",V18="",P18="",X18="",AB18="",AF18="",AH18="",T18="",AD18=""),"",IF(BE18&lt;&gt;"",BE18,ROUND(MIN(AU18,BD18),2)))))</f>
        <v>Update Install Status</v>
      </c>
    </row>
    <row r="19" spans="2:62" ht="15.95" customHeight="1" x14ac:dyDescent="0.25">
      <c r="B19" s="1204"/>
      <c r="C19" s="1207"/>
      <c r="D19" s="1263"/>
      <c r="E19" s="1208"/>
      <c r="F19" s="1207"/>
      <c r="G19" s="1263"/>
      <c r="H19" s="1208"/>
      <c r="I19" s="1266"/>
      <c r="J19" s="1267"/>
      <c r="K19" s="1343"/>
      <c r="L19" s="1344"/>
      <c r="M19" s="1308"/>
      <c r="N19" s="1308"/>
      <c r="O19" s="846"/>
      <c r="P19" s="896"/>
      <c r="Q19" s="897"/>
      <c r="R19" s="897"/>
      <c r="S19" s="898"/>
      <c r="T19" s="1266"/>
      <c r="U19" s="1267"/>
      <c r="V19" s="1343"/>
      <c r="W19" s="1361"/>
      <c r="X19" s="896"/>
      <c r="Y19" s="897"/>
      <c r="Z19" s="897"/>
      <c r="AA19" s="898"/>
      <c r="AB19" s="1348"/>
      <c r="AC19" s="1349"/>
      <c r="AD19" s="1245"/>
      <c r="AE19" s="917"/>
      <c r="AF19" s="1354"/>
      <c r="AG19" s="1248"/>
      <c r="AH19" s="1248"/>
      <c r="AI19" s="1249"/>
      <c r="AJ19" s="1358"/>
      <c r="AK19" s="1358"/>
      <c r="AL19" s="1358"/>
      <c r="AM19" s="1359"/>
      <c r="AN19" s="1238"/>
      <c r="AO19" s="1239"/>
      <c r="AP19" s="1239"/>
      <c r="AQ19" s="1240"/>
      <c r="AU19" s="805"/>
      <c r="AV19" s="807"/>
      <c r="AW19" s="803"/>
      <c r="AX19" s="803"/>
      <c r="AY19" s="803"/>
      <c r="AZ19" s="803"/>
      <c r="BA19" s="801"/>
      <c r="BB19" s="797"/>
      <c r="BC19" s="797"/>
      <c r="BD19" s="797"/>
      <c r="BE19" s="801"/>
      <c r="BF19" s="803"/>
      <c r="BG19" s="1052"/>
      <c r="BH19" s="1367"/>
      <c r="BI19" s="1368"/>
      <c r="BJ19" s="1368"/>
    </row>
    <row r="20" spans="2:62" ht="15.95" customHeight="1" x14ac:dyDescent="0.25">
      <c r="B20" s="1204">
        <v>2</v>
      </c>
      <c r="C20" s="1205"/>
      <c r="D20" s="1292"/>
      <c r="E20" s="1206"/>
      <c r="F20" s="1205"/>
      <c r="G20" s="1292"/>
      <c r="H20" s="1206"/>
      <c r="I20" s="1339"/>
      <c r="J20" s="1340"/>
      <c r="K20" s="1341"/>
      <c r="L20" s="1342"/>
      <c r="M20" s="1345" t="str">
        <f t="shared" ref="M20" si="3">IF(ISNUMBER(SEARCH("Exit",C20)),"Exit Sign","")</f>
        <v/>
      </c>
      <c r="N20" s="1307"/>
      <c r="O20" s="844"/>
      <c r="P20" s="881"/>
      <c r="Q20" s="894"/>
      <c r="R20" s="894"/>
      <c r="S20" s="895"/>
      <c r="T20" s="1339"/>
      <c r="U20" s="1340"/>
      <c r="V20" s="1341"/>
      <c r="W20" s="1360"/>
      <c r="X20" s="881"/>
      <c r="Y20" s="894"/>
      <c r="Z20" s="894"/>
      <c r="AA20" s="895"/>
      <c r="AB20" s="1346" t="str">
        <f t="shared" ref="AB20" si="4">IF(C20="Exit Sign",8760,"")</f>
        <v/>
      </c>
      <c r="AC20" s="1347"/>
      <c r="AD20" s="1245"/>
      <c r="AE20" s="917"/>
      <c r="AF20" s="1354"/>
      <c r="AG20" s="1248"/>
      <c r="AH20" s="1248"/>
      <c r="AI20" s="1249"/>
      <c r="AJ20" s="1356" t="str">
        <f t="shared" ref="AJ20" si="5">IF(OR(C20="",F20="",K20="",I20="",M20="",V20="",P20="",X20="",AB20="",AF20="",AH20="",T20=""),"",IFERROR(ROUND(IF((AW20-AX20)&lt;=0,0,BG20*(AW20-AX20)),0),""))</f>
        <v/>
      </c>
      <c r="AK20" s="1356"/>
      <c r="AL20" s="1356"/>
      <c r="AM20" s="1357"/>
      <c r="AN20" s="1238" t="str">
        <f>IF(M02S02F44="","Update Install Status",IF(M02S02F49="Yes","Use New Load",IF(OR(C20="",F20="",K20="",I20="",M20="",V20="",P20="",X20="",AB20="",AF20="",AH20="",T20="",AD20=""),"",IF(BE20&lt;&gt;"",BE20,ROUND(MIN(AU20,BD20),2)))))</f>
        <v>Update Install Status</v>
      </c>
      <c r="AO20" s="1239"/>
      <c r="AP20" s="1239"/>
      <c r="AQ20" s="1240"/>
      <c r="AU20" s="804" t="str">
        <f>IF(OR(C20="",F20="",K20="",I20="",M20="",V20="",P20="",X20="",AB20="",AF20="",AH20="",T20=""),"",(ROUND((AF20+AH20)*T20,2)))</f>
        <v/>
      </c>
      <c r="AV20" s="806" t="str">
        <f>IF(OR(C20="",F20="",K20="",I20="",M20="",V20="",P20="",X20="",AB20="",AF20="",AH20="",T20=""),"",ROUND(AJ20*INDEX(ENDUSEALL[Factor],MATCH(IF(ISNUMBER(SEARCH("CFL",F20)),"Miscellaneous","Lighting"),ENDUSEALL[End Use to Coincident Peak Demand Factors],0)),4))</f>
        <v/>
      </c>
      <c r="AW20" s="802" t="str">
        <f>IF(OR(C20="",F20="",K20="",I20="",M20="",V20="",P20="",X20="",AB20="",AF20="",AH20="",T20=""),"",IF(AND(C20="Incandescent",OR(ISNUMBER(SEARCH("PAR",F20)),ISNUMBER(SEARCH("A-Lamp",F20)))),ROUND(0.24*K20*I20*AB20/1000,2),
IF(C20="Halogen",ROUND(0.34*K20*I20*AB20/1000,2),
ROUND(K20*I20*AB20/1000,2))))</f>
        <v/>
      </c>
      <c r="AX20" s="802" t="str">
        <f>IF(OR(C20="",F20="",K20="",I20="",M20="",V20="",P20="",X20="",AB20="",AF20="",AH20="",T20=""),"",ROUND(V20*T20*AB20/1000,0))</f>
        <v/>
      </c>
      <c r="AY20" s="802" t="str">
        <f>IF(OR(C20="",F20="",K20="",I20="",M20="",V20="",P20="",X20="",AB20="",AF20="",AH20="",T20=""),"",IF(AND(C20="Incandescent",ISNUMBER(SEARCH("A-Lamp",F20))),ROUND(0.24*K20*I20,2),
IF(C20="Halogen",ROUND(0.34*K20*I20,2),ROUND(K20*I20,2))))</f>
        <v/>
      </c>
      <c r="AZ20" s="802" t="str">
        <f>IF(OR(C20="",F20="",K20="",I20="",M20="",V20="",P20="",X20="",AB20="",AF20="",AH20="",T20=""),"",ROUND(V20*T20,0))</f>
        <v/>
      </c>
      <c r="BA20" s="800" t="str">
        <f>IF(OR(AND(C20="Exit Sign",M20&lt;&gt;"Exit Sign"),AND(M20="Exit Sign",OR(C20="Incandescent",C20="Halogen"))),"Invalid",IF(C20="Exit Sign",CONCATENATE(C20," ",F20),IF(ISNUMBER(SEARCH("A-Lamp",F20)),CONCATENATE(C20," ",F20,"-LED"),IF(ISNUMBER(SEARCH("MR-16",F20)),CONCATENATE(C20," ",F20,"-LED"),CONCATENATE(C20," ",F20,"-LED")))))</f>
        <v xml:space="preserve"> -LED</v>
      </c>
      <c r="BB20" s="808" t="str">
        <f>IFERROR(IF(OR(C20="",F20="",K20="",I20="",M20="",V20="",P20="",X20="",AB20="",AF20="",AH20="",T20=""),"",INDEX(PMELIGHTINCAN[Measure '#],MATCH(BA20,PMELIGHTINCAN[Measure Validator],0))),"")</f>
        <v/>
      </c>
      <c r="BC20" s="808" t="str">
        <f>IFERROR(IF(OR(C20="",AH20=""),"",INDEX(PMELIGHTINCAN[Inc Rate Unit],MATCH(BA20,PMELIGHTINCAN[Measure Validator],0))),"")</f>
        <v/>
      </c>
      <c r="BD20" s="808" t="str">
        <f>IFERROR(ROUND(IF(OR(C20="",AH20=""),"",IF(BB20="","",(T20)*BC20)),2),"")</f>
        <v/>
      </c>
      <c r="BE20" s="800" t="str">
        <f>IF(OR(C20="",F20="",K20="",I20="",M20="",V20="",P20="",X20="",AB20="",AF20="",AH20="",T20=""),"",IFERROR(IF(BA20="Invalid","Invalid",IF(BA20="Reflector","Select Eligible Reflector Lamp",IF(AB20&lt;INDEX(PMELIGHTINCAN[Op Hr 1],MATCH(BA20,PMELIGHTINCAN[Measure Validator],0)),"Operating Hours Invalid",IF(ISNUMBER(SEARCH("SPILLOVER",X20)),PROJSTATELI,IF((AW20-AX20)&lt;=0,"No Savings",""))))),"ERROR"))</f>
        <v/>
      </c>
      <c r="BF20" s="802" t="str">
        <f>IF(AND(ISBLANK(AF20),ISBLANK(AH20)),"",IF(NOT(ISNUMBER(BB20)),"",IF(BD20&gt;AU20,"Yes","No")))</f>
        <v/>
      </c>
      <c r="BG20" s="1051">
        <f>IF(M02S02F32&lt;&gt;"",INDEX(SPACEHEAT[HIF],MATCH(M02S02F32,SHEAT,0)),1)</f>
        <v>1</v>
      </c>
      <c r="BH20" s="1367">
        <f t="shared" ref="BH20" si="6">IFERROR(ROUND(BJ20*1.1,2),0)</f>
        <v>0</v>
      </c>
      <c r="BI20" s="1368" t="str">
        <f>IF(M02S02F44="","Update Install Status",IF(M02S02F49="Yes","Use New Load",IF(OR(C20="",F20="",K20="",I20="",M20="",V20="",P20="",X20="",AB20="",AF20="",AH20="",T20="",AD20=""),"",IF(BE20&lt;&gt;"",BE20,ROUND(BH20*BONUSADJ,2)))))</f>
        <v>Update Install Status</v>
      </c>
      <c r="BJ20" s="1368" t="str">
        <f>IF(M02S02F44="","Update Install Status",IF(M02S02F49="Yes","Use New Load",IF(OR(C20="",F20="",K20="",I20="",M20="",V20="",P20="",X20="",AB20="",AF20="",AH20="",T20="",AD20=""),"",IF(BE20&lt;&gt;"",BE20,ROUND(MIN(AU20,BD20),2)))))</f>
        <v>Update Install Status</v>
      </c>
    </row>
    <row r="21" spans="2:62" ht="15.95" customHeight="1" x14ac:dyDescent="0.25">
      <c r="B21" s="1204"/>
      <c r="C21" s="1207"/>
      <c r="D21" s="1263"/>
      <c r="E21" s="1208"/>
      <c r="F21" s="1207"/>
      <c r="G21" s="1263"/>
      <c r="H21" s="1208"/>
      <c r="I21" s="1266"/>
      <c r="J21" s="1267"/>
      <c r="K21" s="1343"/>
      <c r="L21" s="1344"/>
      <c r="M21" s="1308"/>
      <c r="N21" s="1308"/>
      <c r="O21" s="846"/>
      <c r="P21" s="896"/>
      <c r="Q21" s="897"/>
      <c r="R21" s="897"/>
      <c r="S21" s="898"/>
      <c r="T21" s="1266"/>
      <c r="U21" s="1267"/>
      <c r="V21" s="1343"/>
      <c r="W21" s="1361"/>
      <c r="X21" s="896"/>
      <c r="Y21" s="897"/>
      <c r="Z21" s="897"/>
      <c r="AA21" s="898"/>
      <c r="AB21" s="1348"/>
      <c r="AC21" s="1349"/>
      <c r="AD21" s="1245"/>
      <c r="AE21" s="917"/>
      <c r="AF21" s="1354"/>
      <c r="AG21" s="1248"/>
      <c r="AH21" s="1248"/>
      <c r="AI21" s="1249"/>
      <c r="AJ21" s="1358"/>
      <c r="AK21" s="1358"/>
      <c r="AL21" s="1358"/>
      <c r="AM21" s="1359"/>
      <c r="AN21" s="1238"/>
      <c r="AO21" s="1239"/>
      <c r="AP21" s="1239"/>
      <c r="AQ21" s="1240"/>
      <c r="AU21" s="805"/>
      <c r="AV21" s="807"/>
      <c r="AW21" s="803"/>
      <c r="AX21" s="803"/>
      <c r="AY21" s="803"/>
      <c r="AZ21" s="803"/>
      <c r="BA21" s="801"/>
      <c r="BB21" s="797"/>
      <c r="BC21" s="797"/>
      <c r="BD21" s="797"/>
      <c r="BE21" s="801"/>
      <c r="BF21" s="803"/>
      <c r="BG21" s="1052"/>
      <c r="BH21" s="1367"/>
      <c r="BI21" s="1368"/>
      <c r="BJ21" s="1368"/>
    </row>
    <row r="22" spans="2:62" ht="15.95" customHeight="1" x14ac:dyDescent="0.25">
      <c r="B22" s="1204">
        <v>3</v>
      </c>
      <c r="C22" s="1205"/>
      <c r="D22" s="1292"/>
      <c r="E22" s="1206"/>
      <c r="F22" s="1205"/>
      <c r="G22" s="1292"/>
      <c r="H22" s="1206"/>
      <c r="I22" s="1339"/>
      <c r="J22" s="1340"/>
      <c r="K22" s="1341"/>
      <c r="L22" s="1342"/>
      <c r="M22" s="1345" t="str">
        <f t="shared" ref="M22" si="7">IF(ISNUMBER(SEARCH("Exit",C22)),"Exit Sign","")</f>
        <v/>
      </c>
      <c r="N22" s="1307"/>
      <c r="O22" s="844"/>
      <c r="P22" s="881"/>
      <c r="Q22" s="894"/>
      <c r="R22" s="894"/>
      <c r="S22" s="895"/>
      <c r="T22" s="1339"/>
      <c r="U22" s="1340"/>
      <c r="V22" s="1341"/>
      <c r="W22" s="1360"/>
      <c r="X22" s="881"/>
      <c r="Y22" s="894"/>
      <c r="Z22" s="894"/>
      <c r="AA22" s="895"/>
      <c r="AB22" s="1346" t="str">
        <f t="shared" ref="AB22" si="8">IF(C22="Exit Sign",8760,"")</f>
        <v/>
      </c>
      <c r="AC22" s="1347"/>
      <c r="AD22" s="1245"/>
      <c r="AE22" s="917"/>
      <c r="AF22" s="1354"/>
      <c r="AG22" s="1248"/>
      <c r="AH22" s="1248"/>
      <c r="AI22" s="1249"/>
      <c r="AJ22" s="1356" t="str">
        <f t="shared" ref="AJ22" si="9">IF(OR(C22="",F22="",K22="",I22="",M22="",V22="",P22="",X22="",AB22="",AF22="",AH22="",T22=""),"",IFERROR(ROUND(IF((AW22-AX22)&lt;=0,0,BG22*(AW22-AX22)),0),""))</f>
        <v/>
      </c>
      <c r="AK22" s="1356"/>
      <c r="AL22" s="1356"/>
      <c r="AM22" s="1357"/>
      <c r="AN22" s="1238" t="str">
        <f>IF(M02S02F44="","Update Install Status",IF(M02S02F49="Yes","Use New Load",IF(OR(C22="",F22="",K22="",I22="",M22="",V22="",P22="",X22="",AB22="",AF22="",AH22="",T22="",AD22=""),"",IF(BE22&lt;&gt;"",BE22,ROUND(MIN(AU22,BD22),2)))))</f>
        <v>Update Install Status</v>
      </c>
      <c r="AO22" s="1239"/>
      <c r="AP22" s="1239"/>
      <c r="AQ22" s="1240"/>
      <c r="AU22" s="804" t="str">
        <f>IF(OR(C22="",F22="",K22="",I22="",M22="",V22="",P22="",X22="",AB22="",AF22="",AH22="",T22=""),"",(ROUND((AF22+AH22)*T22,2)))</f>
        <v/>
      </c>
      <c r="AV22" s="806" t="str">
        <f>IF(OR(C22="",F22="",K22="",I22="",M22="",V22="",P22="",X22="",AB22="",AF22="",AH22="",T22=""),"",ROUND(AJ22*INDEX(ENDUSEALL[Factor],MATCH(IF(ISNUMBER(SEARCH("CFL",F22)),"Miscellaneous","Lighting"),ENDUSEALL[End Use to Coincident Peak Demand Factors],0)),4))</f>
        <v/>
      </c>
      <c r="AW22" s="802" t="str">
        <f t="shared" ref="AW22" si="10">IF(OR(C22="",F22="",K22="",I22="",M22="",V22="",P22="",X22="",AB22="",AF22="",AH22="",T22=""),"",IF(AND(C22="Incandescent",OR(ISNUMBER(SEARCH("PAR",F22)),ISNUMBER(SEARCH("A-Lamp",F22)))),ROUND(0.24*K22*I22*AB22/1000,2),
IF(C22="Halogen",ROUND(0.34*K22*I22*AB22/1000,2),
ROUND(K22*I22*AB22/1000,2))))</f>
        <v/>
      </c>
      <c r="AX22" s="802" t="str">
        <f>IF(OR(C22="",F22="",K22="",I22="",M22="",V22="",P22="",X22="",AB22="",AF22="",AH22="",T22=""),"",ROUND(V22*T22*AB22/1000,0))</f>
        <v/>
      </c>
      <c r="AY22" s="802" t="str">
        <f t="shared" ref="AY22" si="11">IF(OR(C22="",F22="",K22="",I22="",M22="",V22="",P22="",X22="",AB22="",AF22="",AH22="",T22=""),"",IF(AND(C22="Incandescent",ISNUMBER(SEARCH("A-Lamp",F22))),ROUND(0.24*K22*I22,2),
IF(C22="Halogen",ROUND(0.34*K22*I22,2),ROUND(K22*I22,2))))</f>
        <v/>
      </c>
      <c r="AZ22" s="802" t="str">
        <f>IF(OR(C22="",F22="",K22="",I22="",M22="",V22="",P22="",X22="",AB22="",AF22="",AH22="",T22=""),"",ROUND(V22*T22,0))</f>
        <v/>
      </c>
      <c r="BA22" s="800" t="str">
        <f>IF(OR(AND(C22="Exit Sign",M22&lt;&gt;"Exit Sign"),AND(M22="Exit Sign",OR(C22="Incandescent",C22="Halogen"))),"Invalid",IF(C22="Exit Sign",CONCATENATE(C22," ",F22),IF(ISNUMBER(SEARCH("A-Lamp",F22)),CONCATENATE(C22," ",F22,"-LED"),IF(ISNUMBER(SEARCH("MR-16",F22)),CONCATENATE(C22," ",F22,"-LED"),CONCATENATE(C22," ",F22,"-LED")))))</f>
        <v xml:space="preserve"> -LED</v>
      </c>
      <c r="BB22" s="808" t="str">
        <f>IFERROR(IF(OR(C22="",F22="",K22="",I22="",M22="",V22="",P22="",X22="",AB22="",AF22="",AH22="",T22=""),"",INDEX(PMELIGHTINCAN[Measure '#],MATCH(BA22,PMELIGHTINCAN[Measure Validator],0))),"")</f>
        <v/>
      </c>
      <c r="BC22" s="808" t="str">
        <f>IFERROR(IF(OR(C22="",AH22=""),"",INDEX(PMELIGHTINCAN[Inc Rate Unit],MATCH(BA22,PMELIGHTINCAN[Measure Validator],0))),"")</f>
        <v/>
      </c>
      <c r="BD22" s="808" t="str">
        <f>IFERROR(ROUND(IF(OR(C22="",AH22=""),"",IF(BB22="","",(T22)*BC22)),2),"")</f>
        <v/>
      </c>
      <c r="BE22" s="800" t="str">
        <f>IF(OR(C22="",F22="",K22="",I22="",M22="",V22="",P22="",X22="",AB22="",AF22="",AH22="",T22=""),"",IFERROR(IF(BA22="Invalid","Invalid",IF(BA22="Reflector","Select Eligible Reflector Lamp",IF(AB22&lt;INDEX(PMELIGHTINCAN[Op Hr 1],MATCH(BA22,PMELIGHTINCAN[Measure Validator],0)),"Operating Hours Invalid",IF(ISNUMBER(SEARCH("SPILLOVER",X22)),PROJSTATELI,IF((AW22-AX22)&lt;=0,"No Savings",""))))),"ERROR"))</f>
        <v/>
      </c>
      <c r="BF22" s="802" t="str">
        <f>IF(AND(ISBLANK(AF22),ISBLANK(AH22)),"",IF(NOT(ISNUMBER(BB22)),"",IF(BD22&gt;AU22,"Yes","No")))</f>
        <v/>
      </c>
      <c r="BG22" s="1051">
        <f>IF(M02S02F32&lt;&gt;"",INDEX(SPACEHEAT[HIF],MATCH(M02S02F32,SHEAT,0)),1)</f>
        <v>1</v>
      </c>
      <c r="BH22" s="1367">
        <f t="shared" ref="BH22" si="12">IFERROR(ROUND(BJ22*1.1,2),0)</f>
        <v>0</v>
      </c>
      <c r="BI22" s="1368" t="str">
        <f>IF(M02S02F44="","Update Install Status",IF(M02S02F49="Yes","Use New Load",IF(OR(C22="",F22="",K22="",I22="",M22="",V22="",P22="",X22="",AB22="",AF22="",AH22="",T22="",AD22=""),"",IF(BE22&lt;&gt;"",BE22,ROUND(BH22*BONUSADJ,2)))))</f>
        <v>Update Install Status</v>
      </c>
      <c r="BJ22" s="1368" t="str">
        <f>IF(M02S02F44="","Update Install Status",IF(M02S02F49="Yes","Use New Load",IF(OR(C22="",F22="",K22="",I22="",M22="",V22="",P22="",X22="",AB22="",AF22="",AH22="",T22="",AD22=""),"",IF(BE22&lt;&gt;"",BE22,ROUND(MIN(AU22,BD22),2)))))</f>
        <v>Update Install Status</v>
      </c>
    </row>
    <row r="23" spans="2:62" ht="15.95" customHeight="1" x14ac:dyDescent="0.25">
      <c r="B23" s="1204"/>
      <c r="C23" s="1207"/>
      <c r="D23" s="1263"/>
      <c r="E23" s="1208"/>
      <c r="F23" s="1207"/>
      <c r="G23" s="1263"/>
      <c r="H23" s="1208"/>
      <c r="I23" s="1266"/>
      <c r="J23" s="1267"/>
      <c r="K23" s="1343"/>
      <c r="L23" s="1344"/>
      <c r="M23" s="1308"/>
      <c r="N23" s="1308"/>
      <c r="O23" s="846"/>
      <c r="P23" s="896"/>
      <c r="Q23" s="897"/>
      <c r="R23" s="897"/>
      <c r="S23" s="898"/>
      <c r="T23" s="1266"/>
      <c r="U23" s="1267"/>
      <c r="V23" s="1343"/>
      <c r="W23" s="1361"/>
      <c r="X23" s="896"/>
      <c r="Y23" s="897"/>
      <c r="Z23" s="897"/>
      <c r="AA23" s="898"/>
      <c r="AB23" s="1348"/>
      <c r="AC23" s="1349"/>
      <c r="AD23" s="1245"/>
      <c r="AE23" s="917"/>
      <c r="AF23" s="1354"/>
      <c r="AG23" s="1248"/>
      <c r="AH23" s="1248"/>
      <c r="AI23" s="1249"/>
      <c r="AJ23" s="1358"/>
      <c r="AK23" s="1358"/>
      <c r="AL23" s="1358"/>
      <c r="AM23" s="1359"/>
      <c r="AN23" s="1238"/>
      <c r="AO23" s="1239"/>
      <c r="AP23" s="1239"/>
      <c r="AQ23" s="1240"/>
      <c r="AU23" s="805"/>
      <c r="AV23" s="807"/>
      <c r="AW23" s="803"/>
      <c r="AX23" s="803"/>
      <c r="AY23" s="803"/>
      <c r="AZ23" s="803"/>
      <c r="BA23" s="801"/>
      <c r="BB23" s="797"/>
      <c r="BC23" s="797"/>
      <c r="BD23" s="797"/>
      <c r="BE23" s="801"/>
      <c r="BF23" s="803"/>
      <c r="BG23" s="1052"/>
      <c r="BH23" s="1367"/>
      <c r="BI23" s="1368"/>
      <c r="BJ23" s="1368"/>
    </row>
    <row r="24" spans="2:62" ht="15.95" customHeight="1" x14ac:dyDescent="0.25">
      <c r="B24" s="1204">
        <v>4</v>
      </c>
      <c r="C24" s="843"/>
      <c r="D24" s="1307"/>
      <c r="E24" s="844"/>
      <c r="F24" s="843"/>
      <c r="G24" s="1307"/>
      <c r="H24" s="844"/>
      <c r="I24" s="1346"/>
      <c r="J24" s="1362"/>
      <c r="K24" s="1341"/>
      <c r="L24" s="1342"/>
      <c r="M24" s="1345" t="str">
        <f t="shared" ref="M24" si="13">IF(ISNUMBER(SEARCH("Exit",C24)),"Exit Sign","")</f>
        <v/>
      </c>
      <c r="N24" s="1307"/>
      <c r="O24" s="844"/>
      <c r="P24" s="881"/>
      <c r="Q24" s="822"/>
      <c r="R24" s="822"/>
      <c r="S24" s="823"/>
      <c r="T24" s="1346"/>
      <c r="U24" s="1362"/>
      <c r="V24" s="1341"/>
      <c r="W24" s="1360"/>
      <c r="X24" s="881"/>
      <c r="Y24" s="822"/>
      <c r="Z24" s="822"/>
      <c r="AA24" s="823"/>
      <c r="AB24" s="1346" t="str">
        <f t="shared" ref="AB24" si="14">IF(C24="Exit Sign",8760,"")</f>
        <v/>
      </c>
      <c r="AC24" s="1347"/>
      <c r="AD24" s="1302"/>
      <c r="AE24" s="854"/>
      <c r="AF24" s="1364"/>
      <c r="AG24" s="1305"/>
      <c r="AH24" s="1305"/>
      <c r="AI24" s="1306"/>
      <c r="AJ24" s="1356" t="str">
        <f t="shared" ref="AJ24" si="15">IF(OR(C24="",F24="",K24="",I24="",M24="",V24="",P24="",X24="",AB24="",AF24="",AH24="",T24=""),"",IFERROR(ROUND(IF((AW24-AX24)&lt;=0,0,BG24*(AW24-AX24)),0),""))</f>
        <v/>
      </c>
      <c r="AK24" s="1356"/>
      <c r="AL24" s="1356"/>
      <c r="AM24" s="1357"/>
      <c r="AN24" s="1238" t="str">
        <f>IF(M02S02F44="","Update Install Status",IF(M02S02F49="Yes","Use New Load",IF(OR(C24="",F24="",K24="",I24="",M24="",V24="",P24="",X24="",AB24="",AF24="",AH24="",T24="",AD24=""),"",IF(BE24&lt;&gt;"",BE24,ROUND(MIN(AU24,BD24),2)))))</f>
        <v>Update Install Status</v>
      </c>
      <c r="AO24" s="1239"/>
      <c r="AP24" s="1239"/>
      <c r="AQ24" s="1240"/>
      <c r="AU24" s="804" t="str">
        <f>IF(OR(C24="",F24="",K24="",I24="",M24="",V24="",P24="",X24="",AB24="",AF24="",AH24="",T24=""),"",(ROUND((AF24+AH24)*T24,2)))</f>
        <v/>
      </c>
      <c r="AV24" s="806" t="str">
        <f>IF(OR(C24="",F24="",K24="",I24="",M24="",V24="",P24="",X24="",AB24="",AF24="",AH24="",T24=""),"",ROUND(AJ24*INDEX(ENDUSEALL[Factor],MATCH(IF(ISNUMBER(SEARCH("CFL",F24)),"Miscellaneous","Lighting"),ENDUSEALL[End Use to Coincident Peak Demand Factors],0)),4))</f>
        <v/>
      </c>
      <c r="AW24" s="802" t="str">
        <f t="shared" ref="AW24" si="16">IF(OR(C24="",F24="",K24="",I24="",M24="",V24="",P24="",X24="",AB24="",AF24="",AH24="",T24=""),"",IF(AND(C24="Incandescent",OR(ISNUMBER(SEARCH("PAR",F24)),ISNUMBER(SEARCH("A-Lamp",F24)))),ROUND(0.24*K24*I24*AB24/1000,2),
IF(C24="Halogen",ROUND(0.34*K24*I24*AB24/1000,2),
ROUND(K24*I24*AB24/1000,2))))</f>
        <v/>
      </c>
      <c r="AX24" s="802" t="str">
        <f t="shared" ref="AX24" si="17">IF(OR(C24="",F24="",K24="",I24="",M24="",V24="",P24="",X24="",AB24="",AF24="",AH24="",T24=""),"",ROUND(V24*T24*AB24/1000,0))</f>
        <v/>
      </c>
      <c r="AY24" s="802" t="str">
        <f t="shared" ref="AY24" si="18">IF(OR(C24="",F24="",K24="",I24="",M24="",V24="",P24="",X24="",AB24="",AF24="",AH24="",T24=""),"",IF(AND(C24="Incandescent",ISNUMBER(SEARCH("A-Lamp",F24))),ROUND(0.24*K24*I24,2),
IF(C24="Halogen",ROUND(0.34*K24*I24,2),ROUND(K24*I24,2))))</f>
        <v/>
      </c>
      <c r="AZ24" s="802" t="str">
        <f t="shared" ref="AZ24" si="19">IF(OR(C24="",F24="",K24="",I24="",M24="",V24="",P24="",X24="",AB24="",AF24="",AH24="",T24=""),"",ROUND(V24*T24,0))</f>
        <v/>
      </c>
      <c r="BA24" s="800" t="str">
        <f>IF(OR(AND(C24="Exit Sign",M24&lt;&gt;"Exit Sign"),AND(M24="Exit Sign",OR(C24="Incandescent",C24="Halogen"))),"Invalid",IF(C24="Exit Sign",CONCATENATE(C24," ",F24),IF(ISNUMBER(SEARCH("A-Lamp",F24)),CONCATENATE(C24," ",F24,"-LED"),IF(ISNUMBER(SEARCH("MR-16",F24)),CONCATENATE(C24," ",F24,"-LED"),CONCATENATE(C24," ",F24,"-LED")))))</f>
        <v xml:space="preserve"> -LED</v>
      </c>
      <c r="BB24" s="808" t="str">
        <f>IFERROR(IF(OR(C24="",F24="",K24="",I24="",M24="",V24="",P24="",X24="",AB24="",AF24="",AH24="",T24=""),"",INDEX(PMELIGHTINCAN[Measure '#],MATCH(BA24,PMELIGHTINCAN[Measure Validator],0))),"")</f>
        <v/>
      </c>
      <c r="BC24" s="808" t="str">
        <f>IFERROR(IF(OR(C24="",AH24=""),"",INDEX(PMELIGHTINCAN[Inc Rate Unit],MATCH(BA24,PMELIGHTINCAN[Measure Validator],0))),"")</f>
        <v/>
      </c>
      <c r="BD24" s="808" t="str">
        <f>IFERROR(ROUND(IF(OR(C24="",AH24=""),"",IF(BB24="","",(T24)*BC24)),2),"")</f>
        <v/>
      </c>
      <c r="BE24" s="800" t="str">
        <f>IF(OR(C24="",F24="",K24="",I24="",M24="",V24="",P24="",X24="",AB24="",AF24="",AH24="",T24=""),"",IFERROR(IF(BA24="Invalid","Invalid",IF(BA24="Reflector","Select Eligible Reflector Lamp",IF(AB24&lt;INDEX(PMELIGHTINCAN[Op Hr 1],MATCH(BA24,PMELIGHTINCAN[Measure Validator],0)),"Operating Hours Invalid",IF(ISNUMBER(SEARCH("SPILLOVER",X24)),PROJSTATELI,IF((AW24-AX24)&lt;=0,"No Savings",""))))),"ERROR"))</f>
        <v/>
      </c>
      <c r="BF24" s="802" t="str">
        <f>IF(AND(ISBLANK(AF24),ISBLANK(AH24)),"",IF(NOT(ISNUMBER(BB24)),"",IF(BD24&gt;AU24,"Yes","No")))</f>
        <v/>
      </c>
      <c r="BG24" s="1051">
        <f>IF(M02S02F32&lt;&gt;"",INDEX(SPACEHEAT[HIF],MATCH(M02S02F32,SHEAT,0)),1)</f>
        <v>1</v>
      </c>
      <c r="BH24" s="1367">
        <f t="shared" ref="BH24" si="20">IFERROR(ROUND(BJ24*1.1,2),0)</f>
        <v>0</v>
      </c>
      <c r="BI24" s="1368" t="str">
        <f>IF(M02S02F44="","Update Install Status",IF(M02S02F49="Yes","Use New Load",IF(OR(C24="",F24="",K24="",I24="",M24="",V24="",P24="",X24="",AB24="",AF24="",AH24="",T24="",AD24=""),"",IF(BE24&lt;&gt;"",BE24,ROUND(BH24*BONUSADJ,2)))))</f>
        <v>Update Install Status</v>
      </c>
      <c r="BJ24" s="1368" t="str">
        <f>IF(M02S02F44="","Update Install Status",IF(M02S02F49="Yes","Use New Load",IF(OR(C24="",F24="",K24="",I24="",M24="",V24="",P24="",X24="",AB24="",AF24="",AH24="",T24="",AD24=""),"",IF(BE24&lt;&gt;"",BE24,ROUND(MIN(AU24,BD24),2)))))</f>
        <v>Update Install Status</v>
      </c>
    </row>
    <row r="25" spans="2:62" ht="15.95" customHeight="1" x14ac:dyDescent="0.25">
      <c r="B25" s="1204"/>
      <c r="C25" s="845"/>
      <c r="D25" s="1308"/>
      <c r="E25" s="846"/>
      <c r="F25" s="845"/>
      <c r="G25" s="1308"/>
      <c r="H25" s="846"/>
      <c r="I25" s="1348"/>
      <c r="J25" s="1363"/>
      <c r="K25" s="1343"/>
      <c r="L25" s="1344"/>
      <c r="M25" s="1308"/>
      <c r="N25" s="1308"/>
      <c r="O25" s="846"/>
      <c r="P25" s="824"/>
      <c r="Q25" s="825"/>
      <c r="R25" s="825"/>
      <c r="S25" s="826"/>
      <c r="T25" s="1348"/>
      <c r="U25" s="1363"/>
      <c r="V25" s="1343"/>
      <c r="W25" s="1361"/>
      <c r="X25" s="824"/>
      <c r="Y25" s="825"/>
      <c r="Z25" s="825"/>
      <c r="AA25" s="826"/>
      <c r="AB25" s="1348"/>
      <c r="AC25" s="1349"/>
      <c r="AD25" s="1302"/>
      <c r="AE25" s="854"/>
      <c r="AF25" s="1364"/>
      <c r="AG25" s="1305"/>
      <c r="AH25" s="1305"/>
      <c r="AI25" s="1306"/>
      <c r="AJ25" s="1358"/>
      <c r="AK25" s="1358"/>
      <c r="AL25" s="1358"/>
      <c r="AM25" s="1359"/>
      <c r="AN25" s="1238"/>
      <c r="AO25" s="1239"/>
      <c r="AP25" s="1239"/>
      <c r="AQ25" s="1240"/>
      <c r="AU25" s="805"/>
      <c r="AV25" s="807"/>
      <c r="AW25" s="803"/>
      <c r="AX25" s="803"/>
      <c r="AY25" s="803"/>
      <c r="AZ25" s="803"/>
      <c r="BA25" s="801"/>
      <c r="BB25" s="797"/>
      <c r="BC25" s="797"/>
      <c r="BD25" s="797"/>
      <c r="BE25" s="801"/>
      <c r="BF25" s="803"/>
      <c r="BG25" s="1052"/>
      <c r="BH25" s="1367"/>
      <c r="BI25" s="1368"/>
      <c r="BJ25" s="1368"/>
    </row>
    <row r="26" spans="2:62" ht="15.95" customHeight="1" x14ac:dyDescent="0.25">
      <c r="B26" s="1204">
        <v>5</v>
      </c>
      <c r="C26" s="1205"/>
      <c r="D26" s="1292"/>
      <c r="E26" s="1206"/>
      <c r="F26" s="1205"/>
      <c r="G26" s="1292"/>
      <c r="H26" s="1206"/>
      <c r="I26" s="1339"/>
      <c r="J26" s="1340"/>
      <c r="K26" s="1341"/>
      <c r="L26" s="1342"/>
      <c r="M26" s="1345" t="str">
        <f t="shared" ref="M26" si="21">IF(ISNUMBER(SEARCH("Exit",C26)),"Exit Sign","")</f>
        <v/>
      </c>
      <c r="N26" s="1307"/>
      <c r="O26" s="844"/>
      <c r="P26" s="881"/>
      <c r="Q26" s="894"/>
      <c r="R26" s="894"/>
      <c r="S26" s="895"/>
      <c r="T26" s="1339"/>
      <c r="U26" s="1340"/>
      <c r="V26" s="1341"/>
      <c r="W26" s="1360"/>
      <c r="X26" s="881"/>
      <c r="Y26" s="894"/>
      <c r="Z26" s="894"/>
      <c r="AA26" s="895"/>
      <c r="AB26" s="1346" t="str">
        <f t="shared" ref="AB26" si="22">IF(C26="Exit Sign",8760,"")</f>
        <v/>
      </c>
      <c r="AC26" s="1347"/>
      <c r="AD26" s="1245"/>
      <c r="AE26" s="917"/>
      <c r="AF26" s="1354"/>
      <c r="AG26" s="1248"/>
      <c r="AH26" s="1248"/>
      <c r="AI26" s="1249"/>
      <c r="AJ26" s="1356" t="str">
        <f t="shared" ref="AJ26" si="23">IF(OR(C26="",F26="",K26="",I26="",M26="",V26="",P26="",X26="",AB26="",AF26="",AH26="",T26=""),"",IFERROR(ROUND(IF((AW26-AX26)&lt;=0,0,BG26*(AW26-AX26)),0),""))</f>
        <v/>
      </c>
      <c r="AK26" s="1356"/>
      <c r="AL26" s="1356"/>
      <c r="AM26" s="1357"/>
      <c r="AN26" s="1238" t="str">
        <f>IF(M02S02F44="","Update Install Status",IF(M02S02F49="Yes","Use New Load",IF(OR(C26="",F26="",K26="",I26="",M26="",V26="",P26="",X26="",AB26="",AF26="",AH26="",T26="",AD26=""),"",IF(BE26&lt;&gt;"",BE26,ROUND(MIN(AU26,BD26),2)))))</f>
        <v>Update Install Status</v>
      </c>
      <c r="AO26" s="1239"/>
      <c r="AP26" s="1239"/>
      <c r="AQ26" s="1240"/>
      <c r="AU26" s="804" t="str">
        <f>IF(OR(C26="",F26="",K26="",I26="",M26="",V26="",P26="",X26="",AB26="",AF26="",AH26="",T26=""),"",(ROUND((AF26+AH26)*T26,2)))</f>
        <v/>
      </c>
      <c r="AV26" s="806" t="str">
        <f>IF(OR(C26="",F26="",K26="",I26="",M26="",V26="",P26="",X26="",AB26="",AF26="",AH26="",T26=""),"",ROUND(AJ26*INDEX(ENDUSEALL[Factor],MATCH(IF(ISNUMBER(SEARCH("CFL",F26)),"Miscellaneous","Lighting"),ENDUSEALL[End Use to Coincident Peak Demand Factors],0)),4))</f>
        <v/>
      </c>
      <c r="AW26" s="802" t="str">
        <f t="shared" ref="AW26" si="24">IF(OR(C26="",F26="",K26="",I26="",M26="",V26="",P26="",X26="",AB26="",AF26="",AH26="",T26=""),"",IF(AND(C26="Incandescent",OR(ISNUMBER(SEARCH("PAR",F26)),ISNUMBER(SEARCH("A-Lamp",F26)))),ROUND(0.24*K26*I26*AB26/1000,2),
IF(C26="Halogen",ROUND(0.34*K26*I26*AB26/1000,2),
ROUND(K26*I26*AB26/1000,2))))</f>
        <v/>
      </c>
      <c r="AX26" s="802" t="str">
        <f t="shared" ref="AX26" si="25">IF(OR(C26="",F26="",K26="",I26="",M26="",V26="",P26="",X26="",AB26="",AF26="",AH26="",T26=""),"",ROUND(V26*T26*AB26/1000,0))</f>
        <v/>
      </c>
      <c r="AY26" s="802" t="str">
        <f t="shared" ref="AY26" si="26">IF(OR(C26="",F26="",K26="",I26="",M26="",V26="",P26="",X26="",AB26="",AF26="",AH26="",T26=""),"",IF(AND(C26="Incandescent",ISNUMBER(SEARCH("A-Lamp",F26))),ROUND(0.24*K26*I26,2),
IF(C26="Halogen",ROUND(0.34*K26*I26,2),ROUND(K26*I26,2))))</f>
        <v/>
      </c>
      <c r="AZ26" s="802" t="str">
        <f t="shared" ref="AZ26" si="27">IF(OR(C26="",F26="",K26="",I26="",M26="",V26="",P26="",X26="",AB26="",AF26="",AH26="",T26=""),"",ROUND(V26*T26,0))</f>
        <v/>
      </c>
      <c r="BA26" s="800" t="str">
        <f>IF(OR(AND(C26="Exit Sign",M26&lt;&gt;"Exit Sign"),AND(M26="Exit Sign",OR(C26="Incandescent",C26="Halogen"))),"Invalid",IF(C26="Exit Sign",CONCATENATE(C26," ",F26),IF(ISNUMBER(SEARCH("A-Lamp",F26)),CONCATENATE(C26," ",F26,"-LED"),IF(ISNUMBER(SEARCH("MR-16",F26)),CONCATENATE(C26," ",F26,"-LED"),CONCATENATE(C26," ",F26,"-LED")))))</f>
        <v xml:space="preserve"> -LED</v>
      </c>
      <c r="BB26" s="808" t="str">
        <f>IFERROR(IF(OR(C26="",F26="",K26="",I26="",M26="",V26="",P26="",X26="",AB26="",AF26="",AH26="",T26=""),"",INDEX(PMELIGHTINCAN[Measure '#],MATCH(BA26,PMELIGHTINCAN[Measure Validator],0))),"")</f>
        <v/>
      </c>
      <c r="BC26" s="808" t="str">
        <f>IFERROR(IF(OR(C26="",AH26=""),"",INDEX(PMELIGHTINCAN[Inc Rate Unit],MATCH(BA26,PMELIGHTINCAN[Measure Validator],0))),"")</f>
        <v/>
      </c>
      <c r="BD26" s="808" t="str">
        <f>IFERROR(ROUND(IF(OR(C26="",AH26=""),"",IF(BB26="","",(T26)*BC26)),2),"")</f>
        <v/>
      </c>
      <c r="BE26" s="800" t="str">
        <f>IF(OR(C26="",F26="",K26="",I26="",M26="",V26="",P26="",X26="",AB26="",AF26="",AH26="",T26=""),"",IFERROR(IF(BA26="Invalid","Invalid",IF(BA26="Reflector","Select Eligible Reflector Lamp",IF(AB26&lt;INDEX(PMELIGHTINCAN[Op Hr 1],MATCH(BA26,PMELIGHTINCAN[Measure Validator],0)),"Operating Hours Invalid",IF(ISNUMBER(SEARCH("SPILLOVER",X26)),PROJSTATELI,IF((AW26-AX26)&lt;=0,"No Savings",""))))),"ERROR"))</f>
        <v/>
      </c>
      <c r="BF26" s="802" t="str">
        <f>IF(AND(ISBLANK(AF26),ISBLANK(AH26)),"",IF(NOT(ISNUMBER(BB26)),"",IF(BD26&gt;AU26,"Yes","No")))</f>
        <v/>
      </c>
      <c r="BG26" s="1051">
        <f>IF(M02S02F32&lt;&gt;"",INDEX(SPACEHEAT[HIF],MATCH(M02S02F32,SHEAT,0)),1)</f>
        <v>1</v>
      </c>
      <c r="BH26" s="1367">
        <f t="shared" ref="BH26" si="28">IFERROR(ROUND(BJ26*1.1,2),0)</f>
        <v>0</v>
      </c>
      <c r="BI26" s="1368" t="str">
        <f>IF(M02S02F44="","Update Install Status",IF(M02S02F49="Yes","Use New Load",IF(OR(C26="",F26="",K26="",I26="",M26="",V26="",P26="",X26="",AB26="",AF26="",AH26="",T26="",AD26=""),"",IF(BE26&lt;&gt;"",BE26,ROUND(BH26*BONUSADJ,2)))))</f>
        <v>Update Install Status</v>
      </c>
      <c r="BJ26" s="1368" t="str">
        <f>IF(M02S02F44="","Update Install Status",IF(M02S02F49="Yes","Use New Load",IF(OR(C26="",F26="",K26="",I26="",M26="",V26="",P26="",X26="",AB26="",AF26="",AH26="",T26="",AD26=""),"",IF(BE26&lt;&gt;"",BE26,ROUND(MIN(AU26,BD26),2)))))</f>
        <v>Update Install Status</v>
      </c>
    </row>
    <row r="27" spans="2:62" ht="15.95" customHeight="1" x14ac:dyDescent="0.25">
      <c r="B27" s="1204"/>
      <c r="C27" s="1207"/>
      <c r="D27" s="1263"/>
      <c r="E27" s="1208"/>
      <c r="F27" s="1207"/>
      <c r="G27" s="1263"/>
      <c r="H27" s="1208"/>
      <c r="I27" s="1266"/>
      <c r="J27" s="1267"/>
      <c r="K27" s="1343"/>
      <c r="L27" s="1344"/>
      <c r="M27" s="1308"/>
      <c r="N27" s="1308"/>
      <c r="O27" s="846"/>
      <c r="P27" s="896"/>
      <c r="Q27" s="897"/>
      <c r="R27" s="897"/>
      <c r="S27" s="898"/>
      <c r="T27" s="1266"/>
      <c r="U27" s="1267"/>
      <c r="V27" s="1343"/>
      <c r="W27" s="1361"/>
      <c r="X27" s="896"/>
      <c r="Y27" s="897"/>
      <c r="Z27" s="897"/>
      <c r="AA27" s="898"/>
      <c r="AB27" s="1348"/>
      <c r="AC27" s="1349"/>
      <c r="AD27" s="1245"/>
      <c r="AE27" s="917"/>
      <c r="AF27" s="1354"/>
      <c r="AG27" s="1248"/>
      <c r="AH27" s="1248"/>
      <c r="AI27" s="1249"/>
      <c r="AJ27" s="1358"/>
      <c r="AK27" s="1358"/>
      <c r="AL27" s="1358"/>
      <c r="AM27" s="1359"/>
      <c r="AN27" s="1238"/>
      <c r="AO27" s="1239"/>
      <c r="AP27" s="1239"/>
      <c r="AQ27" s="1240"/>
      <c r="AU27" s="805"/>
      <c r="AV27" s="807"/>
      <c r="AW27" s="803"/>
      <c r="AX27" s="803"/>
      <c r="AY27" s="803"/>
      <c r="AZ27" s="803"/>
      <c r="BA27" s="801"/>
      <c r="BB27" s="797"/>
      <c r="BC27" s="797"/>
      <c r="BD27" s="797"/>
      <c r="BE27" s="801"/>
      <c r="BF27" s="803"/>
      <c r="BG27" s="1052"/>
      <c r="BH27" s="1367"/>
      <c r="BI27" s="1368"/>
      <c r="BJ27" s="1368"/>
    </row>
    <row r="28" spans="2:62" ht="15.95" customHeight="1" x14ac:dyDescent="0.25">
      <c r="B28" s="1204">
        <v>6</v>
      </c>
      <c r="C28" s="843"/>
      <c r="D28" s="1307"/>
      <c r="E28" s="844"/>
      <c r="F28" s="843"/>
      <c r="G28" s="1307"/>
      <c r="H28" s="844"/>
      <c r="I28" s="1339"/>
      <c r="J28" s="1362"/>
      <c r="K28" s="1341"/>
      <c r="L28" s="1342"/>
      <c r="M28" s="1345" t="str">
        <f t="shared" ref="M28" si="29">IF(ISNUMBER(SEARCH("Exit",C28)),"Exit Sign","")</f>
        <v/>
      </c>
      <c r="N28" s="1307"/>
      <c r="O28" s="844"/>
      <c r="P28" s="1365"/>
      <c r="Q28" s="822"/>
      <c r="R28" s="822"/>
      <c r="S28" s="823"/>
      <c r="T28" s="1346"/>
      <c r="U28" s="1362"/>
      <c r="V28" s="1341"/>
      <c r="W28" s="1360"/>
      <c r="X28" s="1365"/>
      <c r="Y28" s="822"/>
      <c r="Z28" s="822"/>
      <c r="AA28" s="823"/>
      <c r="AB28" s="1346" t="str">
        <f t="shared" ref="AB28" si="30">IF(C28="Exit Sign",8760,"")</f>
        <v/>
      </c>
      <c r="AC28" s="1347"/>
      <c r="AD28" s="1302"/>
      <c r="AE28" s="854"/>
      <c r="AF28" s="1364"/>
      <c r="AG28" s="1305"/>
      <c r="AH28" s="1305"/>
      <c r="AI28" s="1306"/>
      <c r="AJ28" s="1356" t="str">
        <f t="shared" ref="AJ28" si="31">IF(OR(C28="",F28="",K28="",I28="",M28="",V28="",P28="",X28="",AB28="",AF28="",AH28="",T28=""),"",IFERROR(ROUND(IF((AW28-AX28)&lt;=0,0,BG28*(AW28-AX28)),0),""))</f>
        <v/>
      </c>
      <c r="AK28" s="1356"/>
      <c r="AL28" s="1356"/>
      <c r="AM28" s="1357"/>
      <c r="AN28" s="1238" t="str">
        <f>IF(M02S02F44="","Update Install Status",IF(M02S02F49="Yes","Use New Load",IF(OR(C28="",F28="",K28="",I28="",M28="",V28="",P28="",X28="",AB28="",AF28="",AH28="",T28="",AD28=""),"",IF(BE28&lt;&gt;"",BE28,ROUND(MIN(AU28,BD28),2)))))</f>
        <v>Update Install Status</v>
      </c>
      <c r="AO28" s="1239"/>
      <c r="AP28" s="1239"/>
      <c r="AQ28" s="1240"/>
      <c r="AU28" s="804" t="str">
        <f>IF(OR(C28="",F28="",K28="",I28="",M28="",V28="",P28="",X28="",AB28="",AF28="",AH28="",T28=""),"",(ROUND((AF28+AH28)*T28,2)))</f>
        <v/>
      </c>
      <c r="AV28" s="806" t="str">
        <f>IF(OR(C28="",F28="",K28="",I28="",M28="",V28="",P28="",X28="",AB28="",AF28="",AH28="",T28=""),"",ROUND(AJ28*INDEX(ENDUSEALL[Factor],MATCH(IF(ISNUMBER(SEARCH("CFL",F28)),"Miscellaneous","Lighting"),ENDUSEALL[End Use to Coincident Peak Demand Factors],0)),4))</f>
        <v/>
      </c>
      <c r="AW28" s="802" t="str">
        <f t="shared" ref="AW28" si="32">IF(OR(C28="",F28="",K28="",I28="",M28="",V28="",P28="",X28="",AB28="",AF28="",AH28="",T28=""),"",IF(AND(C28="Incandescent",OR(ISNUMBER(SEARCH("PAR",F28)),ISNUMBER(SEARCH("A-Lamp",F28)))),ROUND(0.24*K28*I28*AB28/1000,2),
IF(C28="Halogen",ROUND(0.34*K28*I28*AB28/1000,2),
ROUND(K28*I28*AB28/1000,2))))</f>
        <v/>
      </c>
      <c r="AX28" s="802" t="str">
        <f>IF(OR(C28="",F28="",K28="",I28="",M28="",V28="",P28="",X28="",AB28="",AF28="",AH28="",T28=""),"",ROUND(V28*T28*AB28/1000,0))</f>
        <v/>
      </c>
      <c r="AY28" s="802" t="str">
        <f t="shared" ref="AY28" si="33">IF(OR(C28="",F28="",K28="",I28="",M28="",V28="",P28="",X28="",AB28="",AF28="",AH28="",T28=""),"",IF(AND(C28="Incandescent",ISNUMBER(SEARCH("A-Lamp",F28))),ROUND(0.24*K28*I28,2),
IF(C28="Halogen",ROUND(0.34*K28*I28,2),ROUND(K28*I28,2))))</f>
        <v/>
      </c>
      <c r="AZ28" s="802" t="str">
        <f>IF(OR(C28="",F28="",K28="",I28="",M28="",V28="",P28="",X28="",AB28="",AF28="",AH28="",T28=""),"",ROUND(V28*T28,0))</f>
        <v/>
      </c>
      <c r="BA28" s="800" t="str">
        <f>IF(OR(AND(C28="Exit Sign",M28&lt;&gt;"Exit Sign"),AND(M28="Exit Sign",OR(C28="Incandescent",C28="Halogen"))),"Invalid",IF(C28="Exit Sign",CONCATENATE(C28," ",F28),IF(ISNUMBER(SEARCH("A-Lamp",F28)),CONCATENATE(C28," ",F28,"-LED"),IF(ISNUMBER(SEARCH("MR-16",F28)),CONCATENATE(C28," ",F28,"-LED"),CONCATENATE(C28," ",F28,"-LED")))))</f>
        <v xml:space="preserve"> -LED</v>
      </c>
      <c r="BB28" s="808" t="str">
        <f>IFERROR(IF(OR(C28="",F28="",K28="",I28="",M28="",V28="",P28="",X28="",AB28="",AF28="",AH28="",T28=""),"",INDEX(PMELIGHTINCAN[Measure '#],MATCH(BA28,PMELIGHTINCAN[Measure Validator],0))),"")</f>
        <v/>
      </c>
      <c r="BC28" s="808" t="str">
        <f>IFERROR(IF(OR(C28="",AH28=""),"",INDEX(PMELIGHTINCAN[Inc Rate Unit],MATCH(BA28,PMELIGHTINCAN[Measure Validator],0))),"")</f>
        <v/>
      </c>
      <c r="BD28" s="808" t="str">
        <f>IFERROR(ROUND(IF(OR(C28="",AH28=""),"",IF(BB28="","",(T28)*BC28)),2),"")</f>
        <v/>
      </c>
      <c r="BE28" s="800" t="str">
        <f>IF(OR(C28="",F28="",K28="",I28="",M28="",V28="",P28="",X28="",AB28="",AF28="",AH28="",T28=""),"",IFERROR(IF(BA28="Invalid","Invalid",IF(BA28="Reflector","Select Eligible Reflector Lamp",IF(AB28&lt;INDEX(PMELIGHTINCAN[Op Hr 1],MATCH(BA28,PMELIGHTINCAN[Measure Validator],0)),"Operating Hours Invalid",IF(ISNUMBER(SEARCH("SPILLOVER",X28)),PROJSTATELI,IF((AW28-AX28)&lt;=0,"No Savings",""))))),"ERROR"))</f>
        <v/>
      </c>
      <c r="BF28" s="802" t="str">
        <f>IF(AND(ISBLANK(AF28),ISBLANK(AH28)),"",IF(NOT(ISNUMBER(BB28)),"",IF(BD28&gt;AU28,"Yes","No")))</f>
        <v/>
      </c>
      <c r="BG28" s="1051">
        <f>IF(M02S02F32&lt;&gt;"",INDEX(SPACEHEAT[HIF],MATCH(M02S02F32,SHEAT,0)),1)</f>
        <v>1</v>
      </c>
      <c r="BH28" s="1367">
        <f t="shared" ref="BH28" si="34">IFERROR(ROUND(BJ28*1.1,2),0)</f>
        <v>0</v>
      </c>
      <c r="BI28" s="1368" t="str">
        <f>IF(M02S02F44="","Update Install Status",IF(M02S02F49="Yes","Use New Load",IF(OR(C28="",F28="",K28="",I28="",M28="",V28="",P28="",X28="",AB28="",AF28="",AH28="",T28="",AD28=""),"",IF(BE28&lt;&gt;"",BE28,ROUND(BH28*BONUSADJ,2)))))</f>
        <v>Update Install Status</v>
      </c>
      <c r="BJ28" s="1368" t="str">
        <f>IF(M02S02F44="","Update Install Status",IF(M02S02F49="Yes","Use New Load",IF(OR(C28="",F28="",K28="",I28="",M28="",V28="",P28="",X28="",AB28="",AF28="",AH28="",T28="",AD28=""),"",IF(BE28&lt;&gt;"",BE28,ROUND(MIN(AU28,BD28),2)))))</f>
        <v>Update Install Status</v>
      </c>
    </row>
    <row r="29" spans="2:62" ht="15.95" customHeight="1" x14ac:dyDescent="0.25">
      <c r="B29" s="1204"/>
      <c r="C29" s="845"/>
      <c r="D29" s="1308"/>
      <c r="E29" s="846"/>
      <c r="F29" s="845"/>
      <c r="G29" s="1308"/>
      <c r="H29" s="846"/>
      <c r="I29" s="1348"/>
      <c r="J29" s="1363"/>
      <c r="K29" s="1343"/>
      <c r="L29" s="1344"/>
      <c r="M29" s="1308"/>
      <c r="N29" s="1308"/>
      <c r="O29" s="846"/>
      <c r="P29" s="824"/>
      <c r="Q29" s="825"/>
      <c r="R29" s="825"/>
      <c r="S29" s="826"/>
      <c r="T29" s="1348"/>
      <c r="U29" s="1363"/>
      <c r="V29" s="1343"/>
      <c r="W29" s="1361"/>
      <c r="X29" s="824"/>
      <c r="Y29" s="825"/>
      <c r="Z29" s="825"/>
      <c r="AA29" s="826"/>
      <c r="AB29" s="1348"/>
      <c r="AC29" s="1349"/>
      <c r="AD29" s="1302"/>
      <c r="AE29" s="854"/>
      <c r="AF29" s="1364"/>
      <c r="AG29" s="1305"/>
      <c r="AH29" s="1305"/>
      <c r="AI29" s="1306"/>
      <c r="AJ29" s="1358"/>
      <c r="AK29" s="1358"/>
      <c r="AL29" s="1358"/>
      <c r="AM29" s="1359"/>
      <c r="AN29" s="1238"/>
      <c r="AO29" s="1239"/>
      <c r="AP29" s="1239"/>
      <c r="AQ29" s="1240"/>
      <c r="AU29" s="805"/>
      <c r="AV29" s="807"/>
      <c r="AW29" s="803"/>
      <c r="AX29" s="803"/>
      <c r="AY29" s="803"/>
      <c r="AZ29" s="803"/>
      <c r="BA29" s="801"/>
      <c r="BB29" s="797"/>
      <c r="BC29" s="797"/>
      <c r="BD29" s="797"/>
      <c r="BE29" s="801"/>
      <c r="BF29" s="803"/>
      <c r="BG29" s="1052"/>
      <c r="BH29" s="1367"/>
      <c r="BI29" s="1368"/>
      <c r="BJ29" s="1368"/>
    </row>
    <row r="30" spans="2:62" ht="15.95" customHeight="1" x14ac:dyDescent="0.25">
      <c r="B30" s="1204">
        <v>7</v>
      </c>
      <c r="C30" s="843"/>
      <c r="D30" s="1307"/>
      <c r="E30" s="844"/>
      <c r="F30" s="843"/>
      <c r="G30" s="1307"/>
      <c r="H30" s="844"/>
      <c r="I30" s="1346"/>
      <c r="J30" s="1362"/>
      <c r="K30" s="1341"/>
      <c r="L30" s="1342"/>
      <c r="M30" s="1345" t="str">
        <f t="shared" ref="M30" si="35">IF(ISNUMBER(SEARCH("Exit",C30)),"Exit Sign","")</f>
        <v/>
      </c>
      <c r="N30" s="1307"/>
      <c r="O30" s="844"/>
      <c r="P30" s="881"/>
      <c r="Q30" s="822"/>
      <c r="R30" s="822"/>
      <c r="S30" s="823"/>
      <c r="T30" s="1346"/>
      <c r="U30" s="1362"/>
      <c r="V30" s="1341"/>
      <c r="W30" s="1360"/>
      <c r="X30" s="881"/>
      <c r="Y30" s="822"/>
      <c r="Z30" s="822"/>
      <c r="AA30" s="823"/>
      <c r="AB30" s="1346" t="str">
        <f t="shared" ref="AB30" si="36">IF(C30="Exit Sign",8760,"")</f>
        <v/>
      </c>
      <c r="AC30" s="1347"/>
      <c r="AD30" s="1302"/>
      <c r="AE30" s="854"/>
      <c r="AF30" s="1364"/>
      <c r="AG30" s="1305"/>
      <c r="AH30" s="1305"/>
      <c r="AI30" s="1306"/>
      <c r="AJ30" s="1356" t="str">
        <f t="shared" ref="AJ30" si="37">IF(OR(C30="",F30="",K30="",I30="",M30="",V30="",P30="",X30="",AB30="",AF30="",AH30="",T30=""),"",IFERROR(ROUND(IF((AW30-AX30)&lt;=0,0,BG30*(AW30-AX30)),0),""))</f>
        <v/>
      </c>
      <c r="AK30" s="1356"/>
      <c r="AL30" s="1356"/>
      <c r="AM30" s="1357"/>
      <c r="AN30" s="1238" t="str">
        <f>IF(M02S02F44="","Update Install Status",IF(M02S02F49="Yes","Use New Load",IF(OR(C30="",F30="",K30="",I30="",M30="",V30="",P30="",X30="",AB30="",AF30="",AH30="",T30="",AD30=""),"",IF(BE30&lt;&gt;"",BE30,ROUND(MIN(AU30,BD30),2)))))</f>
        <v>Update Install Status</v>
      </c>
      <c r="AO30" s="1239"/>
      <c r="AP30" s="1239"/>
      <c r="AQ30" s="1240"/>
      <c r="AU30" s="804" t="str">
        <f>IF(OR(C30="",F30="",K30="",I30="",M30="",V30="",P30="",X30="",AB30="",AF30="",AH30="",T30=""),"",(ROUND((AF30+AH30)*T30,2)))</f>
        <v/>
      </c>
      <c r="AV30" s="806" t="str">
        <f>IF(OR(C30="",F30="",K30="",I30="",M30="",V30="",P30="",X30="",AB30="",AF30="",AH30="",T30=""),"",ROUND(AJ30*INDEX(ENDUSEALL[Factor],MATCH(IF(ISNUMBER(SEARCH("CFL",F30)),"Miscellaneous","Lighting"),ENDUSEALL[End Use to Coincident Peak Demand Factors],0)),4))</f>
        <v/>
      </c>
      <c r="AW30" s="802" t="str">
        <f t="shared" ref="AW30:AW70" si="38">IF(OR(C30="",F30="",K30="",I30="",M30="",V30="",P30="",X30="",AB30="",AF30="",AH30="",T30=""),"",IF(AND(C30="Incandescent",OR(ISNUMBER(SEARCH("PAR",F30)),ISNUMBER(SEARCH("A-Lamp",F30)))),ROUND(0.24*K30*I30*AB30/1000,2),
IF(C30="Halogen",ROUND(0.34*K30*I30*AB30/1000,2),
ROUND(K30*I30*AB30/1000,2))))</f>
        <v/>
      </c>
      <c r="AX30" s="802" t="str">
        <f>IF(OR(C30="",F30="",K30="",I30="",M30="",V30="",P30="",X30="",AB30="",AF30="",AH30="",T30=""),"",ROUND(V30*T30*AB30/1000,0))</f>
        <v/>
      </c>
      <c r="AY30" s="802" t="str">
        <f t="shared" ref="AY30" si="39">IF(OR(C30="",F30="",K30="",I30="",M30="",V30="",P30="",X30="",AB30="",AF30="",AH30="",T30=""),"",IF(AND(C30="Incandescent",ISNUMBER(SEARCH("A-Lamp",F30))),ROUND(0.24*K30*I30,2),
IF(C30="Halogen",ROUND(0.34*K30*I30,2),ROUND(K30*I30,2))))</f>
        <v/>
      </c>
      <c r="AZ30" s="802" t="str">
        <f>IF(OR(C30="",F30="",K30="",I30="",M30="",V30="",P30="",X30="",AB30="",AF30="",AH30="",T30=""),"",ROUND(V30*T30,0))</f>
        <v/>
      </c>
      <c r="BA30" s="800" t="str">
        <f>IF(OR(AND(C30="Exit Sign",M30&lt;&gt;"Exit Sign"),AND(M30="Exit Sign",OR(C30="Incandescent",C30="Halogen"))),"Invalid",IF(C30="Exit Sign",CONCATENATE(C30," ",F30),IF(ISNUMBER(SEARCH("A-Lamp",F30)),CONCATENATE(C30," ",F30,"-LED"),IF(ISNUMBER(SEARCH("MR-16",F30)),CONCATENATE(C30," ",F30,"-LED"),CONCATENATE(C30," ",F30,"-LED")))))</f>
        <v xml:space="preserve"> -LED</v>
      </c>
      <c r="BB30" s="808" t="str">
        <f>IFERROR(IF(OR(C30="",F30="",K30="",I30="",M30="",V30="",P30="",X30="",AB30="",AF30="",AH30="",T30=""),"",INDEX(PMELIGHTINCAN[Measure '#],MATCH(BA30,PMELIGHTINCAN[Measure Validator],0))),"")</f>
        <v/>
      </c>
      <c r="BC30" s="808" t="str">
        <f>IFERROR(IF(OR(C30="",AH30=""),"",INDEX(PMELIGHTINCAN[Inc Rate Unit],MATCH(BA30,PMELIGHTINCAN[Measure Validator],0))),"")</f>
        <v/>
      </c>
      <c r="BD30" s="808" t="str">
        <f>IFERROR(ROUND(IF(OR(C30="",AH30=""),"",IF(BB30="","",(T30)*BC30)),2),"")</f>
        <v/>
      </c>
      <c r="BE30" s="800" t="str">
        <f>IF(OR(C30="",F30="",K30="",I30="",M30="",V30="",P30="",X30="",AB30="",AF30="",AH30="",T30=""),"",IFERROR(IF(BA30="Invalid","Invalid",IF(BA30="Reflector","Select Eligible Reflector Lamp",IF(AB30&lt;INDEX(PMELIGHTINCAN[Op Hr 1],MATCH(BA30,PMELIGHTINCAN[Measure Validator],0)),"Operating Hours Invalid",IF(ISNUMBER(SEARCH("SPILLOVER",X30)),PROJSTATELI,IF((AW30-AX30)&lt;=0,"No Savings",""))))),"ERROR"))</f>
        <v/>
      </c>
      <c r="BF30" s="802" t="str">
        <f>IF(AND(ISBLANK(AF30),ISBLANK(AH30)),"",IF(NOT(ISNUMBER(BB30)),"",IF(BD30&gt;AU30,"Yes","No")))</f>
        <v/>
      </c>
      <c r="BG30" s="1051">
        <f>IF(M02S02F32&lt;&gt;"",INDEX(SPACEHEAT[HIF],MATCH(M02S02F32,SHEAT,0)),1)</f>
        <v>1</v>
      </c>
      <c r="BH30" s="1367">
        <f t="shared" ref="BH30" si="40">IFERROR(ROUND(BJ30*1.1,2),0)</f>
        <v>0</v>
      </c>
      <c r="BI30" s="1368" t="str">
        <f>IF(M02S02F44="","Update Install Status",IF(M02S02F49="Yes","Use New Load",IF(OR(C30="",F30="",K30="",I30="",M30="",V30="",P30="",X30="",AB30="",AF30="",AH30="",T30="",AD30=""),"",IF(BE30&lt;&gt;"",BE30,ROUND(BH30*BONUSADJ,2)))))</f>
        <v>Update Install Status</v>
      </c>
      <c r="BJ30" s="1368" t="str">
        <f>IF(M02S02F44="","Update Install Status",IF(M02S02F49="Yes","Use New Load",IF(OR(C30="",F30="",K30="",I30="",M30="",V30="",P30="",X30="",AB30="",AF30="",AH30="",T30="",AD30=""),"",IF(BE30&lt;&gt;"",BE30,ROUND(MIN(AU30,BD30),2)))))</f>
        <v>Update Install Status</v>
      </c>
    </row>
    <row r="31" spans="2:62" ht="15.95" customHeight="1" x14ac:dyDescent="0.25">
      <c r="B31" s="1204"/>
      <c r="C31" s="845"/>
      <c r="D31" s="1308"/>
      <c r="E31" s="846"/>
      <c r="F31" s="845"/>
      <c r="G31" s="1308"/>
      <c r="H31" s="846"/>
      <c r="I31" s="1348"/>
      <c r="J31" s="1363"/>
      <c r="K31" s="1343"/>
      <c r="L31" s="1344"/>
      <c r="M31" s="1308"/>
      <c r="N31" s="1308"/>
      <c r="O31" s="846"/>
      <c r="P31" s="824"/>
      <c r="Q31" s="825"/>
      <c r="R31" s="825"/>
      <c r="S31" s="826"/>
      <c r="T31" s="1348"/>
      <c r="U31" s="1363"/>
      <c r="V31" s="1343"/>
      <c r="W31" s="1361"/>
      <c r="X31" s="824"/>
      <c r="Y31" s="825"/>
      <c r="Z31" s="825"/>
      <c r="AA31" s="826"/>
      <c r="AB31" s="1348"/>
      <c r="AC31" s="1349"/>
      <c r="AD31" s="1302"/>
      <c r="AE31" s="854"/>
      <c r="AF31" s="1364"/>
      <c r="AG31" s="1305"/>
      <c r="AH31" s="1305"/>
      <c r="AI31" s="1306"/>
      <c r="AJ31" s="1358"/>
      <c r="AK31" s="1358"/>
      <c r="AL31" s="1358"/>
      <c r="AM31" s="1359"/>
      <c r="AN31" s="1238"/>
      <c r="AO31" s="1239"/>
      <c r="AP31" s="1239"/>
      <c r="AQ31" s="1240"/>
      <c r="AU31" s="805"/>
      <c r="AV31" s="807"/>
      <c r="AW31" s="803"/>
      <c r="AX31" s="803"/>
      <c r="AY31" s="803"/>
      <c r="AZ31" s="803"/>
      <c r="BA31" s="801"/>
      <c r="BB31" s="797"/>
      <c r="BC31" s="797"/>
      <c r="BD31" s="797"/>
      <c r="BE31" s="801"/>
      <c r="BF31" s="803"/>
      <c r="BG31" s="1052"/>
      <c r="BH31" s="1367"/>
      <c r="BI31" s="1368"/>
      <c r="BJ31" s="1368"/>
    </row>
    <row r="32" spans="2:62" ht="15.95" customHeight="1" x14ac:dyDescent="0.25">
      <c r="B32" s="1204">
        <v>8</v>
      </c>
      <c r="C32" s="843"/>
      <c r="D32" s="1307"/>
      <c r="E32" s="844"/>
      <c r="F32" s="843"/>
      <c r="G32" s="1307"/>
      <c r="H32" s="844"/>
      <c r="I32" s="1346"/>
      <c r="J32" s="1362"/>
      <c r="K32" s="1341"/>
      <c r="L32" s="1342"/>
      <c r="M32" s="1345" t="str">
        <f t="shared" ref="M32" si="41">IF(ISNUMBER(SEARCH("Exit",C32)),"Exit Sign","")</f>
        <v/>
      </c>
      <c r="N32" s="1307"/>
      <c r="O32" s="844"/>
      <c r="P32" s="881"/>
      <c r="Q32" s="822"/>
      <c r="R32" s="822"/>
      <c r="S32" s="823"/>
      <c r="T32" s="1346"/>
      <c r="U32" s="1362"/>
      <c r="V32" s="1341"/>
      <c r="W32" s="1360"/>
      <c r="X32" s="881"/>
      <c r="Y32" s="822"/>
      <c r="Z32" s="822"/>
      <c r="AA32" s="823"/>
      <c r="AB32" s="1346" t="str">
        <f t="shared" ref="AB32" si="42">IF(C32="Exit Sign",8760,"")</f>
        <v/>
      </c>
      <c r="AC32" s="1347"/>
      <c r="AD32" s="1302"/>
      <c r="AE32" s="854"/>
      <c r="AF32" s="1364"/>
      <c r="AG32" s="1305"/>
      <c r="AH32" s="1305"/>
      <c r="AI32" s="1306"/>
      <c r="AJ32" s="1356" t="str">
        <f t="shared" ref="AJ32" si="43">IF(OR(C32="",F32="",K32="",I32="",M32="",V32="",P32="",X32="",AB32="",AF32="",AH32="",T32=""),"",IFERROR(ROUND(IF((AW32-AX32)&lt;=0,0,BG32*(AW32-AX32)),0),""))</f>
        <v/>
      </c>
      <c r="AK32" s="1356"/>
      <c r="AL32" s="1356"/>
      <c r="AM32" s="1357"/>
      <c r="AN32" s="1238" t="str">
        <f>IF(M02S02F44="","Update Install Status",IF(M02S02F49="Yes","Use New Load",IF(OR(C32="",F32="",K32="",I32="",M32="",V32="",P32="",X32="",AB32="",AF32="",AH32="",T32="",AD32=""),"",IF(BE32&lt;&gt;"",BE32,ROUND(MIN(AU32,BD32),2)))))</f>
        <v>Update Install Status</v>
      </c>
      <c r="AO32" s="1239"/>
      <c r="AP32" s="1239"/>
      <c r="AQ32" s="1240"/>
      <c r="AU32" s="804" t="str">
        <f>IF(OR(C32="",F32="",K32="",I32="",M32="",V32="",P32="",X32="",AB32="",AF32="",AH32="",T32=""),"",(ROUND((AF32+AH32)*T32,2)))</f>
        <v/>
      </c>
      <c r="AV32" s="806" t="str">
        <f>IF(OR(C32="",F32="",K32="",I32="",M32="",V32="",P32="",X32="",AB32="",AF32="",AH32="",T32=""),"",ROUND(AJ32*INDEX(ENDUSEALL[Factor],MATCH(IF(ISNUMBER(SEARCH("CFL",F32)),"Miscellaneous","Lighting"),ENDUSEALL[End Use to Coincident Peak Demand Factors],0)),4))</f>
        <v/>
      </c>
      <c r="AW32" s="802" t="str">
        <f t="shared" ref="AW32:AW72" si="44">IF(OR(C32="",F32="",K32="",I32="",M32="",V32="",P32="",X32="",AB32="",AF32="",AH32="",T32=""),"",IF(AND(C32="Incandescent",OR(ISNUMBER(SEARCH("PAR",F32)),ISNUMBER(SEARCH("A-Lamp",F32)))),ROUND(0.24*K32*I32*AB32/1000,2),
IF(C32="Halogen",ROUND(0.34*K32*I32*AB32/1000,2),
ROUND(K32*I32*AB32/1000,2))))</f>
        <v/>
      </c>
      <c r="AX32" s="802" t="str">
        <f>IF(OR(C32="",F32="",K32="",I32="",M32="",V32="",P32="",X32="",AB32="",AF32="",AH32="",T32=""),"",ROUND(V32*T32*AB32/1000,0))</f>
        <v/>
      </c>
      <c r="AY32" s="802" t="str">
        <f t="shared" ref="AY32" si="45">IF(OR(C32="",F32="",K32="",I32="",M32="",V32="",P32="",X32="",AB32="",AF32="",AH32="",T32=""),"",IF(AND(C32="Incandescent",ISNUMBER(SEARCH("A-Lamp",F32))),ROUND(0.24*K32*I32,2),
IF(C32="Halogen",ROUND(0.34*K32*I32,2),ROUND(K32*I32,2))))</f>
        <v/>
      </c>
      <c r="AZ32" s="802" t="str">
        <f>IF(OR(C32="",F32="",K32="",I32="",M32="",V32="",P32="",X32="",AB32="",AF32="",AH32="",T32=""),"",ROUND(V32*T32,0))</f>
        <v/>
      </c>
      <c r="BA32" s="800" t="str">
        <f>IF(OR(AND(C32="Exit Sign",M32&lt;&gt;"Exit Sign"),AND(M32="Exit Sign",OR(C32="Incandescent",C32="Halogen"))),"Invalid",IF(C32="Exit Sign",CONCATENATE(C32," ",F32),IF(ISNUMBER(SEARCH("A-Lamp",F32)),CONCATENATE(C32," ",F32,"-LED"),IF(ISNUMBER(SEARCH("MR-16",F32)),CONCATENATE(C32," ",F32,"-LED"),CONCATENATE(C32," ",F32,"-LED")))))</f>
        <v xml:space="preserve"> -LED</v>
      </c>
      <c r="BB32" s="808" t="str">
        <f>IFERROR(IF(OR(C32="",F32="",K32="",I32="",M32="",V32="",P32="",X32="",AB32="",AF32="",AH32="",T32=""),"",INDEX(PMELIGHTINCAN[Measure '#],MATCH(BA32,PMELIGHTINCAN[Measure Validator],0))),"")</f>
        <v/>
      </c>
      <c r="BC32" s="808" t="str">
        <f>IFERROR(IF(OR(C32="",AH32=""),"",INDEX(PMELIGHTINCAN[Inc Rate Unit],MATCH(BA32,PMELIGHTINCAN[Measure Validator],0))),"")</f>
        <v/>
      </c>
      <c r="BD32" s="808" t="str">
        <f>IFERROR(ROUND(IF(OR(C32="",AH32=""),"",IF(BB32="","",(T32)*BC32)),2),"")</f>
        <v/>
      </c>
      <c r="BE32" s="800" t="str">
        <f>IF(OR(C32="",F32="",K32="",I32="",M32="",V32="",P32="",X32="",AB32="",AF32="",AH32="",T32=""),"",IFERROR(IF(BA32="Invalid","Invalid",IF(BA32="Reflector","Select Eligible Reflector Lamp",IF(AB32&lt;INDEX(PMELIGHTINCAN[Op Hr 1],MATCH(BA32,PMELIGHTINCAN[Measure Validator],0)),"Operating Hours Invalid",IF(ISNUMBER(SEARCH("SPILLOVER",X32)),PROJSTATELI,IF((AW32-AX32)&lt;=0,"No Savings",""))))),"ERROR"))</f>
        <v/>
      </c>
      <c r="BF32" s="802" t="str">
        <f>IF(AND(ISBLANK(AF32),ISBLANK(AH32)),"",IF(NOT(ISNUMBER(BB32)),"",IF(BD32&gt;AU32,"Yes","No")))</f>
        <v/>
      </c>
      <c r="BG32" s="1051">
        <f>IF(M02S02F32&lt;&gt;"",INDEX(SPACEHEAT[HIF],MATCH(M02S02F32,SHEAT,0)),1)</f>
        <v>1</v>
      </c>
      <c r="BH32" s="1367">
        <f t="shared" ref="BH32" si="46">IFERROR(ROUND(BJ32*1.1,2),0)</f>
        <v>0</v>
      </c>
      <c r="BI32" s="1368" t="str">
        <f>IF(M02S02F44="","Update Install Status",IF(M02S02F49="Yes","Use New Load",IF(OR(C32="",F32="",K32="",I32="",M32="",V32="",P32="",X32="",AB32="",AF32="",AH32="",T32="",AD32=""),"",IF(BE32&lt;&gt;"",BE32,ROUND(BH32*BONUSADJ,2)))))</f>
        <v>Update Install Status</v>
      </c>
      <c r="BJ32" s="1368" t="str">
        <f>IF(M02S02F44="","Update Install Status",IF(M02S02F49="Yes","Use New Load",IF(OR(C32="",F32="",K32="",I32="",M32="",V32="",P32="",X32="",AB32="",AF32="",AH32="",T32="",AD32=""),"",IF(BE32&lt;&gt;"",BE32,ROUND(MIN(AU32,BD32),2)))))</f>
        <v>Update Install Status</v>
      </c>
    </row>
    <row r="33" spans="2:62" ht="15.95" customHeight="1" x14ac:dyDescent="0.25">
      <c r="B33" s="1204"/>
      <c r="C33" s="845"/>
      <c r="D33" s="1308"/>
      <c r="E33" s="846"/>
      <c r="F33" s="845"/>
      <c r="G33" s="1308"/>
      <c r="H33" s="846"/>
      <c r="I33" s="1348"/>
      <c r="J33" s="1363"/>
      <c r="K33" s="1343"/>
      <c r="L33" s="1344"/>
      <c r="M33" s="1308"/>
      <c r="N33" s="1308"/>
      <c r="O33" s="846"/>
      <c r="P33" s="824"/>
      <c r="Q33" s="825"/>
      <c r="R33" s="825"/>
      <c r="S33" s="826"/>
      <c r="T33" s="1348"/>
      <c r="U33" s="1363"/>
      <c r="V33" s="1343"/>
      <c r="W33" s="1361"/>
      <c r="X33" s="824"/>
      <c r="Y33" s="825"/>
      <c r="Z33" s="825"/>
      <c r="AA33" s="826"/>
      <c r="AB33" s="1348"/>
      <c r="AC33" s="1349"/>
      <c r="AD33" s="1302"/>
      <c r="AE33" s="854"/>
      <c r="AF33" s="1364"/>
      <c r="AG33" s="1305"/>
      <c r="AH33" s="1305"/>
      <c r="AI33" s="1306"/>
      <c r="AJ33" s="1358"/>
      <c r="AK33" s="1358"/>
      <c r="AL33" s="1358"/>
      <c r="AM33" s="1359"/>
      <c r="AN33" s="1238"/>
      <c r="AO33" s="1239"/>
      <c r="AP33" s="1239"/>
      <c r="AQ33" s="1240"/>
      <c r="AU33" s="805"/>
      <c r="AV33" s="807"/>
      <c r="AW33" s="803"/>
      <c r="AX33" s="803"/>
      <c r="AY33" s="803"/>
      <c r="AZ33" s="803"/>
      <c r="BA33" s="801"/>
      <c r="BB33" s="797"/>
      <c r="BC33" s="797"/>
      <c r="BD33" s="797"/>
      <c r="BE33" s="801"/>
      <c r="BF33" s="803"/>
      <c r="BG33" s="1052"/>
      <c r="BH33" s="1367"/>
      <c r="BI33" s="1368"/>
      <c r="BJ33" s="1368"/>
    </row>
    <row r="34" spans="2:62" ht="15.95" customHeight="1" x14ac:dyDescent="0.25">
      <c r="B34" s="1204">
        <v>9</v>
      </c>
      <c r="C34" s="843"/>
      <c r="D34" s="1307"/>
      <c r="E34" s="844"/>
      <c r="F34" s="843"/>
      <c r="G34" s="1307"/>
      <c r="H34" s="844"/>
      <c r="I34" s="1346"/>
      <c r="J34" s="1362"/>
      <c r="K34" s="1341"/>
      <c r="L34" s="1342"/>
      <c r="M34" s="1345" t="str">
        <f t="shared" ref="M34" si="47">IF(ISNUMBER(SEARCH("Exit",C34)),"Exit Sign","")</f>
        <v/>
      </c>
      <c r="N34" s="1307"/>
      <c r="O34" s="844"/>
      <c r="P34" s="842"/>
      <c r="Q34" s="822"/>
      <c r="R34" s="822"/>
      <c r="S34" s="823"/>
      <c r="T34" s="1346"/>
      <c r="U34" s="1362"/>
      <c r="V34" s="1341"/>
      <c r="W34" s="1360"/>
      <c r="X34" s="842"/>
      <c r="Y34" s="822"/>
      <c r="Z34" s="822"/>
      <c r="AA34" s="823"/>
      <c r="AB34" s="1346" t="str">
        <f t="shared" ref="AB34" si="48">IF(C34="Exit Sign",8760,"")</f>
        <v/>
      </c>
      <c r="AC34" s="1347"/>
      <c r="AD34" s="1302"/>
      <c r="AE34" s="854"/>
      <c r="AF34" s="1364"/>
      <c r="AG34" s="1305"/>
      <c r="AH34" s="1305"/>
      <c r="AI34" s="1306"/>
      <c r="AJ34" s="1356" t="str">
        <f t="shared" ref="AJ34" si="49">IF(OR(C34="",F34="",K34="",I34="",M34="",V34="",P34="",X34="",AB34="",AF34="",AH34="",T34=""),"",IFERROR(ROUND(IF((AW34-AX34)&lt;=0,0,BG34*(AW34-AX34)),0),""))</f>
        <v/>
      </c>
      <c r="AK34" s="1356"/>
      <c r="AL34" s="1356"/>
      <c r="AM34" s="1357"/>
      <c r="AN34" s="1238" t="str">
        <f>IF(M02S02F44="","Update Install Status",IF(M02S02F49="Yes","Use New Load",IF(OR(C34="",F34="",K34="",I34="",M34="",V34="",P34="",X34="",AB34="",AF34="",AH34="",T34="",AD34=""),"",IF(BE34&lt;&gt;"",BE34,ROUND(MIN(AU34,BD34),2)))))</f>
        <v>Update Install Status</v>
      </c>
      <c r="AO34" s="1239"/>
      <c r="AP34" s="1239"/>
      <c r="AQ34" s="1240"/>
      <c r="AU34" s="804" t="str">
        <f>IF(OR(C34="",F34="",K34="",I34="",M34="",V34="",P34="",X34="",AB34="",AF34="",AH34="",T34=""),"",(ROUND((AF34+AH34)*T34,2)))</f>
        <v/>
      </c>
      <c r="AV34" s="806" t="str">
        <f>IF(OR(C34="",F34="",K34="",I34="",M34="",V34="",P34="",X34="",AB34="",AF34="",AH34="",T34=""),"",ROUND(AJ34*INDEX(ENDUSEALL[Factor],MATCH(IF(ISNUMBER(SEARCH("CFL",F34)),"Miscellaneous","Lighting"),ENDUSEALL[End Use to Coincident Peak Demand Factors],0)),4))</f>
        <v/>
      </c>
      <c r="AW34" s="802" t="str">
        <f t="shared" ref="AW34:AW74" si="50">IF(OR(C34="",F34="",K34="",I34="",M34="",V34="",P34="",X34="",AB34="",AF34="",AH34="",T34=""),"",IF(AND(C34="Incandescent",OR(ISNUMBER(SEARCH("PAR",F34)),ISNUMBER(SEARCH("A-Lamp",F34)))),ROUND(0.24*K34*I34*AB34/1000,2),
IF(C34="Halogen",ROUND(0.34*K34*I34*AB34/1000,2),
ROUND(K34*I34*AB34/1000,2))))</f>
        <v/>
      </c>
      <c r="AX34" s="802" t="str">
        <f>IF(OR(C34="",F34="",K34="",I34="",M34="",V34="",P34="",X34="",AB34="",AF34="",AH34="",T34=""),"",ROUND(V34*T34*AB34/1000,0))</f>
        <v/>
      </c>
      <c r="AY34" s="802" t="str">
        <f t="shared" ref="AY34" si="51">IF(OR(C34="",F34="",K34="",I34="",M34="",V34="",P34="",X34="",AB34="",AF34="",AH34="",T34=""),"",IF(AND(C34="Incandescent",ISNUMBER(SEARCH("A-Lamp",F34))),ROUND(0.24*K34*I34,2),
IF(C34="Halogen",ROUND(0.34*K34*I34,2),ROUND(K34*I34,2))))</f>
        <v/>
      </c>
      <c r="AZ34" s="802" t="str">
        <f>IF(OR(C34="",F34="",K34="",I34="",M34="",V34="",P34="",X34="",AB34="",AF34="",AH34="",T34=""),"",ROUND(V34*T34,0))</f>
        <v/>
      </c>
      <c r="BA34" s="800" t="str">
        <f>IF(OR(AND(C34="Exit Sign",M34&lt;&gt;"Exit Sign"),AND(M34="Exit Sign",OR(C34="Incandescent",C34="Halogen"))),"Invalid",IF(C34="Exit Sign",CONCATENATE(C34," ",F34),IF(ISNUMBER(SEARCH("A-Lamp",F34)),CONCATENATE(C34," ",F34,"-LED"),IF(ISNUMBER(SEARCH("MR-16",F34)),CONCATENATE(C34," ",F34,"-LED"),CONCATENATE(C34," ",F34,"-LED")))))</f>
        <v xml:space="preserve"> -LED</v>
      </c>
      <c r="BB34" s="808" t="str">
        <f>IFERROR(IF(OR(C34="",F34="",K34="",I34="",M34="",V34="",P34="",X34="",AB34="",AF34="",AH34="",T34=""),"",INDEX(PMELIGHTINCAN[Measure '#],MATCH(BA34,PMELIGHTINCAN[Measure Validator],0))),"")</f>
        <v/>
      </c>
      <c r="BC34" s="808" t="str">
        <f>IFERROR(IF(OR(C34="",AH34=""),"",INDEX(PMELIGHTINCAN[Inc Rate Unit],MATCH(BA34,PMELIGHTINCAN[Measure Validator],0))),"")</f>
        <v/>
      </c>
      <c r="BD34" s="808" t="str">
        <f>IFERROR(ROUND(IF(OR(C34="",AH34=""),"",IF(BB34="","",(T34)*BC34)),2),"")</f>
        <v/>
      </c>
      <c r="BE34" s="800" t="str">
        <f>IF(OR(C34="",F34="",K34="",I34="",M34="",V34="",P34="",X34="",AB34="",AF34="",AH34="",T34=""),"",IFERROR(IF(BA34="Invalid","Invalid",IF(BA34="Reflector","Select Eligible Reflector Lamp",IF(AB34&lt;INDEX(PMELIGHTINCAN[Op Hr 1],MATCH(BA34,PMELIGHTINCAN[Measure Validator],0)),"Operating Hours Invalid",IF(ISNUMBER(SEARCH("SPILLOVER",X34)),PROJSTATELI,IF((AW34-AX34)&lt;=0,"No Savings",""))))),"ERROR"))</f>
        <v/>
      </c>
      <c r="BF34" s="802" t="str">
        <f>IF(AND(ISBLANK(AF34),ISBLANK(AH34)),"",IF(NOT(ISNUMBER(BB34)),"",IF(BD34&gt;AU34,"Yes","No")))</f>
        <v/>
      </c>
      <c r="BG34" s="1051">
        <f>IF(M02S02F32&lt;&gt;"",INDEX(SPACEHEAT[HIF],MATCH(M02S02F32,SHEAT,0)),1)</f>
        <v>1</v>
      </c>
      <c r="BH34" s="1367">
        <f t="shared" ref="BH34" si="52">IFERROR(ROUND(BJ34*1.1,2),0)</f>
        <v>0</v>
      </c>
      <c r="BI34" s="1368" t="str">
        <f>IF(M02S02F44="","Update Install Status",IF(M02S02F49="Yes","Use New Load",IF(OR(C34="",F34="",K34="",I34="",M34="",V34="",P34="",X34="",AB34="",AF34="",AH34="",T34="",AD34=""),"",IF(BE34&lt;&gt;"",BE34,ROUND(BH34*BONUSADJ,2)))))</f>
        <v>Update Install Status</v>
      </c>
      <c r="BJ34" s="1368" t="str">
        <f>IF(M02S02F44="","Update Install Status",IF(M02S02F49="Yes","Use New Load",IF(OR(C34="",F34="",K34="",I34="",M34="",V34="",P34="",X34="",AB34="",AF34="",AH34="",T34="",AD34=""),"",IF(BE34&lt;&gt;"",BE34,ROUND(MIN(AU34,BD34),2)))))</f>
        <v>Update Install Status</v>
      </c>
    </row>
    <row r="35" spans="2:62" ht="15.95" customHeight="1" x14ac:dyDescent="0.25">
      <c r="B35" s="1204"/>
      <c r="C35" s="845"/>
      <c r="D35" s="1308"/>
      <c r="E35" s="846"/>
      <c r="F35" s="845"/>
      <c r="G35" s="1308"/>
      <c r="H35" s="846"/>
      <c r="I35" s="1348"/>
      <c r="J35" s="1363"/>
      <c r="K35" s="1343"/>
      <c r="L35" s="1344"/>
      <c r="M35" s="1308"/>
      <c r="N35" s="1308"/>
      <c r="O35" s="846"/>
      <c r="P35" s="824"/>
      <c r="Q35" s="825"/>
      <c r="R35" s="825"/>
      <c r="S35" s="826"/>
      <c r="T35" s="1348"/>
      <c r="U35" s="1363"/>
      <c r="V35" s="1343"/>
      <c r="W35" s="1361"/>
      <c r="X35" s="824"/>
      <c r="Y35" s="825"/>
      <c r="Z35" s="825"/>
      <c r="AA35" s="826"/>
      <c r="AB35" s="1348"/>
      <c r="AC35" s="1349"/>
      <c r="AD35" s="1302"/>
      <c r="AE35" s="854"/>
      <c r="AF35" s="1364"/>
      <c r="AG35" s="1305"/>
      <c r="AH35" s="1305"/>
      <c r="AI35" s="1306"/>
      <c r="AJ35" s="1358"/>
      <c r="AK35" s="1358"/>
      <c r="AL35" s="1358"/>
      <c r="AM35" s="1359"/>
      <c r="AN35" s="1238"/>
      <c r="AO35" s="1239"/>
      <c r="AP35" s="1239"/>
      <c r="AQ35" s="1240"/>
      <c r="AU35" s="805"/>
      <c r="AV35" s="807"/>
      <c r="AW35" s="803"/>
      <c r="AX35" s="803"/>
      <c r="AY35" s="803"/>
      <c r="AZ35" s="803"/>
      <c r="BA35" s="801"/>
      <c r="BB35" s="797"/>
      <c r="BC35" s="797"/>
      <c r="BD35" s="797"/>
      <c r="BE35" s="801"/>
      <c r="BF35" s="803"/>
      <c r="BG35" s="1052"/>
      <c r="BH35" s="1367"/>
      <c r="BI35" s="1368"/>
      <c r="BJ35" s="1368"/>
    </row>
    <row r="36" spans="2:62" ht="15.95" customHeight="1" x14ac:dyDescent="0.25">
      <c r="B36" s="1204">
        <v>10</v>
      </c>
      <c r="C36" s="843"/>
      <c r="D36" s="1307"/>
      <c r="E36" s="844"/>
      <c r="F36" s="843"/>
      <c r="G36" s="1307"/>
      <c r="H36" s="844"/>
      <c r="I36" s="1346"/>
      <c r="J36" s="1362"/>
      <c r="K36" s="1341"/>
      <c r="L36" s="1342"/>
      <c r="M36" s="1345" t="str">
        <f t="shared" ref="M36" si="53">IF(ISNUMBER(SEARCH("Exit",C36)),"Exit Sign","")</f>
        <v/>
      </c>
      <c r="N36" s="1307"/>
      <c r="O36" s="844"/>
      <c r="P36" s="881"/>
      <c r="Q36" s="822"/>
      <c r="R36" s="822"/>
      <c r="S36" s="823"/>
      <c r="T36" s="1346"/>
      <c r="U36" s="1362"/>
      <c r="V36" s="1341"/>
      <c r="W36" s="1360"/>
      <c r="X36" s="881"/>
      <c r="Y36" s="822"/>
      <c r="Z36" s="822"/>
      <c r="AA36" s="823"/>
      <c r="AB36" s="1346" t="str">
        <f t="shared" ref="AB36" si="54">IF(C36="Exit Sign",8760,"")</f>
        <v/>
      </c>
      <c r="AC36" s="1347"/>
      <c r="AD36" s="1302"/>
      <c r="AE36" s="854"/>
      <c r="AF36" s="1364"/>
      <c r="AG36" s="1305"/>
      <c r="AH36" s="1305"/>
      <c r="AI36" s="1306"/>
      <c r="AJ36" s="1356" t="str">
        <f>IF(OR(C36="",F36="",K36="",I36="",M36="",V36="",P36="",X36="",AB36="",AF36="",AH36="",T36=""),"",IFERROR(ROUND(IF((AW36-AX36)&lt;=0,0,BG36*(AW36-AX36)),0),""))</f>
        <v/>
      </c>
      <c r="AK36" s="1356"/>
      <c r="AL36" s="1356"/>
      <c r="AM36" s="1357"/>
      <c r="AN36" s="1238" t="str">
        <f>IF(M02S02F44="","Update Install Status",IF(M02S02F49="Yes","Use New Load",IF(OR(C36="",F36="",K36="",I36="",M36="",V36="",P36="",X36="",AB36="",AF36="",AH36="",T36="",AD36=""),"",IF(BE36&lt;&gt;"",BE36,ROUND(MIN(AU36,BD36),2)))))</f>
        <v>Update Install Status</v>
      </c>
      <c r="AO36" s="1239"/>
      <c r="AP36" s="1239"/>
      <c r="AQ36" s="1240"/>
      <c r="AU36" s="804" t="str">
        <f>IF(OR(C36="",F36="",K36="",I36="",M36="",V36="",P36="",X36="",AB36="",AF36="",AH36="",T36=""),"",(ROUND((AF36+AH36)*T36,2)))</f>
        <v/>
      </c>
      <c r="AV36" s="806" t="str">
        <f>IF(OR(C36="",F36="",K36="",I36="",M36="",V36="",P36="",X36="",AB36="",AF36="",AH36="",T36=""),"",ROUND(AJ36*INDEX(ENDUSEALL[Factor],MATCH(IF(ISNUMBER(SEARCH("CFL",F36)),"Miscellaneous","Lighting"),ENDUSEALL[End Use to Coincident Peak Demand Factors],0)),4))</f>
        <v/>
      </c>
      <c r="AW36" s="802" t="str">
        <f t="shared" ref="AW36" si="55">IF(OR(C36="",F36="",K36="",I36="",M36="",V36="",P36="",X36="",AB36="",AF36="",AH36="",T36=""),"",IF(AND(C36="Incandescent",OR(ISNUMBER(SEARCH("PAR",F36)),ISNUMBER(SEARCH("A-Lamp",F36)))),ROUND(0.24*K36*I36*AB36/1000,2),
IF(C36="Halogen",ROUND(0.34*K36*I36*AB36/1000,2),
ROUND(K36*I36*AB36/1000,2))))</f>
        <v/>
      </c>
      <c r="AX36" s="802" t="str">
        <f>IF(OR(C36="",F36="",K36="",I36="",M36="",V36="",P36="",X36="",AB36="",AF36="",AH36="",T36=""),"",ROUND(V36*T36*AB36/1000,0))</f>
        <v/>
      </c>
      <c r="AY36" s="802" t="str">
        <f t="shared" ref="AY36" si="56">IF(OR(C36="",F36="",K36="",I36="",M36="",V36="",P36="",X36="",AB36="",AF36="",AH36="",T36=""),"",IF(AND(C36="Incandescent",ISNUMBER(SEARCH("A-Lamp",F36))),ROUND(0.24*K36*I36,2),
IF(C36="Halogen",ROUND(0.34*K36*I36,2),ROUND(K36*I36,2))))</f>
        <v/>
      </c>
      <c r="AZ36" s="802" t="str">
        <f>IF(OR(C36="",F36="",K36="",I36="",M36="",V36="",P36="",X36="",AB36="",AF36="",AH36="",T36=""),"",ROUND(V36*T36,0))</f>
        <v/>
      </c>
      <c r="BA36" s="800" t="str">
        <f>IF(OR(AND(C36="Exit Sign",M36&lt;&gt;"Exit Sign"),AND(M36="Exit Sign",OR(C36="Incandescent",C36="Halogen"))),"Invalid",IF(C36="Exit Sign",CONCATENATE(C36," ",F36),IF(ISNUMBER(SEARCH("A-Lamp",F36)),CONCATENATE(C36," ",F36,"-LED"),IF(ISNUMBER(SEARCH("MR-16",F36)),CONCATENATE(C36," ",F36,"-LED"),CONCATENATE(C36," ",F36,"-LED")))))</f>
        <v xml:space="preserve"> -LED</v>
      </c>
      <c r="BB36" s="808" t="str">
        <f>IFERROR(IF(OR(C36="",F36="",K36="",I36="",M36="",V36="",P36="",X36="",AB36="",AF36="",AH36="",T36=""),"",INDEX(PMELIGHTINCAN[Measure '#],MATCH(BA36,PMELIGHTINCAN[Measure Validator],0))),"")</f>
        <v/>
      </c>
      <c r="BC36" s="808" t="str">
        <f>IFERROR(IF(OR(C36="",AH36=""),"",INDEX(PMELIGHTINCAN[Inc Rate Unit],MATCH(BA36,PMELIGHTINCAN[Measure Validator],0))),"")</f>
        <v/>
      </c>
      <c r="BD36" s="808" t="str">
        <f>IFERROR(ROUND(IF(OR(C36="",AH36=""),"",IF(BB36="","",(T36)*BC36)),2),"")</f>
        <v/>
      </c>
      <c r="BE36" s="800" t="str">
        <f>IF(OR(C36="",F36="",K36="",I36="",M36="",V36="",P36="",X36="",AB36="",AF36="",AH36="",T36=""),"",IFERROR(IF(BA36="Invalid","Invalid",IF(BA36="Reflector","Select Eligible Reflector Lamp",IF(AB36&lt;INDEX(PMELIGHTINCAN[Op Hr 1],MATCH(BA36,PMELIGHTINCAN[Measure Validator],0)),"Operating Hours Invalid",IF(ISNUMBER(SEARCH("SPILLOVER",X36)),PROJSTATELI,IF((AW36-AX36)&lt;=0,"No Savings",""))))),"ERROR"))</f>
        <v/>
      </c>
      <c r="BF36" s="802" t="str">
        <f>IF(AND(ISBLANK(AF36),ISBLANK(AH36)),"",IF(NOT(ISNUMBER(BB36)),"",IF(BD36&gt;AU36,"Yes","No")))</f>
        <v/>
      </c>
      <c r="BG36" s="1051">
        <f>IF(M02S02F32&lt;&gt;"",INDEX(SPACEHEAT[HIF],MATCH(M02S02F32,SHEAT,0)),1)</f>
        <v>1</v>
      </c>
      <c r="BH36" s="1367">
        <f t="shared" ref="BH36" si="57">IFERROR(ROUND(BJ36*1.1,2),0)</f>
        <v>0</v>
      </c>
      <c r="BI36" s="1368" t="str">
        <f>IF(M02S02F44="","Update Install Status",IF(M02S02F49="Yes","Use New Load",IF(OR(C36="",F36="",K36="",I36="",M36="",V36="",P36="",X36="",AB36="",AF36="",AH36="",T36="",AD36=""),"",IF(BE36&lt;&gt;"",BE36,ROUND(BH36*BONUSADJ,2)))))</f>
        <v>Update Install Status</v>
      </c>
      <c r="BJ36" s="1368" t="str">
        <f>IF(M02S02F44="","Update Install Status",IF(M02S02F49="Yes","Use New Load",IF(OR(C36="",F36="",K36="",I36="",M36="",V36="",P36="",X36="",AB36="",AF36="",AH36="",T36="",AD36=""),"",IF(BE36&lt;&gt;"",BE36,ROUND(MIN(AU36,BD36),2)))))</f>
        <v>Update Install Status</v>
      </c>
    </row>
    <row r="37" spans="2:62" ht="15.95" customHeight="1" x14ac:dyDescent="0.25">
      <c r="B37" s="1204"/>
      <c r="C37" s="845"/>
      <c r="D37" s="1308"/>
      <c r="E37" s="846"/>
      <c r="F37" s="845"/>
      <c r="G37" s="1308"/>
      <c r="H37" s="846"/>
      <c r="I37" s="1348"/>
      <c r="J37" s="1363"/>
      <c r="K37" s="1343"/>
      <c r="L37" s="1344"/>
      <c r="M37" s="1308"/>
      <c r="N37" s="1308"/>
      <c r="O37" s="846"/>
      <c r="P37" s="824"/>
      <c r="Q37" s="825"/>
      <c r="R37" s="825"/>
      <c r="S37" s="826"/>
      <c r="T37" s="1348"/>
      <c r="U37" s="1363"/>
      <c r="V37" s="1343"/>
      <c r="W37" s="1361"/>
      <c r="X37" s="824"/>
      <c r="Y37" s="825"/>
      <c r="Z37" s="825"/>
      <c r="AA37" s="826"/>
      <c r="AB37" s="1348"/>
      <c r="AC37" s="1349"/>
      <c r="AD37" s="1302"/>
      <c r="AE37" s="854"/>
      <c r="AF37" s="1364"/>
      <c r="AG37" s="1305"/>
      <c r="AH37" s="1305"/>
      <c r="AI37" s="1306"/>
      <c r="AJ37" s="1358"/>
      <c r="AK37" s="1358"/>
      <c r="AL37" s="1358"/>
      <c r="AM37" s="1359"/>
      <c r="AN37" s="1238"/>
      <c r="AO37" s="1239"/>
      <c r="AP37" s="1239"/>
      <c r="AQ37" s="1240"/>
      <c r="AU37" s="805"/>
      <c r="AV37" s="807"/>
      <c r="AW37" s="803"/>
      <c r="AX37" s="803"/>
      <c r="AY37" s="803"/>
      <c r="AZ37" s="803"/>
      <c r="BA37" s="801"/>
      <c r="BB37" s="797"/>
      <c r="BC37" s="797"/>
      <c r="BD37" s="797"/>
      <c r="BE37" s="801"/>
      <c r="BF37" s="803"/>
      <c r="BG37" s="1052"/>
      <c r="BH37" s="1367"/>
      <c r="BI37" s="1368"/>
      <c r="BJ37" s="1368"/>
    </row>
    <row r="38" spans="2:62" ht="15.95" customHeight="1" x14ac:dyDescent="0.25">
      <c r="B38" s="1204">
        <v>11</v>
      </c>
      <c r="C38" s="843"/>
      <c r="D38" s="1307"/>
      <c r="E38" s="844"/>
      <c r="F38" s="843"/>
      <c r="G38" s="1307"/>
      <c r="H38" s="844"/>
      <c r="I38" s="1346"/>
      <c r="J38" s="1362"/>
      <c r="K38" s="1341"/>
      <c r="L38" s="1342"/>
      <c r="M38" s="1345" t="str">
        <f t="shared" ref="M38" si="58">IF(ISNUMBER(SEARCH("Exit",C38)),"Exit Sign","")</f>
        <v/>
      </c>
      <c r="N38" s="1307"/>
      <c r="O38" s="844"/>
      <c r="P38" s="842"/>
      <c r="Q38" s="822"/>
      <c r="R38" s="822"/>
      <c r="S38" s="823"/>
      <c r="T38" s="1346"/>
      <c r="U38" s="1362"/>
      <c r="V38" s="1341"/>
      <c r="W38" s="1360"/>
      <c r="X38" s="842"/>
      <c r="Y38" s="822"/>
      <c r="Z38" s="822"/>
      <c r="AA38" s="823"/>
      <c r="AB38" s="1346" t="str">
        <f t="shared" ref="AB38" si="59">IF(C38="Exit Sign",8760,"")</f>
        <v/>
      </c>
      <c r="AC38" s="1347"/>
      <c r="AD38" s="1302"/>
      <c r="AE38" s="854"/>
      <c r="AF38" s="1364"/>
      <c r="AG38" s="1305"/>
      <c r="AH38" s="1305"/>
      <c r="AI38" s="1306"/>
      <c r="AJ38" s="1356" t="str">
        <f t="shared" ref="AJ38" si="60">IF(OR(C38="",F38="",K38="",I38="",M38="",V38="",P38="",X38="",AB38="",AF38="",AH38="",T38=""),"",IFERROR(ROUND(IF((AW38-AX38)&lt;=0,0,BG38*(AW38-AX38)),0),""))</f>
        <v/>
      </c>
      <c r="AK38" s="1356"/>
      <c r="AL38" s="1356"/>
      <c r="AM38" s="1357"/>
      <c r="AN38" s="1238" t="str">
        <f>IF(M02S02F44="","Update Install Status",IF(M02S02F49="Yes","Use New Load",IF(OR(C38="",F38="",K38="",I38="",M38="",V38="",P38="",X38="",AB38="",AF38="",AH38="",T38="",AD38=""),"",IF(BE38&lt;&gt;"",BE38,ROUND(MIN(AU38,BD38),2)))))</f>
        <v>Update Install Status</v>
      </c>
      <c r="AO38" s="1239"/>
      <c r="AP38" s="1239"/>
      <c r="AQ38" s="1240"/>
      <c r="AU38" s="804" t="str">
        <f>IF(OR(C38="",F38="",K38="",I38="",M38="",V38="",P38="",X38="",AB38="",AF38="",AH38="",T38=""),"",(ROUND((AF38+AH38)*T38,2)))</f>
        <v/>
      </c>
      <c r="AV38" s="806" t="str">
        <f>IF(OR(C38="",F38="",K38="",I38="",M38="",V38="",P38="",X38="",AB38="",AF38="",AH38="",T38=""),"",ROUND(AJ38*INDEX(ENDUSEALL[Factor],MATCH(IF(ISNUMBER(SEARCH("CFL",F38)),"Miscellaneous","Lighting"),ENDUSEALL[End Use to Coincident Peak Demand Factors],0)),4))</f>
        <v/>
      </c>
      <c r="AW38" s="802" t="str">
        <f t="shared" si="38"/>
        <v/>
      </c>
      <c r="AX38" s="802" t="str">
        <f>IF(OR(C38="",F38="",K38="",I38="",M38="",V38="",P38="",X38="",AB38="",AF38="",AH38="",T38=""),"",ROUND(V38*T38*AB38/1000,0))</f>
        <v/>
      </c>
      <c r="AY38" s="802" t="str">
        <f t="shared" ref="AY38" si="61">IF(OR(C38="",F38="",K38="",I38="",M38="",V38="",P38="",X38="",AB38="",AF38="",AH38="",T38=""),"",IF(AND(C38="Incandescent",ISNUMBER(SEARCH("A-Lamp",F38))),ROUND(0.24*K38*I38,2),
IF(C38="Halogen",ROUND(0.34*K38*I38,2),ROUND(K38*I38,2))))</f>
        <v/>
      </c>
      <c r="AZ38" s="802" t="str">
        <f>IF(OR(C38="",F38="",K38="",I38="",M38="",V38="",P38="",X38="",AB38="",AF38="",AH38="",T38=""),"",ROUND(V38*T38,0))</f>
        <v/>
      </c>
      <c r="BA38" s="800" t="str">
        <f>IF(OR(AND(C38="Exit Sign",M38&lt;&gt;"Exit Sign"),AND(M38="Exit Sign",OR(C38="Incandescent",C38="Halogen"))),"Invalid",IF(C38="Exit Sign",CONCATENATE(C38," ",F38),IF(ISNUMBER(SEARCH("A-Lamp",F38)),CONCATENATE(C38," ",F38,"-LED"),IF(ISNUMBER(SEARCH("MR-16",F38)),CONCATENATE(C38," ",F38,"-LED"),CONCATENATE(C38," ",F38,"-LED")))))</f>
        <v xml:space="preserve"> -LED</v>
      </c>
      <c r="BB38" s="808" t="str">
        <f>IFERROR(IF(OR(C38="",F38="",K38="",I38="",M38="",V38="",P38="",X38="",AB38="",AF38="",AH38="",T38=""),"",INDEX(PMELIGHTINCAN[Measure '#],MATCH(BA38,PMELIGHTINCAN[Measure Validator],0))),"")</f>
        <v/>
      </c>
      <c r="BC38" s="808" t="str">
        <f>IFERROR(IF(OR(C38="",AH38=""),"",INDEX(PMELIGHTINCAN[Inc Rate Unit],MATCH(BA38,PMELIGHTINCAN[Measure Validator],0))),"")</f>
        <v/>
      </c>
      <c r="BD38" s="808" t="str">
        <f>IFERROR(ROUND(IF(OR(C38="",AH38=""),"",IF(BB38="","",(T38)*BC38)),2),"")</f>
        <v/>
      </c>
      <c r="BE38" s="800" t="str">
        <f>IF(OR(C38="",F38="",K38="",I38="",M38="",V38="",P38="",X38="",AB38="",AF38="",AH38="",T38=""),"",IFERROR(IF(BA38="Invalid","Invalid",IF(BA38="Reflector","Select Eligible Reflector Lamp",IF(AB38&lt;INDEX(PMELIGHTINCAN[Op Hr 1],MATCH(BA38,PMELIGHTINCAN[Measure Validator],0)),"Operating Hours Invalid",IF(ISNUMBER(SEARCH("SPILLOVER",X38)),PROJSTATELI,IF((AW38-AX38)&lt;=0,"No Savings",""))))),"ERROR"))</f>
        <v/>
      </c>
      <c r="BF38" s="802" t="str">
        <f>IF(AND(ISBLANK(AF38),ISBLANK(AH38)),"",IF(NOT(ISNUMBER(BB38)),"",IF(BD38&gt;AU38,"Yes","No")))</f>
        <v/>
      </c>
      <c r="BG38" s="1051">
        <f>IF(M02S02F32&lt;&gt;"",INDEX(SPACEHEAT[HIF],MATCH(M02S02F32,SHEAT,0)),1)</f>
        <v>1</v>
      </c>
      <c r="BH38" s="1367">
        <f t="shared" ref="BH38" si="62">IFERROR(ROUND(BJ38*1.1,2),0)</f>
        <v>0</v>
      </c>
      <c r="BI38" s="1368" t="str">
        <f>IF(M02S02F44="","Update Install Status",IF(M02S02F49="Yes","Use New Load",IF(OR(C38="",F38="",K38="",I38="",M38="",V38="",P38="",X38="",AB38="",AF38="",AH38="",T38="",AD38=""),"",IF(BE38&lt;&gt;"",BE38,ROUND(BH38*BONUSADJ,2)))))</f>
        <v>Update Install Status</v>
      </c>
      <c r="BJ38" s="1368" t="str">
        <f>IF(M02S02F44="","Update Install Status",IF(M02S02F49="Yes","Use New Load",IF(OR(C38="",F38="",K38="",I38="",M38="",V38="",P38="",X38="",AB38="",AF38="",AH38="",T38="",AD38=""),"",IF(BE38&lt;&gt;"",BE38,ROUND(MIN(AU38,BD38),2)))))</f>
        <v>Update Install Status</v>
      </c>
    </row>
    <row r="39" spans="2:62" ht="15.95" customHeight="1" x14ac:dyDescent="0.25">
      <c r="B39" s="1204"/>
      <c r="C39" s="845"/>
      <c r="D39" s="1308"/>
      <c r="E39" s="846"/>
      <c r="F39" s="845"/>
      <c r="G39" s="1308"/>
      <c r="H39" s="846"/>
      <c r="I39" s="1348"/>
      <c r="J39" s="1363"/>
      <c r="K39" s="1343"/>
      <c r="L39" s="1344"/>
      <c r="M39" s="1308"/>
      <c r="N39" s="1308"/>
      <c r="O39" s="846"/>
      <c r="P39" s="824"/>
      <c r="Q39" s="825"/>
      <c r="R39" s="825"/>
      <c r="S39" s="826"/>
      <c r="T39" s="1348"/>
      <c r="U39" s="1363"/>
      <c r="V39" s="1343"/>
      <c r="W39" s="1361"/>
      <c r="X39" s="824"/>
      <c r="Y39" s="825"/>
      <c r="Z39" s="825"/>
      <c r="AA39" s="826"/>
      <c r="AB39" s="1348"/>
      <c r="AC39" s="1349"/>
      <c r="AD39" s="1302"/>
      <c r="AE39" s="854"/>
      <c r="AF39" s="1364"/>
      <c r="AG39" s="1305"/>
      <c r="AH39" s="1305"/>
      <c r="AI39" s="1306"/>
      <c r="AJ39" s="1358"/>
      <c r="AK39" s="1358"/>
      <c r="AL39" s="1358"/>
      <c r="AM39" s="1359"/>
      <c r="AN39" s="1238"/>
      <c r="AO39" s="1239"/>
      <c r="AP39" s="1239"/>
      <c r="AQ39" s="1240"/>
      <c r="AU39" s="805"/>
      <c r="AV39" s="807"/>
      <c r="AW39" s="803"/>
      <c r="AX39" s="803"/>
      <c r="AY39" s="803"/>
      <c r="AZ39" s="803"/>
      <c r="BA39" s="801"/>
      <c r="BB39" s="797"/>
      <c r="BC39" s="797"/>
      <c r="BD39" s="797"/>
      <c r="BE39" s="801"/>
      <c r="BF39" s="803"/>
      <c r="BG39" s="1052"/>
      <c r="BH39" s="1367"/>
      <c r="BI39" s="1368"/>
      <c r="BJ39" s="1368"/>
    </row>
    <row r="40" spans="2:62" ht="15.95" customHeight="1" x14ac:dyDescent="0.25">
      <c r="B40" s="1204">
        <v>12</v>
      </c>
      <c r="C40" s="843"/>
      <c r="D40" s="1307"/>
      <c r="E40" s="844"/>
      <c r="F40" s="843"/>
      <c r="G40" s="1307"/>
      <c r="H40" s="844"/>
      <c r="I40" s="1346"/>
      <c r="J40" s="1362"/>
      <c r="K40" s="1341"/>
      <c r="L40" s="1342"/>
      <c r="M40" s="1345" t="str">
        <f t="shared" ref="M40" si="63">IF(ISNUMBER(SEARCH("Exit",C40)),"Exit Sign","")</f>
        <v/>
      </c>
      <c r="N40" s="1307"/>
      <c r="O40" s="844"/>
      <c r="P40" s="842"/>
      <c r="Q40" s="822"/>
      <c r="R40" s="822"/>
      <c r="S40" s="823"/>
      <c r="T40" s="1346"/>
      <c r="U40" s="1362"/>
      <c r="V40" s="1341"/>
      <c r="W40" s="1360"/>
      <c r="X40" s="842"/>
      <c r="Y40" s="822"/>
      <c r="Z40" s="822"/>
      <c r="AA40" s="823"/>
      <c r="AB40" s="1346" t="str">
        <f t="shared" ref="AB40" si="64">IF(C40="Exit Sign",8760,"")</f>
        <v/>
      </c>
      <c r="AC40" s="1347"/>
      <c r="AD40" s="1302"/>
      <c r="AE40" s="854"/>
      <c r="AF40" s="1364"/>
      <c r="AG40" s="1305"/>
      <c r="AH40" s="1305"/>
      <c r="AI40" s="1306"/>
      <c r="AJ40" s="1356" t="str">
        <f t="shared" ref="AJ40" si="65">IF(OR(C40="",F40="",K40="",I40="",M40="",V40="",P40="",X40="",AB40="",AF40="",AH40="",T40=""),"",IFERROR(ROUND(IF((AW40-AX40)&lt;=0,0,BG40*(AW40-AX40)),0),""))</f>
        <v/>
      </c>
      <c r="AK40" s="1356"/>
      <c r="AL40" s="1356"/>
      <c r="AM40" s="1357"/>
      <c r="AN40" s="1238" t="str">
        <f>IF(M02S02F44="","Update Install Status",IF(M02S02F49="Yes","Use New Load",IF(OR(C40="",F40="",K40="",I40="",M40="",V40="",P40="",X40="",AB40="",AF40="",AH40="",T40="",AD40=""),"",IF(BE40&lt;&gt;"",BE40,ROUND(MIN(AU40,BD40),2)))))</f>
        <v>Update Install Status</v>
      </c>
      <c r="AO40" s="1239"/>
      <c r="AP40" s="1239"/>
      <c r="AQ40" s="1240"/>
      <c r="AU40" s="804" t="str">
        <f>IF(OR(C40="",F40="",K40="",I40="",M40="",V40="",P40="",X40="",AB40="",AF40="",AH40="",T40=""),"",(ROUND((AF40+AH40)*T40,2)))</f>
        <v/>
      </c>
      <c r="AV40" s="806" t="str">
        <f>IF(OR(C40="",F40="",K40="",I40="",M40="",V40="",P40="",X40="",AB40="",AF40="",AH40="",T40=""),"",ROUND(AJ40*INDEX(ENDUSEALL[Factor],MATCH(IF(ISNUMBER(SEARCH("CFL",F40)),"Miscellaneous","Lighting"),ENDUSEALL[End Use to Coincident Peak Demand Factors],0)),4))</f>
        <v/>
      </c>
      <c r="AW40" s="802" t="str">
        <f t="shared" si="44"/>
        <v/>
      </c>
      <c r="AX40" s="802" t="str">
        <f>IF(OR(C40="",F40="",K40="",I40="",M40="",V40="",P40="",X40="",AB40="",AF40="",AH40="",T40=""),"",ROUND(V40*T40*AB40/1000,0))</f>
        <v/>
      </c>
      <c r="AY40" s="802" t="str">
        <f t="shared" ref="AY40" si="66">IF(OR(C40="",F40="",K40="",I40="",M40="",V40="",P40="",X40="",AB40="",AF40="",AH40="",T40=""),"",IF(AND(C40="Incandescent",ISNUMBER(SEARCH("A-Lamp",F40))),ROUND(0.24*K40*I40,2),
IF(C40="Halogen",ROUND(0.34*K40*I40,2),ROUND(K40*I40,2))))</f>
        <v/>
      </c>
      <c r="AZ40" s="802" t="str">
        <f>IF(OR(C40="",F40="",K40="",I40="",M40="",V40="",P40="",X40="",AB40="",AF40="",AH40="",T40=""),"",ROUND(V40*T40,0))</f>
        <v/>
      </c>
      <c r="BA40" s="800" t="str">
        <f>IF(OR(AND(C40="Exit Sign",M40&lt;&gt;"Exit Sign"),AND(M40="Exit Sign",OR(C40="Incandescent",C40="Halogen"))),"Invalid",IF(C40="Exit Sign",CONCATENATE(C40," ",F40),IF(ISNUMBER(SEARCH("A-Lamp",F40)),CONCATENATE(C40," ",F40,"-LED"),IF(ISNUMBER(SEARCH("MR-16",F40)),CONCATENATE(C40," ",F40,"-LED"),CONCATENATE(C40," ",F40,"-LED")))))</f>
        <v xml:space="preserve"> -LED</v>
      </c>
      <c r="BB40" s="808" t="str">
        <f>IFERROR(IF(OR(C40="",F40="",K40="",I40="",M40="",V40="",P40="",X40="",AB40="",AF40="",AH40="",T40=""),"",INDEX(PMELIGHTINCAN[Measure '#],MATCH(BA40,PMELIGHTINCAN[Measure Validator],0))),"")</f>
        <v/>
      </c>
      <c r="BC40" s="808" t="str">
        <f>IFERROR(IF(OR(C40="",AH40=""),"",INDEX(PMELIGHTINCAN[Inc Rate Unit],MATCH(BA40,PMELIGHTINCAN[Measure Validator],0))),"")</f>
        <v/>
      </c>
      <c r="BD40" s="808" t="str">
        <f>IFERROR(ROUND(IF(OR(C40="",AH40=""),"",IF(BB40="","",(T40)*BC40)),2),"")</f>
        <v/>
      </c>
      <c r="BE40" s="800" t="str">
        <f>IF(OR(C40="",F40="",K40="",I40="",M40="",V40="",P40="",X40="",AB40="",AF40="",AH40="",T40=""),"",IFERROR(IF(BA40="Invalid","Invalid",IF(BA40="Reflector","Select Eligible Reflector Lamp",IF(AB40&lt;INDEX(PMELIGHTINCAN[Op Hr 1],MATCH(BA40,PMELIGHTINCAN[Measure Validator],0)),"Operating Hours Invalid",IF(ISNUMBER(SEARCH("SPILLOVER",X40)),PROJSTATELI,IF((AW40-AX40)&lt;=0,"No Savings",""))))),"ERROR"))</f>
        <v/>
      </c>
      <c r="BF40" s="802" t="str">
        <f>IF(AND(ISBLANK(AF40),ISBLANK(AH40)),"",IF(NOT(ISNUMBER(BB40)),"",IF(BD40&gt;AU40,"Yes","No")))</f>
        <v/>
      </c>
      <c r="BG40" s="1051">
        <f>IF(M02S02F32&lt;&gt;"",INDEX(SPACEHEAT[HIF],MATCH(M02S02F32,SHEAT,0)),1)</f>
        <v>1</v>
      </c>
      <c r="BH40" s="1367">
        <f t="shared" ref="BH40" si="67">IFERROR(ROUND(BJ40*1.1,2),0)</f>
        <v>0</v>
      </c>
      <c r="BI40" s="1368" t="str">
        <f>IF(M02S02F44="","Update Install Status",IF(M02S02F49="Yes","Use New Load",IF(OR(C40="",F40="",K40="",I40="",M40="",V40="",P40="",X40="",AB40="",AF40="",AH40="",T40="",AD40=""),"",IF(BE40&lt;&gt;"",BE40,ROUND(BH40*BONUSADJ,2)))))</f>
        <v>Update Install Status</v>
      </c>
      <c r="BJ40" s="1368" t="str">
        <f>IF(M02S02F44="","Update Install Status",IF(M02S02F49="Yes","Use New Load",IF(OR(C40="",F40="",K40="",I40="",M40="",V40="",P40="",X40="",AB40="",AF40="",AH40="",T40="",AD40=""),"",IF(BE40&lt;&gt;"",BE40,ROUND(MIN(AU40,BD40),2)))))</f>
        <v>Update Install Status</v>
      </c>
    </row>
    <row r="41" spans="2:62" ht="15.95" customHeight="1" x14ac:dyDescent="0.25">
      <c r="B41" s="1204"/>
      <c r="C41" s="845"/>
      <c r="D41" s="1308"/>
      <c r="E41" s="846"/>
      <c r="F41" s="845"/>
      <c r="G41" s="1308"/>
      <c r="H41" s="846"/>
      <c r="I41" s="1348"/>
      <c r="J41" s="1363"/>
      <c r="K41" s="1343"/>
      <c r="L41" s="1344"/>
      <c r="M41" s="1308"/>
      <c r="N41" s="1308"/>
      <c r="O41" s="846"/>
      <c r="P41" s="824"/>
      <c r="Q41" s="825"/>
      <c r="R41" s="825"/>
      <c r="S41" s="826"/>
      <c r="T41" s="1348"/>
      <c r="U41" s="1363"/>
      <c r="V41" s="1343"/>
      <c r="W41" s="1361"/>
      <c r="X41" s="824"/>
      <c r="Y41" s="825"/>
      <c r="Z41" s="825"/>
      <c r="AA41" s="826"/>
      <c r="AB41" s="1348"/>
      <c r="AC41" s="1349"/>
      <c r="AD41" s="1302"/>
      <c r="AE41" s="854"/>
      <c r="AF41" s="1364"/>
      <c r="AG41" s="1305"/>
      <c r="AH41" s="1305"/>
      <c r="AI41" s="1306"/>
      <c r="AJ41" s="1358"/>
      <c r="AK41" s="1358"/>
      <c r="AL41" s="1358"/>
      <c r="AM41" s="1359"/>
      <c r="AN41" s="1238"/>
      <c r="AO41" s="1239"/>
      <c r="AP41" s="1239"/>
      <c r="AQ41" s="1240"/>
      <c r="AU41" s="805"/>
      <c r="AV41" s="807"/>
      <c r="AW41" s="803"/>
      <c r="AX41" s="803"/>
      <c r="AY41" s="803"/>
      <c r="AZ41" s="803"/>
      <c r="BA41" s="801"/>
      <c r="BB41" s="797"/>
      <c r="BC41" s="797"/>
      <c r="BD41" s="797"/>
      <c r="BE41" s="801"/>
      <c r="BF41" s="803"/>
      <c r="BG41" s="1052"/>
      <c r="BH41" s="1367"/>
      <c r="BI41" s="1368"/>
      <c r="BJ41" s="1368"/>
    </row>
    <row r="42" spans="2:62" ht="15.95" customHeight="1" x14ac:dyDescent="0.25">
      <c r="B42" s="1204">
        <v>13</v>
      </c>
      <c r="C42" s="843"/>
      <c r="D42" s="1307"/>
      <c r="E42" s="844"/>
      <c r="F42" s="843"/>
      <c r="G42" s="1307"/>
      <c r="H42" s="844"/>
      <c r="I42" s="1346"/>
      <c r="J42" s="1362"/>
      <c r="K42" s="1341"/>
      <c r="L42" s="1342"/>
      <c r="M42" s="1345" t="str">
        <f t="shared" ref="M42" si="68">IF(ISNUMBER(SEARCH("Exit",C42)),"Exit Sign","")</f>
        <v/>
      </c>
      <c r="N42" s="1307"/>
      <c r="O42" s="844"/>
      <c r="P42" s="881"/>
      <c r="Q42" s="822"/>
      <c r="R42" s="822"/>
      <c r="S42" s="823"/>
      <c r="T42" s="1346"/>
      <c r="U42" s="1362"/>
      <c r="V42" s="1341"/>
      <c r="W42" s="1360"/>
      <c r="X42" s="881"/>
      <c r="Y42" s="822"/>
      <c r="Z42" s="822"/>
      <c r="AA42" s="823"/>
      <c r="AB42" s="1346" t="str">
        <f t="shared" ref="AB42" si="69">IF(C42="Exit Sign",8760,"")</f>
        <v/>
      </c>
      <c r="AC42" s="1347"/>
      <c r="AD42" s="1302"/>
      <c r="AE42" s="854"/>
      <c r="AF42" s="1364"/>
      <c r="AG42" s="1305"/>
      <c r="AH42" s="1305"/>
      <c r="AI42" s="1306"/>
      <c r="AJ42" s="1356" t="str">
        <f t="shared" ref="AJ42" si="70">IF(OR(C42="",F42="",K42="",I42="",M42="",V42="",P42="",X42="",AB42="",AF42="",AH42="",T42=""),"",IFERROR(ROUND(IF((AW42-AX42)&lt;=0,0,BG42*(AW42-AX42)),0),""))</f>
        <v/>
      </c>
      <c r="AK42" s="1356"/>
      <c r="AL42" s="1356"/>
      <c r="AM42" s="1357"/>
      <c r="AN42" s="1238" t="str">
        <f>IF(M02S02F44="","Update Install Status",IF(M02S02F49="Yes","Use New Load",IF(OR(C42="",F42="",K42="",I42="",M42="",V42="",P42="",X42="",AB42="",AF42="",AH42="",T42="",AD42=""),"",IF(BE42&lt;&gt;"",BE42,ROUND(MIN(AU42,BD42),2)))))</f>
        <v>Update Install Status</v>
      </c>
      <c r="AO42" s="1239"/>
      <c r="AP42" s="1239"/>
      <c r="AQ42" s="1240"/>
      <c r="AU42" s="804" t="str">
        <f>IF(OR(C42="",F42="",K42="",I42="",M42="",V42="",P42="",X42="",AB42="",AF42="",AH42="",T42=""),"",(ROUND((AF42+AH42)*T42,2)))</f>
        <v/>
      </c>
      <c r="AV42" s="806" t="str">
        <f>IF(OR(C42="",F42="",K42="",I42="",M42="",V42="",P42="",X42="",AB42="",AF42="",AH42="",T42=""),"",ROUND(AJ42*INDEX(ENDUSEALL[Factor],MATCH(IF(ISNUMBER(SEARCH("CFL",F42)),"Miscellaneous","Lighting"),ENDUSEALL[End Use to Coincident Peak Demand Factors],0)),4))</f>
        <v/>
      </c>
      <c r="AW42" s="802" t="str">
        <f t="shared" si="50"/>
        <v/>
      </c>
      <c r="AX42" s="802" t="str">
        <f>IF(OR(C42="",F42="",K42="",I42="",M42="",V42="",P42="",X42="",AB42="",AF42="",AH42="",T42=""),"",ROUND(V42*T42*AB42/1000,0))</f>
        <v/>
      </c>
      <c r="AY42" s="802" t="str">
        <f t="shared" ref="AY42" si="71">IF(OR(C42="",F42="",K42="",I42="",M42="",V42="",P42="",X42="",AB42="",AF42="",AH42="",T42=""),"",IF(AND(C42="Incandescent",ISNUMBER(SEARCH("A-Lamp",F42))),ROUND(0.24*K42*I42,2),
IF(C42="Halogen",ROUND(0.34*K42*I42,2),ROUND(K42*I42,2))))</f>
        <v/>
      </c>
      <c r="AZ42" s="802" t="str">
        <f>IF(OR(C42="",F42="",K42="",I42="",M42="",V42="",P42="",X42="",AB42="",AF42="",AH42="",T42=""),"",ROUND(V42*T42,0))</f>
        <v/>
      </c>
      <c r="BA42" s="800" t="str">
        <f>IF(OR(AND(C42="Exit Sign",M42&lt;&gt;"Exit Sign"),AND(M42="Exit Sign",OR(C42="Incandescent",C42="Halogen"))),"Invalid",IF(C42="Exit Sign",CONCATENATE(C42," ",F42),IF(ISNUMBER(SEARCH("A-Lamp",F42)),CONCATENATE(C42," ",F42,"-LED"),IF(ISNUMBER(SEARCH("MR-16",F42)),CONCATENATE(C42," ",F42,"-LED"),CONCATENATE(C42," ",F42,"-LED")))))</f>
        <v xml:space="preserve"> -LED</v>
      </c>
      <c r="BB42" s="808" t="str">
        <f>IFERROR(IF(OR(C42="",F42="",K42="",I42="",M42="",V42="",P42="",X42="",AB42="",AF42="",AH42="",T42=""),"",INDEX(PMELIGHTINCAN[Measure '#],MATCH(BA42,PMELIGHTINCAN[Measure Validator],0))),"")</f>
        <v/>
      </c>
      <c r="BC42" s="808" t="str">
        <f>IFERROR(IF(OR(C42="",AH42=""),"",INDEX(PMELIGHTINCAN[Inc Rate Unit],MATCH(BA42,PMELIGHTINCAN[Measure Validator],0))),"")</f>
        <v/>
      </c>
      <c r="BD42" s="808" t="str">
        <f>IFERROR(ROUND(IF(OR(C42="",AH42=""),"",IF(BB42="","",(T42)*BC42)),2),"")</f>
        <v/>
      </c>
      <c r="BE42" s="800" t="str">
        <f>IF(OR(C42="",F42="",K42="",I42="",M42="",V42="",P42="",X42="",AB42="",AF42="",AH42="",T42=""),"",IFERROR(IF(BA42="Invalid","Invalid",IF(BA42="Reflector","Select Eligible Reflector Lamp",IF(AB42&lt;INDEX(PMELIGHTINCAN[Op Hr 1],MATCH(BA42,PMELIGHTINCAN[Measure Validator],0)),"Operating Hours Invalid",IF(ISNUMBER(SEARCH("SPILLOVER",X42)),PROJSTATELI,IF((AW42-AX42)&lt;=0,"No Savings",""))))),"ERROR"))</f>
        <v/>
      </c>
      <c r="BF42" s="802" t="str">
        <f>IF(AND(ISBLANK(AF42),ISBLANK(AH42)),"",IF(NOT(ISNUMBER(BB42)),"",IF(BD42&gt;AU42,"Yes","No")))</f>
        <v/>
      </c>
      <c r="BG42" s="1051">
        <f>IF(M02S02F32&lt;&gt;"",INDEX(SPACEHEAT[HIF],MATCH(M02S02F32,SHEAT,0)),1)</f>
        <v>1</v>
      </c>
      <c r="BH42" s="1367">
        <f t="shared" ref="BH42" si="72">IFERROR(ROUND(BJ42*1.1,2),0)</f>
        <v>0</v>
      </c>
      <c r="BI42" s="1368" t="str">
        <f>IF(M02S02F44="","Update Install Status",IF(M02S02F49="Yes","Use New Load",IF(OR(C42="",F42="",K42="",I42="",M42="",V42="",P42="",X42="",AB42="",AF42="",AH42="",T42="",AD42=""),"",IF(BE42&lt;&gt;"",BE42,ROUND(BH42*BONUSADJ,2)))))</f>
        <v>Update Install Status</v>
      </c>
      <c r="BJ42" s="1368" t="str">
        <f>IF(M02S02F44="","Update Install Status",IF(M02S02F49="Yes","Use New Load",IF(OR(C42="",F42="",K42="",I42="",M42="",V42="",P42="",X42="",AB42="",AF42="",AH42="",T42="",AD42=""),"",IF(BE42&lt;&gt;"",BE42,ROUND(MIN(AU42,BD42),2)))))</f>
        <v>Update Install Status</v>
      </c>
    </row>
    <row r="43" spans="2:62" ht="15.95" customHeight="1" x14ac:dyDescent="0.25">
      <c r="B43" s="1204"/>
      <c r="C43" s="845"/>
      <c r="D43" s="1308"/>
      <c r="E43" s="846"/>
      <c r="F43" s="845"/>
      <c r="G43" s="1308"/>
      <c r="H43" s="846"/>
      <c r="I43" s="1348"/>
      <c r="J43" s="1363"/>
      <c r="K43" s="1343"/>
      <c r="L43" s="1344"/>
      <c r="M43" s="1308"/>
      <c r="N43" s="1308"/>
      <c r="O43" s="846"/>
      <c r="P43" s="824"/>
      <c r="Q43" s="825"/>
      <c r="R43" s="825"/>
      <c r="S43" s="826"/>
      <c r="T43" s="1348"/>
      <c r="U43" s="1363"/>
      <c r="V43" s="1343"/>
      <c r="W43" s="1361"/>
      <c r="X43" s="824"/>
      <c r="Y43" s="825"/>
      <c r="Z43" s="825"/>
      <c r="AA43" s="826"/>
      <c r="AB43" s="1348"/>
      <c r="AC43" s="1349"/>
      <c r="AD43" s="1302"/>
      <c r="AE43" s="854"/>
      <c r="AF43" s="1364"/>
      <c r="AG43" s="1305"/>
      <c r="AH43" s="1305"/>
      <c r="AI43" s="1306"/>
      <c r="AJ43" s="1358"/>
      <c r="AK43" s="1358"/>
      <c r="AL43" s="1358"/>
      <c r="AM43" s="1359"/>
      <c r="AN43" s="1238"/>
      <c r="AO43" s="1239"/>
      <c r="AP43" s="1239"/>
      <c r="AQ43" s="1240"/>
      <c r="AU43" s="805"/>
      <c r="AV43" s="807"/>
      <c r="AW43" s="803"/>
      <c r="AX43" s="803"/>
      <c r="AY43" s="803"/>
      <c r="AZ43" s="803"/>
      <c r="BA43" s="801"/>
      <c r="BB43" s="797"/>
      <c r="BC43" s="797"/>
      <c r="BD43" s="797"/>
      <c r="BE43" s="801"/>
      <c r="BF43" s="803"/>
      <c r="BG43" s="1052"/>
      <c r="BH43" s="1367"/>
      <c r="BI43" s="1368"/>
      <c r="BJ43" s="1368"/>
    </row>
    <row r="44" spans="2:62" ht="15.95" customHeight="1" x14ac:dyDescent="0.25">
      <c r="B44" s="1204">
        <v>14</v>
      </c>
      <c r="C44" s="1205"/>
      <c r="D44" s="1292"/>
      <c r="E44" s="1206"/>
      <c r="F44" s="1205"/>
      <c r="G44" s="1292"/>
      <c r="H44" s="1206"/>
      <c r="I44" s="1339"/>
      <c r="J44" s="1340"/>
      <c r="K44" s="1341"/>
      <c r="L44" s="1342"/>
      <c r="M44" s="1345" t="str">
        <f t="shared" ref="M44" si="73">IF(ISNUMBER(SEARCH("Exit",C44)),"Exit Sign","")</f>
        <v/>
      </c>
      <c r="N44" s="1307"/>
      <c r="O44" s="844"/>
      <c r="P44" s="881"/>
      <c r="Q44" s="894"/>
      <c r="R44" s="894"/>
      <c r="S44" s="895"/>
      <c r="T44" s="1339"/>
      <c r="U44" s="1340"/>
      <c r="V44" s="1341"/>
      <c r="W44" s="1360"/>
      <c r="X44" s="881"/>
      <c r="Y44" s="894"/>
      <c r="Z44" s="894"/>
      <c r="AA44" s="895"/>
      <c r="AB44" s="1346" t="str">
        <f t="shared" ref="AB44" si="74">IF(C44="Exit Sign",8760,"")</f>
        <v/>
      </c>
      <c r="AC44" s="1347"/>
      <c r="AD44" s="1245"/>
      <c r="AE44" s="917"/>
      <c r="AF44" s="1354"/>
      <c r="AG44" s="1248"/>
      <c r="AH44" s="1248"/>
      <c r="AI44" s="1249"/>
      <c r="AJ44" s="1356" t="str">
        <f t="shared" ref="AJ44" si="75">IF(OR(C44="",F44="",K44="",I44="",M44="",V44="",P44="",X44="",AB44="",AF44="",AH44="",T44=""),"",IFERROR(ROUND(IF((AW44-AX44)&lt;=0,0,BG44*(AW44-AX44)),0),""))</f>
        <v/>
      </c>
      <c r="AK44" s="1356"/>
      <c r="AL44" s="1356"/>
      <c r="AM44" s="1357"/>
      <c r="AN44" s="1238" t="str">
        <f>IF(M02S02F44="","Update Install Status",IF(M02S02F49="Yes","Use New Load",IF(OR(C44="",F44="",K44="",I44="",M44="",V44="",P44="",X44="",AB44="",AF44="",AH44="",T44="",AD44=""),"",IF(BE44&lt;&gt;"",BE44,ROUND(MIN(AU44,BD44),2)))))</f>
        <v>Update Install Status</v>
      </c>
      <c r="AO44" s="1239"/>
      <c r="AP44" s="1239"/>
      <c r="AQ44" s="1240"/>
      <c r="AU44" s="804" t="str">
        <f>IF(OR(C44="",F44="",K44="",I44="",M44="",V44="",P44="",X44="",AB44="",AF44="",AH44="",T44=""),"",(ROUND((AF44+AH44)*T44,2)))</f>
        <v/>
      </c>
      <c r="AV44" s="806" t="str">
        <f>IF(OR(C44="",F44="",K44="",I44="",M44="",V44="",P44="",X44="",AB44="",AF44="",AH44="",T44=""),"",ROUND(AJ44*INDEX(ENDUSEALL[Factor],MATCH(IF(ISNUMBER(SEARCH("CFL",F44)),"Miscellaneous","Lighting"),ENDUSEALL[End Use to Coincident Peak Demand Factors],0)),4))</f>
        <v/>
      </c>
      <c r="AW44" s="802" t="str">
        <f t="shared" ref="AW44" si="76">IF(OR(C44="",F44="",K44="",I44="",M44="",V44="",P44="",X44="",AB44="",AF44="",AH44="",T44=""),"",IF(AND(C44="Incandescent",OR(ISNUMBER(SEARCH("PAR",F44)),ISNUMBER(SEARCH("A-Lamp",F44)))),ROUND(0.24*K44*I44*AB44/1000,2),
IF(C44="Halogen",ROUND(0.34*K44*I44*AB44/1000,2),
ROUND(K44*I44*AB44/1000,2))))</f>
        <v/>
      </c>
      <c r="AX44" s="802" t="str">
        <f>IF(OR(C44="",F44="",K44="",I44="",M44="",V44="",P44="",X44="",AB44="",AF44="",AH44="",T44=""),"",ROUND(V44*T44*AB44/1000,0))</f>
        <v/>
      </c>
      <c r="AY44" s="802" t="str">
        <f t="shared" ref="AY44" si="77">IF(OR(C44="",F44="",K44="",I44="",M44="",V44="",P44="",X44="",AB44="",AF44="",AH44="",T44=""),"",IF(AND(C44="Incandescent",ISNUMBER(SEARCH("A-Lamp",F44))),ROUND(0.24*K44*I44,2),
IF(C44="Halogen",ROUND(0.34*K44*I44,2),ROUND(K44*I44,2))))</f>
        <v/>
      </c>
      <c r="AZ44" s="802" t="str">
        <f>IF(OR(C44="",F44="",K44="",I44="",M44="",V44="",P44="",X44="",AB44="",AF44="",AH44="",T44=""),"",ROUND(V44*T44,0))</f>
        <v/>
      </c>
      <c r="BA44" s="800" t="str">
        <f>IF(OR(AND(C44="Exit Sign",M44&lt;&gt;"Exit Sign"),AND(M44="Exit Sign",OR(C44="Incandescent",C44="Halogen"))),"Invalid",IF(C44="Exit Sign",CONCATENATE(C44," ",F44),IF(ISNUMBER(SEARCH("A-Lamp",F44)),CONCATENATE(C44," ",F44,"-LED"),IF(ISNUMBER(SEARCH("MR-16",F44)),CONCATENATE(C44," ",F44,"-LED"),CONCATENATE(C44," ",F44,"-LED")))))</f>
        <v xml:space="preserve"> -LED</v>
      </c>
      <c r="BB44" s="808" t="str">
        <f>IFERROR(IF(OR(C44="",F44="",K44="",I44="",M44="",V44="",P44="",X44="",AB44="",AF44="",AH44="",T44=""),"",INDEX(PMELIGHTINCAN[Measure '#],MATCH(BA44,PMELIGHTINCAN[Measure Validator],0))),"")</f>
        <v/>
      </c>
      <c r="BC44" s="808" t="str">
        <f>IFERROR(IF(OR(C44="",AH44=""),"",INDEX(PMELIGHTINCAN[Inc Rate Unit],MATCH(BA44,PMELIGHTINCAN[Measure Validator],0))),"")</f>
        <v/>
      </c>
      <c r="BD44" s="808" t="str">
        <f>IFERROR(ROUND(IF(OR(C44="",AH44=""),"",IF(BB44="","",(T44)*BC44)),2),"")</f>
        <v/>
      </c>
      <c r="BE44" s="800" t="str">
        <f>IF(OR(C44="",F44="",K44="",I44="",M44="",V44="",P44="",X44="",AB44="",AF44="",AH44="",T44=""),"",IFERROR(IF(BA44="Invalid","Invalid",IF(BA44="Reflector","Select Eligible Reflector Lamp",IF(AB44&lt;INDEX(PMELIGHTINCAN[Op Hr 1],MATCH(BA44,PMELIGHTINCAN[Measure Validator],0)),"Operating Hours Invalid",IF(ISNUMBER(SEARCH("SPILLOVER",X44)),PROJSTATELI,IF((AW44-AX44)&lt;=0,"No Savings",""))))),"ERROR"))</f>
        <v/>
      </c>
      <c r="BF44" s="802" t="str">
        <f>IF(AND(ISBLANK(AF44),ISBLANK(AH44)),"",IF(NOT(ISNUMBER(BB44)),"",IF(BD44&gt;AU44,"Yes","No")))</f>
        <v/>
      </c>
      <c r="BG44" s="1051">
        <f>IF(M02S02F32&lt;&gt;"",INDEX(SPACEHEAT[HIF],MATCH(M02S02F32,SHEAT,0)),1)</f>
        <v>1</v>
      </c>
      <c r="BH44" s="1367">
        <f t="shared" ref="BH44" si="78">IFERROR(ROUND(BJ44*1.1,2),0)</f>
        <v>0</v>
      </c>
      <c r="BI44" s="1368" t="str">
        <f>IF(M02S02F44="","Update Install Status",IF(M02S02F49="Yes","Use New Load",IF(OR(C44="",F44="",K44="",I44="",M44="",V44="",P44="",X44="",AB44="",AF44="",AH44="",T44="",AD44=""),"",IF(BE44&lt;&gt;"",BE44,ROUND(BH44*BONUSADJ,2)))))</f>
        <v>Update Install Status</v>
      </c>
      <c r="BJ44" s="1368" t="str">
        <f>IF(M02S02F44="","Update Install Status",IF(M02S02F49="Yes","Use New Load",IF(OR(C44="",F44="",K44="",I44="",M44="",V44="",P44="",X44="",AB44="",AF44="",AH44="",T44="",AD44=""),"",IF(BE44&lt;&gt;"",BE44,ROUND(MIN(AU44,BD44),2)))))</f>
        <v>Update Install Status</v>
      </c>
    </row>
    <row r="45" spans="2:62" ht="15.95" customHeight="1" x14ac:dyDescent="0.25">
      <c r="B45" s="1204"/>
      <c r="C45" s="1207"/>
      <c r="D45" s="1263"/>
      <c r="E45" s="1208"/>
      <c r="F45" s="1207"/>
      <c r="G45" s="1263"/>
      <c r="H45" s="1208"/>
      <c r="I45" s="1266"/>
      <c r="J45" s="1267"/>
      <c r="K45" s="1343"/>
      <c r="L45" s="1344"/>
      <c r="M45" s="1308"/>
      <c r="N45" s="1308"/>
      <c r="O45" s="846"/>
      <c r="P45" s="896"/>
      <c r="Q45" s="897"/>
      <c r="R45" s="897"/>
      <c r="S45" s="898"/>
      <c r="T45" s="1266"/>
      <c r="U45" s="1267"/>
      <c r="V45" s="1343"/>
      <c r="W45" s="1361"/>
      <c r="X45" s="896"/>
      <c r="Y45" s="897"/>
      <c r="Z45" s="897"/>
      <c r="AA45" s="898"/>
      <c r="AB45" s="1348"/>
      <c r="AC45" s="1349"/>
      <c r="AD45" s="1245"/>
      <c r="AE45" s="917"/>
      <c r="AF45" s="1354"/>
      <c r="AG45" s="1248"/>
      <c r="AH45" s="1248"/>
      <c r="AI45" s="1249"/>
      <c r="AJ45" s="1358"/>
      <c r="AK45" s="1358"/>
      <c r="AL45" s="1358"/>
      <c r="AM45" s="1359"/>
      <c r="AN45" s="1238"/>
      <c r="AO45" s="1239"/>
      <c r="AP45" s="1239"/>
      <c r="AQ45" s="1240"/>
      <c r="AU45" s="805"/>
      <c r="AV45" s="807"/>
      <c r="AW45" s="803"/>
      <c r="AX45" s="803"/>
      <c r="AY45" s="803"/>
      <c r="AZ45" s="803"/>
      <c r="BA45" s="801"/>
      <c r="BB45" s="797"/>
      <c r="BC45" s="797"/>
      <c r="BD45" s="797"/>
      <c r="BE45" s="801"/>
      <c r="BF45" s="803"/>
      <c r="BG45" s="1052"/>
      <c r="BH45" s="1367"/>
      <c r="BI45" s="1368"/>
      <c r="BJ45" s="1368"/>
    </row>
    <row r="46" spans="2:62" ht="15.95" customHeight="1" x14ac:dyDescent="0.25">
      <c r="B46" s="1204">
        <v>15</v>
      </c>
      <c r="C46" s="1205"/>
      <c r="D46" s="1292"/>
      <c r="E46" s="1206"/>
      <c r="F46" s="1205"/>
      <c r="G46" s="1292"/>
      <c r="H46" s="1206"/>
      <c r="I46" s="1339"/>
      <c r="J46" s="1340"/>
      <c r="K46" s="1341"/>
      <c r="L46" s="1342"/>
      <c r="M46" s="1345" t="str">
        <f t="shared" ref="M46" si="79">IF(ISNUMBER(SEARCH("Exit",C46)),"Exit Sign","")</f>
        <v/>
      </c>
      <c r="N46" s="1307"/>
      <c r="O46" s="844"/>
      <c r="P46" s="881"/>
      <c r="Q46" s="894"/>
      <c r="R46" s="894"/>
      <c r="S46" s="895"/>
      <c r="T46" s="1339"/>
      <c r="U46" s="1340"/>
      <c r="V46" s="1341"/>
      <c r="W46" s="1360"/>
      <c r="X46" s="881"/>
      <c r="Y46" s="894"/>
      <c r="Z46" s="894"/>
      <c r="AA46" s="895"/>
      <c r="AB46" s="1346" t="str">
        <f t="shared" ref="AB46" si="80">IF(C46="Exit Sign",8760,"")</f>
        <v/>
      </c>
      <c r="AC46" s="1347"/>
      <c r="AD46" s="1245"/>
      <c r="AE46" s="917"/>
      <c r="AF46" s="1354"/>
      <c r="AG46" s="1248"/>
      <c r="AH46" s="1248"/>
      <c r="AI46" s="1249"/>
      <c r="AJ46" s="1356" t="str">
        <f t="shared" ref="AJ46" si="81">IF(OR(C46="",F46="",K46="",I46="",M46="",V46="",P46="",X46="",AB46="",AF46="",AH46="",T46=""),"",IFERROR(ROUND(IF((AW46-AX46)&lt;=0,0,BG46*(AW46-AX46)),0),""))</f>
        <v/>
      </c>
      <c r="AK46" s="1356"/>
      <c r="AL46" s="1356"/>
      <c r="AM46" s="1357"/>
      <c r="AN46" s="1238" t="str">
        <f>IF(M02S02F44="","Update Install Status",IF(M02S02F49="Yes","Use New Load",IF(OR(C46="",F46="",K46="",I46="",M46="",V46="",P46="",X46="",AB46="",AF46="",AH46="",T46="",AD46=""),"",IF(BE46&lt;&gt;"",BE46,ROUND(MIN(AU46,BD46),2)))))</f>
        <v>Update Install Status</v>
      </c>
      <c r="AO46" s="1239"/>
      <c r="AP46" s="1239"/>
      <c r="AQ46" s="1240"/>
      <c r="AU46" s="804" t="str">
        <f>IF(OR(C46="",F46="",K46="",I46="",M46="",V46="",P46="",X46="",AB46="",AF46="",AH46="",T46=""),"",(ROUND((AF46+AH46)*T46,2)))</f>
        <v/>
      </c>
      <c r="AV46" s="806" t="str">
        <f>IF(OR(C46="",F46="",K46="",I46="",M46="",V46="",P46="",X46="",AB46="",AF46="",AH46="",T46=""),"",ROUND(AJ46*INDEX(ENDUSEALL[Factor],MATCH(IF(ISNUMBER(SEARCH("CFL",F46)),"Miscellaneous","Lighting"),ENDUSEALL[End Use to Coincident Peak Demand Factors],0)),4))</f>
        <v/>
      </c>
      <c r="AW46" s="802" t="str">
        <f t="shared" si="38"/>
        <v/>
      </c>
      <c r="AX46" s="802" t="str">
        <f>IF(OR(C46="",F46="",K46="",I46="",M46="",V46="",P46="",X46="",AB46="",AF46="",AH46="",T46=""),"",ROUND(V46*T46*AB46/1000,0))</f>
        <v/>
      </c>
      <c r="AY46" s="802" t="str">
        <f t="shared" ref="AY46" si="82">IF(OR(C46="",F46="",K46="",I46="",M46="",V46="",P46="",X46="",AB46="",AF46="",AH46="",T46=""),"",IF(AND(C46="Incandescent",ISNUMBER(SEARCH("A-Lamp",F46))),ROUND(0.24*K46*I46,2),
IF(C46="Halogen",ROUND(0.34*K46*I46,2),ROUND(K46*I46,2))))</f>
        <v/>
      </c>
      <c r="AZ46" s="802" t="str">
        <f>IF(OR(C46="",F46="",K46="",I46="",M46="",V46="",P46="",X46="",AB46="",AF46="",AH46="",T46=""),"",ROUND(V46*T46,0))</f>
        <v/>
      </c>
      <c r="BA46" s="800" t="str">
        <f>IF(OR(AND(C46="Exit Sign",M46&lt;&gt;"Exit Sign"),AND(M46="Exit Sign",OR(C46="Incandescent",C46="Halogen"))),"Invalid",IF(C46="Exit Sign",CONCATENATE(C46," ",F46),IF(ISNUMBER(SEARCH("A-Lamp",F46)),CONCATENATE(C46," ",F46,"-LED"),IF(ISNUMBER(SEARCH("MR-16",F46)),CONCATENATE(C46," ",F46,"-LED"),CONCATENATE(C46," ",F46,"-LED")))))</f>
        <v xml:space="preserve"> -LED</v>
      </c>
      <c r="BB46" s="808" t="str">
        <f>IFERROR(IF(OR(C46="",F46="",K46="",I46="",M46="",V46="",P46="",X46="",AB46="",AF46="",AH46="",T46=""),"",INDEX(PMELIGHTINCAN[Measure '#],MATCH(BA46,PMELIGHTINCAN[Measure Validator],0))),"")</f>
        <v/>
      </c>
      <c r="BC46" s="808" t="str">
        <f>IFERROR(IF(OR(C46="",AH46=""),"",INDEX(PMELIGHTINCAN[Inc Rate Unit],MATCH(BA46,PMELIGHTINCAN[Measure Validator],0))),"")</f>
        <v/>
      </c>
      <c r="BD46" s="808" t="str">
        <f>IFERROR(ROUND(IF(OR(C46="",AH46=""),"",IF(BB46="","",(T46)*BC46)),2),"")</f>
        <v/>
      </c>
      <c r="BE46" s="800" t="str">
        <f>IF(OR(C46="",F46="",K46="",I46="",M46="",V46="",P46="",X46="",AB46="",AF46="",AH46="",T46=""),"",IFERROR(IF(BA46="Invalid","Invalid",IF(BA46="Reflector","Select Eligible Reflector Lamp",IF(AB46&lt;INDEX(PMELIGHTINCAN[Op Hr 1],MATCH(BA46,PMELIGHTINCAN[Measure Validator],0)),"Operating Hours Invalid",IF(ISNUMBER(SEARCH("SPILLOVER",X46)),PROJSTATELI,IF((AW46-AX46)&lt;=0,"No Savings",""))))),"ERROR"))</f>
        <v/>
      </c>
      <c r="BF46" s="802" t="str">
        <f>IF(AND(ISBLANK(AF46),ISBLANK(AH46)),"",IF(NOT(ISNUMBER(BB46)),"",IF(BD46&gt;AU46,"Yes","No")))</f>
        <v/>
      </c>
      <c r="BG46" s="1051">
        <f>IF(M02S02F32&lt;&gt;"",INDEX(SPACEHEAT[HIF],MATCH(M02S02F32,SHEAT,0)),1)</f>
        <v>1</v>
      </c>
      <c r="BH46" s="1367">
        <f t="shared" ref="BH46" si="83">IFERROR(ROUND(BJ46*1.1,2),0)</f>
        <v>0</v>
      </c>
      <c r="BI46" s="1368" t="str">
        <f>IF(M02S02F44="","Update Install Status",IF(M02S02F49="Yes","Use New Load",IF(OR(C46="",F46="",K46="",I46="",M46="",V46="",P46="",X46="",AB46="",AF46="",AH46="",T46="",AD46=""),"",IF(BE46&lt;&gt;"",BE46,ROUND(BH46*BONUSADJ,2)))))</f>
        <v>Update Install Status</v>
      </c>
      <c r="BJ46" s="1368" t="str">
        <f>IF(M02S02F44="","Update Install Status",IF(M02S02F49="Yes","Use New Load",IF(OR(C46="",F46="",K46="",I46="",M46="",V46="",P46="",X46="",AB46="",AF46="",AH46="",T46="",AD46=""),"",IF(BE46&lt;&gt;"",BE46,ROUND(MIN(AU46,BD46),2)))))</f>
        <v>Update Install Status</v>
      </c>
    </row>
    <row r="47" spans="2:62" ht="15.95" customHeight="1" x14ac:dyDescent="0.25">
      <c r="B47" s="1204"/>
      <c r="C47" s="1207"/>
      <c r="D47" s="1263"/>
      <c r="E47" s="1208"/>
      <c r="F47" s="1207"/>
      <c r="G47" s="1263"/>
      <c r="H47" s="1208"/>
      <c r="I47" s="1266"/>
      <c r="J47" s="1267"/>
      <c r="K47" s="1343"/>
      <c r="L47" s="1344"/>
      <c r="M47" s="1308"/>
      <c r="N47" s="1308"/>
      <c r="O47" s="846"/>
      <c r="P47" s="896"/>
      <c r="Q47" s="897"/>
      <c r="R47" s="897"/>
      <c r="S47" s="898"/>
      <c r="T47" s="1266"/>
      <c r="U47" s="1267"/>
      <c r="V47" s="1343"/>
      <c r="W47" s="1361"/>
      <c r="X47" s="896"/>
      <c r="Y47" s="897"/>
      <c r="Z47" s="897"/>
      <c r="AA47" s="898"/>
      <c r="AB47" s="1348"/>
      <c r="AC47" s="1349"/>
      <c r="AD47" s="1245"/>
      <c r="AE47" s="917"/>
      <c r="AF47" s="1354"/>
      <c r="AG47" s="1248"/>
      <c r="AH47" s="1248"/>
      <c r="AI47" s="1249"/>
      <c r="AJ47" s="1358"/>
      <c r="AK47" s="1358"/>
      <c r="AL47" s="1358"/>
      <c r="AM47" s="1359"/>
      <c r="AN47" s="1238"/>
      <c r="AO47" s="1239"/>
      <c r="AP47" s="1239"/>
      <c r="AQ47" s="1240"/>
      <c r="AU47" s="805"/>
      <c r="AV47" s="807"/>
      <c r="AW47" s="803"/>
      <c r="AX47" s="803"/>
      <c r="AY47" s="803"/>
      <c r="AZ47" s="803"/>
      <c r="BA47" s="801"/>
      <c r="BB47" s="797"/>
      <c r="BC47" s="797"/>
      <c r="BD47" s="797"/>
      <c r="BE47" s="801"/>
      <c r="BF47" s="803"/>
      <c r="BG47" s="1052"/>
      <c r="BH47" s="1367"/>
      <c r="BI47" s="1368"/>
      <c r="BJ47" s="1368"/>
    </row>
    <row r="48" spans="2:62" ht="15.95" customHeight="1" x14ac:dyDescent="0.25">
      <c r="B48" s="1204">
        <v>16</v>
      </c>
      <c r="C48" s="1205"/>
      <c r="D48" s="1292"/>
      <c r="E48" s="1206"/>
      <c r="F48" s="1205"/>
      <c r="G48" s="1292"/>
      <c r="H48" s="1206"/>
      <c r="I48" s="1339"/>
      <c r="J48" s="1340"/>
      <c r="K48" s="1341"/>
      <c r="L48" s="1342"/>
      <c r="M48" s="1345" t="str">
        <f t="shared" ref="M48" si="84">IF(ISNUMBER(SEARCH("Exit",C48)),"Exit Sign","")</f>
        <v/>
      </c>
      <c r="N48" s="1307"/>
      <c r="O48" s="844"/>
      <c r="P48" s="881"/>
      <c r="Q48" s="894"/>
      <c r="R48" s="894"/>
      <c r="S48" s="895"/>
      <c r="T48" s="1339"/>
      <c r="U48" s="1340"/>
      <c r="V48" s="1341"/>
      <c r="W48" s="1360"/>
      <c r="X48" s="881"/>
      <c r="Y48" s="894"/>
      <c r="Z48" s="894"/>
      <c r="AA48" s="895"/>
      <c r="AB48" s="1346" t="str">
        <f t="shared" ref="AB48" si="85">IF(C48="Exit Sign",8760,"")</f>
        <v/>
      </c>
      <c r="AC48" s="1347"/>
      <c r="AD48" s="1245"/>
      <c r="AE48" s="917"/>
      <c r="AF48" s="1354"/>
      <c r="AG48" s="1248"/>
      <c r="AH48" s="1248"/>
      <c r="AI48" s="1249"/>
      <c r="AJ48" s="1356" t="str">
        <f t="shared" ref="AJ48" si="86">IF(OR(C48="",F48="",K48="",I48="",M48="",V48="",P48="",X48="",AB48="",AF48="",AH48="",T48=""),"",IFERROR(ROUND(IF((AW48-AX48)&lt;=0,0,BG48*(AW48-AX48)),0),""))</f>
        <v/>
      </c>
      <c r="AK48" s="1356"/>
      <c r="AL48" s="1356"/>
      <c r="AM48" s="1357"/>
      <c r="AN48" s="1238" t="str">
        <f>IF(M02S02F44="","Update Install Status",IF(M02S02F49="Yes","Use New Load",IF(OR(C48="",F48="",K48="",I48="",M48="",V48="",P48="",X48="",AB48="",AF48="",AH48="",T48="",AD48=""),"",IF(BE48&lt;&gt;"",BE48,ROUND(MIN(AU48,BD48),2)))))</f>
        <v>Update Install Status</v>
      </c>
      <c r="AO48" s="1239"/>
      <c r="AP48" s="1239"/>
      <c r="AQ48" s="1240"/>
      <c r="AU48" s="804" t="str">
        <f>IF(OR(C48="",F48="",K48="",I48="",M48="",V48="",P48="",X48="",AB48="",AF48="",AH48="",T48=""),"",(ROUND((AF48+AH48)*T48,2)))</f>
        <v/>
      </c>
      <c r="AV48" s="806" t="str">
        <f>IF(OR(C48="",F48="",K48="",I48="",M48="",V48="",P48="",X48="",AB48="",AF48="",AH48="",T48=""),"",ROUND(AJ48*INDEX(ENDUSEALL[Factor],MATCH(IF(ISNUMBER(SEARCH("CFL",F48)),"Miscellaneous","Lighting"),ENDUSEALL[End Use to Coincident Peak Demand Factors],0)),4))</f>
        <v/>
      </c>
      <c r="AW48" s="802" t="str">
        <f t="shared" si="44"/>
        <v/>
      </c>
      <c r="AX48" s="802" t="str">
        <f>IF(OR(C48="",F48="",K48="",I48="",M48="",V48="",P48="",X48="",AB48="",AF48="",AH48="",T48=""),"",ROUND(V48*T48*AB48/1000,0))</f>
        <v/>
      </c>
      <c r="AY48" s="802" t="str">
        <f t="shared" ref="AY48" si="87">IF(OR(C48="",F48="",K48="",I48="",M48="",V48="",P48="",X48="",AB48="",AF48="",AH48="",T48=""),"",IF(AND(C48="Incandescent",ISNUMBER(SEARCH("A-Lamp",F48))),ROUND(0.24*K48*I48,2),
IF(C48="Halogen",ROUND(0.34*K48*I48,2),ROUND(K48*I48,2))))</f>
        <v/>
      </c>
      <c r="AZ48" s="802" t="str">
        <f>IF(OR(C48="",F48="",K48="",I48="",M48="",V48="",P48="",X48="",AB48="",AF48="",AH48="",T48=""),"",ROUND(V48*T48,0))</f>
        <v/>
      </c>
      <c r="BA48" s="800" t="str">
        <f>IF(OR(AND(C48="Exit Sign",M48&lt;&gt;"Exit Sign"),AND(M48="Exit Sign",OR(C48="Incandescent",C48="Halogen"))),"Invalid",IF(C48="Exit Sign",CONCATENATE(C48," ",F48),IF(ISNUMBER(SEARCH("A-Lamp",F48)),CONCATENATE(C48," ",F48,"-LED"),IF(ISNUMBER(SEARCH("MR-16",F48)),CONCATENATE(C48," ",F48,"-LED"),CONCATENATE(C48," ",F48,"-LED")))))</f>
        <v xml:space="preserve"> -LED</v>
      </c>
      <c r="BB48" s="808" t="str">
        <f>IFERROR(IF(OR(C48="",F48="",K48="",I48="",M48="",V48="",P48="",X48="",AB48="",AF48="",AH48="",T48=""),"",INDEX(PMELIGHTINCAN[Measure '#],MATCH(BA48,PMELIGHTINCAN[Measure Validator],0))),"")</f>
        <v/>
      </c>
      <c r="BC48" s="808" t="str">
        <f>IFERROR(IF(OR(C48="",AH48=""),"",INDEX(PMELIGHTINCAN[Inc Rate Unit],MATCH(BA48,PMELIGHTINCAN[Measure Validator],0))),"")</f>
        <v/>
      </c>
      <c r="BD48" s="808" t="str">
        <f>IFERROR(ROUND(IF(OR(C48="",AH48=""),"",IF(BB48="","",(T48)*BC48)),2),"")</f>
        <v/>
      </c>
      <c r="BE48" s="800" t="str">
        <f>IF(OR(C48="",F48="",K48="",I48="",M48="",V48="",P48="",X48="",AB48="",AF48="",AH48="",T48=""),"",IFERROR(IF(BA48="Invalid","Invalid",IF(BA48="Reflector","Select Eligible Reflector Lamp",IF(AB48&lt;INDEX(PMELIGHTINCAN[Op Hr 1],MATCH(BA48,PMELIGHTINCAN[Measure Validator],0)),"Operating Hours Invalid",IF(ISNUMBER(SEARCH("SPILLOVER",X48)),PROJSTATELI,IF((AW48-AX48)&lt;=0,"No Savings",""))))),"ERROR"))</f>
        <v/>
      </c>
      <c r="BF48" s="802" t="str">
        <f>IF(AND(ISBLANK(AF48),ISBLANK(AH48)),"",IF(NOT(ISNUMBER(BB48)),"",IF(BD48&gt;AU48,"Yes","No")))</f>
        <v/>
      </c>
      <c r="BG48" s="1051">
        <f>IF(M02S02F32&lt;&gt;"",INDEX(SPACEHEAT[HIF],MATCH(M02S02F32,SHEAT,0)),1)</f>
        <v>1</v>
      </c>
      <c r="BH48" s="1367">
        <f t="shared" ref="BH48" si="88">IFERROR(ROUND(BJ48*1.1,2),0)</f>
        <v>0</v>
      </c>
      <c r="BI48" s="1368" t="str">
        <f>IF(M02S02F44="","Update Install Status",IF(M02S02F49="Yes","Use New Load",IF(OR(C48="",F48="",K48="",I48="",M48="",V48="",P48="",X48="",AB48="",AF48="",AH48="",T48="",AD48=""),"",IF(BE48&lt;&gt;"",BE48,ROUND(BH48*BONUSADJ,2)))))</f>
        <v>Update Install Status</v>
      </c>
      <c r="BJ48" s="1368" t="str">
        <f>IF(M02S02F44="","Update Install Status",IF(M02S02F49="Yes","Use New Load",IF(OR(C48="",F48="",K48="",I48="",M48="",V48="",P48="",X48="",AB48="",AF48="",AH48="",T48="",AD48=""),"",IF(BE48&lt;&gt;"",BE48,ROUND(MIN(AU48,BD48),2)))))</f>
        <v>Update Install Status</v>
      </c>
    </row>
    <row r="49" spans="2:62" ht="15.95" customHeight="1" x14ac:dyDescent="0.25">
      <c r="B49" s="1204"/>
      <c r="C49" s="1207"/>
      <c r="D49" s="1263"/>
      <c r="E49" s="1208"/>
      <c r="F49" s="1207"/>
      <c r="G49" s="1263"/>
      <c r="H49" s="1208"/>
      <c r="I49" s="1266"/>
      <c r="J49" s="1267"/>
      <c r="K49" s="1343"/>
      <c r="L49" s="1344"/>
      <c r="M49" s="1308"/>
      <c r="N49" s="1308"/>
      <c r="O49" s="846"/>
      <c r="P49" s="896"/>
      <c r="Q49" s="897"/>
      <c r="R49" s="897"/>
      <c r="S49" s="898"/>
      <c r="T49" s="1266"/>
      <c r="U49" s="1267"/>
      <c r="V49" s="1343"/>
      <c r="W49" s="1361"/>
      <c r="X49" s="896"/>
      <c r="Y49" s="897"/>
      <c r="Z49" s="897"/>
      <c r="AA49" s="898"/>
      <c r="AB49" s="1348"/>
      <c r="AC49" s="1349"/>
      <c r="AD49" s="1245"/>
      <c r="AE49" s="917"/>
      <c r="AF49" s="1354"/>
      <c r="AG49" s="1248"/>
      <c r="AH49" s="1248"/>
      <c r="AI49" s="1249"/>
      <c r="AJ49" s="1358"/>
      <c r="AK49" s="1358"/>
      <c r="AL49" s="1358"/>
      <c r="AM49" s="1359"/>
      <c r="AN49" s="1238"/>
      <c r="AO49" s="1239"/>
      <c r="AP49" s="1239"/>
      <c r="AQ49" s="1240"/>
      <c r="AU49" s="805"/>
      <c r="AV49" s="807"/>
      <c r="AW49" s="803"/>
      <c r="AX49" s="803"/>
      <c r="AY49" s="803"/>
      <c r="AZ49" s="803"/>
      <c r="BA49" s="801"/>
      <c r="BB49" s="797"/>
      <c r="BC49" s="797"/>
      <c r="BD49" s="797"/>
      <c r="BE49" s="801"/>
      <c r="BF49" s="803"/>
      <c r="BG49" s="1052"/>
      <c r="BH49" s="1367"/>
      <c r="BI49" s="1368"/>
      <c r="BJ49" s="1368"/>
    </row>
    <row r="50" spans="2:62" ht="15.95" customHeight="1" x14ac:dyDescent="0.25">
      <c r="B50" s="1204">
        <v>17</v>
      </c>
      <c r="C50" s="1205"/>
      <c r="D50" s="1292"/>
      <c r="E50" s="1206"/>
      <c r="F50" s="1205"/>
      <c r="G50" s="1292"/>
      <c r="H50" s="1206"/>
      <c r="I50" s="1339"/>
      <c r="J50" s="1340"/>
      <c r="K50" s="1341"/>
      <c r="L50" s="1342"/>
      <c r="M50" s="1345" t="str">
        <f t="shared" ref="M50" si="89">IF(ISNUMBER(SEARCH("Exit",C50)),"Exit Sign","")</f>
        <v/>
      </c>
      <c r="N50" s="1307"/>
      <c r="O50" s="844"/>
      <c r="P50" s="881"/>
      <c r="Q50" s="894"/>
      <c r="R50" s="894"/>
      <c r="S50" s="895"/>
      <c r="T50" s="1339"/>
      <c r="U50" s="1340"/>
      <c r="V50" s="1341"/>
      <c r="W50" s="1360"/>
      <c r="X50" s="881"/>
      <c r="Y50" s="894"/>
      <c r="Z50" s="894"/>
      <c r="AA50" s="895"/>
      <c r="AB50" s="1346" t="str">
        <f t="shared" ref="AB50" si="90">IF(C50="Exit Sign",8760,"")</f>
        <v/>
      </c>
      <c r="AC50" s="1347"/>
      <c r="AD50" s="1245"/>
      <c r="AE50" s="917"/>
      <c r="AF50" s="1354"/>
      <c r="AG50" s="1248"/>
      <c r="AH50" s="1248"/>
      <c r="AI50" s="1249"/>
      <c r="AJ50" s="1356" t="str">
        <f t="shared" ref="AJ50" si="91">IF(OR(C50="",F50="",K50="",I50="",M50="",V50="",P50="",X50="",AB50="",AF50="",AH50="",T50=""),"",IFERROR(ROUND(IF((AW50-AX50)&lt;=0,0,BG50*(AW50-AX50)),0),""))</f>
        <v/>
      </c>
      <c r="AK50" s="1356"/>
      <c r="AL50" s="1356"/>
      <c r="AM50" s="1357"/>
      <c r="AN50" s="1238" t="str">
        <f>IF(M02S02F44="","Update Install Status",IF(M02S02F49="Yes","Use New Load",IF(OR(C50="",F50="",K50="",I50="",M50="",V50="",P50="",X50="",AB50="",AF50="",AH50="",T50="",AD50=""),"",IF(BE50&lt;&gt;"",BE50,ROUND(MIN(AU50,BD50),2)))))</f>
        <v>Update Install Status</v>
      </c>
      <c r="AO50" s="1239"/>
      <c r="AP50" s="1239"/>
      <c r="AQ50" s="1240"/>
      <c r="AU50" s="804" t="str">
        <f>IF(OR(C50="",F50="",K50="",I50="",M50="",V50="",P50="",X50="",AB50="",AF50="",AH50="",T50=""),"",(ROUND((AF50+AH50)*T50,2)))</f>
        <v/>
      </c>
      <c r="AV50" s="806" t="str">
        <f>IF(OR(C50="",F50="",K50="",I50="",M50="",V50="",P50="",X50="",AB50="",AF50="",AH50="",T50=""),"",ROUND(AJ50*INDEX(ENDUSEALL[Factor],MATCH(IF(ISNUMBER(SEARCH("CFL",F50)),"Miscellaneous","Lighting"),ENDUSEALL[End Use to Coincident Peak Demand Factors],0)),4))</f>
        <v/>
      </c>
      <c r="AW50" s="802" t="str">
        <f t="shared" si="50"/>
        <v/>
      </c>
      <c r="AX50" s="802" t="str">
        <f>IF(OR(C50="",F50="",K50="",I50="",M50="",V50="",P50="",X50="",AB50="",AF50="",AH50="",T50=""),"",ROUND(V50*T50*AB50/1000,0))</f>
        <v/>
      </c>
      <c r="AY50" s="802" t="str">
        <f t="shared" ref="AY50" si="92">IF(OR(C50="",F50="",K50="",I50="",M50="",V50="",P50="",X50="",AB50="",AF50="",AH50="",T50=""),"",IF(AND(C50="Incandescent",ISNUMBER(SEARCH("A-Lamp",F50))),ROUND(0.24*K50*I50,2),
IF(C50="Halogen",ROUND(0.34*K50*I50,2),ROUND(K50*I50,2))))</f>
        <v/>
      </c>
      <c r="AZ50" s="802" t="str">
        <f>IF(OR(C50="",F50="",K50="",I50="",M50="",V50="",P50="",X50="",AB50="",AF50="",AH50="",T50=""),"",ROUND(V50*T50,0))</f>
        <v/>
      </c>
      <c r="BA50" s="800" t="str">
        <f>IF(OR(AND(C50="Exit Sign",M50&lt;&gt;"Exit Sign"),AND(M50="Exit Sign",OR(C50="Incandescent",C50="Halogen"))),"Invalid",IF(C50="Exit Sign",CONCATENATE(C50," ",F50),IF(ISNUMBER(SEARCH("A-Lamp",F50)),CONCATENATE(C50," ",F50,"-LED"),IF(ISNUMBER(SEARCH("MR-16",F50)),CONCATENATE(C50," ",F50,"-LED"),CONCATENATE(C50," ",F50,"-LED")))))</f>
        <v xml:space="preserve"> -LED</v>
      </c>
      <c r="BB50" s="808" t="str">
        <f>IFERROR(IF(OR(C50="",F50="",K50="",I50="",M50="",V50="",P50="",X50="",AB50="",AF50="",AH50="",T50=""),"",INDEX(PMELIGHTINCAN[Measure '#],MATCH(BA50,PMELIGHTINCAN[Measure Validator],0))),"")</f>
        <v/>
      </c>
      <c r="BC50" s="808" t="str">
        <f>IFERROR(IF(OR(C50="",AH50=""),"",INDEX(PMELIGHTINCAN[Inc Rate Unit],MATCH(BA50,PMELIGHTINCAN[Measure Validator],0))),"")</f>
        <v/>
      </c>
      <c r="BD50" s="808" t="str">
        <f>IFERROR(ROUND(IF(OR(C50="",AH50=""),"",IF(BB50="","",(T50)*BC50)),2),"")</f>
        <v/>
      </c>
      <c r="BE50" s="800" t="str">
        <f>IF(OR(C50="",F50="",K50="",I50="",M50="",V50="",P50="",X50="",AB50="",AF50="",AH50="",T50=""),"",IFERROR(IF(BA50="Invalid","Invalid",IF(BA50="Reflector","Select Eligible Reflector Lamp",IF(AB50&lt;INDEX(PMELIGHTINCAN[Op Hr 1],MATCH(BA50,PMELIGHTINCAN[Measure Validator],0)),"Operating Hours Invalid",IF(ISNUMBER(SEARCH("SPILLOVER",X50)),PROJSTATELI,IF((AW50-AX50)&lt;=0,"No Savings",""))))),"ERROR"))</f>
        <v/>
      </c>
      <c r="BF50" s="802" t="str">
        <f>IF(AND(ISBLANK(AF50),ISBLANK(AH50)),"",IF(NOT(ISNUMBER(BB50)),"",IF(BD50&gt;AU50,"Yes","No")))</f>
        <v/>
      </c>
      <c r="BG50" s="1051">
        <f>IF(M02S02F32&lt;&gt;"",INDEX(SPACEHEAT[HIF],MATCH(M02S02F32,SHEAT,0)),1)</f>
        <v>1</v>
      </c>
      <c r="BH50" s="1367">
        <f t="shared" ref="BH50" si="93">IFERROR(ROUND(BJ50*1.1,2),0)</f>
        <v>0</v>
      </c>
      <c r="BI50" s="1368" t="str">
        <f>IF(M02S02F44="","Update Install Status",IF(M02S02F49="Yes","Use New Load",IF(OR(C50="",F50="",K50="",I50="",M50="",V50="",P50="",X50="",AB50="",AF50="",AH50="",T50="",AD50=""),"",IF(BE50&lt;&gt;"",BE50,ROUND(BH50*BONUSADJ,2)))))</f>
        <v>Update Install Status</v>
      </c>
      <c r="BJ50" s="1368" t="str">
        <f>IF(M02S02F44="","Update Install Status",IF(M02S02F49="Yes","Use New Load",IF(OR(C50="",F50="",K50="",I50="",M50="",V50="",P50="",X50="",AB50="",AF50="",AH50="",T50="",AD50=""),"",IF(BE50&lt;&gt;"",BE50,ROUND(MIN(AU50,BD50),2)))))</f>
        <v>Update Install Status</v>
      </c>
    </row>
    <row r="51" spans="2:62" ht="15.95" customHeight="1" x14ac:dyDescent="0.25">
      <c r="B51" s="1204"/>
      <c r="C51" s="1207"/>
      <c r="D51" s="1263"/>
      <c r="E51" s="1208"/>
      <c r="F51" s="1207"/>
      <c r="G51" s="1263"/>
      <c r="H51" s="1208"/>
      <c r="I51" s="1266"/>
      <c r="J51" s="1267"/>
      <c r="K51" s="1343"/>
      <c r="L51" s="1344"/>
      <c r="M51" s="1308"/>
      <c r="N51" s="1308"/>
      <c r="O51" s="846"/>
      <c r="P51" s="896"/>
      <c r="Q51" s="897"/>
      <c r="R51" s="897"/>
      <c r="S51" s="898"/>
      <c r="T51" s="1266"/>
      <c r="U51" s="1267"/>
      <c r="V51" s="1343"/>
      <c r="W51" s="1361"/>
      <c r="X51" s="896"/>
      <c r="Y51" s="897"/>
      <c r="Z51" s="897"/>
      <c r="AA51" s="898"/>
      <c r="AB51" s="1348"/>
      <c r="AC51" s="1349"/>
      <c r="AD51" s="1245"/>
      <c r="AE51" s="917"/>
      <c r="AF51" s="1354"/>
      <c r="AG51" s="1248"/>
      <c r="AH51" s="1248"/>
      <c r="AI51" s="1249"/>
      <c r="AJ51" s="1358"/>
      <c r="AK51" s="1358"/>
      <c r="AL51" s="1358"/>
      <c r="AM51" s="1359"/>
      <c r="AN51" s="1238"/>
      <c r="AO51" s="1239"/>
      <c r="AP51" s="1239"/>
      <c r="AQ51" s="1240"/>
      <c r="AU51" s="805"/>
      <c r="AV51" s="807"/>
      <c r="AW51" s="803"/>
      <c r="AX51" s="803"/>
      <c r="AY51" s="803"/>
      <c r="AZ51" s="803"/>
      <c r="BA51" s="801"/>
      <c r="BB51" s="797"/>
      <c r="BC51" s="797"/>
      <c r="BD51" s="797"/>
      <c r="BE51" s="801"/>
      <c r="BF51" s="803"/>
      <c r="BG51" s="1052"/>
      <c r="BH51" s="1367"/>
      <c r="BI51" s="1368"/>
      <c r="BJ51" s="1368"/>
    </row>
    <row r="52" spans="2:62" ht="15.95" customHeight="1" x14ac:dyDescent="0.25">
      <c r="B52" s="1204">
        <v>18</v>
      </c>
      <c r="C52" s="1205"/>
      <c r="D52" s="1292"/>
      <c r="E52" s="1206"/>
      <c r="F52" s="1205"/>
      <c r="G52" s="1292"/>
      <c r="H52" s="1206"/>
      <c r="I52" s="1339"/>
      <c r="J52" s="1340"/>
      <c r="K52" s="1341"/>
      <c r="L52" s="1342"/>
      <c r="M52" s="1345" t="str">
        <f t="shared" ref="M52" si="94">IF(ISNUMBER(SEARCH("Exit",C52)),"Exit Sign","")</f>
        <v/>
      </c>
      <c r="N52" s="1307"/>
      <c r="O52" s="844"/>
      <c r="P52" s="881"/>
      <c r="Q52" s="894"/>
      <c r="R52" s="894"/>
      <c r="S52" s="895"/>
      <c r="T52" s="1339"/>
      <c r="U52" s="1340"/>
      <c r="V52" s="1341"/>
      <c r="W52" s="1360"/>
      <c r="X52" s="881"/>
      <c r="Y52" s="894"/>
      <c r="Z52" s="894"/>
      <c r="AA52" s="895"/>
      <c r="AB52" s="1346" t="str">
        <f t="shared" ref="AB52" si="95">IF(C52="Exit Sign",8760,"")</f>
        <v/>
      </c>
      <c r="AC52" s="1347"/>
      <c r="AD52" s="1245"/>
      <c r="AE52" s="917"/>
      <c r="AF52" s="1354"/>
      <c r="AG52" s="1248"/>
      <c r="AH52" s="1248"/>
      <c r="AI52" s="1249"/>
      <c r="AJ52" s="1356" t="str">
        <f t="shared" ref="AJ52" si="96">IF(OR(C52="",F52="",K52="",I52="",M52="",V52="",P52="",X52="",AB52="",AF52="",AH52="",T52=""),"",IFERROR(ROUND(IF((AW52-AX52)&lt;=0,0,BG52*(AW52-AX52)),0),""))</f>
        <v/>
      </c>
      <c r="AK52" s="1356"/>
      <c r="AL52" s="1356"/>
      <c r="AM52" s="1357"/>
      <c r="AN52" s="1238" t="str">
        <f>IF(M02S02F44="","Update Install Status",IF(M02S02F49="Yes","Use New Load",IF(OR(C52="",F52="",K52="",I52="",M52="",V52="",P52="",X52="",AB52="",AF52="",AH52="",T52="",AD52=""),"",IF(BE52&lt;&gt;"",BE52,ROUND(MIN(AU52,BD52),2)))))</f>
        <v>Update Install Status</v>
      </c>
      <c r="AO52" s="1239"/>
      <c r="AP52" s="1239"/>
      <c r="AQ52" s="1240"/>
      <c r="AU52" s="804" t="str">
        <f>IF(OR(C52="",F52="",K52="",I52="",M52="",V52="",P52="",X52="",AB52="",AF52="",AH52="",T52=""),"",(ROUND((AF52+AH52)*T52,2)))</f>
        <v/>
      </c>
      <c r="AV52" s="806" t="str">
        <f>IF(OR(C52="",F52="",K52="",I52="",M52="",V52="",P52="",X52="",AB52="",AF52="",AH52="",T52=""),"",ROUND(AJ52*INDEX(ENDUSEALL[Factor],MATCH(IF(ISNUMBER(SEARCH("CFL",F52)),"Miscellaneous","Lighting"),ENDUSEALL[End Use to Coincident Peak Demand Factors],0)),4))</f>
        <v/>
      </c>
      <c r="AW52" s="802" t="str">
        <f t="shared" ref="AW52" si="97">IF(OR(C52="",F52="",K52="",I52="",M52="",V52="",P52="",X52="",AB52="",AF52="",AH52="",T52=""),"",IF(AND(C52="Incandescent",OR(ISNUMBER(SEARCH("PAR",F52)),ISNUMBER(SEARCH("A-Lamp",F52)))),ROUND(0.24*K52*I52*AB52/1000,2),
IF(C52="Halogen",ROUND(0.34*K52*I52*AB52/1000,2),
ROUND(K52*I52*AB52/1000,2))))</f>
        <v/>
      </c>
      <c r="AX52" s="802" t="str">
        <f>IF(OR(C52="",F52="",K52="",I52="",M52="",V52="",P52="",X52="",AB52="",AF52="",AH52="",T52=""),"",ROUND(V52*T52*AB52/1000,0))</f>
        <v/>
      </c>
      <c r="AY52" s="802" t="str">
        <f t="shared" ref="AY52" si="98">IF(OR(C52="",F52="",K52="",I52="",M52="",V52="",P52="",X52="",AB52="",AF52="",AH52="",T52=""),"",IF(AND(C52="Incandescent",ISNUMBER(SEARCH("A-Lamp",F52))),ROUND(0.24*K52*I52,2),
IF(C52="Halogen",ROUND(0.34*K52*I52,2),ROUND(K52*I52,2))))</f>
        <v/>
      </c>
      <c r="AZ52" s="802" t="str">
        <f>IF(OR(C52="",F52="",K52="",I52="",M52="",V52="",P52="",X52="",AB52="",AF52="",AH52="",T52=""),"",ROUND(V52*T52,0))</f>
        <v/>
      </c>
      <c r="BA52" s="800" t="str">
        <f>IF(OR(AND(C52="Exit Sign",M52&lt;&gt;"Exit Sign"),AND(M52="Exit Sign",OR(C52="Incandescent",C52="Halogen"))),"Invalid",IF(C52="Exit Sign",CONCATENATE(C52," ",F52),IF(ISNUMBER(SEARCH("A-Lamp",F52)),CONCATENATE(C52," ",F52,"-LED"),IF(ISNUMBER(SEARCH("MR-16",F52)),CONCATENATE(C52," ",F52,"-LED"),CONCATENATE(C52," ",F52,"-LED")))))</f>
        <v xml:space="preserve"> -LED</v>
      </c>
      <c r="BB52" s="808" t="str">
        <f>IFERROR(IF(OR(C52="",F52="",K52="",I52="",M52="",V52="",P52="",X52="",AB52="",AF52="",AH52="",T52=""),"",INDEX(PMELIGHTINCAN[Measure '#],MATCH(BA52,PMELIGHTINCAN[Measure Validator],0))),"")</f>
        <v/>
      </c>
      <c r="BC52" s="808" t="str">
        <f>IFERROR(IF(OR(C52="",AH52=""),"",INDEX(PMELIGHTINCAN[Inc Rate Unit],MATCH(BA52,PMELIGHTINCAN[Measure Validator],0))),"")</f>
        <v/>
      </c>
      <c r="BD52" s="808" t="str">
        <f>IFERROR(ROUND(IF(OR(C52="",AH52=""),"",IF(BB52="","",(T52)*BC52)),2),"")</f>
        <v/>
      </c>
      <c r="BE52" s="800" t="str">
        <f>IF(OR(C52="",F52="",K52="",I52="",M52="",V52="",P52="",X52="",AB52="",AF52="",AH52="",T52=""),"",IFERROR(IF(BA52="Invalid","Invalid",IF(BA52="Reflector","Select Eligible Reflector Lamp",IF(AB52&lt;INDEX(PMELIGHTINCAN[Op Hr 1],MATCH(BA52,PMELIGHTINCAN[Measure Validator],0)),"Operating Hours Invalid",IF(ISNUMBER(SEARCH("SPILLOVER",X52)),PROJSTATELI,IF((AW52-AX52)&lt;=0,"No Savings",""))))),"ERROR"))</f>
        <v/>
      </c>
      <c r="BF52" s="802" t="str">
        <f>IF(AND(ISBLANK(AF52),ISBLANK(AH52)),"",IF(NOT(ISNUMBER(BB52)),"",IF(BD52&gt;AU52,"Yes","No")))</f>
        <v/>
      </c>
      <c r="BG52" s="1051">
        <f>IF(M02S02F32&lt;&gt;"",INDEX(SPACEHEAT[HIF],MATCH(M02S02F32,SHEAT,0)),1)</f>
        <v>1</v>
      </c>
      <c r="BH52" s="1367">
        <f t="shared" ref="BH52" si="99">IFERROR(ROUND(BJ52*1.1,2),0)</f>
        <v>0</v>
      </c>
      <c r="BI52" s="1368" t="str">
        <f>IF(M02S02F44="","Update Install Status",IF(M02S02F49="Yes","Use New Load",IF(OR(C52="",F52="",K52="",I52="",M52="",V52="",P52="",X52="",AB52="",AF52="",AH52="",T52="",AD52=""),"",IF(BE52&lt;&gt;"",BE52,ROUND(BH52*BONUSADJ,2)))))</f>
        <v>Update Install Status</v>
      </c>
      <c r="BJ52" s="1368" t="str">
        <f>IF(M02S02F44="","Update Install Status",IF(M02S02F49="Yes","Use New Load",IF(OR(C52="",F52="",K52="",I52="",M52="",V52="",P52="",X52="",AB52="",AF52="",AH52="",T52="",AD52=""),"",IF(BE52&lt;&gt;"",BE52,ROUND(MIN(AU52,BD52),2)))))</f>
        <v>Update Install Status</v>
      </c>
    </row>
    <row r="53" spans="2:62" ht="15.95" customHeight="1" x14ac:dyDescent="0.25">
      <c r="B53" s="1204"/>
      <c r="C53" s="1207"/>
      <c r="D53" s="1263"/>
      <c r="E53" s="1208"/>
      <c r="F53" s="1207"/>
      <c r="G53" s="1263"/>
      <c r="H53" s="1208"/>
      <c r="I53" s="1266"/>
      <c r="J53" s="1267"/>
      <c r="K53" s="1343"/>
      <c r="L53" s="1344"/>
      <c r="M53" s="1308"/>
      <c r="N53" s="1308"/>
      <c r="O53" s="846"/>
      <c r="P53" s="896"/>
      <c r="Q53" s="897"/>
      <c r="R53" s="897"/>
      <c r="S53" s="898"/>
      <c r="T53" s="1266"/>
      <c r="U53" s="1267"/>
      <c r="V53" s="1343"/>
      <c r="W53" s="1361"/>
      <c r="X53" s="896"/>
      <c r="Y53" s="897"/>
      <c r="Z53" s="897"/>
      <c r="AA53" s="898"/>
      <c r="AB53" s="1348"/>
      <c r="AC53" s="1349"/>
      <c r="AD53" s="1245"/>
      <c r="AE53" s="917"/>
      <c r="AF53" s="1354"/>
      <c r="AG53" s="1248"/>
      <c r="AH53" s="1248"/>
      <c r="AI53" s="1249"/>
      <c r="AJ53" s="1358"/>
      <c r="AK53" s="1358"/>
      <c r="AL53" s="1358"/>
      <c r="AM53" s="1359"/>
      <c r="AN53" s="1238"/>
      <c r="AO53" s="1239"/>
      <c r="AP53" s="1239"/>
      <c r="AQ53" s="1240"/>
      <c r="AU53" s="805"/>
      <c r="AV53" s="807"/>
      <c r="AW53" s="803"/>
      <c r="AX53" s="803"/>
      <c r="AY53" s="803"/>
      <c r="AZ53" s="803"/>
      <c r="BA53" s="801"/>
      <c r="BB53" s="797"/>
      <c r="BC53" s="797"/>
      <c r="BD53" s="797"/>
      <c r="BE53" s="801"/>
      <c r="BF53" s="803"/>
      <c r="BG53" s="1052"/>
      <c r="BH53" s="1367"/>
      <c r="BI53" s="1368"/>
      <c r="BJ53" s="1368"/>
    </row>
    <row r="54" spans="2:62" ht="15.95" customHeight="1" x14ac:dyDescent="0.25">
      <c r="B54" s="1204">
        <v>19</v>
      </c>
      <c r="C54" s="1205"/>
      <c r="D54" s="1292"/>
      <c r="E54" s="1206"/>
      <c r="F54" s="1205"/>
      <c r="G54" s="1292"/>
      <c r="H54" s="1206"/>
      <c r="I54" s="1339"/>
      <c r="J54" s="1340"/>
      <c r="K54" s="1341"/>
      <c r="L54" s="1342"/>
      <c r="M54" s="1345" t="str">
        <f t="shared" ref="M54" si="100">IF(ISNUMBER(SEARCH("Exit",C54)),"Exit Sign","")</f>
        <v/>
      </c>
      <c r="N54" s="1307"/>
      <c r="O54" s="844"/>
      <c r="P54" s="881"/>
      <c r="Q54" s="894"/>
      <c r="R54" s="894"/>
      <c r="S54" s="895"/>
      <c r="T54" s="1339"/>
      <c r="U54" s="1340"/>
      <c r="V54" s="1341"/>
      <c r="W54" s="1360"/>
      <c r="X54" s="881"/>
      <c r="Y54" s="894"/>
      <c r="Z54" s="894"/>
      <c r="AA54" s="895"/>
      <c r="AB54" s="1346" t="str">
        <f t="shared" ref="AB54" si="101">IF(C54="Exit Sign",8760,"")</f>
        <v/>
      </c>
      <c r="AC54" s="1347"/>
      <c r="AD54" s="1245"/>
      <c r="AE54" s="917"/>
      <c r="AF54" s="1354"/>
      <c r="AG54" s="1248"/>
      <c r="AH54" s="1248"/>
      <c r="AI54" s="1249"/>
      <c r="AJ54" s="1356" t="str">
        <f t="shared" ref="AJ54" si="102">IF(OR(C54="",F54="",K54="",I54="",M54="",V54="",P54="",X54="",AB54="",AF54="",AH54="",T54=""),"",IFERROR(ROUND(IF((AW54-AX54)&lt;=0,0,BG54*(AW54-AX54)),0),""))</f>
        <v/>
      </c>
      <c r="AK54" s="1356"/>
      <c r="AL54" s="1356"/>
      <c r="AM54" s="1357"/>
      <c r="AN54" s="1238" t="str">
        <f>IF(M02S02F44="","Update Install Status",IF(M02S02F49="Yes","Use New Load",IF(OR(C54="",F54="",K54="",I54="",M54="",V54="",P54="",X54="",AB54="",AF54="",AH54="",T54="",AD54=""),"",IF(BE54&lt;&gt;"",BE54,ROUND(MIN(AU54,BD54),2)))))</f>
        <v>Update Install Status</v>
      </c>
      <c r="AO54" s="1239"/>
      <c r="AP54" s="1239"/>
      <c r="AQ54" s="1240"/>
      <c r="AU54" s="804" t="str">
        <f>IF(OR(C54="",F54="",K54="",I54="",M54="",V54="",P54="",X54="",AB54="",AF54="",AH54="",T54=""),"",(ROUND((AF54+AH54)*T54,2)))</f>
        <v/>
      </c>
      <c r="AV54" s="806" t="str">
        <f>IF(OR(C54="",F54="",K54="",I54="",M54="",V54="",P54="",X54="",AB54="",AF54="",AH54="",T54=""),"",ROUND(AJ54*INDEX(ENDUSEALL[Factor],MATCH(IF(ISNUMBER(SEARCH("CFL",F54)),"Miscellaneous","Lighting"),ENDUSEALL[End Use to Coincident Peak Demand Factors],0)),4))</f>
        <v/>
      </c>
      <c r="AW54" s="802" t="str">
        <f t="shared" si="38"/>
        <v/>
      </c>
      <c r="AX54" s="802" t="str">
        <f>IF(OR(C54="",F54="",K54="",I54="",M54="",V54="",P54="",X54="",AB54="",AF54="",AH54="",T54=""),"",ROUND(V54*T54*AB54/1000,0))</f>
        <v/>
      </c>
      <c r="AY54" s="802" t="str">
        <f t="shared" ref="AY54" si="103">IF(OR(C54="",F54="",K54="",I54="",M54="",V54="",P54="",X54="",AB54="",AF54="",AH54="",T54=""),"",IF(AND(C54="Incandescent",ISNUMBER(SEARCH("A-Lamp",F54))),ROUND(0.24*K54*I54,2),
IF(C54="Halogen",ROUND(0.34*K54*I54,2),ROUND(K54*I54,2))))</f>
        <v/>
      </c>
      <c r="AZ54" s="802" t="str">
        <f>IF(OR(C54="",F54="",K54="",I54="",M54="",V54="",P54="",X54="",AB54="",AF54="",AH54="",T54=""),"",ROUND(V54*T54,0))</f>
        <v/>
      </c>
      <c r="BA54" s="800" t="str">
        <f>IF(OR(AND(C54="Exit Sign",M54&lt;&gt;"Exit Sign"),AND(M54="Exit Sign",OR(C54="Incandescent",C54="Halogen"))),"Invalid",IF(C54="Exit Sign",CONCATENATE(C54," ",F54),IF(ISNUMBER(SEARCH("A-Lamp",F54)),CONCATENATE(C54," ",F54,"-LED"),IF(ISNUMBER(SEARCH("MR-16",F54)),CONCATENATE(C54," ",F54,"-LED"),CONCATENATE(C54," ",F54,"-LED")))))</f>
        <v xml:space="preserve"> -LED</v>
      </c>
      <c r="BB54" s="808" t="str">
        <f>IFERROR(IF(OR(C54="",F54="",K54="",I54="",M54="",V54="",P54="",X54="",AB54="",AF54="",AH54="",T54=""),"",INDEX(PMELIGHTINCAN[Measure '#],MATCH(BA54,PMELIGHTINCAN[Measure Validator],0))),"")</f>
        <v/>
      </c>
      <c r="BC54" s="808" t="str">
        <f>IFERROR(IF(OR(C54="",AH54=""),"",INDEX(PMELIGHTINCAN[Inc Rate Unit],MATCH(BA54,PMELIGHTINCAN[Measure Validator],0))),"")</f>
        <v/>
      </c>
      <c r="BD54" s="808" t="str">
        <f>IFERROR(ROUND(IF(OR(C54="",AH54=""),"",IF(BB54="","",(T54)*BC54)),2),"")</f>
        <v/>
      </c>
      <c r="BE54" s="800" t="str">
        <f>IF(OR(C54="",F54="",K54="",I54="",M54="",V54="",P54="",X54="",AB54="",AF54="",AH54="",T54=""),"",IFERROR(IF(BA54="Invalid","Invalid",IF(BA54="Reflector","Select Eligible Reflector Lamp",IF(AB54&lt;INDEX(PMELIGHTINCAN[Op Hr 1],MATCH(BA54,PMELIGHTINCAN[Measure Validator],0)),"Operating Hours Invalid",IF(ISNUMBER(SEARCH("SPILLOVER",X54)),PROJSTATELI,IF((AW54-AX54)&lt;=0,"No Savings",""))))),"ERROR"))</f>
        <v/>
      </c>
      <c r="BF54" s="802" t="str">
        <f>IF(AND(ISBLANK(AF54),ISBLANK(AH54)),"",IF(NOT(ISNUMBER(BB54)),"",IF(BD54&gt;AU54,"Yes","No")))</f>
        <v/>
      </c>
      <c r="BG54" s="1051">
        <f>IF(M02S02F32&lt;&gt;"",INDEX(SPACEHEAT[HIF],MATCH(M02S02F32,SHEAT,0)),1)</f>
        <v>1</v>
      </c>
      <c r="BH54" s="1367">
        <f t="shared" ref="BH54" si="104">IFERROR(ROUND(BJ54*1.1,2),0)</f>
        <v>0</v>
      </c>
      <c r="BI54" s="1368" t="str">
        <f>IF(M02S02F44="","Update Install Status",IF(M02S02F49="Yes","Use New Load",IF(OR(C54="",F54="",K54="",I54="",M54="",V54="",P54="",X54="",AB54="",AF54="",AH54="",T54="",AD54=""),"",IF(BE54&lt;&gt;"",BE54,ROUND(BH54*BONUSADJ,2)))))</f>
        <v>Update Install Status</v>
      </c>
      <c r="BJ54" s="1368" t="str">
        <f>IF(M02S02F44="","Update Install Status",IF(M02S02F49="Yes","Use New Load",IF(OR(C54="",F54="",K54="",I54="",M54="",V54="",P54="",X54="",AB54="",AF54="",AH54="",T54="",AD54=""),"",IF(BE54&lt;&gt;"",BE54,ROUND(MIN(AU54,BD54),2)))))</f>
        <v>Update Install Status</v>
      </c>
    </row>
    <row r="55" spans="2:62" ht="15.95" customHeight="1" x14ac:dyDescent="0.25">
      <c r="B55" s="1204"/>
      <c r="C55" s="1207"/>
      <c r="D55" s="1263"/>
      <c r="E55" s="1208"/>
      <c r="F55" s="1207"/>
      <c r="G55" s="1263"/>
      <c r="H55" s="1208"/>
      <c r="I55" s="1266"/>
      <c r="J55" s="1267"/>
      <c r="K55" s="1343"/>
      <c r="L55" s="1344"/>
      <c r="M55" s="1308"/>
      <c r="N55" s="1308"/>
      <c r="O55" s="846"/>
      <c r="P55" s="896"/>
      <c r="Q55" s="897"/>
      <c r="R55" s="897"/>
      <c r="S55" s="898"/>
      <c r="T55" s="1266"/>
      <c r="U55" s="1267"/>
      <c r="V55" s="1343"/>
      <c r="W55" s="1361"/>
      <c r="X55" s="896"/>
      <c r="Y55" s="897"/>
      <c r="Z55" s="897"/>
      <c r="AA55" s="898"/>
      <c r="AB55" s="1348"/>
      <c r="AC55" s="1349"/>
      <c r="AD55" s="1245"/>
      <c r="AE55" s="917"/>
      <c r="AF55" s="1354"/>
      <c r="AG55" s="1248"/>
      <c r="AH55" s="1248"/>
      <c r="AI55" s="1249"/>
      <c r="AJ55" s="1358"/>
      <c r="AK55" s="1358"/>
      <c r="AL55" s="1358"/>
      <c r="AM55" s="1359"/>
      <c r="AN55" s="1238"/>
      <c r="AO55" s="1239"/>
      <c r="AP55" s="1239"/>
      <c r="AQ55" s="1240"/>
      <c r="AU55" s="805"/>
      <c r="AV55" s="807"/>
      <c r="AW55" s="803"/>
      <c r="AX55" s="803"/>
      <c r="AY55" s="803"/>
      <c r="AZ55" s="803"/>
      <c r="BA55" s="801"/>
      <c r="BB55" s="797"/>
      <c r="BC55" s="797"/>
      <c r="BD55" s="797"/>
      <c r="BE55" s="801"/>
      <c r="BF55" s="803"/>
      <c r="BG55" s="1052"/>
      <c r="BH55" s="1367"/>
      <c r="BI55" s="1368"/>
      <c r="BJ55" s="1368"/>
    </row>
    <row r="56" spans="2:62" ht="15.95" customHeight="1" x14ac:dyDescent="0.25">
      <c r="B56" s="1204">
        <v>20</v>
      </c>
      <c r="C56" s="843"/>
      <c r="D56" s="1307"/>
      <c r="E56" s="844"/>
      <c r="F56" s="843"/>
      <c r="G56" s="1307"/>
      <c r="H56" s="844"/>
      <c r="I56" s="1346"/>
      <c r="J56" s="1362"/>
      <c r="K56" s="1341"/>
      <c r="L56" s="1342"/>
      <c r="M56" s="1345" t="str">
        <f>IF(ISNUMBER(SEARCH("Exit",C56)),"Exit Sign","")</f>
        <v/>
      </c>
      <c r="N56" s="1307"/>
      <c r="O56" s="844"/>
      <c r="P56" s="842"/>
      <c r="Q56" s="822"/>
      <c r="R56" s="822"/>
      <c r="S56" s="823"/>
      <c r="T56" s="1346"/>
      <c r="U56" s="1362"/>
      <c r="V56" s="1341"/>
      <c r="W56" s="1360"/>
      <c r="X56" s="842"/>
      <c r="Y56" s="822"/>
      <c r="Z56" s="822"/>
      <c r="AA56" s="823"/>
      <c r="AB56" s="1346" t="str">
        <f>IF(C56="Exit Sign",8760,"")</f>
        <v/>
      </c>
      <c r="AC56" s="1347"/>
      <c r="AD56" s="1302"/>
      <c r="AE56" s="854"/>
      <c r="AF56" s="1364"/>
      <c r="AG56" s="1305"/>
      <c r="AH56" s="1305"/>
      <c r="AI56" s="1306"/>
      <c r="AJ56" s="1356" t="str">
        <f t="shared" ref="AJ56" si="105">IF(OR(C56="",F56="",K56="",I56="",M56="",V56="",P56="",X56="",AB56="",AF56="",AH56="",T56=""),"",IFERROR(ROUND(IF((AW56-AX56)&lt;=0,0,BG56*(AW56-AX56)),0),""))</f>
        <v/>
      </c>
      <c r="AK56" s="1356"/>
      <c r="AL56" s="1356"/>
      <c r="AM56" s="1357"/>
      <c r="AN56" s="1238" t="str">
        <f>IF(M02S02F44="","Update Install Status",IF(M02S02F49="Yes","Use New Load",IF(OR(C56="",F56="",K56="",I56="",M56="",V56="",P56="",X56="",AB56="",AF56="",AH56="",T56="",AD56=""),"",IF(BE56&lt;&gt;"",BE56,ROUND(MIN(AU56,BD56),2)))))</f>
        <v>Update Install Status</v>
      </c>
      <c r="AO56" s="1239"/>
      <c r="AP56" s="1239"/>
      <c r="AQ56" s="1240"/>
      <c r="AU56" s="804" t="str">
        <f>IF(OR(C56="",F56="",K56="",I56="",M56="",V56="",P56="",X56="",AB56="",AF56="",AH56="",T56=""),"",(ROUND((AF56+AH56)*T56,2)))</f>
        <v/>
      </c>
      <c r="AV56" s="806" t="str">
        <f>IF(OR(C56="",F56="",K56="",I56="",M56="",V56="",P56="",X56="",AB56="",AF56="",AH56="",T56=""),"",ROUND(AJ56*INDEX(ENDUSEALL[Factor],MATCH(IF(ISNUMBER(SEARCH("CFL",F56)),"Miscellaneous","Lighting"),ENDUSEALL[End Use to Coincident Peak Demand Factors],0)),4))</f>
        <v/>
      </c>
      <c r="AW56" s="802" t="str">
        <f t="shared" si="44"/>
        <v/>
      </c>
      <c r="AX56" s="802" t="str">
        <f>IF(OR(C56="",F56="",K56="",I56="",M56="",V56="",P56="",X56="",AB56="",AF56="",AH56="",T56=""),"",ROUND(V56*T56*AB56/1000,0))</f>
        <v/>
      </c>
      <c r="AY56" s="802" t="str">
        <f t="shared" ref="AY56" si="106">IF(OR(C56="",F56="",K56="",I56="",M56="",V56="",P56="",X56="",AB56="",AF56="",AH56="",T56=""),"",IF(AND(C56="Incandescent",ISNUMBER(SEARCH("A-Lamp",F56))),ROUND(0.24*K56*I56,2),
IF(C56="Halogen",ROUND(0.34*K56*I56,2),ROUND(K56*I56,2))))</f>
        <v/>
      </c>
      <c r="AZ56" s="802" t="str">
        <f>IF(OR(C56="",F56="",K56="",I56="",M56="",V56="",P56="",X56="",AB56="",AF56="",AH56="",T56=""),"",ROUND(V56*T56,0))</f>
        <v/>
      </c>
      <c r="BA56" s="800" t="str">
        <f>IF(OR(AND(C56="Exit Sign",M56&lt;&gt;"Exit Sign"),AND(M56="Exit Sign",OR(C56="Incandescent",C56="Halogen"))),"Invalid",IF(C56="Exit Sign",CONCATENATE(C56," ",F56),IF(ISNUMBER(SEARCH("A-Lamp",F56)),CONCATENATE(C56," ",F56,"-LED"),IF(ISNUMBER(SEARCH("MR-16",F56)),CONCATENATE(C56," ",F56,"-LED"),CONCATENATE(C56," ",F56,"-LED")))))</f>
        <v xml:space="preserve"> -LED</v>
      </c>
      <c r="BB56" s="808" t="str">
        <f>IFERROR(IF(OR(C56="",F56="",K56="",I56="",M56="",V56="",P56="",X56="",AB56="",AF56="",AH56="",T56=""),"",INDEX(PMELIGHTINCAN[Measure '#],MATCH(BA56,PMELIGHTINCAN[Measure Validator],0))),"")</f>
        <v/>
      </c>
      <c r="BC56" s="808" t="str">
        <f>IFERROR(IF(OR(C56="",AH56=""),"",INDEX(PMELIGHTINCAN[Inc Rate Unit],MATCH(BA56,PMELIGHTINCAN[Measure Validator],0))),"")</f>
        <v/>
      </c>
      <c r="BD56" s="808" t="str">
        <f>IFERROR(ROUND(IF(OR(C56="",AH56=""),"",IF(BB56="","",(T56)*BC56)),2),"")</f>
        <v/>
      </c>
      <c r="BE56" s="800" t="str">
        <f>IF(OR(C56="",F56="",K56="",I56="",M56="",V56="",P56="",X56="",AB56="",AF56="",AH56="",T56=""),"",IFERROR(IF(BA56="Invalid","Invalid",IF(BA56="Reflector","Select Eligible Reflector Lamp",IF(AB56&lt;INDEX(PMELIGHTINCAN[Op Hr 1],MATCH(BA56,PMELIGHTINCAN[Measure Validator],0)),"Operating Hours Invalid",IF(ISNUMBER(SEARCH("SPILLOVER",X56)),PROJSTATELI,IF((AW56-AX56)&lt;=0,"No Savings",""))))),"ERROR"))</f>
        <v/>
      </c>
      <c r="BF56" s="802" t="str">
        <f>IF(AND(ISBLANK(AF56),ISBLANK(AH56)),"",IF(NOT(ISNUMBER(BB56)),"",IF(BD56&gt;AU56,"Yes","No")))</f>
        <v/>
      </c>
      <c r="BG56" s="1051">
        <f>IF(M02S02F32&lt;&gt;"",INDEX(SPACEHEAT[HIF],MATCH(M02S02F32,SHEAT,0)),1)</f>
        <v>1</v>
      </c>
      <c r="BH56" s="1367">
        <f t="shared" ref="BH56" si="107">IFERROR(ROUND(BJ56*1.1,2),0)</f>
        <v>0</v>
      </c>
      <c r="BI56" s="1368" t="str">
        <f>IF(M02S02F44="","Update Install Status",IF(M02S02F49="Yes","Use New Load",IF(OR(C56="",F56="",K56="",I56="",M56="",V56="",P56="",X56="",AB56="",AF56="",AH56="",T56="",AD56=""),"",IF(BE56&lt;&gt;"",BE56,ROUND(BH56*BONUSADJ,2)))))</f>
        <v>Update Install Status</v>
      </c>
      <c r="BJ56" s="1368" t="str">
        <f>IF(M02S02F44="","Update Install Status",IF(M02S02F49="Yes","Use New Load",IF(OR(C56="",F56="",K56="",I56="",M56="",V56="",P56="",X56="",AB56="",AF56="",AH56="",T56="",AD56=""),"",IF(BE56&lt;&gt;"",BE56,ROUND(MIN(AU56,BD56),2)))))</f>
        <v>Update Install Status</v>
      </c>
    </row>
    <row r="57" spans="2:62" ht="15.95" customHeight="1" x14ac:dyDescent="0.25">
      <c r="B57" s="1204"/>
      <c r="C57" s="845"/>
      <c r="D57" s="1308"/>
      <c r="E57" s="846"/>
      <c r="F57" s="845"/>
      <c r="G57" s="1308"/>
      <c r="H57" s="846"/>
      <c r="I57" s="1348"/>
      <c r="J57" s="1363"/>
      <c r="K57" s="1343"/>
      <c r="L57" s="1344"/>
      <c r="M57" s="1308"/>
      <c r="N57" s="1308"/>
      <c r="O57" s="846"/>
      <c r="P57" s="824"/>
      <c r="Q57" s="825"/>
      <c r="R57" s="825"/>
      <c r="S57" s="826"/>
      <c r="T57" s="1348"/>
      <c r="U57" s="1363"/>
      <c r="V57" s="1343"/>
      <c r="W57" s="1361"/>
      <c r="X57" s="824"/>
      <c r="Y57" s="825"/>
      <c r="Z57" s="825"/>
      <c r="AA57" s="826"/>
      <c r="AB57" s="1348"/>
      <c r="AC57" s="1349"/>
      <c r="AD57" s="1302"/>
      <c r="AE57" s="854"/>
      <c r="AF57" s="1364"/>
      <c r="AG57" s="1305"/>
      <c r="AH57" s="1305"/>
      <c r="AI57" s="1306"/>
      <c r="AJ57" s="1358"/>
      <c r="AK57" s="1358"/>
      <c r="AL57" s="1358"/>
      <c r="AM57" s="1359"/>
      <c r="AN57" s="1238"/>
      <c r="AO57" s="1239"/>
      <c r="AP57" s="1239"/>
      <c r="AQ57" s="1240"/>
      <c r="AU57" s="805"/>
      <c r="AV57" s="807"/>
      <c r="AW57" s="803"/>
      <c r="AX57" s="803"/>
      <c r="AY57" s="803"/>
      <c r="AZ57" s="803"/>
      <c r="BA57" s="801"/>
      <c r="BB57" s="797"/>
      <c r="BC57" s="797"/>
      <c r="BD57" s="797"/>
      <c r="BE57" s="801"/>
      <c r="BF57" s="803"/>
      <c r="BG57" s="1052"/>
      <c r="BH57" s="1367"/>
      <c r="BI57" s="1368"/>
      <c r="BJ57" s="1368"/>
    </row>
    <row r="58" spans="2:62" ht="15.95" customHeight="1" x14ac:dyDescent="0.25">
      <c r="B58" s="1204">
        <v>21</v>
      </c>
      <c r="C58" s="843"/>
      <c r="D58" s="1307"/>
      <c r="E58" s="844"/>
      <c r="F58" s="843"/>
      <c r="G58" s="1307"/>
      <c r="H58" s="844"/>
      <c r="I58" s="1346"/>
      <c r="J58" s="1362"/>
      <c r="K58" s="1341"/>
      <c r="L58" s="1342"/>
      <c r="M58" s="1345" t="str">
        <f>IF(ISNUMBER(SEARCH("Exit",C58)),"Exit Sign","")</f>
        <v/>
      </c>
      <c r="N58" s="1307"/>
      <c r="O58" s="844"/>
      <c r="P58" s="842"/>
      <c r="Q58" s="822"/>
      <c r="R58" s="822"/>
      <c r="S58" s="823"/>
      <c r="T58" s="1346"/>
      <c r="U58" s="1362"/>
      <c r="V58" s="1341"/>
      <c r="W58" s="1360"/>
      <c r="X58" s="842"/>
      <c r="Y58" s="822"/>
      <c r="Z58" s="822"/>
      <c r="AA58" s="823"/>
      <c r="AB58" s="1346" t="str">
        <f>IF(C58="Exit Sign",8760,"")</f>
        <v/>
      </c>
      <c r="AC58" s="1347"/>
      <c r="AD58" s="1302"/>
      <c r="AE58" s="854"/>
      <c r="AF58" s="1364"/>
      <c r="AG58" s="1305"/>
      <c r="AH58" s="1305"/>
      <c r="AI58" s="1306"/>
      <c r="AJ58" s="1356" t="str">
        <f t="shared" ref="AJ58" si="108">IF(OR(C58="",F58="",K58="",I58="",M58="",V58="",P58="",X58="",AB58="",AF58="",AH58="",T58=""),"",IFERROR(ROUND(IF((AW58-AX58)&lt;=0,0,BG58*(AW58-AX58)),0),""))</f>
        <v/>
      </c>
      <c r="AK58" s="1356"/>
      <c r="AL58" s="1356"/>
      <c r="AM58" s="1357"/>
      <c r="AN58" s="1238" t="str">
        <f>IF(M02S02F44="","Update Install Status",IF(M02S02F49="Yes","Use New Load",IF(OR(C58="",F58="",K58="",I58="",M58="",V58="",P58="",X58="",AB58="",AF58="",AH58="",T58="",AD58=""),"",IF(BE58&lt;&gt;"",BE58,ROUND(MIN(AU58,BD58),2)))))</f>
        <v>Update Install Status</v>
      </c>
      <c r="AO58" s="1239"/>
      <c r="AP58" s="1239"/>
      <c r="AQ58" s="1240"/>
      <c r="AU58" s="804" t="str">
        <f>IF(OR(C58="",F58="",K58="",I58="",M58="",V58="",P58="",X58="",AB58="",AF58="",AH58="",T58=""),"",(ROUND((AF58+AH58)*T58,2)))</f>
        <v/>
      </c>
      <c r="AV58" s="806" t="str">
        <f>IF(OR(C58="",F58="",K58="",I58="",M58="",V58="",P58="",X58="",AB58="",AF58="",AH58="",T58=""),"",ROUND(AJ58*INDEX(ENDUSEALL[Factor],MATCH(IF(ISNUMBER(SEARCH("CFL",F58)),"Miscellaneous","Lighting"),ENDUSEALL[End Use to Coincident Peak Demand Factors],0)),4))</f>
        <v/>
      </c>
      <c r="AW58" s="802" t="str">
        <f t="shared" si="50"/>
        <v/>
      </c>
      <c r="AX58" s="802" t="str">
        <f>IF(OR(C58="",F58="",K58="",I58="",M58="",V58="",P58="",X58="",AB58="",AF58="",AH58="",T58=""),"",ROUND(V58*T58*AB58/1000,0))</f>
        <v/>
      </c>
      <c r="AY58" s="802" t="str">
        <f t="shared" ref="AY58" si="109">IF(OR(C58="",F58="",K58="",I58="",M58="",V58="",P58="",X58="",AB58="",AF58="",AH58="",T58=""),"",IF(AND(C58="Incandescent",ISNUMBER(SEARCH("A-Lamp",F58))),ROUND(0.24*K58*I58,2),
IF(C58="Halogen",ROUND(0.34*K58*I58,2),ROUND(K58*I58,2))))</f>
        <v/>
      </c>
      <c r="AZ58" s="802" t="str">
        <f>IF(OR(C58="",F58="",K58="",I58="",M58="",V58="",P58="",X58="",AB58="",AF58="",AH58="",T58=""),"",ROUND(V58*T58,0))</f>
        <v/>
      </c>
      <c r="BA58" s="800" t="str">
        <f>IF(OR(AND(C58="Exit Sign",M58&lt;&gt;"Exit Sign"),AND(M58="Exit Sign",OR(C58="Incandescent",C58="Halogen"))),"Invalid",IF(C58="Exit Sign",CONCATENATE(C58," ",F58),IF(ISNUMBER(SEARCH("A-Lamp",F58)),CONCATENATE(C58," ",F58,"-LED"),IF(ISNUMBER(SEARCH("MR-16",F58)),CONCATENATE(C58," ",F58,"-LED"),CONCATENATE(C58," ",F58,"-LED")))))</f>
        <v xml:space="preserve"> -LED</v>
      </c>
      <c r="BB58" s="808" t="str">
        <f>IFERROR(IF(OR(C58="",F58="",K58="",I58="",M58="",V58="",P58="",X58="",AB58="",AF58="",AH58="",T58=""),"",INDEX(PMELIGHTINCAN[Measure '#],MATCH(BA58,PMELIGHTINCAN[Measure Validator],0))),"")</f>
        <v/>
      </c>
      <c r="BC58" s="808" t="str">
        <f>IFERROR(IF(OR(C58="",AH58=""),"",INDEX(PMELIGHTINCAN[Inc Rate Unit],MATCH(BA58,PMELIGHTINCAN[Measure Validator],0))),"")</f>
        <v/>
      </c>
      <c r="BD58" s="808" t="str">
        <f>IFERROR(ROUND(IF(OR(C58="",AH58=""),"",IF(BB58="","",(T58)*BC58)),2),"")</f>
        <v/>
      </c>
      <c r="BE58" s="800" t="str">
        <f>IF(OR(C58="",F58="",K58="",I58="",M58="",V58="",P58="",X58="",AB58="",AF58="",AH58="",T58=""),"",IFERROR(IF(BA58="Invalid","Invalid",IF(BA58="Reflector","Select Eligible Reflector Lamp",IF(AB58&lt;INDEX(PMELIGHTINCAN[Op Hr 1],MATCH(BA58,PMELIGHTINCAN[Measure Validator],0)),"Operating Hours Invalid",IF(ISNUMBER(SEARCH("SPILLOVER",X58)),PROJSTATELI,IF((AW58-AX58)&lt;=0,"No Savings",""))))),"ERROR"))</f>
        <v/>
      </c>
      <c r="BF58" s="802" t="str">
        <f>IF(AND(ISBLANK(AF58),ISBLANK(AH58)),"",IF(NOT(ISNUMBER(BB58)),"",IF(BD58&gt;AU58,"Yes","No")))</f>
        <v/>
      </c>
      <c r="BG58" s="1051">
        <f>IF(M02S02F32&lt;&gt;"",INDEX(SPACEHEAT[HIF],MATCH(M02S02F32,SHEAT,0)),1)</f>
        <v>1</v>
      </c>
      <c r="BH58" s="1367">
        <f t="shared" ref="BH58" si="110">IFERROR(ROUND(BJ58*1.1,2),0)</f>
        <v>0</v>
      </c>
      <c r="BI58" s="1368" t="str">
        <f>IF(M02S02F44="","Update Install Status",IF(M02S02F49="Yes","Use New Load",IF(OR(C58="",F58="",K58="",I58="",M58="",V58="",P58="",X58="",AB58="",AF58="",AH58="",T58="",AD58=""),"",IF(BE58&lt;&gt;"",BE58,ROUND(BH58*BONUSADJ,2)))))</f>
        <v>Update Install Status</v>
      </c>
      <c r="BJ58" s="1368" t="str">
        <f>IF(M02S02F44="","Update Install Status",IF(M02S02F49="Yes","Use New Load",IF(OR(C58="",F58="",K58="",I58="",M58="",V58="",P58="",X58="",AB58="",AF58="",AH58="",T58="",AD58=""),"",IF(BE58&lt;&gt;"",BE58,ROUND(MIN(AU58,BD58),2)))))</f>
        <v>Update Install Status</v>
      </c>
    </row>
    <row r="59" spans="2:62" ht="15.95" customHeight="1" x14ac:dyDescent="0.25">
      <c r="B59" s="1204"/>
      <c r="C59" s="845"/>
      <c r="D59" s="1308"/>
      <c r="E59" s="846"/>
      <c r="F59" s="845"/>
      <c r="G59" s="1308"/>
      <c r="H59" s="846"/>
      <c r="I59" s="1348"/>
      <c r="J59" s="1363"/>
      <c r="K59" s="1343"/>
      <c r="L59" s="1344"/>
      <c r="M59" s="1308"/>
      <c r="N59" s="1308"/>
      <c r="O59" s="846"/>
      <c r="P59" s="824"/>
      <c r="Q59" s="825"/>
      <c r="R59" s="825"/>
      <c r="S59" s="826"/>
      <c r="T59" s="1348"/>
      <c r="U59" s="1363"/>
      <c r="V59" s="1343"/>
      <c r="W59" s="1361"/>
      <c r="X59" s="824"/>
      <c r="Y59" s="825"/>
      <c r="Z59" s="825"/>
      <c r="AA59" s="826"/>
      <c r="AB59" s="1348"/>
      <c r="AC59" s="1349"/>
      <c r="AD59" s="1302"/>
      <c r="AE59" s="854"/>
      <c r="AF59" s="1364"/>
      <c r="AG59" s="1305"/>
      <c r="AH59" s="1305"/>
      <c r="AI59" s="1306"/>
      <c r="AJ59" s="1358"/>
      <c r="AK59" s="1358"/>
      <c r="AL59" s="1358"/>
      <c r="AM59" s="1359"/>
      <c r="AN59" s="1238"/>
      <c r="AO59" s="1239"/>
      <c r="AP59" s="1239"/>
      <c r="AQ59" s="1240"/>
      <c r="AU59" s="805"/>
      <c r="AV59" s="807"/>
      <c r="AW59" s="803"/>
      <c r="AX59" s="803"/>
      <c r="AY59" s="803"/>
      <c r="AZ59" s="803"/>
      <c r="BA59" s="801"/>
      <c r="BB59" s="797"/>
      <c r="BC59" s="797"/>
      <c r="BD59" s="797"/>
      <c r="BE59" s="801"/>
      <c r="BF59" s="803"/>
      <c r="BG59" s="1052"/>
      <c r="BH59" s="1367"/>
      <c r="BI59" s="1368"/>
      <c r="BJ59" s="1368"/>
    </row>
    <row r="60" spans="2:62" ht="15.95" customHeight="1" x14ac:dyDescent="0.25">
      <c r="B60" s="1204">
        <v>22</v>
      </c>
      <c r="C60" s="843"/>
      <c r="D60" s="1307"/>
      <c r="E60" s="844"/>
      <c r="F60" s="843"/>
      <c r="G60" s="1307"/>
      <c r="H60" s="844"/>
      <c r="I60" s="1346"/>
      <c r="J60" s="1362"/>
      <c r="K60" s="1341"/>
      <c r="L60" s="1342"/>
      <c r="M60" s="1345" t="str">
        <f>IF(ISNUMBER(SEARCH("Exit",C60)),"Exit Sign","")</f>
        <v/>
      </c>
      <c r="N60" s="1307"/>
      <c r="O60" s="844"/>
      <c r="P60" s="842"/>
      <c r="Q60" s="822"/>
      <c r="R60" s="822"/>
      <c r="S60" s="823"/>
      <c r="T60" s="1346"/>
      <c r="U60" s="1362"/>
      <c r="V60" s="1341"/>
      <c r="W60" s="1360"/>
      <c r="X60" s="842"/>
      <c r="Y60" s="822"/>
      <c r="Z60" s="822"/>
      <c r="AA60" s="823"/>
      <c r="AB60" s="1346" t="str">
        <f>IF(C60="Exit Sign",8760,"")</f>
        <v/>
      </c>
      <c r="AC60" s="1347"/>
      <c r="AD60" s="1302"/>
      <c r="AE60" s="854"/>
      <c r="AF60" s="1364"/>
      <c r="AG60" s="1305"/>
      <c r="AH60" s="1305"/>
      <c r="AI60" s="1306"/>
      <c r="AJ60" s="1356" t="str">
        <f t="shared" ref="AJ60" si="111">IF(OR(C60="",F60="",K60="",I60="",M60="",V60="",P60="",X60="",AB60="",AF60="",AH60="",T60=""),"",IFERROR(ROUND(IF((AW60-AX60)&lt;=0,0,BG60*(AW60-AX60)),0),""))</f>
        <v/>
      </c>
      <c r="AK60" s="1356"/>
      <c r="AL60" s="1356"/>
      <c r="AM60" s="1357"/>
      <c r="AN60" s="1238" t="str">
        <f>IF(M02S02F44="","Update Install Status",IF(M02S02F49="Yes","Use New Load",IF(OR(C60="",F60="",K60="",I60="",M60="",V60="",P60="",X60="",AB60="",AF60="",AH60="",T60="",AD60=""),"",IF(BE60&lt;&gt;"",BE60,ROUND(MIN(AU60,BD60),2)))))</f>
        <v>Update Install Status</v>
      </c>
      <c r="AO60" s="1239"/>
      <c r="AP60" s="1239"/>
      <c r="AQ60" s="1240"/>
      <c r="AU60" s="804" t="str">
        <f>IF(OR(C60="",F60="",K60="",I60="",M60="",V60="",P60="",X60="",AB60="",AF60="",AH60="",T60=""),"",(ROUND((AF60+AH60)*T60,2)))</f>
        <v/>
      </c>
      <c r="AV60" s="806" t="str">
        <f>IF(OR(C60="",F60="",K60="",I60="",M60="",V60="",P60="",X60="",AB60="",AF60="",AH60="",T60=""),"",ROUND(AJ60*INDEX(ENDUSEALL[Factor],MATCH(IF(ISNUMBER(SEARCH("CFL",F60)),"Miscellaneous","Lighting"),ENDUSEALL[End Use to Coincident Peak Demand Factors],0)),4))</f>
        <v/>
      </c>
      <c r="AW60" s="802" t="str">
        <f t="shared" ref="AW60" si="112">IF(OR(C60="",F60="",K60="",I60="",M60="",V60="",P60="",X60="",AB60="",AF60="",AH60="",T60=""),"",IF(AND(C60="Incandescent",OR(ISNUMBER(SEARCH("PAR",F60)),ISNUMBER(SEARCH("A-Lamp",F60)))),ROUND(0.24*K60*I60*AB60/1000,2),
IF(C60="Halogen",ROUND(0.34*K60*I60*AB60/1000,2),
ROUND(K60*I60*AB60/1000,2))))</f>
        <v/>
      </c>
      <c r="AX60" s="802" t="str">
        <f>IF(OR(C60="",F60="",K60="",I60="",M60="",V60="",P60="",X60="",AB60="",AF60="",AH60="",T60=""),"",ROUND(V60*T60*AB60/1000,0))</f>
        <v/>
      </c>
      <c r="AY60" s="802" t="str">
        <f t="shared" ref="AY60" si="113">IF(OR(C60="",F60="",K60="",I60="",M60="",V60="",P60="",X60="",AB60="",AF60="",AH60="",T60=""),"",IF(AND(C60="Incandescent",ISNUMBER(SEARCH("A-Lamp",F60))),ROUND(0.24*K60*I60,2),
IF(C60="Halogen",ROUND(0.34*K60*I60,2),ROUND(K60*I60,2))))</f>
        <v/>
      </c>
      <c r="AZ60" s="802" t="str">
        <f>IF(OR(C60="",F60="",K60="",I60="",M60="",V60="",P60="",X60="",AB60="",AF60="",AH60="",T60=""),"",ROUND(V60*T60,0))</f>
        <v/>
      </c>
      <c r="BA60" s="800" t="str">
        <f>IF(OR(AND(C60="Exit Sign",M60&lt;&gt;"Exit Sign"),AND(M60="Exit Sign",OR(C60="Incandescent",C60="Halogen"))),"Invalid",IF(C60="Exit Sign",CONCATENATE(C60," ",F60),IF(ISNUMBER(SEARCH("A-Lamp",F60)),CONCATENATE(C60," ",F60,"-LED"),IF(ISNUMBER(SEARCH("MR-16",F60)),CONCATENATE(C60," ",F60,"-LED"),CONCATENATE(C60," ",F60,"-LED")))))</f>
        <v xml:space="preserve"> -LED</v>
      </c>
      <c r="BB60" s="808" t="str">
        <f>IFERROR(IF(OR(C60="",F60="",K60="",I60="",M60="",V60="",P60="",X60="",AB60="",AF60="",AH60="",T60=""),"",INDEX(PMELIGHTINCAN[Measure '#],MATCH(BA60,PMELIGHTINCAN[Measure Validator],0))),"")</f>
        <v/>
      </c>
      <c r="BC60" s="808" t="str">
        <f>IFERROR(IF(OR(C60="",AH60=""),"",INDEX(PMELIGHTINCAN[Inc Rate Unit],MATCH(BA60,PMELIGHTINCAN[Measure Validator],0))),"")</f>
        <v/>
      </c>
      <c r="BD60" s="808" t="str">
        <f>IFERROR(ROUND(IF(OR(C60="",AH60=""),"",IF(BB60="","",(T60)*BC60)),2),"")</f>
        <v/>
      </c>
      <c r="BE60" s="800" t="str">
        <f>IF(OR(C60="",F60="",K60="",I60="",M60="",V60="",P60="",X60="",AB60="",AF60="",AH60="",T60=""),"",IFERROR(IF(BA60="Invalid","Invalid",IF(BA60="Reflector","Select Eligible Reflector Lamp",IF(AB60&lt;INDEX(PMELIGHTINCAN[Op Hr 1],MATCH(BA60,PMELIGHTINCAN[Measure Validator],0)),"Operating Hours Invalid",IF(ISNUMBER(SEARCH("SPILLOVER",X60)),PROJSTATELI,IF((AW60-AX60)&lt;=0,"No Savings",""))))),"ERROR"))</f>
        <v/>
      </c>
      <c r="BF60" s="802" t="str">
        <f>IF(AND(ISBLANK(AF60),ISBLANK(AH60)),"",IF(NOT(ISNUMBER(BB60)),"",IF(BD60&gt;AU60,"Yes","No")))</f>
        <v/>
      </c>
      <c r="BG60" s="1051">
        <f>IF(M02S02F32&lt;&gt;"",INDEX(SPACEHEAT[HIF],MATCH(M02S02F32,SHEAT,0)),1)</f>
        <v>1</v>
      </c>
      <c r="BH60" s="1367">
        <f t="shared" ref="BH60" si="114">IFERROR(ROUND(BJ60*1.1,2),0)</f>
        <v>0</v>
      </c>
      <c r="BI60" s="1368" t="str">
        <f>IF(M02S02F44="","Update Install Status",IF(M02S02F49="Yes","Use New Load",IF(OR(C60="",F60="",K60="",I60="",M60="",V60="",P60="",X60="",AB60="",AF60="",AH60="",T60="",AD60=""),"",IF(BE60&lt;&gt;"",BE60,ROUND(BH60*BONUSADJ,2)))))</f>
        <v>Update Install Status</v>
      </c>
      <c r="BJ60" s="1368" t="str">
        <f>IF(M02S02F44="","Update Install Status",IF(M02S02F49="Yes","Use New Load",IF(OR(C60="",F60="",K60="",I60="",M60="",V60="",P60="",X60="",AB60="",AF60="",AH60="",T60="",AD60=""),"",IF(BE60&lt;&gt;"",BE60,ROUND(MIN(AU60,BD60),2)))))</f>
        <v>Update Install Status</v>
      </c>
    </row>
    <row r="61" spans="2:62" ht="15.95" customHeight="1" x14ac:dyDescent="0.25">
      <c r="B61" s="1204"/>
      <c r="C61" s="845"/>
      <c r="D61" s="1308"/>
      <c r="E61" s="846"/>
      <c r="F61" s="845"/>
      <c r="G61" s="1308"/>
      <c r="H61" s="846"/>
      <c r="I61" s="1348"/>
      <c r="J61" s="1363"/>
      <c r="K61" s="1343"/>
      <c r="L61" s="1344"/>
      <c r="M61" s="1308"/>
      <c r="N61" s="1308"/>
      <c r="O61" s="846"/>
      <c r="P61" s="824"/>
      <c r="Q61" s="825"/>
      <c r="R61" s="825"/>
      <c r="S61" s="826"/>
      <c r="T61" s="1348"/>
      <c r="U61" s="1363"/>
      <c r="V61" s="1343"/>
      <c r="W61" s="1361"/>
      <c r="X61" s="824"/>
      <c r="Y61" s="825"/>
      <c r="Z61" s="825"/>
      <c r="AA61" s="826"/>
      <c r="AB61" s="1348"/>
      <c r="AC61" s="1349"/>
      <c r="AD61" s="1302"/>
      <c r="AE61" s="854"/>
      <c r="AF61" s="1364"/>
      <c r="AG61" s="1305"/>
      <c r="AH61" s="1305"/>
      <c r="AI61" s="1306"/>
      <c r="AJ61" s="1358"/>
      <c r="AK61" s="1358"/>
      <c r="AL61" s="1358"/>
      <c r="AM61" s="1359"/>
      <c r="AN61" s="1238"/>
      <c r="AO61" s="1239"/>
      <c r="AP61" s="1239"/>
      <c r="AQ61" s="1240"/>
      <c r="AU61" s="805"/>
      <c r="AV61" s="807"/>
      <c r="AW61" s="803"/>
      <c r="AX61" s="803"/>
      <c r="AY61" s="803"/>
      <c r="AZ61" s="803"/>
      <c r="BA61" s="801"/>
      <c r="BB61" s="797"/>
      <c r="BC61" s="797"/>
      <c r="BD61" s="797"/>
      <c r="BE61" s="801"/>
      <c r="BF61" s="803"/>
      <c r="BG61" s="1052"/>
      <c r="BH61" s="1367"/>
      <c r="BI61" s="1368"/>
      <c r="BJ61" s="1368"/>
    </row>
    <row r="62" spans="2:62" ht="15.95" customHeight="1" x14ac:dyDescent="0.25">
      <c r="B62" s="1204">
        <v>23</v>
      </c>
      <c r="C62" s="843"/>
      <c r="D62" s="1307"/>
      <c r="E62" s="844"/>
      <c r="F62" s="843"/>
      <c r="G62" s="1307"/>
      <c r="H62" s="844"/>
      <c r="I62" s="1346"/>
      <c r="J62" s="1362"/>
      <c r="K62" s="1341"/>
      <c r="L62" s="1342"/>
      <c r="M62" s="1345" t="str">
        <f>IF(ISNUMBER(SEARCH("Exit",C62)),"Exit Sign","")</f>
        <v/>
      </c>
      <c r="N62" s="1307"/>
      <c r="O62" s="844"/>
      <c r="P62" s="842"/>
      <c r="Q62" s="822"/>
      <c r="R62" s="822"/>
      <c r="S62" s="823"/>
      <c r="T62" s="1346"/>
      <c r="U62" s="1362"/>
      <c r="V62" s="1341"/>
      <c r="W62" s="1360"/>
      <c r="X62" s="842"/>
      <c r="Y62" s="822"/>
      <c r="Z62" s="822"/>
      <c r="AA62" s="823"/>
      <c r="AB62" s="1346" t="str">
        <f>IF(C62="Exit Sign",8760,"")</f>
        <v/>
      </c>
      <c r="AC62" s="1347"/>
      <c r="AD62" s="1302"/>
      <c r="AE62" s="854"/>
      <c r="AF62" s="1364"/>
      <c r="AG62" s="1305"/>
      <c r="AH62" s="1305"/>
      <c r="AI62" s="1306"/>
      <c r="AJ62" s="1356" t="str">
        <f t="shared" ref="AJ62" si="115">IF(OR(C62="",F62="",K62="",I62="",M62="",V62="",P62="",X62="",AB62="",AF62="",AH62="",T62=""),"",IFERROR(ROUND(IF((AW62-AX62)&lt;=0,0,BG62*(AW62-AX62)),0),""))</f>
        <v/>
      </c>
      <c r="AK62" s="1356"/>
      <c r="AL62" s="1356"/>
      <c r="AM62" s="1357"/>
      <c r="AN62" s="1238" t="str">
        <f>IF(M02S02F44="","Update Install Status",IF(M02S02F49="Yes","Use New Load",IF(OR(C62="",F62="",K62="",I62="",M62="",V62="",P62="",X62="",AB62="",AF62="",AH62="",T62="",AD62=""),"",IF(BE62&lt;&gt;"",BE62,ROUND(MIN(AU62,BD62),2)))))</f>
        <v>Update Install Status</v>
      </c>
      <c r="AO62" s="1239"/>
      <c r="AP62" s="1239"/>
      <c r="AQ62" s="1240"/>
      <c r="AU62" s="804" t="str">
        <f>IF(OR(C62="",F62="",K62="",I62="",M62="",V62="",P62="",X62="",AB62="",AF62="",AH62="",T62=""),"",(ROUND((AF62+AH62)*T62,2)))</f>
        <v/>
      </c>
      <c r="AV62" s="806" t="str">
        <f>IF(OR(C62="",F62="",K62="",I62="",M62="",V62="",P62="",X62="",AB62="",AF62="",AH62="",T62=""),"",ROUND(AJ62*INDEX(ENDUSEALL[Factor],MATCH(IF(ISNUMBER(SEARCH("CFL",F62)),"Miscellaneous","Lighting"),ENDUSEALL[End Use to Coincident Peak Demand Factors],0)),4))</f>
        <v/>
      </c>
      <c r="AW62" s="802" t="str">
        <f t="shared" si="38"/>
        <v/>
      </c>
      <c r="AX62" s="802" t="str">
        <f>IF(OR(C62="",F62="",K62="",I62="",M62="",V62="",P62="",X62="",AB62="",AF62="",AH62="",T62=""),"",ROUND(V62*T62*AB62/1000,0))</f>
        <v/>
      </c>
      <c r="AY62" s="802" t="str">
        <f t="shared" ref="AY62" si="116">IF(OR(C62="",F62="",K62="",I62="",M62="",V62="",P62="",X62="",AB62="",AF62="",AH62="",T62=""),"",IF(AND(C62="Incandescent",ISNUMBER(SEARCH("A-Lamp",F62))),ROUND(0.24*K62*I62,2),
IF(C62="Halogen",ROUND(0.34*K62*I62,2),ROUND(K62*I62,2))))</f>
        <v/>
      </c>
      <c r="AZ62" s="802" t="str">
        <f>IF(OR(C62="",F62="",K62="",I62="",M62="",V62="",P62="",X62="",AB62="",AF62="",AH62="",T62=""),"",ROUND(V62*T62,0))</f>
        <v/>
      </c>
      <c r="BA62" s="800" t="str">
        <f>IF(OR(AND(C62="Exit Sign",M62&lt;&gt;"Exit Sign"),AND(M62="Exit Sign",OR(C62="Incandescent",C62="Halogen"))),"Invalid",IF(C62="Exit Sign",CONCATENATE(C62," ",F62),IF(ISNUMBER(SEARCH("A-Lamp",F62)),CONCATENATE(C62," ",F62,"-LED"),IF(ISNUMBER(SEARCH("MR-16",F62)),CONCATENATE(C62," ",F62,"-LED"),CONCATENATE(C62," ",F62,"-LED")))))</f>
        <v xml:space="preserve"> -LED</v>
      </c>
      <c r="BB62" s="808" t="str">
        <f>IFERROR(IF(OR(C62="",F62="",K62="",I62="",M62="",V62="",P62="",X62="",AB62="",AF62="",AH62="",T62=""),"",INDEX(PMELIGHTINCAN[Measure '#],MATCH(BA62,PMELIGHTINCAN[Measure Validator],0))),"")</f>
        <v/>
      </c>
      <c r="BC62" s="808" t="str">
        <f>IFERROR(IF(OR(C62="",AH62=""),"",INDEX(PMELIGHTINCAN[Inc Rate Unit],MATCH(BA62,PMELIGHTINCAN[Measure Validator],0))),"")</f>
        <v/>
      </c>
      <c r="BD62" s="808" t="str">
        <f>IFERROR(ROUND(IF(OR(C62="",AH62=""),"",IF(BB62="","",(T62)*BC62)),2),"")</f>
        <v/>
      </c>
      <c r="BE62" s="800" t="str">
        <f>IF(OR(C62="",F62="",K62="",I62="",M62="",V62="",P62="",X62="",AB62="",AF62="",AH62="",T62=""),"",IFERROR(IF(BA62="Invalid","Invalid",IF(BA62="Reflector","Select Eligible Reflector Lamp",IF(AB62&lt;INDEX(PMELIGHTINCAN[Op Hr 1],MATCH(BA62,PMELIGHTINCAN[Measure Validator],0)),"Operating Hours Invalid",IF(ISNUMBER(SEARCH("SPILLOVER",X62)),PROJSTATELI,IF((AW62-AX62)&lt;=0,"No Savings",""))))),"ERROR"))</f>
        <v/>
      </c>
      <c r="BF62" s="802" t="str">
        <f>IF(AND(ISBLANK(AF62),ISBLANK(AH62)),"",IF(NOT(ISNUMBER(BB62)),"",IF(BD62&gt;AU62,"Yes","No")))</f>
        <v/>
      </c>
      <c r="BG62" s="1051">
        <f>IF(M02S02F32&lt;&gt;"",INDEX(SPACEHEAT[HIF],MATCH(M02S02F32,SHEAT,0)),1)</f>
        <v>1</v>
      </c>
      <c r="BH62" s="1367">
        <f t="shared" ref="BH62" si="117">IFERROR(ROUND(BJ62*1.1,2),0)</f>
        <v>0</v>
      </c>
      <c r="BI62" s="1368" t="str">
        <f>IF(M02S02F44="","Update Install Status",IF(M02S02F49="Yes","Use New Load",IF(OR(C62="",F62="",K62="",I62="",M62="",V62="",P62="",X62="",AB62="",AF62="",AH62="",T62="",AD62=""),"",IF(BE62&lt;&gt;"",BE62,ROUND(BH62*BONUSADJ,2)))))</f>
        <v>Update Install Status</v>
      </c>
      <c r="BJ62" s="1368" t="str">
        <f>IF(M02S02F44="","Update Install Status",IF(M02S02F49="Yes","Use New Load",IF(OR(C62="",F62="",K62="",I62="",M62="",V62="",P62="",X62="",AB62="",AF62="",AH62="",T62="",AD62=""),"",IF(BE62&lt;&gt;"",BE62,ROUND(MIN(AU62,BD62),2)))))</f>
        <v>Update Install Status</v>
      </c>
    </row>
    <row r="63" spans="2:62" ht="15.95" customHeight="1" x14ac:dyDescent="0.25">
      <c r="B63" s="1204"/>
      <c r="C63" s="845"/>
      <c r="D63" s="1308"/>
      <c r="E63" s="846"/>
      <c r="F63" s="845"/>
      <c r="G63" s="1308"/>
      <c r="H63" s="846"/>
      <c r="I63" s="1348"/>
      <c r="J63" s="1363"/>
      <c r="K63" s="1343"/>
      <c r="L63" s="1344"/>
      <c r="M63" s="1308"/>
      <c r="N63" s="1308"/>
      <c r="O63" s="846"/>
      <c r="P63" s="824"/>
      <c r="Q63" s="825"/>
      <c r="R63" s="825"/>
      <c r="S63" s="826"/>
      <c r="T63" s="1348"/>
      <c r="U63" s="1363"/>
      <c r="V63" s="1343"/>
      <c r="W63" s="1361"/>
      <c r="X63" s="824"/>
      <c r="Y63" s="825"/>
      <c r="Z63" s="825"/>
      <c r="AA63" s="826"/>
      <c r="AB63" s="1348"/>
      <c r="AC63" s="1349"/>
      <c r="AD63" s="1302"/>
      <c r="AE63" s="854"/>
      <c r="AF63" s="1364"/>
      <c r="AG63" s="1305"/>
      <c r="AH63" s="1305"/>
      <c r="AI63" s="1306"/>
      <c r="AJ63" s="1358"/>
      <c r="AK63" s="1358"/>
      <c r="AL63" s="1358"/>
      <c r="AM63" s="1359"/>
      <c r="AN63" s="1238"/>
      <c r="AO63" s="1239"/>
      <c r="AP63" s="1239"/>
      <c r="AQ63" s="1240"/>
      <c r="AU63" s="805"/>
      <c r="AV63" s="807"/>
      <c r="AW63" s="803"/>
      <c r="AX63" s="803"/>
      <c r="AY63" s="803"/>
      <c r="AZ63" s="803"/>
      <c r="BA63" s="801"/>
      <c r="BB63" s="797"/>
      <c r="BC63" s="797"/>
      <c r="BD63" s="797"/>
      <c r="BE63" s="801"/>
      <c r="BF63" s="803"/>
      <c r="BG63" s="1052"/>
      <c r="BH63" s="1367"/>
      <c r="BI63" s="1368"/>
      <c r="BJ63" s="1368"/>
    </row>
    <row r="64" spans="2:62" ht="15.95" customHeight="1" x14ac:dyDescent="0.25">
      <c r="B64" s="1204">
        <v>24</v>
      </c>
      <c r="C64" s="843"/>
      <c r="D64" s="1307"/>
      <c r="E64" s="844"/>
      <c r="F64" s="843"/>
      <c r="G64" s="1307"/>
      <c r="H64" s="844"/>
      <c r="I64" s="1346"/>
      <c r="J64" s="1362"/>
      <c r="K64" s="1341"/>
      <c r="L64" s="1342"/>
      <c r="M64" s="1345" t="str">
        <f>IF(ISNUMBER(SEARCH("Exit",C64)),"Exit Sign","")</f>
        <v/>
      </c>
      <c r="N64" s="1307"/>
      <c r="O64" s="844"/>
      <c r="P64" s="842"/>
      <c r="Q64" s="822"/>
      <c r="R64" s="822"/>
      <c r="S64" s="823"/>
      <c r="T64" s="1346"/>
      <c r="U64" s="1362"/>
      <c r="V64" s="1341"/>
      <c r="W64" s="1360"/>
      <c r="X64" s="842"/>
      <c r="Y64" s="822"/>
      <c r="Z64" s="822"/>
      <c r="AA64" s="823"/>
      <c r="AB64" s="1346" t="str">
        <f>IF(C64="Exit Sign",8760,"")</f>
        <v/>
      </c>
      <c r="AC64" s="1347"/>
      <c r="AD64" s="1302"/>
      <c r="AE64" s="854"/>
      <c r="AF64" s="1364"/>
      <c r="AG64" s="1305"/>
      <c r="AH64" s="1305"/>
      <c r="AI64" s="1306"/>
      <c r="AJ64" s="1356" t="str">
        <f t="shared" ref="AJ64" si="118">IF(OR(C64="",F64="",K64="",I64="",M64="",V64="",P64="",X64="",AB64="",AF64="",AH64="",T64=""),"",IFERROR(ROUND(IF((AW64-AX64)&lt;=0,0,BG64*(AW64-AX64)),0),""))</f>
        <v/>
      </c>
      <c r="AK64" s="1356"/>
      <c r="AL64" s="1356"/>
      <c r="AM64" s="1357"/>
      <c r="AN64" s="1238" t="str">
        <f>IF(M02S02F44="","Update Install Status",IF(M02S02F49="Yes","Use New Load",IF(OR(C64="",F64="",K64="",I64="",M64="",V64="",P64="",X64="",AB64="",AF64="",AH64="",T64="",AD64=""),"",IF(BE64&lt;&gt;"",BE64,ROUND(MIN(AU64,BD64),2)))))</f>
        <v>Update Install Status</v>
      </c>
      <c r="AO64" s="1239"/>
      <c r="AP64" s="1239"/>
      <c r="AQ64" s="1240"/>
      <c r="AU64" s="804" t="str">
        <f>IF(OR(C64="",F64="",K64="",I64="",M64="",V64="",P64="",X64="",AB64="",AF64="",AH64="",T64=""),"",(ROUND((AF64+AH64)*T64,2)))</f>
        <v/>
      </c>
      <c r="AV64" s="806" t="str">
        <f>IF(OR(C64="",F64="",K64="",I64="",M64="",V64="",P64="",X64="",AB64="",AF64="",AH64="",T64=""),"",ROUND(AJ64*INDEX(ENDUSEALL[Factor],MATCH(IF(ISNUMBER(SEARCH("CFL",F64)),"Miscellaneous","Lighting"),ENDUSEALL[End Use to Coincident Peak Demand Factors],0)),4))</f>
        <v/>
      </c>
      <c r="AW64" s="802" t="str">
        <f t="shared" si="44"/>
        <v/>
      </c>
      <c r="AX64" s="802" t="str">
        <f>IF(OR(C64="",F64="",K64="",I64="",M64="",V64="",P64="",X64="",AB64="",AF64="",AH64="",T64=""),"",ROUND(V64*T64*AB64/1000,0))</f>
        <v/>
      </c>
      <c r="AY64" s="802" t="str">
        <f t="shared" ref="AY64" si="119">IF(OR(C64="",F64="",K64="",I64="",M64="",V64="",P64="",X64="",AB64="",AF64="",AH64="",T64=""),"",IF(AND(C64="Incandescent",ISNUMBER(SEARCH("A-Lamp",F64))),ROUND(0.24*K64*I64,2),
IF(C64="Halogen",ROUND(0.34*K64*I64,2),ROUND(K64*I64,2))))</f>
        <v/>
      </c>
      <c r="AZ64" s="802" t="str">
        <f>IF(OR(C64="",F64="",K64="",I64="",M64="",V64="",P64="",X64="",AB64="",AF64="",AH64="",T64=""),"",ROUND(V64*T64,0))</f>
        <v/>
      </c>
      <c r="BA64" s="800" t="str">
        <f>IF(OR(AND(C64="Exit Sign",M64&lt;&gt;"Exit Sign"),AND(M64="Exit Sign",OR(C64="Incandescent",C64="Halogen"))),"Invalid",IF(C64="Exit Sign",CONCATENATE(C64," ",F64),IF(ISNUMBER(SEARCH("A-Lamp",F64)),CONCATENATE(C64," ",F64,"-LED"),IF(ISNUMBER(SEARCH("MR-16",F64)),CONCATENATE(C64," ",F64,"-LED"),CONCATENATE(C64," ",F64,"-LED")))))</f>
        <v xml:space="preserve"> -LED</v>
      </c>
      <c r="BB64" s="808" t="str">
        <f>IFERROR(IF(OR(C64="",F64="",K64="",I64="",M64="",V64="",P64="",X64="",AB64="",AF64="",AH64="",T64=""),"",INDEX(PMELIGHTINCAN[Measure '#],MATCH(BA64,PMELIGHTINCAN[Measure Validator],0))),"")</f>
        <v/>
      </c>
      <c r="BC64" s="808" t="str">
        <f>IFERROR(IF(OR(C64="",AH64=""),"",INDEX(PMELIGHTINCAN[Inc Rate Unit],MATCH(BA64,PMELIGHTINCAN[Measure Validator],0))),"")</f>
        <v/>
      </c>
      <c r="BD64" s="808" t="str">
        <f>IFERROR(ROUND(IF(OR(C64="",AH64=""),"",IF(BB64="","",(T64)*BC64)),2),"")</f>
        <v/>
      </c>
      <c r="BE64" s="800" t="str">
        <f>IF(OR(C64="",F64="",K64="",I64="",M64="",V64="",P64="",X64="",AB64="",AF64="",AH64="",T64=""),"",IFERROR(IF(BA64="Invalid","Invalid",IF(BA64="Reflector","Select Eligible Reflector Lamp",IF(AB64&lt;INDEX(PMELIGHTINCAN[Op Hr 1],MATCH(BA64,PMELIGHTINCAN[Measure Validator],0)),"Operating Hours Invalid",IF(ISNUMBER(SEARCH("SPILLOVER",X64)),PROJSTATELI,IF((AW64-AX64)&lt;=0,"No Savings",""))))),"ERROR"))</f>
        <v/>
      </c>
      <c r="BF64" s="802" t="str">
        <f>IF(AND(ISBLANK(AF64),ISBLANK(AH64)),"",IF(NOT(ISNUMBER(BB64)),"",IF(BD64&gt;AU64,"Yes","No")))</f>
        <v/>
      </c>
      <c r="BG64" s="1051">
        <f>IF(M02S02F32&lt;&gt;"",INDEX(SPACEHEAT[HIF],MATCH(M02S02F32,SHEAT,0)),1)</f>
        <v>1</v>
      </c>
      <c r="BH64" s="1367">
        <f t="shared" ref="BH64" si="120">IFERROR(ROUND(BJ64*1.1,2),0)</f>
        <v>0</v>
      </c>
      <c r="BI64" s="1368" t="str">
        <f>IF(M02S02F44="","Update Install Status",IF(M02S02F49="Yes","Use New Load",IF(OR(C64="",F64="",K64="",I64="",M64="",V64="",P64="",X64="",AB64="",AF64="",AH64="",T64="",AD64=""),"",IF(BE64&lt;&gt;"",BE64,ROUND(BH64*BONUSADJ,2)))))</f>
        <v>Update Install Status</v>
      </c>
      <c r="BJ64" s="1368" t="str">
        <f>IF(M02S02F44="","Update Install Status",IF(M02S02F49="Yes","Use New Load",IF(OR(C64="",F64="",K64="",I64="",M64="",V64="",P64="",X64="",AB64="",AF64="",AH64="",T64="",AD64=""),"",IF(BE64&lt;&gt;"",BE64,ROUND(MIN(AU64,BD64),2)))))</f>
        <v>Update Install Status</v>
      </c>
    </row>
    <row r="65" spans="2:62" ht="15.95" customHeight="1" x14ac:dyDescent="0.25">
      <c r="B65" s="1204"/>
      <c r="C65" s="845"/>
      <c r="D65" s="1308"/>
      <c r="E65" s="846"/>
      <c r="F65" s="845"/>
      <c r="G65" s="1308"/>
      <c r="H65" s="846"/>
      <c r="I65" s="1348"/>
      <c r="J65" s="1363"/>
      <c r="K65" s="1343"/>
      <c r="L65" s="1344"/>
      <c r="M65" s="1308"/>
      <c r="N65" s="1308"/>
      <c r="O65" s="846"/>
      <c r="P65" s="824"/>
      <c r="Q65" s="825"/>
      <c r="R65" s="825"/>
      <c r="S65" s="826"/>
      <c r="T65" s="1348"/>
      <c r="U65" s="1363"/>
      <c r="V65" s="1343"/>
      <c r="W65" s="1361"/>
      <c r="X65" s="824"/>
      <c r="Y65" s="825"/>
      <c r="Z65" s="825"/>
      <c r="AA65" s="826"/>
      <c r="AB65" s="1348"/>
      <c r="AC65" s="1349"/>
      <c r="AD65" s="1302"/>
      <c r="AE65" s="854"/>
      <c r="AF65" s="1364"/>
      <c r="AG65" s="1305"/>
      <c r="AH65" s="1305"/>
      <c r="AI65" s="1306"/>
      <c r="AJ65" s="1358"/>
      <c r="AK65" s="1358"/>
      <c r="AL65" s="1358"/>
      <c r="AM65" s="1359"/>
      <c r="AN65" s="1238"/>
      <c r="AO65" s="1239"/>
      <c r="AP65" s="1239"/>
      <c r="AQ65" s="1240"/>
      <c r="AU65" s="805"/>
      <c r="AV65" s="807"/>
      <c r="AW65" s="803"/>
      <c r="AX65" s="803"/>
      <c r="AY65" s="803"/>
      <c r="AZ65" s="803"/>
      <c r="BA65" s="801"/>
      <c r="BB65" s="797"/>
      <c r="BC65" s="797"/>
      <c r="BD65" s="797"/>
      <c r="BE65" s="801"/>
      <c r="BF65" s="803"/>
      <c r="BG65" s="1052"/>
      <c r="BH65" s="1367"/>
      <c r="BI65" s="1368"/>
      <c r="BJ65" s="1368"/>
    </row>
    <row r="66" spans="2:62" ht="15.95" customHeight="1" x14ac:dyDescent="0.25">
      <c r="B66" s="1204">
        <v>25</v>
      </c>
      <c r="C66" s="843"/>
      <c r="D66" s="1307"/>
      <c r="E66" s="844"/>
      <c r="F66" s="843"/>
      <c r="G66" s="1307"/>
      <c r="H66" s="844"/>
      <c r="I66" s="1346"/>
      <c r="J66" s="1362"/>
      <c r="K66" s="1341"/>
      <c r="L66" s="1342"/>
      <c r="M66" s="1345" t="str">
        <f>IF(ISNUMBER(SEARCH("Exit",C66)),"Exit Sign","")</f>
        <v/>
      </c>
      <c r="N66" s="1307"/>
      <c r="O66" s="844"/>
      <c r="P66" s="842"/>
      <c r="Q66" s="822"/>
      <c r="R66" s="822"/>
      <c r="S66" s="823"/>
      <c r="T66" s="1346"/>
      <c r="U66" s="1362"/>
      <c r="V66" s="1341"/>
      <c r="W66" s="1360"/>
      <c r="X66" s="842"/>
      <c r="Y66" s="822"/>
      <c r="Z66" s="822"/>
      <c r="AA66" s="823"/>
      <c r="AB66" s="1346" t="str">
        <f>IF(C66="Exit Sign",8760,"")</f>
        <v/>
      </c>
      <c r="AC66" s="1347"/>
      <c r="AD66" s="1302"/>
      <c r="AE66" s="854"/>
      <c r="AF66" s="1364"/>
      <c r="AG66" s="1305"/>
      <c r="AH66" s="1305"/>
      <c r="AI66" s="1306"/>
      <c r="AJ66" s="1356" t="str">
        <f t="shared" ref="AJ66" si="121">IF(OR(C66="",F66="",K66="",I66="",M66="",V66="",P66="",X66="",AB66="",AF66="",AH66="",T66=""),"",IFERROR(ROUND(IF((AW66-AX66)&lt;=0,0,BG66*(AW66-AX66)),0),""))</f>
        <v/>
      </c>
      <c r="AK66" s="1356"/>
      <c r="AL66" s="1356"/>
      <c r="AM66" s="1357"/>
      <c r="AN66" s="1238" t="str">
        <f>IF(M02S02F44="","Update Install Status",IF(M02S02F49="Yes","Use New Load",IF(OR(C66="",F66="",K66="",I66="",M66="",V66="",P66="",X66="",AB66="",AF66="",AH66="",T66="",AD66=""),"",IF(BE66&lt;&gt;"",BE66,ROUND(MIN(AU66,BD66),2)))))</f>
        <v>Update Install Status</v>
      </c>
      <c r="AO66" s="1239"/>
      <c r="AP66" s="1239"/>
      <c r="AQ66" s="1240"/>
      <c r="AU66" s="804" t="str">
        <f>IF(OR(C66="",F66="",K66="",I66="",M66="",V66="",P66="",X66="",AB66="",AF66="",AH66="",T66=""),"",(ROUND((AF66+AH66)*T66,2)))</f>
        <v/>
      </c>
      <c r="AV66" s="806" t="str">
        <f>IF(OR(C66="",F66="",K66="",I66="",M66="",V66="",P66="",X66="",AB66="",AF66="",AH66="",T66=""),"",ROUND(AJ66*INDEX(ENDUSEALL[Factor],MATCH(IF(ISNUMBER(SEARCH("CFL",F66)),"Miscellaneous","Lighting"),ENDUSEALL[End Use to Coincident Peak Demand Factors],0)),4))</f>
        <v/>
      </c>
      <c r="AW66" s="802" t="str">
        <f t="shared" si="50"/>
        <v/>
      </c>
      <c r="AX66" s="802" t="str">
        <f>IF(OR(C66="",F66="",K66="",I66="",M66="",V66="",P66="",X66="",AB66="",AF66="",AH66="",T66=""),"",ROUND(V66*T66*AB66/1000,0))</f>
        <v/>
      </c>
      <c r="AY66" s="802" t="str">
        <f t="shared" ref="AY66" si="122">IF(OR(C66="",F66="",K66="",I66="",M66="",V66="",P66="",X66="",AB66="",AF66="",AH66="",T66=""),"",IF(AND(C66="Incandescent",ISNUMBER(SEARCH("A-Lamp",F66))),ROUND(0.24*K66*I66,2),
IF(C66="Halogen",ROUND(0.34*K66*I66,2),ROUND(K66*I66,2))))</f>
        <v/>
      </c>
      <c r="AZ66" s="802" t="str">
        <f>IF(OR(C66="",F66="",K66="",I66="",M66="",V66="",P66="",X66="",AB66="",AF66="",AH66="",T66=""),"",ROUND(V66*T66,0))</f>
        <v/>
      </c>
      <c r="BA66" s="800" t="str">
        <f>IF(OR(AND(C66="Exit Sign",M66&lt;&gt;"Exit Sign"),AND(M66="Exit Sign",OR(C66="Incandescent",C66="Halogen"))),"Invalid",IF(C66="Exit Sign",CONCATENATE(C66," ",F66),IF(ISNUMBER(SEARCH("A-Lamp",F66)),CONCATENATE(C66," ",F66,"-LED"),IF(ISNUMBER(SEARCH("MR-16",F66)),CONCATENATE(C66," ",F66,"-LED"),CONCATENATE(C66," ",F66,"-LED")))))</f>
        <v xml:space="preserve"> -LED</v>
      </c>
      <c r="BB66" s="808" t="str">
        <f>IFERROR(IF(OR(C66="",F66="",K66="",I66="",M66="",V66="",P66="",X66="",AB66="",AF66="",AH66="",T66=""),"",INDEX(PMELIGHTINCAN[Measure '#],MATCH(BA66,PMELIGHTINCAN[Measure Validator],0))),"")</f>
        <v/>
      </c>
      <c r="BC66" s="808" t="str">
        <f>IFERROR(IF(OR(C66="",AH66=""),"",INDEX(PMELIGHTINCAN[Inc Rate Unit],MATCH(BA66,PMELIGHTINCAN[Measure Validator],0))),"")</f>
        <v/>
      </c>
      <c r="BD66" s="808" t="str">
        <f>IFERROR(ROUND(IF(OR(C66="",AH66=""),"",IF(BB66="","",(T66)*BC66)),2),"")</f>
        <v/>
      </c>
      <c r="BE66" s="800" t="str">
        <f>IF(OR(C66="",F66="",K66="",I66="",M66="",V66="",P66="",X66="",AB66="",AF66="",AH66="",T66=""),"",IFERROR(IF(BA66="Invalid","Invalid",IF(BA66="Reflector","Select Eligible Reflector Lamp",IF(AB66&lt;INDEX(PMELIGHTINCAN[Op Hr 1],MATCH(BA66,PMELIGHTINCAN[Measure Validator],0)),"Operating Hours Invalid",IF(ISNUMBER(SEARCH("SPILLOVER",X66)),PROJSTATELI,IF((AW66-AX66)&lt;=0,"No Savings",""))))),"ERROR"))</f>
        <v/>
      </c>
      <c r="BF66" s="802" t="str">
        <f>IF(AND(ISBLANK(AF66),ISBLANK(AH66)),"",IF(NOT(ISNUMBER(BB66)),"",IF(BD66&gt;AU66,"Yes","No")))</f>
        <v/>
      </c>
      <c r="BG66" s="1051">
        <f>IF(M02S02F32&lt;&gt;"",INDEX(SPACEHEAT[HIF],MATCH(M02S02F32,SHEAT,0)),1)</f>
        <v>1</v>
      </c>
      <c r="BH66" s="1367">
        <f t="shared" ref="BH66" si="123">IFERROR(ROUND(BJ66*1.1,2),0)</f>
        <v>0</v>
      </c>
      <c r="BI66" s="1368" t="str">
        <f>IF(M02S02F44="","Update Install Status",IF(M02S02F49="Yes","Use New Load",IF(OR(C66="",F66="",K66="",I66="",M66="",V66="",P66="",X66="",AB66="",AF66="",AH66="",T66="",AD66=""),"",IF(BE66&lt;&gt;"",BE66,ROUND(BH66*BONUSADJ,2)))))</f>
        <v>Update Install Status</v>
      </c>
      <c r="BJ66" s="1368" t="str">
        <f>IF(M02S02F44="","Update Install Status",IF(M02S02F49="Yes","Use New Load",IF(OR(C66="",F66="",K66="",I66="",M66="",V66="",P66="",X66="",AB66="",AF66="",AH66="",T66="",AD66=""),"",IF(BE66&lt;&gt;"",BE66,ROUND(MIN(AU66,BD66),2)))))</f>
        <v>Update Install Status</v>
      </c>
    </row>
    <row r="67" spans="2:62" ht="15.95" customHeight="1" x14ac:dyDescent="0.25">
      <c r="B67" s="1204"/>
      <c r="C67" s="845"/>
      <c r="D67" s="1308"/>
      <c r="E67" s="846"/>
      <c r="F67" s="845"/>
      <c r="G67" s="1308"/>
      <c r="H67" s="846"/>
      <c r="I67" s="1348"/>
      <c r="J67" s="1363"/>
      <c r="K67" s="1343"/>
      <c r="L67" s="1344"/>
      <c r="M67" s="1308"/>
      <c r="N67" s="1308"/>
      <c r="O67" s="846"/>
      <c r="P67" s="824"/>
      <c r="Q67" s="825"/>
      <c r="R67" s="825"/>
      <c r="S67" s="826"/>
      <c r="T67" s="1348"/>
      <c r="U67" s="1363"/>
      <c r="V67" s="1343"/>
      <c r="W67" s="1361"/>
      <c r="X67" s="824"/>
      <c r="Y67" s="825"/>
      <c r="Z67" s="825"/>
      <c r="AA67" s="826"/>
      <c r="AB67" s="1348"/>
      <c r="AC67" s="1349"/>
      <c r="AD67" s="1302"/>
      <c r="AE67" s="854"/>
      <c r="AF67" s="1364"/>
      <c r="AG67" s="1305"/>
      <c r="AH67" s="1305"/>
      <c r="AI67" s="1306"/>
      <c r="AJ67" s="1358"/>
      <c r="AK67" s="1358"/>
      <c r="AL67" s="1358"/>
      <c r="AM67" s="1359"/>
      <c r="AN67" s="1238"/>
      <c r="AO67" s="1239"/>
      <c r="AP67" s="1239"/>
      <c r="AQ67" s="1240"/>
      <c r="AU67" s="805"/>
      <c r="AV67" s="807"/>
      <c r="AW67" s="803"/>
      <c r="AX67" s="803"/>
      <c r="AY67" s="803"/>
      <c r="AZ67" s="803"/>
      <c r="BA67" s="801"/>
      <c r="BB67" s="797"/>
      <c r="BC67" s="797"/>
      <c r="BD67" s="797"/>
      <c r="BE67" s="801"/>
      <c r="BF67" s="803"/>
      <c r="BG67" s="1052"/>
      <c r="BH67" s="1367"/>
      <c r="BI67" s="1368"/>
      <c r="BJ67" s="1368"/>
    </row>
    <row r="68" spans="2:62" ht="15.95" customHeight="1" x14ac:dyDescent="0.25">
      <c r="B68" s="1204">
        <v>26</v>
      </c>
      <c r="C68" s="843"/>
      <c r="D68" s="1307"/>
      <c r="E68" s="844"/>
      <c r="F68" s="843"/>
      <c r="G68" s="1307"/>
      <c r="H68" s="844"/>
      <c r="I68" s="1346"/>
      <c r="J68" s="1362"/>
      <c r="K68" s="1341"/>
      <c r="L68" s="1342"/>
      <c r="M68" s="1345" t="str">
        <f>IF(ISNUMBER(SEARCH("Exit",C68)),"Exit Sign","")</f>
        <v/>
      </c>
      <c r="N68" s="1307"/>
      <c r="O68" s="844"/>
      <c r="P68" s="842"/>
      <c r="Q68" s="822"/>
      <c r="R68" s="822"/>
      <c r="S68" s="823"/>
      <c r="T68" s="1346"/>
      <c r="U68" s="1362"/>
      <c r="V68" s="1341"/>
      <c r="W68" s="1360"/>
      <c r="X68" s="842"/>
      <c r="Y68" s="822"/>
      <c r="Z68" s="822"/>
      <c r="AA68" s="823"/>
      <c r="AB68" s="1346" t="str">
        <f>IF(C68="Exit Sign",8760,"")</f>
        <v/>
      </c>
      <c r="AC68" s="1347"/>
      <c r="AD68" s="1302"/>
      <c r="AE68" s="854"/>
      <c r="AF68" s="1364"/>
      <c r="AG68" s="1305"/>
      <c r="AH68" s="1305"/>
      <c r="AI68" s="1306"/>
      <c r="AJ68" s="1356" t="str">
        <f t="shared" ref="AJ68" si="124">IF(OR(C68="",F68="",K68="",I68="",M68="",V68="",P68="",X68="",AB68="",AF68="",AH68="",T68=""),"",IFERROR(ROUND(IF((AW68-AX68)&lt;=0,0,BG68*(AW68-AX68)),0),""))</f>
        <v/>
      </c>
      <c r="AK68" s="1356"/>
      <c r="AL68" s="1356"/>
      <c r="AM68" s="1357"/>
      <c r="AN68" s="1238" t="str">
        <f>IF(M02S02F44="","Update Install Status",IF(M02S02F49="Yes","Use New Load",IF(OR(C68="",F68="",K68="",I68="",M68="",V68="",P68="",X68="",AB68="",AF68="",AH68="",T68="",AD68=""),"",IF(BE68&lt;&gt;"",BE68,ROUND(MIN(AU68,BD68),2)))))</f>
        <v>Update Install Status</v>
      </c>
      <c r="AO68" s="1239"/>
      <c r="AP68" s="1239"/>
      <c r="AQ68" s="1240"/>
      <c r="AU68" s="804" t="str">
        <f>IF(OR(C68="",F68="",K68="",I68="",M68="",V68="",P68="",X68="",AB68="",AF68="",AH68="",T68=""),"",(ROUND((AF68+AH68)*T68,2)))</f>
        <v/>
      </c>
      <c r="AV68" s="806" t="str">
        <f>IF(OR(C68="",F68="",K68="",I68="",M68="",V68="",P68="",X68="",AB68="",AF68="",AH68="",T68=""),"",ROUND(AJ68*INDEX(ENDUSEALL[Factor],MATCH(IF(ISNUMBER(SEARCH("CFL",F68)),"Miscellaneous","Lighting"),ENDUSEALL[End Use to Coincident Peak Demand Factors],0)),4))</f>
        <v/>
      </c>
      <c r="AW68" s="802" t="str">
        <f t="shared" ref="AW68" si="125">IF(OR(C68="",F68="",K68="",I68="",M68="",V68="",P68="",X68="",AB68="",AF68="",AH68="",T68=""),"",IF(AND(C68="Incandescent",OR(ISNUMBER(SEARCH("PAR",F68)),ISNUMBER(SEARCH("A-Lamp",F68)))),ROUND(0.24*K68*I68*AB68/1000,2),
IF(C68="Halogen",ROUND(0.34*K68*I68*AB68/1000,2),
ROUND(K68*I68*AB68/1000,2))))</f>
        <v/>
      </c>
      <c r="AX68" s="802" t="str">
        <f>IF(OR(C68="",F68="",K68="",I68="",M68="",V68="",P68="",X68="",AB68="",AF68="",AH68="",T68=""),"",ROUND(V68*T68*AB68/1000,0))</f>
        <v/>
      </c>
      <c r="AY68" s="802" t="str">
        <f t="shared" ref="AY68" si="126">IF(OR(C68="",F68="",K68="",I68="",M68="",V68="",P68="",X68="",AB68="",AF68="",AH68="",T68=""),"",IF(AND(C68="Incandescent",ISNUMBER(SEARCH("A-Lamp",F68))),ROUND(0.24*K68*I68,2),
IF(C68="Halogen",ROUND(0.34*K68*I68,2),ROUND(K68*I68,2))))</f>
        <v/>
      </c>
      <c r="AZ68" s="802" t="str">
        <f>IF(OR(C68="",F68="",K68="",I68="",M68="",V68="",P68="",X68="",AB68="",AF68="",AH68="",T68=""),"",ROUND(V68*T68,0))</f>
        <v/>
      </c>
      <c r="BA68" s="800" t="str">
        <f>IF(OR(AND(C68="Exit Sign",M68&lt;&gt;"Exit Sign"),AND(M68="Exit Sign",OR(C68="Incandescent",C68="Halogen"))),"Invalid",IF(C68="Exit Sign",CONCATENATE(C68," ",F68),IF(ISNUMBER(SEARCH("A-Lamp",F68)),CONCATENATE(C68," ",F68,"-LED"),IF(ISNUMBER(SEARCH("MR-16",F68)),CONCATENATE(C68," ",F68,"-LED"),CONCATENATE(C68," ",F68,"-LED")))))</f>
        <v xml:space="preserve"> -LED</v>
      </c>
      <c r="BB68" s="808" t="str">
        <f>IFERROR(IF(OR(C68="",F68="",K68="",I68="",M68="",V68="",P68="",X68="",AB68="",AF68="",AH68="",T68=""),"",INDEX(PMELIGHTINCAN[Measure '#],MATCH(BA68,PMELIGHTINCAN[Measure Validator],0))),"")</f>
        <v/>
      </c>
      <c r="BC68" s="808" t="str">
        <f>IFERROR(IF(OR(C68="",AH68=""),"",INDEX(PMELIGHTINCAN[Inc Rate Unit],MATCH(BA68,PMELIGHTINCAN[Measure Validator],0))),"")</f>
        <v/>
      </c>
      <c r="BD68" s="808" t="str">
        <f>IFERROR(ROUND(IF(OR(C68="",AH68=""),"",IF(BB68="","",(T68)*BC68)),2),"")</f>
        <v/>
      </c>
      <c r="BE68" s="800" t="str">
        <f>IF(OR(C68="",F68="",K68="",I68="",M68="",V68="",P68="",X68="",AB68="",AF68="",AH68="",T68=""),"",IFERROR(IF(BA68="Invalid","Invalid",IF(BA68="Reflector","Select Eligible Reflector Lamp",IF(AB68&lt;INDEX(PMELIGHTINCAN[Op Hr 1],MATCH(BA68,PMELIGHTINCAN[Measure Validator],0)),"Operating Hours Invalid",IF(ISNUMBER(SEARCH("SPILLOVER",X68)),PROJSTATELI,IF((AW68-AX68)&lt;=0,"No Savings",""))))),"ERROR"))</f>
        <v/>
      </c>
      <c r="BF68" s="802" t="str">
        <f>IF(AND(ISBLANK(AF68),ISBLANK(AH68)),"",IF(NOT(ISNUMBER(BB68)),"",IF(BD68&gt;AU68,"Yes","No")))</f>
        <v/>
      </c>
      <c r="BG68" s="1051">
        <f>IF(M02S02F32&lt;&gt;"",INDEX(SPACEHEAT[HIF],MATCH(M02S02F32,SHEAT,0)),1)</f>
        <v>1</v>
      </c>
      <c r="BH68" s="1367">
        <f t="shared" ref="BH68" si="127">IFERROR(ROUND(BJ68*1.1,2),0)</f>
        <v>0</v>
      </c>
      <c r="BI68" s="1368" t="str">
        <f>IF(M02S02F44="","Update Install Status",IF(M02S02F49="Yes","Use New Load",IF(OR(C68="",F68="",K68="",I68="",M68="",V68="",P68="",X68="",AB68="",AF68="",AH68="",T68="",AD68=""),"",IF(BE68&lt;&gt;"",BE68,ROUND(BH68*BONUSADJ,2)))))</f>
        <v>Update Install Status</v>
      </c>
      <c r="BJ68" s="1368" t="str">
        <f>IF(M02S02F44="","Update Install Status",IF(M02S02F49="Yes","Use New Load",IF(OR(C68="",F68="",K68="",I68="",M68="",V68="",P68="",X68="",AB68="",AF68="",AH68="",T68="",AD68=""),"",IF(BE68&lt;&gt;"",BE68,ROUND(MIN(AU68,BD68),2)))))</f>
        <v>Update Install Status</v>
      </c>
    </row>
    <row r="69" spans="2:62" ht="15.95" customHeight="1" x14ac:dyDescent="0.25">
      <c r="B69" s="1204"/>
      <c r="C69" s="845"/>
      <c r="D69" s="1308"/>
      <c r="E69" s="846"/>
      <c r="F69" s="845"/>
      <c r="G69" s="1308"/>
      <c r="H69" s="846"/>
      <c r="I69" s="1348"/>
      <c r="J69" s="1363"/>
      <c r="K69" s="1343"/>
      <c r="L69" s="1344"/>
      <c r="M69" s="1308"/>
      <c r="N69" s="1308"/>
      <c r="O69" s="846"/>
      <c r="P69" s="824"/>
      <c r="Q69" s="825"/>
      <c r="R69" s="825"/>
      <c r="S69" s="826"/>
      <c r="T69" s="1348"/>
      <c r="U69" s="1363"/>
      <c r="V69" s="1343"/>
      <c r="W69" s="1361"/>
      <c r="X69" s="824"/>
      <c r="Y69" s="825"/>
      <c r="Z69" s="825"/>
      <c r="AA69" s="826"/>
      <c r="AB69" s="1348"/>
      <c r="AC69" s="1349"/>
      <c r="AD69" s="1302"/>
      <c r="AE69" s="854"/>
      <c r="AF69" s="1364"/>
      <c r="AG69" s="1305"/>
      <c r="AH69" s="1305"/>
      <c r="AI69" s="1306"/>
      <c r="AJ69" s="1358"/>
      <c r="AK69" s="1358"/>
      <c r="AL69" s="1358"/>
      <c r="AM69" s="1359"/>
      <c r="AN69" s="1238"/>
      <c r="AO69" s="1239"/>
      <c r="AP69" s="1239"/>
      <c r="AQ69" s="1240"/>
      <c r="AU69" s="805"/>
      <c r="AV69" s="807"/>
      <c r="AW69" s="803"/>
      <c r="AX69" s="803"/>
      <c r="AY69" s="803"/>
      <c r="AZ69" s="803"/>
      <c r="BA69" s="801"/>
      <c r="BB69" s="797"/>
      <c r="BC69" s="797"/>
      <c r="BD69" s="797"/>
      <c r="BE69" s="801"/>
      <c r="BF69" s="803"/>
      <c r="BG69" s="1052"/>
      <c r="BH69" s="1367"/>
      <c r="BI69" s="1368"/>
      <c r="BJ69" s="1368"/>
    </row>
    <row r="70" spans="2:62" ht="15.95" customHeight="1" x14ac:dyDescent="0.25">
      <c r="B70" s="1204">
        <v>27</v>
      </c>
      <c r="C70" s="843"/>
      <c r="D70" s="1307"/>
      <c r="E70" s="844"/>
      <c r="F70" s="843"/>
      <c r="G70" s="1307"/>
      <c r="H70" s="844"/>
      <c r="I70" s="1346"/>
      <c r="J70" s="1362"/>
      <c r="K70" s="1341"/>
      <c r="L70" s="1342"/>
      <c r="M70" s="1345" t="str">
        <f>IF(ISNUMBER(SEARCH("Exit",C70)),"Exit Sign","")</f>
        <v/>
      </c>
      <c r="N70" s="1307"/>
      <c r="O70" s="844"/>
      <c r="P70" s="842"/>
      <c r="Q70" s="822"/>
      <c r="R70" s="822"/>
      <c r="S70" s="823"/>
      <c r="T70" s="1346"/>
      <c r="U70" s="1362"/>
      <c r="V70" s="1341"/>
      <c r="W70" s="1360"/>
      <c r="X70" s="842"/>
      <c r="Y70" s="822"/>
      <c r="Z70" s="822"/>
      <c r="AA70" s="823"/>
      <c r="AB70" s="1346" t="str">
        <f>IF(C70="Exit Sign",8760,"")</f>
        <v/>
      </c>
      <c r="AC70" s="1347"/>
      <c r="AD70" s="1302"/>
      <c r="AE70" s="854"/>
      <c r="AF70" s="1364"/>
      <c r="AG70" s="1305"/>
      <c r="AH70" s="1305"/>
      <c r="AI70" s="1306"/>
      <c r="AJ70" s="1356" t="str">
        <f t="shared" ref="AJ70" si="128">IF(OR(C70="",F70="",K70="",I70="",M70="",V70="",P70="",X70="",AB70="",AF70="",AH70="",T70=""),"",IFERROR(ROUND(IF((AW70-AX70)&lt;=0,0,BG70*(AW70-AX70)),0),""))</f>
        <v/>
      </c>
      <c r="AK70" s="1356"/>
      <c r="AL70" s="1356"/>
      <c r="AM70" s="1357"/>
      <c r="AN70" s="1238" t="str">
        <f>IF(M02S02F44="","Update Install Status",IF(M02S02F49="Yes","Use New Load",IF(OR(C70="",F70="",K70="",I70="",M70="",V70="",P70="",X70="",AB70="",AF70="",AH70="",T70="",AD70=""),"",IF(BE70&lt;&gt;"",BE70,ROUND(MIN(AU70,BD70),2)))))</f>
        <v>Update Install Status</v>
      </c>
      <c r="AO70" s="1239"/>
      <c r="AP70" s="1239"/>
      <c r="AQ70" s="1240"/>
      <c r="AU70" s="804" t="str">
        <f>IF(OR(C70="",F70="",K70="",I70="",M70="",V70="",P70="",X70="",AB70="",AF70="",AH70="",T70=""),"",(ROUND((AF70+AH70)*T70,2)))</f>
        <v/>
      </c>
      <c r="AV70" s="806" t="str">
        <f>IF(OR(C70="",F70="",K70="",I70="",M70="",V70="",P70="",X70="",AB70="",AF70="",AH70="",T70=""),"",ROUND(AJ70*INDEX(ENDUSEALL[Factor],MATCH(IF(ISNUMBER(SEARCH("CFL",F70)),"Miscellaneous","Lighting"),ENDUSEALL[End Use to Coincident Peak Demand Factors],0)),4))</f>
        <v/>
      </c>
      <c r="AW70" s="802" t="str">
        <f t="shared" si="38"/>
        <v/>
      </c>
      <c r="AX70" s="802" t="str">
        <f>IF(OR(C70="",F70="",K70="",I70="",M70="",V70="",P70="",X70="",AB70="",AF70="",AH70="",T70=""),"",ROUND(V70*T70*AB70/1000,0))</f>
        <v/>
      </c>
      <c r="AY70" s="802" t="str">
        <f t="shared" ref="AY70" si="129">IF(OR(C70="",F70="",K70="",I70="",M70="",V70="",P70="",X70="",AB70="",AF70="",AH70="",T70=""),"",IF(AND(C70="Incandescent",ISNUMBER(SEARCH("A-Lamp",F70))),ROUND(0.24*K70*I70,2),
IF(C70="Halogen",ROUND(0.34*K70*I70,2),ROUND(K70*I70,2))))</f>
        <v/>
      </c>
      <c r="AZ70" s="802" t="str">
        <f>IF(OR(C70="",F70="",K70="",I70="",M70="",V70="",P70="",X70="",AB70="",AF70="",AH70="",T70=""),"",ROUND(V70*T70,0))</f>
        <v/>
      </c>
      <c r="BA70" s="800" t="str">
        <f>IF(OR(AND(C70="Exit Sign",M70&lt;&gt;"Exit Sign"),AND(M70="Exit Sign",OR(C70="Incandescent",C70="Halogen"))),"Invalid",IF(C70="Exit Sign",CONCATENATE(C70," ",F70),IF(ISNUMBER(SEARCH("A-Lamp",F70)),CONCATENATE(C70," ",F70,"-LED"),IF(ISNUMBER(SEARCH("MR-16",F70)),CONCATENATE(C70," ",F70,"-LED"),CONCATENATE(C70," ",F70,"-LED")))))</f>
        <v xml:space="preserve"> -LED</v>
      </c>
      <c r="BB70" s="808" t="str">
        <f>IFERROR(IF(OR(C70="",F70="",K70="",I70="",M70="",V70="",P70="",X70="",AB70="",AF70="",AH70="",T70=""),"",INDEX(PMELIGHTINCAN[Measure '#],MATCH(BA70,PMELIGHTINCAN[Measure Validator],0))),"")</f>
        <v/>
      </c>
      <c r="BC70" s="808" t="str">
        <f>IFERROR(IF(OR(C70="",AH70=""),"",INDEX(PMELIGHTINCAN[Inc Rate Unit],MATCH(BA70,PMELIGHTINCAN[Measure Validator],0))),"")</f>
        <v/>
      </c>
      <c r="BD70" s="808" t="str">
        <f>IFERROR(ROUND(IF(OR(C70="",AH70=""),"",IF(BB70="","",(T70)*BC70)),2),"")</f>
        <v/>
      </c>
      <c r="BE70" s="800" t="str">
        <f>IF(OR(C70="",F70="",K70="",I70="",M70="",V70="",P70="",X70="",AB70="",AF70="",AH70="",T70=""),"",IFERROR(IF(BA70="Invalid","Invalid",IF(BA70="Reflector","Select Eligible Reflector Lamp",IF(AB70&lt;INDEX(PMELIGHTINCAN[Op Hr 1],MATCH(BA70,PMELIGHTINCAN[Measure Validator],0)),"Operating Hours Invalid",IF(ISNUMBER(SEARCH("SPILLOVER",X70)),PROJSTATELI,IF((AW70-AX70)&lt;=0,"No Savings",""))))),"ERROR"))</f>
        <v/>
      </c>
      <c r="BF70" s="802" t="str">
        <f>IF(AND(ISBLANK(AF70),ISBLANK(AH70)),"",IF(NOT(ISNUMBER(BB70)),"",IF(BD70&gt;AU70,"Yes","No")))</f>
        <v/>
      </c>
      <c r="BG70" s="1051">
        <f>IF(M02S02F32&lt;&gt;"",INDEX(SPACEHEAT[HIF],MATCH(M02S02F32,SHEAT,0)),1)</f>
        <v>1</v>
      </c>
      <c r="BH70" s="1367">
        <f t="shared" ref="BH70" si="130">IFERROR(ROUND(BJ70*1.1,2),0)</f>
        <v>0</v>
      </c>
      <c r="BI70" s="1368" t="str">
        <f>IF(M02S02F44="","Update Install Status",IF(M02S02F49="Yes","Use New Load",IF(OR(C70="",F70="",K70="",I70="",M70="",V70="",P70="",X70="",AB70="",AF70="",AH70="",T70="",AD70=""),"",IF(BE70&lt;&gt;"",BE70,ROUND(BH70*BONUSADJ,2)))))</f>
        <v>Update Install Status</v>
      </c>
      <c r="BJ70" s="1368" t="str">
        <f>IF(M02S02F44="","Update Install Status",IF(M02S02F49="Yes","Use New Load",IF(OR(C70="",F70="",K70="",I70="",M70="",V70="",P70="",X70="",AB70="",AF70="",AH70="",T70="",AD70=""),"",IF(BE70&lt;&gt;"",BE70,ROUND(MIN(AU70,BD70),2)))))</f>
        <v>Update Install Status</v>
      </c>
    </row>
    <row r="71" spans="2:62" ht="15.95" customHeight="1" x14ac:dyDescent="0.25">
      <c r="B71" s="1204"/>
      <c r="C71" s="845"/>
      <c r="D71" s="1308"/>
      <c r="E71" s="846"/>
      <c r="F71" s="845"/>
      <c r="G71" s="1308"/>
      <c r="H71" s="846"/>
      <c r="I71" s="1348"/>
      <c r="J71" s="1363"/>
      <c r="K71" s="1343"/>
      <c r="L71" s="1344"/>
      <c r="M71" s="1308"/>
      <c r="N71" s="1308"/>
      <c r="O71" s="846"/>
      <c r="P71" s="824"/>
      <c r="Q71" s="825"/>
      <c r="R71" s="825"/>
      <c r="S71" s="826"/>
      <c r="T71" s="1348"/>
      <c r="U71" s="1363"/>
      <c r="V71" s="1343"/>
      <c r="W71" s="1361"/>
      <c r="X71" s="824"/>
      <c r="Y71" s="825"/>
      <c r="Z71" s="825"/>
      <c r="AA71" s="826"/>
      <c r="AB71" s="1348"/>
      <c r="AC71" s="1349"/>
      <c r="AD71" s="1302"/>
      <c r="AE71" s="854"/>
      <c r="AF71" s="1364"/>
      <c r="AG71" s="1305"/>
      <c r="AH71" s="1305"/>
      <c r="AI71" s="1306"/>
      <c r="AJ71" s="1358"/>
      <c r="AK71" s="1358"/>
      <c r="AL71" s="1358"/>
      <c r="AM71" s="1359"/>
      <c r="AN71" s="1238"/>
      <c r="AO71" s="1239"/>
      <c r="AP71" s="1239"/>
      <c r="AQ71" s="1240"/>
      <c r="AU71" s="805"/>
      <c r="AV71" s="807"/>
      <c r="AW71" s="803"/>
      <c r="AX71" s="803"/>
      <c r="AY71" s="803"/>
      <c r="AZ71" s="803"/>
      <c r="BA71" s="801"/>
      <c r="BB71" s="797"/>
      <c r="BC71" s="797"/>
      <c r="BD71" s="797"/>
      <c r="BE71" s="801"/>
      <c r="BF71" s="803"/>
      <c r="BG71" s="1052"/>
      <c r="BH71" s="1367"/>
      <c r="BI71" s="1368"/>
      <c r="BJ71" s="1368"/>
    </row>
    <row r="72" spans="2:62" ht="15.95" customHeight="1" x14ac:dyDescent="0.25">
      <c r="B72" s="1204">
        <v>28</v>
      </c>
      <c r="C72" s="843"/>
      <c r="D72" s="1307"/>
      <c r="E72" s="844"/>
      <c r="F72" s="843"/>
      <c r="G72" s="1307"/>
      <c r="H72" s="844"/>
      <c r="I72" s="1346"/>
      <c r="J72" s="1362"/>
      <c r="K72" s="1341"/>
      <c r="L72" s="1342"/>
      <c r="M72" s="1345" t="str">
        <f>IF(ISNUMBER(SEARCH("Exit",C72)),"Exit Sign","")</f>
        <v/>
      </c>
      <c r="N72" s="1307"/>
      <c r="O72" s="844"/>
      <c r="P72" s="842"/>
      <c r="Q72" s="822"/>
      <c r="R72" s="822"/>
      <c r="S72" s="823"/>
      <c r="T72" s="1346"/>
      <c r="U72" s="1362"/>
      <c r="V72" s="1341"/>
      <c r="W72" s="1360"/>
      <c r="X72" s="842"/>
      <c r="Y72" s="822"/>
      <c r="Z72" s="822"/>
      <c r="AA72" s="823"/>
      <c r="AB72" s="1346" t="str">
        <f>IF(C72="Exit Sign",8760,"")</f>
        <v/>
      </c>
      <c r="AC72" s="1347"/>
      <c r="AD72" s="1302"/>
      <c r="AE72" s="854"/>
      <c r="AF72" s="1364"/>
      <c r="AG72" s="1305"/>
      <c r="AH72" s="1305"/>
      <c r="AI72" s="1306"/>
      <c r="AJ72" s="1356" t="str">
        <f t="shared" ref="AJ72" si="131">IF(OR(C72="",F72="",K72="",I72="",M72="",V72="",P72="",X72="",AB72="",AF72="",AH72="",T72=""),"",IFERROR(ROUND(IF((AW72-AX72)&lt;=0,0,BG72*(AW72-AX72)),0),""))</f>
        <v/>
      </c>
      <c r="AK72" s="1356"/>
      <c r="AL72" s="1356"/>
      <c r="AM72" s="1357"/>
      <c r="AN72" s="1238" t="str">
        <f>IF(M02S02F44="","Update Install Status",IF(M02S02F49="Yes","Use New Load",IF(OR(C72="",F72="",K72="",I72="",M72="",V72="",P72="",X72="",AB72="",AF72="",AH72="",T72="",AD72=""),"",IF(BE72&lt;&gt;"",BE72,ROUND(MIN(AU72,BD72),2)))))</f>
        <v>Update Install Status</v>
      </c>
      <c r="AO72" s="1239"/>
      <c r="AP72" s="1239"/>
      <c r="AQ72" s="1240"/>
      <c r="AU72" s="804" t="str">
        <f>IF(OR(C72="",F72="",K72="",I72="",M72="",V72="",P72="",X72="",AB72="",AF72="",AH72="",T72=""),"",(ROUND((AF72+AH72)*T72,2)))</f>
        <v/>
      </c>
      <c r="AV72" s="806" t="str">
        <f>IF(OR(C72="",F72="",K72="",I72="",M72="",V72="",P72="",X72="",AB72="",AF72="",AH72="",T72=""),"",ROUND(AJ72*INDEX(ENDUSEALL[Factor],MATCH(IF(ISNUMBER(SEARCH("CFL",F72)),"Miscellaneous","Lighting"),ENDUSEALL[End Use to Coincident Peak Demand Factors],0)),4))</f>
        <v/>
      </c>
      <c r="AW72" s="802" t="str">
        <f t="shared" si="44"/>
        <v/>
      </c>
      <c r="AX72" s="802" t="str">
        <f>IF(OR(C72="",F72="",K72="",I72="",M72="",V72="",P72="",X72="",AB72="",AF72="",AH72="",T72=""),"",ROUND(V72*T72*AB72/1000,0))</f>
        <v/>
      </c>
      <c r="AY72" s="802" t="str">
        <f t="shared" ref="AY72" si="132">IF(OR(C72="",F72="",K72="",I72="",M72="",V72="",P72="",X72="",AB72="",AF72="",AH72="",T72=""),"",IF(AND(C72="Incandescent",ISNUMBER(SEARCH("A-Lamp",F72))),ROUND(0.24*K72*I72,2),
IF(C72="Halogen",ROUND(0.34*K72*I72,2),ROUND(K72*I72,2))))</f>
        <v/>
      </c>
      <c r="AZ72" s="802" t="str">
        <f>IF(OR(C72="",F72="",K72="",I72="",M72="",V72="",P72="",X72="",AB72="",AF72="",AH72="",T72=""),"",ROUND(V72*T72,0))</f>
        <v/>
      </c>
      <c r="BA72" s="800" t="str">
        <f>IF(OR(AND(C72="Exit Sign",M72&lt;&gt;"Exit Sign"),AND(M72="Exit Sign",OR(C72="Incandescent",C72="Halogen"))),"Invalid",IF(C72="Exit Sign",CONCATENATE(C72," ",F72),IF(ISNUMBER(SEARCH("A-Lamp",F72)),CONCATENATE(C72," ",F72,"-LED"),IF(ISNUMBER(SEARCH("MR-16",F72)),CONCATENATE(C72," ",F72,"-LED"),CONCATENATE(C72," ",F72,"-LED")))))</f>
        <v xml:space="preserve"> -LED</v>
      </c>
      <c r="BB72" s="808" t="str">
        <f>IFERROR(IF(OR(C72="",F72="",K72="",I72="",M72="",V72="",P72="",X72="",AB72="",AF72="",AH72="",T72=""),"",INDEX(PMELIGHTINCAN[Measure '#],MATCH(BA72,PMELIGHTINCAN[Measure Validator],0))),"")</f>
        <v/>
      </c>
      <c r="BC72" s="808" t="str">
        <f>IFERROR(IF(OR(C72="",AH72=""),"",INDEX(PMELIGHTINCAN[Inc Rate Unit],MATCH(BA72,PMELIGHTINCAN[Measure Validator],0))),"")</f>
        <v/>
      </c>
      <c r="BD72" s="808" t="str">
        <f>IFERROR(ROUND(IF(OR(C72="",AH72=""),"",IF(BB72="","",(T72)*BC72)),2),"")</f>
        <v/>
      </c>
      <c r="BE72" s="800" t="str">
        <f>IF(OR(C72="",F72="",K72="",I72="",M72="",V72="",P72="",X72="",AB72="",AF72="",AH72="",T72=""),"",IFERROR(IF(BA72="Invalid","Invalid",IF(BA72="Reflector","Select Eligible Reflector Lamp",IF(AB72&lt;INDEX(PMELIGHTINCAN[Op Hr 1],MATCH(BA72,PMELIGHTINCAN[Measure Validator],0)),"Operating Hours Invalid",IF(ISNUMBER(SEARCH("SPILLOVER",X72)),PROJSTATELI,IF((AW72-AX72)&lt;=0,"No Savings",""))))),"ERROR"))</f>
        <v/>
      </c>
      <c r="BF72" s="802" t="str">
        <f>IF(AND(ISBLANK(AF72),ISBLANK(AH72)),"",IF(NOT(ISNUMBER(BB72)),"",IF(BD72&gt;AU72,"Yes","No")))</f>
        <v/>
      </c>
      <c r="BG72" s="1051">
        <f>IF(M02S02F32&lt;&gt;"",INDEX(SPACEHEAT[HIF],MATCH(M02S02F32,SHEAT,0)),1)</f>
        <v>1</v>
      </c>
      <c r="BH72" s="1367">
        <f t="shared" ref="BH72" si="133">IFERROR(ROUND(BJ72*1.1,2),0)</f>
        <v>0</v>
      </c>
      <c r="BI72" s="1368" t="str">
        <f>IF(M02S02F44="","Update Install Status",IF(M02S02F49="Yes","Use New Load",IF(OR(C72="",F72="",K72="",I72="",M72="",V72="",P72="",X72="",AB72="",AF72="",AH72="",T72="",AD72=""),"",IF(BE72&lt;&gt;"",BE72,ROUND(BH72*BONUSADJ,2)))))</f>
        <v>Update Install Status</v>
      </c>
      <c r="BJ72" s="1368" t="str">
        <f>IF(M02S02F44="","Update Install Status",IF(M02S02F49="Yes","Use New Load",IF(OR(C72="",F72="",K72="",I72="",M72="",V72="",P72="",X72="",AB72="",AF72="",AH72="",T72="",AD72=""),"",IF(BE72&lt;&gt;"",BE72,ROUND(MIN(AU72,BD72),2)))))</f>
        <v>Update Install Status</v>
      </c>
    </row>
    <row r="73" spans="2:62" ht="15.95" customHeight="1" x14ac:dyDescent="0.25">
      <c r="B73" s="1204"/>
      <c r="C73" s="845"/>
      <c r="D73" s="1308"/>
      <c r="E73" s="846"/>
      <c r="F73" s="845"/>
      <c r="G73" s="1308"/>
      <c r="H73" s="846"/>
      <c r="I73" s="1348"/>
      <c r="J73" s="1363"/>
      <c r="K73" s="1343"/>
      <c r="L73" s="1344"/>
      <c r="M73" s="1308"/>
      <c r="N73" s="1308"/>
      <c r="O73" s="846"/>
      <c r="P73" s="824"/>
      <c r="Q73" s="825"/>
      <c r="R73" s="825"/>
      <c r="S73" s="826"/>
      <c r="T73" s="1348"/>
      <c r="U73" s="1363"/>
      <c r="V73" s="1343"/>
      <c r="W73" s="1361"/>
      <c r="X73" s="824"/>
      <c r="Y73" s="825"/>
      <c r="Z73" s="825"/>
      <c r="AA73" s="826"/>
      <c r="AB73" s="1348"/>
      <c r="AC73" s="1349"/>
      <c r="AD73" s="1302"/>
      <c r="AE73" s="854"/>
      <c r="AF73" s="1364"/>
      <c r="AG73" s="1305"/>
      <c r="AH73" s="1305"/>
      <c r="AI73" s="1306"/>
      <c r="AJ73" s="1358"/>
      <c r="AK73" s="1358"/>
      <c r="AL73" s="1358"/>
      <c r="AM73" s="1359"/>
      <c r="AN73" s="1238"/>
      <c r="AO73" s="1239"/>
      <c r="AP73" s="1239"/>
      <c r="AQ73" s="1240"/>
      <c r="AU73" s="805"/>
      <c r="AV73" s="807"/>
      <c r="AW73" s="803"/>
      <c r="AX73" s="803"/>
      <c r="AY73" s="803"/>
      <c r="AZ73" s="803"/>
      <c r="BA73" s="801"/>
      <c r="BB73" s="797"/>
      <c r="BC73" s="797"/>
      <c r="BD73" s="797"/>
      <c r="BE73" s="801"/>
      <c r="BF73" s="803"/>
      <c r="BG73" s="1052"/>
      <c r="BH73" s="1367"/>
      <c r="BI73" s="1368"/>
      <c r="BJ73" s="1368"/>
    </row>
    <row r="74" spans="2:62" ht="15.95" customHeight="1" x14ac:dyDescent="0.25">
      <c r="B74" s="1204">
        <v>29</v>
      </c>
      <c r="C74" s="843"/>
      <c r="D74" s="1307"/>
      <c r="E74" s="844"/>
      <c r="F74" s="843"/>
      <c r="G74" s="1307"/>
      <c r="H74" s="844"/>
      <c r="I74" s="1346"/>
      <c r="J74" s="1362"/>
      <c r="K74" s="1341"/>
      <c r="L74" s="1342"/>
      <c r="M74" s="1345" t="str">
        <f>IF(ISNUMBER(SEARCH("Exit",C74)),"Exit Sign","")</f>
        <v/>
      </c>
      <c r="N74" s="1307"/>
      <c r="O74" s="844"/>
      <c r="P74" s="842"/>
      <c r="Q74" s="822"/>
      <c r="R74" s="822"/>
      <c r="S74" s="823"/>
      <c r="T74" s="1346"/>
      <c r="U74" s="1362"/>
      <c r="V74" s="1341"/>
      <c r="W74" s="1360"/>
      <c r="X74" s="842"/>
      <c r="Y74" s="822"/>
      <c r="Z74" s="822"/>
      <c r="AA74" s="823"/>
      <c r="AB74" s="1346" t="str">
        <f>IF(C74="Exit Sign",8760,"")</f>
        <v/>
      </c>
      <c r="AC74" s="1347"/>
      <c r="AD74" s="1302"/>
      <c r="AE74" s="854"/>
      <c r="AF74" s="1364"/>
      <c r="AG74" s="1305"/>
      <c r="AH74" s="1305"/>
      <c r="AI74" s="1306"/>
      <c r="AJ74" s="1356" t="str">
        <f t="shared" ref="AJ74" si="134">IF(OR(C74="",F74="",K74="",I74="",M74="",V74="",P74="",X74="",AB74="",AF74="",AH74="",T74=""),"",IFERROR(ROUND(IF((AW74-AX74)&lt;=0,0,BG74*(AW74-AX74)),0),""))</f>
        <v/>
      </c>
      <c r="AK74" s="1356"/>
      <c r="AL74" s="1356"/>
      <c r="AM74" s="1357"/>
      <c r="AN74" s="1238" t="str">
        <f>IF(M02S02F44="","Update Install Status",IF(M02S02F49="Yes","Use New Load",IF(OR(C74="",F74="",K74="",I74="",M74="",V74="",P74="",X74="",AB74="",AF74="",AH74="",T74="",AD74=""),"",IF(BE74&lt;&gt;"",BE74,ROUND(MIN(AU74,BD74),2)))))</f>
        <v>Update Install Status</v>
      </c>
      <c r="AO74" s="1239"/>
      <c r="AP74" s="1239"/>
      <c r="AQ74" s="1240"/>
      <c r="AU74" s="804" t="str">
        <f>IF(OR(C74="",F74="",K74="",I74="",M74="",V74="",P74="",X74="",AB74="",AF74="",AH74="",T74=""),"",(ROUND((AF74+AH74)*T74,2)))</f>
        <v/>
      </c>
      <c r="AV74" s="806" t="str">
        <f>IF(OR(C74="",F74="",K74="",I74="",M74="",V74="",P74="",X74="",AB74="",AF74="",AH74="",T74=""),"",ROUND(AJ74*INDEX(ENDUSEALL[Factor],MATCH(IF(ISNUMBER(SEARCH("CFL",F74)),"Miscellaneous","Lighting"),ENDUSEALL[End Use to Coincident Peak Demand Factors],0)),4))</f>
        <v/>
      </c>
      <c r="AW74" s="802" t="str">
        <f t="shared" si="50"/>
        <v/>
      </c>
      <c r="AX74" s="802" t="str">
        <f>IF(OR(C74="",F74="",K74="",I74="",M74="",V74="",P74="",X74="",AB74="",AF74="",AH74="",T74=""),"",ROUND(V74*T74*AB74/1000,0))</f>
        <v/>
      </c>
      <c r="AY74" s="802" t="str">
        <f t="shared" ref="AY74" si="135">IF(OR(C74="",F74="",K74="",I74="",M74="",V74="",P74="",X74="",AB74="",AF74="",AH74="",T74=""),"",IF(AND(C74="Incandescent",ISNUMBER(SEARCH("A-Lamp",F74))),ROUND(0.24*K74*I74,2),
IF(C74="Halogen",ROUND(0.34*K74*I74,2),ROUND(K74*I74,2))))</f>
        <v/>
      </c>
      <c r="AZ74" s="802" t="str">
        <f>IF(OR(C74="",F74="",K74="",I74="",M74="",V74="",P74="",X74="",AB74="",AF74="",AH74="",T74=""),"",ROUND(V74*T74,0))</f>
        <v/>
      </c>
      <c r="BA74" s="800" t="str">
        <f>IF(OR(AND(C74="Exit Sign",M74&lt;&gt;"Exit Sign"),AND(M74="Exit Sign",OR(C74="Incandescent",C74="Halogen"))),"Invalid",IF(C74="Exit Sign",CONCATENATE(C74," ",F74),IF(ISNUMBER(SEARCH("A-Lamp",F74)),CONCATENATE(C74," ",F74,"-LED"),IF(ISNUMBER(SEARCH("MR-16",F74)),CONCATENATE(C74," ",F74,"-LED"),CONCATENATE(C74," ",F74,"-LED")))))</f>
        <v xml:space="preserve"> -LED</v>
      </c>
      <c r="BB74" s="808" t="str">
        <f>IFERROR(IF(OR(C74="",F74="",K74="",I74="",M74="",V74="",P74="",X74="",AB74="",AF74="",AH74="",T74=""),"",INDEX(PMELIGHTINCAN[Measure '#],MATCH(BA74,PMELIGHTINCAN[Measure Validator],0))),"")</f>
        <v/>
      </c>
      <c r="BC74" s="808" t="str">
        <f>IFERROR(IF(OR(C74="",AH74=""),"",INDEX(PMELIGHTINCAN[Inc Rate Unit],MATCH(BA74,PMELIGHTINCAN[Measure Validator],0))),"")</f>
        <v/>
      </c>
      <c r="BD74" s="808" t="str">
        <f>IFERROR(ROUND(IF(OR(C74="",AH74=""),"",IF(BB74="","",(T74)*BC74)),2),"")</f>
        <v/>
      </c>
      <c r="BE74" s="800" t="str">
        <f>IF(OR(C74="",F74="",K74="",I74="",M74="",V74="",P74="",X74="",AB74="",AF74="",AH74="",T74=""),"",IFERROR(IF(BA74="Invalid","Invalid",IF(BA74="Reflector","Select Eligible Reflector Lamp",IF(AB74&lt;INDEX(PMELIGHTINCAN[Op Hr 1],MATCH(BA74,PMELIGHTINCAN[Measure Validator],0)),"Operating Hours Invalid",IF(ISNUMBER(SEARCH("SPILLOVER",X74)),PROJSTATELI,IF((AW74-AX74)&lt;=0,"No Savings",""))))),"ERROR"))</f>
        <v/>
      </c>
      <c r="BF74" s="802" t="str">
        <f>IF(AND(ISBLANK(AF74),ISBLANK(AH74)),"",IF(NOT(ISNUMBER(BB74)),"",IF(BD74&gt;AU74,"Yes","No")))</f>
        <v/>
      </c>
      <c r="BG74" s="1051">
        <f>IF(M02S02F32&lt;&gt;"",INDEX(SPACEHEAT[HIF],MATCH(M02S02F32,SHEAT,0)),1)</f>
        <v>1</v>
      </c>
      <c r="BH74" s="1367">
        <f t="shared" ref="BH74" si="136">IFERROR(ROUND(BJ74*1.1,2),0)</f>
        <v>0</v>
      </c>
      <c r="BI74" s="1368" t="str">
        <f>IF(M02S02F44="","Update Install Status",IF(M02S02F49="Yes","Use New Load",IF(OR(C74="",F74="",K74="",I74="",M74="",V74="",P74="",X74="",AB74="",AF74="",AH74="",T74="",AD74=""),"",IF(BE74&lt;&gt;"",BE74,ROUND(BH74*BONUSADJ,2)))))</f>
        <v>Update Install Status</v>
      </c>
      <c r="BJ74" s="1368" t="str">
        <f>IF(M02S02F44="","Update Install Status",IF(M02S02F49="Yes","Use New Load",IF(OR(C74="",F74="",K74="",I74="",M74="",V74="",P74="",X74="",AB74="",AF74="",AH74="",T74="",AD74=""),"",IF(BE74&lt;&gt;"",BE74,ROUND(MIN(AU74,BD74),2)))))</f>
        <v>Update Install Status</v>
      </c>
    </row>
    <row r="75" spans="2:62" ht="15.95" customHeight="1" x14ac:dyDescent="0.25">
      <c r="B75" s="1204"/>
      <c r="C75" s="845"/>
      <c r="D75" s="1308"/>
      <c r="E75" s="846"/>
      <c r="F75" s="845"/>
      <c r="G75" s="1308"/>
      <c r="H75" s="846"/>
      <c r="I75" s="1348"/>
      <c r="J75" s="1363"/>
      <c r="K75" s="1343"/>
      <c r="L75" s="1344"/>
      <c r="M75" s="1308"/>
      <c r="N75" s="1308"/>
      <c r="O75" s="846"/>
      <c r="P75" s="824"/>
      <c r="Q75" s="825"/>
      <c r="R75" s="825"/>
      <c r="S75" s="826"/>
      <c r="T75" s="1348"/>
      <c r="U75" s="1363"/>
      <c r="V75" s="1343"/>
      <c r="W75" s="1361"/>
      <c r="X75" s="824"/>
      <c r="Y75" s="825"/>
      <c r="Z75" s="825"/>
      <c r="AA75" s="826"/>
      <c r="AB75" s="1348"/>
      <c r="AC75" s="1349"/>
      <c r="AD75" s="1302"/>
      <c r="AE75" s="854"/>
      <c r="AF75" s="1364"/>
      <c r="AG75" s="1305"/>
      <c r="AH75" s="1305"/>
      <c r="AI75" s="1306"/>
      <c r="AJ75" s="1358"/>
      <c r="AK75" s="1358"/>
      <c r="AL75" s="1358"/>
      <c r="AM75" s="1359"/>
      <c r="AN75" s="1238"/>
      <c r="AO75" s="1239"/>
      <c r="AP75" s="1239"/>
      <c r="AQ75" s="1240"/>
      <c r="AU75" s="805"/>
      <c r="AV75" s="807"/>
      <c r="AW75" s="803"/>
      <c r="AX75" s="803"/>
      <c r="AY75" s="803"/>
      <c r="AZ75" s="803"/>
      <c r="BA75" s="801"/>
      <c r="BB75" s="797"/>
      <c r="BC75" s="797"/>
      <c r="BD75" s="797"/>
      <c r="BE75" s="801"/>
      <c r="BF75" s="803"/>
      <c r="BG75" s="1052"/>
      <c r="BH75" s="1367"/>
      <c r="BI75" s="1368"/>
      <c r="BJ75" s="1368"/>
    </row>
    <row r="76" spans="2:62" ht="15.95" customHeight="1" x14ac:dyDescent="0.25">
      <c r="B76" s="1204">
        <v>30</v>
      </c>
      <c r="C76" s="843"/>
      <c r="D76" s="1307"/>
      <c r="E76" s="844"/>
      <c r="F76" s="843"/>
      <c r="G76" s="1307"/>
      <c r="H76" s="844"/>
      <c r="I76" s="1346"/>
      <c r="J76" s="1362"/>
      <c r="K76" s="1341"/>
      <c r="L76" s="1342"/>
      <c r="M76" s="1345" t="str">
        <f>IF(ISNUMBER(SEARCH("Exit",C76)),"Exit Sign","")</f>
        <v/>
      </c>
      <c r="N76" s="1307"/>
      <c r="O76" s="844"/>
      <c r="P76" s="861"/>
      <c r="Q76" s="822"/>
      <c r="R76" s="822"/>
      <c r="S76" s="823"/>
      <c r="T76" s="1346"/>
      <c r="U76" s="1362"/>
      <c r="V76" s="1341"/>
      <c r="W76" s="1360"/>
      <c r="X76" s="861"/>
      <c r="Y76" s="822"/>
      <c r="Z76" s="822"/>
      <c r="AA76" s="823"/>
      <c r="AB76" s="1346" t="str">
        <f>IF(C76="Exit Sign",8760,"")</f>
        <v/>
      </c>
      <c r="AC76" s="1347"/>
      <c r="AD76" s="1302"/>
      <c r="AE76" s="854"/>
      <c r="AF76" s="1364"/>
      <c r="AG76" s="1305"/>
      <c r="AH76" s="1305"/>
      <c r="AI76" s="1306"/>
      <c r="AJ76" s="1356" t="str">
        <f t="shared" ref="AJ76" si="137">IF(OR(C76="",F76="",K76="",I76="",M76="",V76="",P76="",X76="",AB76="",AF76="",AH76="",T76=""),"",IFERROR(ROUND(IF((AW76-AX76)&lt;=0,0,BG76*(AW76-AX76)),0),""))</f>
        <v/>
      </c>
      <c r="AK76" s="1356"/>
      <c r="AL76" s="1356"/>
      <c r="AM76" s="1357"/>
      <c r="AN76" s="1238" t="str">
        <f>IF(M02S02F44="","Update Install Status",IF(M02S02F49="Yes","Use New Load",IF(OR(C76="",F76="",K76="",I76="",M76="",V76="",P76="",X76="",AB76="",AF76="",AH76="",T76="",AD76=""),"",IF(BE76&lt;&gt;"",BE76,ROUND(MIN(AU76,BD76),2)))))</f>
        <v>Update Install Status</v>
      </c>
      <c r="AO76" s="1239"/>
      <c r="AP76" s="1239"/>
      <c r="AQ76" s="1240"/>
      <c r="AU76" s="804" t="str">
        <f>IF(OR(C76="",F76="",K76="",I76="",M76="",V76="",P76="",X76="",AB76="",AF76="",AH76="",T76=""),"",(ROUND((AF76+AH76)*T76,2)))</f>
        <v/>
      </c>
      <c r="AV76" s="806" t="str">
        <f>IF(OR(C76="",F76="",K76="",I76="",M76="",V76="",P76="",X76="",AB76="",AF76="",AH76="",T76=""),"",ROUND(AJ76*INDEX(ENDUSEALL[Factor],MATCH(IF(ISNUMBER(SEARCH("CFL",F76)),"Miscellaneous","Lighting"),ENDUSEALL[End Use to Coincident Peak Demand Factors],0)),4))</f>
        <v/>
      </c>
      <c r="AW76" s="802" t="str">
        <f t="shared" ref="AW76" si="138">IF(OR(C76="",F76="",K76="",I76="",M76="",V76="",P76="",X76="",AB76="",AF76="",AH76="",T76=""),"",IF(AND(C76="Incandescent",OR(ISNUMBER(SEARCH("PAR",F76)),ISNUMBER(SEARCH("A-Lamp",F76)))),ROUND(0.24*K76*I76*AB76/1000,2),
IF(C76="Halogen",ROUND(0.34*K76*I76*AB76/1000,2),
ROUND(K76*I76*AB76/1000,2))))</f>
        <v/>
      </c>
      <c r="AX76" s="802" t="str">
        <f>IF(OR(C76="",F76="",K76="",I76="",M76="",V76="",P76="",X76="",AB76="",AF76="",AH76="",T76=""),"",ROUND(V76*T76*AB76/1000,0))</f>
        <v/>
      </c>
      <c r="AY76" s="802" t="str">
        <f t="shared" ref="AY76" si="139">IF(OR(C76="",F76="",K76="",I76="",M76="",V76="",P76="",X76="",AB76="",AF76="",AH76="",T76=""),"",IF(AND(C76="Incandescent",ISNUMBER(SEARCH("A-Lamp",F76))),ROUND(0.24*K76*I76,2),
IF(C76="Halogen",ROUND(0.34*K76*I76,2),ROUND(K76*I76,2))))</f>
        <v/>
      </c>
      <c r="AZ76" s="802" t="str">
        <f>IF(OR(C76="",F76="",K76="",I76="",M76="",V76="",P76="",X76="",AB76="",AF76="",AH76="",T76=""),"",ROUND(V76*T76,0))</f>
        <v/>
      </c>
      <c r="BA76" s="800" t="str">
        <f>IF(OR(AND(C76="Exit Sign",M76&lt;&gt;"Exit Sign"),AND(M76="Exit Sign",OR(C76="Incandescent",C76="Halogen"))),"Invalid",IF(C76="Exit Sign",CONCATENATE(C76," ",F76),IF(ISNUMBER(SEARCH("A-Lamp",F76)),CONCATENATE(C76," ",F76,"-LED"),IF(ISNUMBER(SEARCH("MR-16",F76)),CONCATENATE(C76," ",F76,"-LED"),CONCATENATE(C76," ",F76,"-LED")))))</f>
        <v xml:space="preserve"> -LED</v>
      </c>
      <c r="BB76" s="808" t="str">
        <f>IFERROR(IF(OR(C76="",F76="",K76="",I76="",M76="",V76="",P76="",X76="",AB76="",AF76="",AH76="",T76=""),"",INDEX(PMELIGHTINCAN[Measure '#],MATCH(BA76,PMELIGHTINCAN[Measure Validator],0))),"")</f>
        <v/>
      </c>
      <c r="BC76" s="808" t="str">
        <f>IFERROR(IF(OR(C76="",AH76=""),"",INDEX(PMELIGHTINCAN[Inc Rate Unit],MATCH(BA76,PMELIGHTINCAN[Measure Validator],0))),"")</f>
        <v/>
      </c>
      <c r="BD76" s="808" t="str">
        <f>IFERROR(ROUND(IF(OR(C76="",AH76=""),"",IF(BB76="","",(T76)*BC76)),2),"")</f>
        <v/>
      </c>
      <c r="BE76" s="800" t="str">
        <f>IF(OR(C76="",F76="",K76="",I76="",M76="",V76="",P76="",X76="",AB76="",AF76="",AH76="",T76=""),"",IFERROR(IF(BA76="Invalid","Invalid",IF(BA76="Reflector","Select Eligible Reflector Lamp",IF(AB76&lt;INDEX(PMELIGHTINCAN[Op Hr 1],MATCH(BA76,PMELIGHTINCAN[Measure Validator],0)),"Operating Hours Invalid",IF(ISNUMBER(SEARCH("SPILLOVER",X76)),PROJSTATELI,IF((AW76-AX76)&lt;=0,"No Savings",""))))),"ERROR"))</f>
        <v/>
      </c>
      <c r="BF76" s="802" t="str">
        <f>IF(AND(ISBLANK(AF76),ISBLANK(AH76)),"",IF(NOT(ISNUMBER(BB76)),"",IF(BD76&gt;AU76,"Yes","No")))</f>
        <v/>
      </c>
      <c r="BG76" s="1051">
        <f>IF(M02S02F32&lt;&gt;"",INDEX(SPACEHEAT[HIF],MATCH(M02S02F32,SHEAT,0)),1)</f>
        <v>1</v>
      </c>
      <c r="BH76" s="1367">
        <f t="shared" ref="BH76" si="140">IFERROR(ROUND(BJ76*1.1,2),0)</f>
        <v>0</v>
      </c>
      <c r="BI76" s="1368" t="str">
        <f>IF(M02S02F44="","Update Install Status",IF(M02S02F49="Yes","Use New Load",IF(OR(C76="",F76="",K76="",I76="",M76="",V76="",P76="",X76="",AB76="",AF76="",AH76="",T76="",AD76=""),"",IF(BE76&lt;&gt;"",BE76,ROUND(BH76*BONUSADJ,2)))))</f>
        <v>Update Install Status</v>
      </c>
      <c r="BJ76" s="1368" t="str">
        <f>IF(M02S02F44="","Update Install Status",IF(M02S02F49="Yes","Use New Load",IF(OR(C76="",F76="",K76="",I76="",M76="",V76="",P76="",X76="",AB76="",AF76="",AH76="",T76="",AD76=""),"",IF(BE76&lt;&gt;"",BE76,ROUND(MIN(AU76,BD76),2)))))</f>
        <v>Update Install Status</v>
      </c>
    </row>
    <row r="77" spans="2:62" ht="15.95" customHeight="1" thickBot="1" x14ac:dyDescent="0.3">
      <c r="B77" s="1204"/>
      <c r="C77" s="845"/>
      <c r="D77" s="1308"/>
      <c r="E77" s="846"/>
      <c r="F77" s="845"/>
      <c r="G77" s="1308"/>
      <c r="H77" s="846"/>
      <c r="I77" s="1348"/>
      <c r="J77" s="1363"/>
      <c r="K77" s="1343"/>
      <c r="L77" s="1344"/>
      <c r="M77" s="1308"/>
      <c r="N77" s="1308"/>
      <c r="O77" s="846"/>
      <c r="P77" s="824"/>
      <c r="Q77" s="825"/>
      <c r="R77" s="825"/>
      <c r="S77" s="826"/>
      <c r="T77" s="1348"/>
      <c r="U77" s="1363"/>
      <c r="V77" s="1343"/>
      <c r="W77" s="1361"/>
      <c r="X77" s="824"/>
      <c r="Y77" s="825"/>
      <c r="Z77" s="825"/>
      <c r="AA77" s="826"/>
      <c r="AB77" s="1348"/>
      <c r="AC77" s="1349"/>
      <c r="AD77" s="1321"/>
      <c r="AE77" s="863"/>
      <c r="AF77" s="1366"/>
      <c r="AG77" s="1324"/>
      <c r="AH77" s="1324"/>
      <c r="AI77" s="1325"/>
      <c r="AJ77" s="1358"/>
      <c r="AK77" s="1358"/>
      <c r="AL77" s="1358"/>
      <c r="AM77" s="1359"/>
      <c r="AN77" s="1238"/>
      <c r="AO77" s="1239"/>
      <c r="AP77" s="1239"/>
      <c r="AQ77" s="1240"/>
      <c r="AU77" s="805"/>
      <c r="AV77" s="807"/>
      <c r="AW77" s="803"/>
      <c r="AX77" s="803"/>
      <c r="AY77" s="803"/>
      <c r="AZ77" s="803"/>
      <c r="BA77" s="801"/>
      <c r="BB77" s="797"/>
      <c r="BC77" s="797"/>
      <c r="BD77" s="797"/>
      <c r="BE77" s="801"/>
      <c r="BF77" s="803"/>
      <c r="BG77" s="1052"/>
      <c r="BH77" s="1367"/>
      <c r="BI77" s="1368"/>
      <c r="BJ77" s="1368"/>
    </row>
    <row r="78" spans="2:62" ht="15.95" customHeight="1" x14ac:dyDescent="0.25">
      <c r="B78" s="1193"/>
      <c r="C78" s="874" t="s">
        <v>1229</v>
      </c>
      <c r="D78" s="874"/>
      <c r="E78" s="874"/>
      <c r="F78" s="874" t="s">
        <v>1385</v>
      </c>
      <c r="G78" s="874"/>
      <c r="H78" s="874"/>
      <c r="I78" s="874" t="s">
        <v>1491</v>
      </c>
      <c r="J78" s="874"/>
      <c r="K78" s="874" t="s">
        <v>1382</v>
      </c>
      <c r="L78" s="874"/>
      <c r="M78" s="874" t="s">
        <v>1385</v>
      </c>
      <c r="N78" s="874"/>
      <c r="O78" s="874"/>
      <c r="P78" s="874" t="s">
        <v>1364</v>
      </c>
      <c r="Q78" s="874"/>
      <c r="R78" s="874"/>
      <c r="S78" s="874"/>
      <c r="T78" s="874" t="s">
        <v>1490</v>
      </c>
      <c r="U78" s="874"/>
      <c r="V78" s="874" t="s">
        <v>1382</v>
      </c>
      <c r="W78" s="874"/>
      <c r="X78" s="874" t="s">
        <v>1357</v>
      </c>
      <c r="Y78" s="874"/>
      <c r="Z78" s="874"/>
      <c r="AA78" s="874"/>
      <c r="AB78" s="874" t="s">
        <v>1147</v>
      </c>
      <c r="AC78" s="874"/>
      <c r="AD78" s="1025" t="s">
        <v>1674</v>
      </c>
      <c r="AE78" s="1025"/>
      <c r="AF78" s="1025" t="s">
        <v>1225</v>
      </c>
      <c r="AG78" s="798"/>
      <c r="AH78" s="1025" t="s">
        <v>1145</v>
      </c>
      <c r="AI78" s="1025"/>
      <c r="AJ78" s="874" t="s">
        <v>88</v>
      </c>
      <c r="AK78" s="874"/>
      <c r="AL78" s="874"/>
      <c r="AM78" s="874"/>
      <c r="AN78" s="874" t="s">
        <v>448</v>
      </c>
      <c r="AO78" s="874"/>
      <c r="AP78" s="874"/>
      <c r="AQ78" s="874"/>
      <c r="AU78" s="1068" t="s">
        <v>191</v>
      </c>
      <c r="AV78" s="1068" t="s">
        <v>192</v>
      </c>
      <c r="AW78" s="1068" t="s">
        <v>207</v>
      </c>
      <c r="AX78" s="1068" t="s">
        <v>193</v>
      </c>
      <c r="AY78" s="1068" t="s">
        <v>1361</v>
      </c>
      <c r="AZ78" s="1068" t="s">
        <v>1362</v>
      </c>
      <c r="BA78" s="1068" t="s">
        <v>1228</v>
      </c>
      <c r="BB78" s="1068" t="s">
        <v>125</v>
      </c>
      <c r="BC78" s="1068" t="s">
        <v>1363</v>
      </c>
      <c r="BD78" s="1068" t="s">
        <v>118</v>
      </c>
      <c r="BE78" s="1068" t="s">
        <v>473</v>
      </c>
      <c r="BF78" s="1068" t="s">
        <v>1352</v>
      </c>
      <c r="BG78" s="1337" t="s">
        <v>2251</v>
      </c>
      <c r="BH78" s="1337" t="s">
        <v>2006</v>
      </c>
      <c r="BI78" s="1337" t="s">
        <v>2007</v>
      </c>
      <c r="BJ78" s="1337" t="s">
        <v>2008</v>
      </c>
    </row>
    <row r="79" spans="2:62" ht="15.95" customHeight="1" thickBot="1" x14ac:dyDescent="0.3">
      <c r="B79" s="1193"/>
      <c r="C79" s="877"/>
      <c r="D79" s="877"/>
      <c r="E79" s="877"/>
      <c r="F79" s="877"/>
      <c r="G79" s="877"/>
      <c r="H79" s="877"/>
      <c r="I79" s="877"/>
      <c r="J79" s="877"/>
      <c r="K79" s="877"/>
      <c r="L79" s="877"/>
      <c r="M79" s="877"/>
      <c r="N79" s="877"/>
      <c r="O79" s="877"/>
      <c r="P79" s="877"/>
      <c r="Q79" s="877"/>
      <c r="R79" s="877"/>
      <c r="S79" s="877"/>
      <c r="T79" s="877"/>
      <c r="U79" s="877"/>
      <c r="V79" s="877"/>
      <c r="W79" s="877"/>
      <c r="X79" s="877"/>
      <c r="Y79" s="877"/>
      <c r="Z79" s="877"/>
      <c r="AA79" s="877"/>
      <c r="AB79" s="877"/>
      <c r="AC79" s="877"/>
      <c r="AD79" s="1258"/>
      <c r="AE79" s="1258"/>
      <c r="AF79" s="746"/>
      <c r="AG79" s="746"/>
      <c r="AH79" s="1258"/>
      <c r="AI79" s="1258"/>
      <c r="AJ79" s="877"/>
      <c r="AK79" s="877"/>
      <c r="AL79" s="877"/>
      <c r="AM79" s="877"/>
      <c r="AN79" s="877"/>
      <c r="AO79" s="877"/>
      <c r="AP79" s="877"/>
      <c r="AQ79" s="877"/>
      <c r="AU79" s="799"/>
      <c r="AV79" s="799"/>
      <c r="AW79" s="799"/>
      <c r="AX79" s="799"/>
      <c r="AY79" s="799" t="s">
        <v>1360</v>
      </c>
      <c r="AZ79" s="799"/>
      <c r="BA79" s="799"/>
      <c r="BB79" s="799"/>
      <c r="BC79" s="799"/>
      <c r="BD79" s="799"/>
      <c r="BE79" s="799"/>
      <c r="BF79" s="799"/>
      <c r="BG79" s="799"/>
      <c r="BH79" s="799"/>
      <c r="BI79" s="799"/>
      <c r="BJ79" s="799"/>
    </row>
    <row r="80" spans="2:62" ht="15.95" hidden="1" customHeight="1" x14ac:dyDescent="0.25">
      <c r="B80" s="1204">
        <v>32</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row>
    <row r="81" spans="2:43" ht="15.95" hidden="1" customHeight="1" x14ac:dyDescent="0.25">
      <c r="B81" s="1204"/>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1204">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1204"/>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1204">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1204"/>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1204">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1204"/>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1204">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1204"/>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1204">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1204"/>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1204">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1204"/>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1204">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1204"/>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1204">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1204"/>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1204">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1204"/>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1204">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1204"/>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1204">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1204"/>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1204">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1204"/>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1204">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1204"/>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1204">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1204"/>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1204">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1204"/>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1204">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1204"/>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1204">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1204"/>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1204">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1204"/>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1204">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1204"/>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1204">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1204"/>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1204">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1204"/>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1204">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1204"/>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1204">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1204"/>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1204">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1204"/>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1204">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1204"/>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1204">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1204"/>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1204">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1204"/>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1204">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1204"/>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1204">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1204"/>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1204">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1204"/>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1204">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1204"/>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1204">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1204"/>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1204">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1204"/>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1204">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1204"/>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1204">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1204"/>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1204">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1204"/>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1204">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1204"/>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1204">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1204"/>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1204">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1204"/>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1204">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1204"/>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1204">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1204"/>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1204">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1204"/>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1204">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1204"/>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1204">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1204"/>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1204">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1204"/>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1204">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1204"/>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1204">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1204"/>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1204">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1204"/>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1204">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1204"/>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1204">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1204"/>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1204">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1204"/>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1204">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1204"/>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1204">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1204"/>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1204">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1204"/>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1204">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1204"/>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1204">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2" ht="15.95" hidden="1" customHeight="1" x14ac:dyDescent="0.25">
      <c r="B193" s="1204"/>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2" ht="15.95" hidden="1" customHeight="1" x14ac:dyDescent="0.25">
      <c r="B194" s="1204">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2" ht="15.95" hidden="1" customHeight="1" x14ac:dyDescent="0.25">
      <c r="B195" s="1204"/>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2" ht="15.95" hidden="1" customHeight="1" x14ac:dyDescent="0.25">
      <c r="B196" s="1204">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2" ht="15.95" hidden="1" customHeight="1" x14ac:dyDescent="0.25">
      <c r="B197" s="1204"/>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2" ht="15.95" hidden="1" customHeight="1" x14ac:dyDescent="0.25">
      <c r="B198" s="1204">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2" ht="15.95" hidden="1" customHeight="1" x14ac:dyDescent="0.25">
      <c r="B199" s="1204"/>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2"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c r="BH200" s="804">
        <f>SUM(BH16:BH199)</f>
        <v>0</v>
      </c>
      <c r="BI200" s="804">
        <f>SUM(BI16:BI199)</f>
        <v>0</v>
      </c>
      <c r="BJ200" s="804">
        <f>SUM(BJ16:BJ199)</f>
        <v>0</v>
      </c>
    </row>
    <row r="201" spans="2:62"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c r="BH201" s="805"/>
      <c r="BI201" s="805"/>
      <c r="BJ201" s="805"/>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0COwLNuB0yAUXE2SAKVGKl3ITyzb8ujRH+Wt1UhlofqRHnuBCxW9D7A0mPmFSbyf2fSC9pbS3e9Ai/QdVXPKXA==" saltValue="y443i47+HvN7eL9DtqUcZA==" spinCount="100000" sheet="1" objects="1" scenarios="1" selectLockedCells="1"/>
  <mergeCells count="1111">
    <mergeCell ref="BJ76:BJ77"/>
    <mergeCell ref="BJ78:BJ79"/>
    <mergeCell ref="BJ200:BJ201"/>
    <mergeCell ref="BJ52:BJ53"/>
    <mergeCell ref="BJ54:BJ55"/>
    <mergeCell ref="BJ56:BJ57"/>
    <mergeCell ref="BJ58:BJ59"/>
    <mergeCell ref="BJ60:BJ61"/>
    <mergeCell ref="BJ62:BJ63"/>
    <mergeCell ref="BJ64:BJ65"/>
    <mergeCell ref="BJ66:BJ67"/>
    <mergeCell ref="BJ68:BJ69"/>
    <mergeCell ref="BH76:BH77"/>
    <mergeCell ref="BI76:BI77"/>
    <mergeCell ref="BH78:BH79"/>
    <mergeCell ref="BI78:BI79"/>
    <mergeCell ref="BH200:BH201"/>
    <mergeCell ref="BI200:BI201"/>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H66:BH67"/>
    <mergeCell ref="BI66:BI67"/>
    <mergeCell ref="BH68:BH69"/>
    <mergeCell ref="BI68:BI69"/>
    <mergeCell ref="BH70:BH71"/>
    <mergeCell ref="BI70:BI71"/>
    <mergeCell ref="BH72:BH73"/>
    <mergeCell ref="BI72:BI73"/>
    <mergeCell ref="BH74:BH75"/>
    <mergeCell ref="BI74:BI75"/>
    <mergeCell ref="BH56:BH57"/>
    <mergeCell ref="BI56:BI57"/>
    <mergeCell ref="BH58:BH59"/>
    <mergeCell ref="BI58:BI59"/>
    <mergeCell ref="BH60:BH61"/>
    <mergeCell ref="BI60:BI61"/>
    <mergeCell ref="BH62:BH63"/>
    <mergeCell ref="BI62:BI63"/>
    <mergeCell ref="BH64:BH65"/>
    <mergeCell ref="BI64:BI65"/>
    <mergeCell ref="BJ70:BJ71"/>
    <mergeCell ref="BJ72:BJ73"/>
    <mergeCell ref="BJ74:BJ75"/>
    <mergeCell ref="BH16:BH17"/>
    <mergeCell ref="BI16:BI17"/>
    <mergeCell ref="BH18:BH19"/>
    <mergeCell ref="BI18:BI19"/>
    <mergeCell ref="BH20:BH21"/>
    <mergeCell ref="BI20:BI21"/>
    <mergeCell ref="BH22:BH23"/>
    <mergeCell ref="BI22:BI23"/>
    <mergeCell ref="BH24:BH25"/>
    <mergeCell ref="BI24:BI25"/>
    <mergeCell ref="BH46:BH47"/>
    <mergeCell ref="BI46:BI47"/>
    <mergeCell ref="BH48:BH49"/>
    <mergeCell ref="BI48:BI49"/>
    <mergeCell ref="BH50:BH51"/>
    <mergeCell ref="BI50:BI51"/>
    <mergeCell ref="BH52:BH53"/>
    <mergeCell ref="BI52:BI53"/>
    <mergeCell ref="BH36:BH37"/>
    <mergeCell ref="BI36:BI37"/>
    <mergeCell ref="BH38:BH39"/>
    <mergeCell ref="BI38:BI39"/>
    <mergeCell ref="BH40:BH41"/>
    <mergeCell ref="BI40:BI41"/>
    <mergeCell ref="BH42:BH43"/>
    <mergeCell ref="BI42:BI43"/>
    <mergeCell ref="BH44:BH45"/>
    <mergeCell ref="BI44:BI45"/>
    <mergeCell ref="B156:B157"/>
    <mergeCell ref="B158:B159"/>
    <mergeCell ref="B160:B161"/>
    <mergeCell ref="B162:B163"/>
    <mergeCell ref="B164:B165"/>
    <mergeCell ref="B166:B167"/>
    <mergeCell ref="B144:B145"/>
    <mergeCell ref="B146:B147"/>
    <mergeCell ref="B148:B149"/>
    <mergeCell ref="B150:B151"/>
    <mergeCell ref="B152:B153"/>
    <mergeCell ref="BH26:BH27"/>
    <mergeCell ref="BI26:BI27"/>
    <mergeCell ref="BH28:BH29"/>
    <mergeCell ref="BI28:BI29"/>
    <mergeCell ref="BH30:BH31"/>
    <mergeCell ref="BI30:BI31"/>
    <mergeCell ref="BH32:BH33"/>
    <mergeCell ref="BI32:BI33"/>
    <mergeCell ref="BH34:BH35"/>
    <mergeCell ref="BI34:BI35"/>
    <mergeCell ref="BH54:BH55"/>
    <mergeCell ref="BI54:BI55"/>
    <mergeCell ref="B154:B155"/>
    <mergeCell ref="B132:B133"/>
    <mergeCell ref="B134:B135"/>
    <mergeCell ref="B136:B137"/>
    <mergeCell ref="B138:B139"/>
    <mergeCell ref="B140:B141"/>
    <mergeCell ref="B142:B143"/>
    <mergeCell ref="B120:B121"/>
    <mergeCell ref="B122:B123"/>
    <mergeCell ref="AV200:AV201"/>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B168:B169"/>
    <mergeCell ref="B170:B171"/>
    <mergeCell ref="B172:B173"/>
    <mergeCell ref="B174:B175"/>
    <mergeCell ref="B176:B177"/>
    <mergeCell ref="B178:B179"/>
    <mergeCell ref="B124:B125"/>
    <mergeCell ref="B126:B127"/>
    <mergeCell ref="B128:B129"/>
    <mergeCell ref="B130:B131"/>
    <mergeCell ref="B108:B109"/>
    <mergeCell ref="B110:B111"/>
    <mergeCell ref="B112:B113"/>
    <mergeCell ref="B114:B115"/>
    <mergeCell ref="B116:B117"/>
    <mergeCell ref="B118:B119"/>
    <mergeCell ref="B96:B97"/>
    <mergeCell ref="B98:B99"/>
    <mergeCell ref="B100:B101"/>
    <mergeCell ref="B102:B103"/>
    <mergeCell ref="B104:B105"/>
    <mergeCell ref="B106:B107"/>
    <mergeCell ref="B84:B85"/>
    <mergeCell ref="B86:B87"/>
    <mergeCell ref="B88:B89"/>
    <mergeCell ref="B90:B91"/>
    <mergeCell ref="B92:B93"/>
    <mergeCell ref="B94:B95"/>
    <mergeCell ref="BC78:BC79"/>
    <mergeCell ref="BD78:BD79"/>
    <mergeCell ref="BE78:BE79"/>
    <mergeCell ref="BF78:BF79"/>
    <mergeCell ref="B80:B81"/>
    <mergeCell ref="B82:B83"/>
    <mergeCell ref="AW78:AW79"/>
    <mergeCell ref="AX78:AX79"/>
    <mergeCell ref="AY78:AY79"/>
    <mergeCell ref="AZ78:AZ79"/>
    <mergeCell ref="BA78:BA79"/>
    <mergeCell ref="BB78:BB79"/>
    <mergeCell ref="AF78:AG79"/>
    <mergeCell ref="AH78:AI79"/>
    <mergeCell ref="AJ78:AM79"/>
    <mergeCell ref="AN78:AQ79"/>
    <mergeCell ref="AU78:AU79"/>
    <mergeCell ref="AV78:AV79"/>
    <mergeCell ref="P78:S79"/>
    <mergeCell ref="T78:U79"/>
    <mergeCell ref="V78:W79"/>
    <mergeCell ref="X78:AA79"/>
    <mergeCell ref="AB78:AC79"/>
    <mergeCell ref="AD78:AE79"/>
    <mergeCell ref="BC76:BC77"/>
    <mergeCell ref="BD76:BD77"/>
    <mergeCell ref="BE76:BE77"/>
    <mergeCell ref="BF76:BF77"/>
    <mergeCell ref="B78:B79"/>
    <mergeCell ref="C78:E79"/>
    <mergeCell ref="F78:H79"/>
    <mergeCell ref="I78:J79"/>
    <mergeCell ref="K78:L79"/>
    <mergeCell ref="M78:O79"/>
    <mergeCell ref="AW76:AW77"/>
    <mergeCell ref="AX76:AX77"/>
    <mergeCell ref="AY76:AY77"/>
    <mergeCell ref="AZ76:AZ77"/>
    <mergeCell ref="BA76:BA77"/>
    <mergeCell ref="BB76:BB77"/>
    <mergeCell ref="AF76:AG77"/>
    <mergeCell ref="AH76:AI77"/>
    <mergeCell ref="AJ76:AM77"/>
    <mergeCell ref="AN76:AQ77"/>
    <mergeCell ref="AU76:AU77"/>
    <mergeCell ref="AV76:AV77"/>
    <mergeCell ref="P76:S77"/>
    <mergeCell ref="T76:U77"/>
    <mergeCell ref="V76:W77"/>
    <mergeCell ref="X76:AA77"/>
    <mergeCell ref="AB76:AC77"/>
    <mergeCell ref="AD76:AE77"/>
    <mergeCell ref="B76:B77"/>
    <mergeCell ref="C76:E77"/>
    <mergeCell ref="F76:H77"/>
    <mergeCell ref="I76:J77"/>
    <mergeCell ref="K76:L77"/>
    <mergeCell ref="M76:O77"/>
    <mergeCell ref="AW74:AW75"/>
    <mergeCell ref="AX74:AX75"/>
    <mergeCell ref="AY74:AY75"/>
    <mergeCell ref="AZ74:AZ75"/>
    <mergeCell ref="BA74:BA75"/>
    <mergeCell ref="BB74:BB75"/>
    <mergeCell ref="AF74:AG75"/>
    <mergeCell ref="AH74:AI75"/>
    <mergeCell ref="AJ74:AM75"/>
    <mergeCell ref="AN74:AQ75"/>
    <mergeCell ref="AU74:AU75"/>
    <mergeCell ref="AV74:AV75"/>
    <mergeCell ref="P74:S75"/>
    <mergeCell ref="T74:U75"/>
    <mergeCell ref="V74:W75"/>
    <mergeCell ref="X74:AA75"/>
    <mergeCell ref="AB74:AC75"/>
    <mergeCell ref="AD74:AE75"/>
    <mergeCell ref="BD72:BD73"/>
    <mergeCell ref="BE72:BE73"/>
    <mergeCell ref="BF72:BF73"/>
    <mergeCell ref="B74:B75"/>
    <mergeCell ref="C74:E75"/>
    <mergeCell ref="F74:H75"/>
    <mergeCell ref="I74:J75"/>
    <mergeCell ref="K74:L75"/>
    <mergeCell ref="M74:O75"/>
    <mergeCell ref="AW72:AW73"/>
    <mergeCell ref="AX72:AX73"/>
    <mergeCell ref="AY72:AY73"/>
    <mergeCell ref="AZ72:AZ73"/>
    <mergeCell ref="BA72:BA73"/>
    <mergeCell ref="BB72:BB73"/>
    <mergeCell ref="AF72:AG73"/>
    <mergeCell ref="AH72:AI73"/>
    <mergeCell ref="AJ72:AM73"/>
    <mergeCell ref="AN72:AQ73"/>
    <mergeCell ref="AU72:AU73"/>
    <mergeCell ref="AV72:AV73"/>
    <mergeCell ref="P72:S73"/>
    <mergeCell ref="T72:U73"/>
    <mergeCell ref="V72:W73"/>
    <mergeCell ref="BC74:BC75"/>
    <mergeCell ref="BD74:BD75"/>
    <mergeCell ref="BE74:BE75"/>
    <mergeCell ref="BF74:BF75"/>
    <mergeCell ref="BC70:BC71"/>
    <mergeCell ref="BD70:BD71"/>
    <mergeCell ref="BE70:BE71"/>
    <mergeCell ref="BF70:BF71"/>
    <mergeCell ref="B72:B73"/>
    <mergeCell ref="C72:E73"/>
    <mergeCell ref="F72:H73"/>
    <mergeCell ref="I72:J73"/>
    <mergeCell ref="K72:L73"/>
    <mergeCell ref="M72:O73"/>
    <mergeCell ref="AW70:AW71"/>
    <mergeCell ref="AX70:AX71"/>
    <mergeCell ref="AY70:AY71"/>
    <mergeCell ref="AZ70:AZ71"/>
    <mergeCell ref="BA70:BA71"/>
    <mergeCell ref="BB70:BB71"/>
    <mergeCell ref="AF70:AG71"/>
    <mergeCell ref="AH70:AI71"/>
    <mergeCell ref="AJ70:AM71"/>
    <mergeCell ref="AN70:AQ71"/>
    <mergeCell ref="AU70:AU71"/>
    <mergeCell ref="AV70:AV71"/>
    <mergeCell ref="P70:S71"/>
    <mergeCell ref="T70:U71"/>
    <mergeCell ref="V70:W71"/>
    <mergeCell ref="X70:AA71"/>
    <mergeCell ref="AB70:AC71"/>
    <mergeCell ref="AD70:AE71"/>
    <mergeCell ref="BC72:BC73"/>
    <mergeCell ref="X72:AA73"/>
    <mergeCell ref="AB72:AC73"/>
    <mergeCell ref="AD72:AE73"/>
    <mergeCell ref="B70:B71"/>
    <mergeCell ref="C70:E71"/>
    <mergeCell ref="F70:H71"/>
    <mergeCell ref="I70:J71"/>
    <mergeCell ref="K70:L71"/>
    <mergeCell ref="M70:O71"/>
    <mergeCell ref="AW68:AW69"/>
    <mergeCell ref="AX68:AX69"/>
    <mergeCell ref="AY68:AY69"/>
    <mergeCell ref="AZ68:AZ69"/>
    <mergeCell ref="BA68:BA69"/>
    <mergeCell ref="BB68:BB69"/>
    <mergeCell ref="AF68:AG69"/>
    <mergeCell ref="AH68:AI69"/>
    <mergeCell ref="AJ68:AM69"/>
    <mergeCell ref="AN68:AQ69"/>
    <mergeCell ref="AU68:AU69"/>
    <mergeCell ref="AV68:AV69"/>
    <mergeCell ref="P68:S69"/>
    <mergeCell ref="T68:U69"/>
    <mergeCell ref="V68:W69"/>
    <mergeCell ref="X68:AA69"/>
    <mergeCell ref="AB68:AC69"/>
    <mergeCell ref="AD68:AE69"/>
    <mergeCell ref="BD66:BD67"/>
    <mergeCell ref="BE66:BE67"/>
    <mergeCell ref="BF66:BF67"/>
    <mergeCell ref="B68:B69"/>
    <mergeCell ref="C68:E69"/>
    <mergeCell ref="F68:H69"/>
    <mergeCell ref="I68:J69"/>
    <mergeCell ref="K68:L69"/>
    <mergeCell ref="M68:O69"/>
    <mergeCell ref="AW66:AW67"/>
    <mergeCell ref="AX66:AX67"/>
    <mergeCell ref="AY66:AY67"/>
    <mergeCell ref="AZ66:AZ67"/>
    <mergeCell ref="BA66:BA67"/>
    <mergeCell ref="BB66:BB67"/>
    <mergeCell ref="AF66:AG67"/>
    <mergeCell ref="AH66:AI67"/>
    <mergeCell ref="AJ66:AM67"/>
    <mergeCell ref="AN66:AQ67"/>
    <mergeCell ref="AU66:AU67"/>
    <mergeCell ref="AV66:AV67"/>
    <mergeCell ref="P66:S67"/>
    <mergeCell ref="T66:U67"/>
    <mergeCell ref="V66:W67"/>
    <mergeCell ref="BC68:BC69"/>
    <mergeCell ref="BD68:BD69"/>
    <mergeCell ref="BE68:BE69"/>
    <mergeCell ref="BF68:BF69"/>
    <mergeCell ref="BC64:BC65"/>
    <mergeCell ref="BD64:BD65"/>
    <mergeCell ref="BE64:BE65"/>
    <mergeCell ref="BF64:BF65"/>
    <mergeCell ref="B66:B67"/>
    <mergeCell ref="C66:E67"/>
    <mergeCell ref="F66:H67"/>
    <mergeCell ref="I66:J67"/>
    <mergeCell ref="K66:L67"/>
    <mergeCell ref="M66:O67"/>
    <mergeCell ref="AW64:AW65"/>
    <mergeCell ref="AX64:AX65"/>
    <mergeCell ref="AY64:AY65"/>
    <mergeCell ref="AZ64:AZ65"/>
    <mergeCell ref="BA64:BA65"/>
    <mergeCell ref="BB64:BB65"/>
    <mergeCell ref="AF64:AG65"/>
    <mergeCell ref="AH64:AI65"/>
    <mergeCell ref="AJ64:AM65"/>
    <mergeCell ref="AN64:AQ65"/>
    <mergeCell ref="AU64:AU65"/>
    <mergeCell ref="AV64:AV65"/>
    <mergeCell ref="P64:S65"/>
    <mergeCell ref="T64:U65"/>
    <mergeCell ref="V64:W65"/>
    <mergeCell ref="X64:AA65"/>
    <mergeCell ref="AB64:AC65"/>
    <mergeCell ref="AD64:AE65"/>
    <mergeCell ref="BC66:BC67"/>
    <mergeCell ref="X66:AA67"/>
    <mergeCell ref="AB66:AC67"/>
    <mergeCell ref="AD66:AE67"/>
    <mergeCell ref="B64:B65"/>
    <mergeCell ref="C64:E65"/>
    <mergeCell ref="F64:H65"/>
    <mergeCell ref="I64:J65"/>
    <mergeCell ref="K64:L65"/>
    <mergeCell ref="M64:O65"/>
    <mergeCell ref="AW62:AW63"/>
    <mergeCell ref="AX62:AX63"/>
    <mergeCell ref="AY62:AY63"/>
    <mergeCell ref="AZ62:AZ63"/>
    <mergeCell ref="BA62:BA63"/>
    <mergeCell ref="BB62:BB63"/>
    <mergeCell ref="AF62:AG63"/>
    <mergeCell ref="AH62:AI63"/>
    <mergeCell ref="AJ62:AM63"/>
    <mergeCell ref="AN62:AQ63"/>
    <mergeCell ref="AU62:AU63"/>
    <mergeCell ref="AV62:AV63"/>
    <mergeCell ref="P62:S63"/>
    <mergeCell ref="T62:U63"/>
    <mergeCell ref="V62:W63"/>
    <mergeCell ref="X62:AA63"/>
    <mergeCell ref="AB62:AC63"/>
    <mergeCell ref="AD62:AE63"/>
    <mergeCell ref="BD60:BD61"/>
    <mergeCell ref="BE60:BE61"/>
    <mergeCell ref="BF60:BF61"/>
    <mergeCell ref="B62:B63"/>
    <mergeCell ref="C62:E63"/>
    <mergeCell ref="F62:H63"/>
    <mergeCell ref="I62:J63"/>
    <mergeCell ref="K62:L63"/>
    <mergeCell ref="M62:O63"/>
    <mergeCell ref="AW60:AW61"/>
    <mergeCell ref="AX60:AX61"/>
    <mergeCell ref="AY60:AY61"/>
    <mergeCell ref="AZ60:AZ61"/>
    <mergeCell ref="BA60:BA61"/>
    <mergeCell ref="BB60:BB61"/>
    <mergeCell ref="AF60:AG61"/>
    <mergeCell ref="AH60:AI61"/>
    <mergeCell ref="AJ60:AM61"/>
    <mergeCell ref="AN60:AQ61"/>
    <mergeCell ref="AU60:AU61"/>
    <mergeCell ref="AV60:AV61"/>
    <mergeCell ref="P60:S61"/>
    <mergeCell ref="T60:U61"/>
    <mergeCell ref="V60:W61"/>
    <mergeCell ref="BC62:BC63"/>
    <mergeCell ref="BD62:BD63"/>
    <mergeCell ref="BE62:BE63"/>
    <mergeCell ref="BF62:BF63"/>
    <mergeCell ref="BC58:BC59"/>
    <mergeCell ref="BD58:BD59"/>
    <mergeCell ref="BE58:BE59"/>
    <mergeCell ref="BF58:BF59"/>
    <mergeCell ref="B60:B61"/>
    <mergeCell ref="C60:E61"/>
    <mergeCell ref="F60:H61"/>
    <mergeCell ref="I60:J61"/>
    <mergeCell ref="K60:L61"/>
    <mergeCell ref="M60:O61"/>
    <mergeCell ref="AW58:AW59"/>
    <mergeCell ref="AX58:AX59"/>
    <mergeCell ref="AY58:AY59"/>
    <mergeCell ref="AZ58:AZ59"/>
    <mergeCell ref="BA58:BA59"/>
    <mergeCell ref="BB58:BB59"/>
    <mergeCell ref="AF58:AG59"/>
    <mergeCell ref="AH58:AI59"/>
    <mergeCell ref="AJ58:AM59"/>
    <mergeCell ref="AN58:AQ59"/>
    <mergeCell ref="AU58:AU59"/>
    <mergeCell ref="AV58:AV59"/>
    <mergeCell ref="P58:S59"/>
    <mergeCell ref="T58:U59"/>
    <mergeCell ref="V58:W59"/>
    <mergeCell ref="X58:AA59"/>
    <mergeCell ref="AB58:AC59"/>
    <mergeCell ref="AD58:AE59"/>
    <mergeCell ref="BC60:BC61"/>
    <mergeCell ref="X60:AA61"/>
    <mergeCell ref="AB60:AC61"/>
    <mergeCell ref="AD60:AE61"/>
    <mergeCell ref="B58:B59"/>
    <mergeCell ref="C58:E59"/>
    <mergeCell ref="F58:H59"/>
    <mergeCell ref="I58:J59"/>
    <mergeCell ref="K58:L59"/>
    <mergeCell ref="M58:O59"/>
    <mergeCell ref="AW56:AW57"/>
    <mergeCell ref="AX56:AX57"/>
    <mergeCell ref="AY56:AY57"/>
    <mergeCell ref="AZ56:AZ57"/>
    <mergeCell ref="BA56:BA57"/>
    <mergeCell ref="BB56:BB57"/>
    <mergeCell ref="AF56:AG57"/>
    <mergeCell ref="AH56:AI57"/>
    <mergeCell ref="AJ56:AM57"/>
    <mergeCell ref="AN56:AQ57"/>
    <mergeCell ref="AU56:AU57"/>
    <mergeCell ref="AV56:AV57"/>
    <mergeCell ref="P56:S57"/>
    <mergeCell ref="T56:U57"/>
    <mergeCell ref="V56:W57"/>
    <mergeCell ref="X56:AA57"/>
    <mergeCell ref="AB56:AC57"/>
    <mergeCell ref="AD56:AE57"/>
    <mergeCell ref="BD54:BD55"/>
    <mergeCell ref="BE54:BE55"/>
    <mergeCell ref="BF54:BF55"/>
    <mergeCell ref="B56:B57"/>
    <mergeCell ref="C56:E57"/>
    <mergeCell ref="F56:H57"/>
    <mergeCell ref="I56:J57"/>
    <mergeCell ref="K56:L57"/>
    <mergeCell ref="M56:O57"/>
    <mergeCell ref="AW54:AW55"/>
    <mergeCell ref="AX54:AX55"/>
    <mergeCell ref="AY54:AY55"/>
    <mergeCell ref="AZ54:AZ55"/>
    <mergeCell ref="BA54:BA55"/>
    <mergeCell ref="BB54:BB55"/>
    <mergeCell ref="AF54:AG55"/>
    <mergeCell ref="AH54:AI55"/>
    <mergeCell ref="AJ54:AM55"/>
    <mergeCell ref="AN54:AQ55"/>
    <mergeCell ref="AU54:AU55"/>
    <mergeCell ref="AV54:AV55"/>
    <mergeCell ref="P54:S55"/>
    <mergeCell ref="T54:U55"/>
    <mergeCell ref="V54:W55"/>
    <mergeCell ref="BC56:BC57"/>
    <mergeCell ref="BD56:BD57"/>
    <mergeCell ref="BE56:BE57"/>
    <mergeCell ref="BF56:BF57"/>
    <mergeCell ref="BC52:BC53"/>
    <mergeCell ref="BD52:BD53"/>
    <mergeCell ref="BE52:BE53"/>
    <mergeCell ref="BF52:BF53"/>
    <mergeCell ref="B54:B55"/>
    <mergeCell ref="C54:E55"/>
    <mergeCell ref="F54:H55"/>
    <mergeCell ref="I54:J55"/>
    <mergeCell ref="K54:L55"/>
    <mergeCell ref="M54:O55"/>
    <mergeCell ref="AW52:AW53"/>
    <mergeCell ref="AX52:AX53"/>
    <mergeCell ref="AY52:AY53"/>
    <mergeCell ref="AZ52:AZ53"/>
    <mergeCell ref="BA52:BA53"/>
    <mergeCell ref="BB52:BB53"/>
    <mergeCell ref="AF52:AG53"/>
    <mergeCell ref="AH52:AI53"/>
    <mergeCell ref="AJ52:AM53"/>
    <mergeCell ref="AN52:AQ53"/>
    <mergeCell ref="AU52:AU53"/>
    <mergeCell ref="AV52:AV53"/>
    <mergeCell ref="P52:S53"/>
    <mergeCell ref="T52:U53"/>
    <mergeCell ref="V52:W53"/>
    <mergeCell ref="X52:AA53"/>
    <mergeCell ref="AB52:AC53"/>
    <mergeCell ref="AD52:AE53"/>
    <mergeCell ref="BC54:BC55"/>
    <mergeCell ref="X54:AA55"/>
    <mergeCell ref="AB54:AC55"/>
    <mergeCell ref="AD54:AE55"/>
    <mergeCell ref="B52:B53"/>
    <mergeCell ref="C52:E53"/>
    <mergeCell ref="F52:H53"/>
    <mergeCell ref="I52:J53"/>
    <mergeCell ref="K52:L53"/>
    <mergeCell ref="M52:O53"/>
    <mergeCell ref="AW50:AW51"/>
    <mergeCell ref="AX50:AX51"/>
    <mergeCell ref="AY50:AY51"/>
    <mergeCell ref="AZ50:AZ51"/>
    <mergeCell ref="BA50:BA51"/>
    <mergeCell ref="BB50:BB51"/>
    <mergeCell ref="AF50:AG51"/>
    <mergeCell ref="AH50:AI51"/>
    <mergeCell ref="AJ50:AM51"/>
    <mergeCell ref="AN50:AQ51"/>
    <mergeCell ref="AU50:AU51"/>
    <mergeCell ref="AV50:AV51"/>
    <mergeCell ref="P50:S51"/>
    <mergeCell ref="T50:U51"/>
    <mergeCell ref="V50:W51"/>
    <mergeCell ref="X50:AA51"/>
    <mergeCell ref="AB50:AC51"/>
    <mergeCell ref="AD50:AE51"/>
    <mergeCell ref="BD48:BD49"/>
    <mergeCell ref="BE48:BE49"/>
    <mergeCell ref="BF48:BF49"/>
    <mergeCell ref="B50:B51"/>
    <mergeCell ref="C50:E51"/>
    <mergeCell ref="F50:H51"/>
    <mergeCell ref="I50:J51"/>
    <mergeCell ref="K50:L51"/>
    <mergeCell ref="M50:O51"/>
    <mergeCell ref="AW48:AW49"/>
    <mergeCell ref="AX48:AX49"/>
    <mergeCell ref="AY48:AY49"/>
    <mergeCell ref="AZ48:AZ49"/>
    <mergeCell ref="BA48:BA49"/>
    <mergeCell ref="BB48:BB49"/>
    <mergeCell ref="AF48:AG49"/>
    <mergeCell ref="AH48:AI49"/>
    <mergeCell ref="AJ48:AM49"/>
    <mergeCell ref="AN48:AQ49"/>
    <mergeCell ref="AU48:AU49"/>
    <mergeCell ref="AV48:AV49"/>
    <mergeCell ref="P48:S49"/>
    <mergeCell ref="T48:U49"/>
    <mergeCell ref="V48:W49"/>
    <mergeCell ref="BC50:BC51"/>
    <mergeCell ref="BD50:BD51"/>
    <mergeCell ref="BE50:BE51"/>
    <mergeCell ref="BF50:BF51"/>
    <mergeCell ref="BC46:BC47"/>
    <mergeCell ref="BD46:BD47"/>
    <mergeCell ref="BE46:BE47"/>
    <mergeCell ref="BF46:BF47"/>
    <mergeCell ref="B48:B49"/>
    <mergeCell ref="C48:E49"/>
    <mergeCell ref="F48:H49"/>
    <mergeCell ref="I48:J49"/>
    <mergeCell ref="K48:L49"/>
    <mergeCell ref="M48:O49"/>
    <mergeCell ref="AW46:AW47"/>
    <mergeCell ref="AX46:AX47"/>
    <mergeCell ref="AY46:AY47"/>
    <mergeCell ref="AZ46:AZ47"/>
    <mergeCell ref="BA46:BA47"/>
    <mergeCell ref="BB46:BB47"/>
    <mergeCell ref="AF46:AG47"/>
    <mergeCell ref="AH46:AI47"/>
    <mergeCell ref="AJ46:AM47"/>
    <mergeCell ref="AN46:AQ47"/>
    <mergeCell ref="AU46:AU47"/>
    <mergeCell ref="AV46:AV47"/>
    <mergeCell ref="P46:S47"/>
    <mergeCell ref="T46:U47"/>
    <mergeCell ref="V46:W47"/>
    <mergeCell ref="X46:AA47"/>
    <mergeCell ref="AB46:AC47"/>
    <mergeCell ref="AD46:AE47"/>
    <mergeCell ref="BC48:BC49"/>
    <mergeCell ref="X48:AA49"/>
    <mergeCell ref="AB48:AC49"/>
    <mergeCell ref="AD48:AE49"/>
    <mergeCell ref="B46:B47"/>
    <mergeCell ref="C46:E47"/>
    <mergeCell ref="F46:H47"/>
    <mergeCell ref="I46:J47"/>
    <mergeCell ref="K46:L47"/>
    <mergeCell ref="M46:O47"/>
    <mergeCell ref="AW44:AW45"/>
    <mergeCell ref="AX44:AX45"/>
    <mergeCell ref="AY44:AY45"/>
    <mergeCell ref="AZ44:AZ45"/>
    <mergeCell ref="BA44:BA45"/>
    <mergeCell ref="BB44:BB45"/>
    <mergeCell ref="AF44:AG45"/>
    <mergeCell ref="AH44:AI45"/>
    <mergeCell ref="AJ44:AM45"/>
    <mergeCell ref="AN44:AQ45"/>
    <mergeCell ref="AU44:AU45"/>
    <mergeCell ref="AV44:AV45"/>
    <mergeCell ref="P44:S45"/>
    <mergeCell ref="T44:U45"/>
    <mergeCell ref="V44:W45"/>
    <mergeCell ref="X44:AA45"/>
    <mergeCell ref="AB44:AC45"/>
    <mergeCell ref="AD44:AE45"/>
    <mergeCell ref="BD42:BD43"/>
    <mergeCell ref="BE42:BE43"/>
    <mergeCell ref="BF42:BF43"/>
    <mergeCell ref="B44:B45"/>
    <mergeCell ref="C44:E45"/>
    <mergeCell ref="F44:H45"/>
    <mergeCell ref="I44:J45"/>
    <mergeCell ref="K44:L45"/>
    <mergeCell ref="M44:O45"/>
    <mergeCell ref="AW42:AW43"/>
    <mergeCell ref="AX42:AX43"/>
    <mergeCell ref="AY42:AY43"/>
    <mergeCell ref="AZ42:AZ43"/>
    <mergeCell ref="BA42:BA43"/>
    <mergeCell ref="BB42:BB43"/>
    <mergeCell ref="AF42:AG43"/>
    <mergeCell ref="AH42:AI43"/>
    <mergeCell ref="AJ42:AM43"/>
    <mergeCell ref="AN42:AQ43"/>
    <mergeCell ref="AU42:AU43"/>
    <mergeCell ref="AV42:AV43"/>
    <mergeCell ref="P42:S43"/>
    <mergeCell ref="T42:U43"/>
    <mergeCell ref="V42:W43"/>
    <mergeCell ref="BC44:BC45"/>
    <mergeCell ref="BD44:BD45"/>
    <mergeCell ref="BE44:BE45"/>
    <mergeCell ref="BF44:BF45"/>
    <mergeCell ref="BC40:BC41"/>
    <mergeCell ref="BD40:BD41"/>
    <mergeCell ref="BE40:BE41"/>
    <mergeCell ref="BF40:BF41"/>
    <mergeCell ref="B42:B43"/>
    <mergeCell ref="C42:E43"/>
    <mergeCell ref="F42:H43"/>
    <mergeCell ref="I42:J43"/>
    <mergeCell ref="K42:L43"/>
    <mergeCell ref="M42:O43"/>
    <mergeCell ref="AW40:AW41"/>
    <mergeCell ref="AX40:AX41"/>
    <mergeCell ref="AY40:AY41"/>
    <mergeCell ref="AZ40:AZ41"/>
    <mergeCell ref="BA40:BA41"/>
    <mergeCell ref="BB40:BB41"/>
    <mergeCell ref="AF40:AG41"/>
    <mergeCell ref="AH40:AI41"/>
    <mergeCell ref="AJ40:AM41"/>
    <mergeCell ref="AN40:AQ41"/>
    <mergeCell ref="AU40:AU41"/>
    <mergeCell ref="AV40:AV41"/>
    <mergeCell ref="P40:S41"/>
    <mergeCell ref="T40:U41"/>
    <mergeCell ref="V40:W41"/>
    <mergeCell ref="X40:AA41"/>
    <mergeCell ref="AB40:AC41"/>
    <mergeCell ref="AD40:AE41"/>
    <mergeCell ref="BC42:BC43"/>
    <mergeCell ref="X42:AA43"/>
    <mergeCell ref="AB42:AC43"/>
    <mergeCell ref="AD42:AE43"/>
    <mergeCell ref="B40:B41"/>
    <mergeCell ref="C40:E41"/>
    <mergeCell ref="F40:H41"/>
    <mergeCell ref="I40:J41"/>
    <mergeCell ref="K40:L41"/>
    <mergeCell ref="M40:O41"/>
    <mergeCell ref="AW38:AW39"/>
    <mergeCell ref="AX38:AX39"/>
    <mergeCell ref="AY38:AY39"/>
    <mergeCell ref="AZ38:AZ39"/>
    <mergeCell ref="BA38:BA39"/>
    <mergeCell ref="BB38:BB39"/>
    <mergeCell ref="AF38:AG39"/>
    <mergeCell ref="AH38:AI39"/>
    <mergeCell ref="AJ38:AM39"/>
    <mergeCell ref="AN38:AQ39"/>
    <mergeCell ref="AU38:AU39"/>
    <mergeCell ref="AV38:AV39"/>
    <mergeCell ref="P38:S39"/>
    <mergeCell ref="T38:U39"/>
    <mergeCell ref="V38:W39"/>
    <mergeCell ref="X38:AA39"/>
    <mergeCell ref="AB38:AC39"/>
    <mergeCell ref="AD38:AE39"/>
    <mergeCell ref="BD36:BD37"/>
    <mergeCell ref="BE36:BE37"/>
    <mergeCell ref="BF36:BF37"/>
    <mergeCell ref="B38:B39"/>
    <mergeCell ref="C38:E39"/>
    <mergeCell ref="F38:H39"/>
    <mergeCell ref="I38:J39"/>
    <mergeCell ref="K38:L39"/>
    <mergeCell ref="M38:O39"/>
    <mergeCell ref="AW36:AW37"/>
    <mergeCell ref="AX36:AX37"/>
    <mergeCell ref="AY36:AY37"/>
    <mergeCell ref="AZ36:AZ37"/>
    <mergeCell ref="BA36:BA37"/>
    <mergeCell ref="BB36:BB37"/>
    <mergeCell ref="AF36:AG37"/>
    <mergeCell ref="AH36:AI37"/>
    <mergeCell ref="AJ36:AM37"/>
    <mergeCell ref="AN36:AQ37"/>
    <mergeCell ref="AU36:AU37"/>
    <mergeCell ref="AV36:AV37"/>
    <mergeCell ref="P36:S37"/>
    <mergeCell ref="T36:U37"/>
    <mergeCell ref="V36:W37"/>
    <mergeCell ref="BC38:BC39"/>
    <mergeCell ref="BD38:BD39"/>
    <mergeCell ref="BE38:BE39"/>
    <mergeCell ref="BF38:BF39"/>
    <mergeCell ref="BC34:BC35"/>
    <mergeCell ref="BD34:BD35"/>
    <mergeCell ref="BE34:BE35"/>
    <mergeCell ref="BF34:BF35"/>
    <mergeCell ref="B36:B37"/>
    <mergeCell ref="C36:E37"/>
    <mergeCell ref="F36:H37"/>
    <mergeCell ref="I36:J37"/>
    <mergeCell ref="K36:L37"/>
    <mergeCell ref="M36:O37"/>
    <mergeCell ref="AW34:AW35"/>
    <mergeCell ref="AX34:AX35"/>
    <mergeCell ref="AY34:AY35"/>
    <mergeCell ref="AZ34:AZ35"/>
    <mergeCell ref="BA34:BA35"/>
    <mergeCell ref="BB34:BB35"/>
    <mergeCell ref="AF34:AG35"/>
    <mergeCell ref="AH34:AI35"/>
    <mergeCell ref="AJ34:AM35"/>
    <mergeCell ref="AN34:AQ35"/>
    <mergeCell ref="AU34:AU35"/>
    <mergeCell ref="AV34:AV35"/>
    <mergeCell ref="P34:S35"/>
    <mergeCell ref="T34:U35"/>
    <mergeCell ref="V34:W35"/>
    <mergeCell ref="X34:AA35"/>
    <mergeCell ref="AB34:AC35"/>
    <mergeCell ref="AD34:AE35"/>
    <mergeCell ref="BC36:BC37"/>
    <mergeCell ref="X36:AA37"/>
    <mergeCell ref="AB36:AC37"/>
    <mergeCell ref="AD36:AE37"/>
    <mergeCell ref="B34:B35"/>
    <mergeCell ref="C34:E35"/>
    <mergeCell ref="F34:H35"/>
    <mergeCell ref="I34:J35"/>
    <mergeCell ref="K34:L35"/>
    <mergeCell ref="M34:O35"/>
    <mergeCell ref="AW32:AW33"/>
    <mergeCell ref="AX32:AX33"/>
    <mergeCell ref="AY32:AY33"/>
    <mergeCell ref="AZ32:AZ33"/>
    <mergeCell ref="BA32:BA33"/>
    <mergeCell ref="BB32:BB33"/>
    <mergeCell ref="AF32:AG33"/>
    <mergeCell ref="AH32:AI33"/>
    <mergeCell ref="AJ32:AM33"/>
    <mergeCell ref="AN32:AQ33"/>
    <mergeCell ref="AU32:AU33"/>
    <mergeCell ref="AV32:AV33"/>
    <mergeCell ref="P32:S33"/>
    <mergeCell ref="T32:U33"/>
    <mergeCell ref="V32:W33"/>
    <mergeCell ref="X32:AA33"/>
    <mergeCell ref="AB32:AC33"/>
    <mergeCell ref="AD32:AE33"/>
    <mergeCell ref="BD30:BD31"/>
    <mergeCell ref="BE30:BE31"/>
    <mergeCell ref="BF30:BF31"/>
    <mergeCell ref="B32:B33"/>
    <mergeCell ref="C32:E33"/>
    <mergeCell ref="F32:H33"/>
    <mergeCell ref="I32:J33"/>
    <mergeCell ref="K32:L33"/>
    <mergeCell ref="M32:O33"/>
    <mergeCell ref="AW30:AW31"/>
    <mergeCell ref="AX30:AX31"/>
    <mergeCell ref="AY30:AY31"/>
    <mergeCell ref="AZ30:AZ31"/>
    <mergeCell ref="BA30:BA31"/>
    <mergeCell ref="BB30:BB31"/>
    <mergeCell ref="AF30:AG31"/>
    <mergeCell ref="AH30:AI31"/>
    <mergeCell ref="AJ30:AM31"/>
    <mergeCell ref="AN30:AQ31"/>
    <mergeCell ref="AU30:AU31"/>
    <mergeCell ref="AV30:AV31"/>
    <mergeCell ref="P30:S31"/>
    <mergeCell ref="T30:U31"/>
    <mergeCell ref="V30:W31"/>
    <mergeCell ref="BC32:BC33"/>
    <mergeCell ref="BD32:BD33"/>
    <mergeCell ref="BE32:BE33"/>
    <mergeCell ref="BF32:BF33"/>
    <mergeCell ref="BC28:BC29"/>
    <mergeCell ref="BD28:BD29"/>
    <mergeCell ref="BE28:BE29"/>
    <mergeCell ref="BF28:BF29"/>
    <mergeCell ref="B30:B31"/>
    <mergeCell ref="C30:E31"/>
    <mergeCell ref="F30:H31"/>
    <mergeCell ref="I30:J31"/>
    <mergeCell ref="K30:L31"/>
    <mergeCell ref="M30:O31"/>
    <mergeCell ref="AW28:AW29"/>
    <mergeCell ref="AX28:AX29"/>
    <mergeCell ref="AY28:AY29"/>
    <mergeCell ref="AZ28:AZ29"/>
    <mergeCell ref="BA28:BA29"/>
    <mergeCell ref="BB28:BB29"/>
    <mergeCell ref="AF28:AG29"/>
    <mergeCell ref="AH28:AI29"/>
    <mergeCell ref="AJ28:AM29"/>
    <mergeCell ref="AN28:AQ29"/>
    <mergeCell ref="AU28:AU29"/>
    <mergeCell ref="AV28:AV29"/>
    <mergeCell ref="P28:S29"/>
    <mergeCell ref="T28:U29"/>
    <mergeCell ref="V28:W29"/>
    <mergeCell ref="X28:AA29"/>
    <mergeCell ref="AB28:AC29"/>
    <mergeCell ref="AD28:AE29"/>
    <mergeCell ref="BC30:BC31"/>
    <mergeCell ref="X30:AA31"/>
    <mergeCell ref="AB30:AC31"/>
    <mergeCell ref="AD30:AE31"/>
    <mergeCell ref="B28:B29"/>
    <mergeCell ref="C28:E29"/>
    <mergeCell ref="F28:H29"/>
    <mergeCell ref="I28:J29"/>
    <mergeCell ref="K28:L29"/>
    <mergeCell ref="M28:O29"/>
    <mergeCell ref="AW26:AW27"/>
    <mergeCell ref="AX26:AX27"/>
    <mergeCell ref="AY26:AY27"/>
    <mergeCell ref="AZ26:AZ27"/>
    <mergeCell ref="BA26:BA27"/>
    <mergeCell ref="BB26:BB27"/>
    <mergeCell ref="AF26:AG27"/>
    <mergeCell ref="AH26:AI27"/>
    <mergeCell ref="AJ26:AM27"/>
    <mergeCell ref="AN26:AQ27"/>
    <mergeCell ref="AU26:AU27"/>
    <mergeCell ref="AV26:AV27"/>
    <mergeCell ref="P26:S27"/>
    <mergeCell ref="T26:U27"/>
    <mergeCell ref="V26:W27"/>
    <mergeCell ref="X26:AA27"/>
    <mergeCell ref="AB26:AC27"/>
    <mergeCell ref="AD26:AE27"/>
    <mergeCell ref="BD24:BD25"/>
    <mergeCell ref="BE24:BE25"/>
    <mergeCell ref="BF24:BF25"/>
    <mergeCell ref="B26:B27"/>
    <mergeCell ref="C26:E27"/>
    <mergeCell ref="F26:H27"/>
    <mergeCell ref="I26:J27"/>
    <mergeCell ref="K26:L27"/>
    <mergeCell ref="M26:O27"/>
    <mergeCell ref="AW24:AW25"/>
    <mergeCell ref="AX24:AX25"/>
    <mergeCell ref="AY24:AY25"/>
    <mergeCell ref="AZ24:AZ25"/>
    <mergeCell ref="BA24:BA25"/>
    <mergeCell ref="BB24:BB25"/>
    <mergeCell ref="AF24:AG25"/>
    <mergeCell ref="AH24:AI25"/>
    <mergeCell ref="AJ24:AM25"/>
    <mergeCell ref="AN24:AQ25"/>
    <mergeCell ref="AU24:AU25"/>
    <mergeCell ref="AV24:AV25"/>
    <mergeCell ref="P24:S25"/>
    <mergeCell ref="T24:U25"/>
    <mergeCell ref="V24:W25"/>
    <mergeCell ref="BC26:BC27"/>
    <mergeCell ref="BD26:BD27"/>
    <mergeCell ref="BE26:BE27"/>
    <mergeCell ref="BF26:BF27"/>
    <mergeCell ref="BC22:BC23"/>
    <mergeCell ref="BD22:BD23"/>
    <mergeCell ref="BE22:BE23"/>
    <mergeCell ref="BF22:BF23"/>
    <mergeCell ref="B24:B25"/>
    <mergeCell ref="C24:E25"/>
    <mergeCell ref="F24:H25"/>
    <mergeCell ref="I24:J25"/>
    <mergeCell ref="K24:L25"/>
    <mergeCell ref="M24:O25"/>
    <mergeCell ref="AW22:AW23"/>
    <mergeCell ref="AX22:AX23"/>
    <mergeCell ref="AY22:AY23"/>
    <mergeCell ref="AZ22:AZ23"/>
    <mergeCell ref="BA22:BA23"/>
    <mergeCell ref="BB22:BB23"/>
    <mergeCell ref="AF22:AG23"/>
    <mergeCell ref="AH22:AI23"/>
    <mergeCell ref="AJ22:AM23"/>
    <mergeCell ref="AN22:AQ23"/>
    <mergeCell ref="AU22:AU23"/>
    <mergeCell ref="AV22:AV23"/>
    <mergeCell ref="P22:S23"/>
    <mergeCell ref="T22:U23"/>
    <mergeCell ref="V22:W23"/>
    <mergeCell ref="X22:AA23"/>
    <mergeCell ref="AB22:AC23"/>
    <mergeCell ref="AD22:AE23"/>
    <mergeCell ref="BC24:BC25"/>
    <mergeCell ref="X24:AA25"/>
    <mergeCell ref="AB24:AC25"/>
    <mergeCell ref="AD24:AE25"/>
    <mergeCell ref="B22:B23"/>
    <mergeCell ref="C22:E23"/>
    <mergeCell ref="F22:H23"/>
    <mergeCell ref="I22:J23"/>
    <mergeCell ref="K22:L23"/>
    <mergeCell ref="M22:O23"/>
    <mergeCell ref="AW20:AW21"/>
    <mergeCell ref="AX20:AX21"/>
    <mergeCell ref="AY20:AY21"/>
    <mergeCell ref="AZ20:AZ21"/>
    <mergeCell ref="BA20:BA21"/>
    <mergeCell ref="BB20:BB21"/>
    <mergeCell ref="AF20:AG21"/>
    <mergeCell ref="AH20:AI21"/>
    <mergeCell ref="AJ20:AM21"/>
    <mergeCell ref="AN20:AQ21"/>
    <mergeCell ref="AU20:AU21"/>
    <mergeCell ref="AV20:AV21"/>
    <mergeCell ref="P20:S21"/>
    <mergeCell ref="T20:U21"/>
    <mergeCell ref="V20:W21"/>
    <mergeCell ref="X20:AA21"/>
    <mergeCell ref="AB20:AC21"/>
    <mergeCell ref="AD20:AE21"/>
    <mergeCell ref="BD18:BD19"/>
    <mergeCell ref="BE18:BE19"/>
    <mergeCell ref="BF18:BF19"/>
    <mergeCell ref="B20:B21"/>
    <mergeCell ref="C20:E21"/>
    <mergeCell ref="F20:H21"/>
    <mergeCell ref="I20:J21"/>
    <mergeCell ref="K20:L21"/>
    <mergeCell ref="M20:O21"/>
    <mergeCell ref="AW18:AW19"/>
    <mergeCell ref="AX18:AX19"/>
    <mergeCell ref="AY18:AY19"/>
    <mergeCell ref="AZ18:AZ19"/>
    <mergeCell ref="BA18:BA19"/>
    <mergeCell ref="BB18:BB19"/>
    <mergeCell ref="AF18:AG19"/>
    <mergeCell ref="AH18:AI19"/>
    <mergeCell ref="AJ18:AM19"/>
    <mergeCell ref="AN18:AQ19"/>
    <mergeCell ref="AU18:AU19"/>
    <mergeCell ref="AV18:AV19"/>
    <mergeCell ref="P18:S19"/>
    <mergeCell ref="T18:U19"/>
    <mergeCell ref="V18:W19"/>
    <mergeCell ref="BC20:BC21"/>
    <mergeCell ref="BD20:BD21"/>
    <mergeCell ref="BE20:BE21"/>
    <mergeCell ref="BF20:BF21"/>
    <mergeCell ref="BC16:BC17"/>
    <mergeCell ref="BD16:BD17"/>
    <mergeCell ref="BE16:BE17"/>
    <mergeCell ref="BF16:BF17"/>
    <mergeCell ref="B18:B19"/>
    <mergeCell ref="C18:E19"/>
    <mergeCell ref="F18:H19"/>
    <mergeCell ref="I18:J19"/>
    <mergeCell ref="K18:L19"/>
    <mergeCell ref="M18:O19"/>
    <mergeCell ref="AW16:AW17"/>
    <mergeCell ref="AX16:AX17"/>
    <mergeCell ref="AY16:AY17"/>
    <mergeCell ref="AZ16:AZ17"/>
    <mergeCell ref="BA16:BA17"/>
    <mergeCell ref="BB16:BB17"/>
    <mergeCell ref="AF16:AG17"/>
    <mergeCell ref="AH16:AI17"/>
    <mergeCell ref="AJ16:AM17"/>
    <mergeCell ref="AN16:AQ17"/>
    <mergeCell ref="AU16:AU17"/>
    <mergeCell ref="AV16:AV17"/>
    <mergeCell ref="P16:S17"/>
    <mergeCell ref="T16:U17"/>
    <mergeCell ref="V16:W17"/>
    <mergeCell ref="X16:AA17"/>
    <mergeCell ref="AB16:AC17"/>
    <mergeCell ref="AD16:AE17"/>
    <mergeCell ref="BC18:BC19"/>
    <mergeCell ref="X18:AA19"/>
    <mergeCell ref="AB18:AC19"/>
    <mergeCell ref="AD18:AE19"/>
    <mergeCell ref="C15:L15"/>
    <mergeCell ref="B16:B17"/>
    <mergeCell ref="C16:E17"/>
    <mergeCell ref="F16:H17"/>
    <mergeCell ref="I16:J17"/>
    <mergeCell ref="K16:L17"/>
    <mergeCell ref="M16:O17"/>
    <mergeCell ref="M15:AE15"/>
    <mergeCell ref="AH1:AK1"/>
    <mergeCell ref="AL1:AP1"/>
    <mergeCell ref="AQ1:AR1"/>
    <mergeCell ref="AH2:AK3"/>
    <mergeCell ref="AL2:AP3"/>
    <mergeCell ref="AQ2:AR3"/>
    <mergeCell ref="J11:Q13"/>
    <mergeCell ref="R11:U11"/>
    <mergeCell ref="V11:Y11"/>
    <mergeCell ref="Z11:AC11"/>
    <mergeCell ref="R12:U13"/>
    <mergeCell ref="V12:Y13"/>
    <mergeCell ref="Z12:AC13"/>
    <mergeCell ref="Q1:R1"/>
    <mergeCell ref="U1:V1"/>
    <mergeCell ref="Y1:Z1"/>
    <mergeCell ref="AF15:AI15"/>
    <mergeCell ref="AJ15:AQ15"/>
    <mergeCell ref="O9:AF10"/>
    <mergeCell ref="BG16:BG17"/>
    <mergeCell ref="BG78:BG79"/>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s>
  <conditionalFormatting sqref="F18 I18 P18 V18 AF18 AH18 F20 I20 P20 V20 AF20 AH20 F22 I22 P22 V22 AF22 AH22 V24 P26 V26 AF26 AH26 V28 V30 V32 V34 V36 V38 V40 V42 V44 V46 V48 V50 V52 V54 V56 V58 V60 V62 V64 V66 V68 V70 V72 V74 V76">
    <cfRule type="expression" dxfId="384" priority="10">
      <formula>AND(ISBLANK($C18)=FALSE,OR(ISBLANK(F18)=TRUE,F18=""))</formula>
    </cfRule>
  </conditionalFormatting>
  <conditionalFormatting sqref="F24 I24 P24 AF24 AH24 F28 I28 P28 AF28 AH28 F30 I30 P30 AF30 AH30 F34 I34 P34 AF34 AH34 F36 I36 P36 AF36 AH36 F38 I38 P38 AF38 AH38 F40 I40 P40 AF40 AH40 F42 I42 P42 AF42 AH42 F56 I56 P56 AF56 AH56 F58 I58 P58 AF58 AH58 F60 I60 P60 AF60 AH60 F62 I62 P62 AF62 AH62 F64 I64 P64 AF64 AH64 F66 I66 P66 AF66 AH66 F68 I68 P68 AF68 AH68 F70 I70 P70 AF70 AH70 F72 I72 P72 AF72 AH72 F74 I74 P74 AF74 AH74 F76 I76 P76 AF76 AH76">
    <cfRule type="expression" dxfId="383" priority="51">
      <formula>AND(ISBLANK($C24)=FALSE,OR(ISBLANK(F24)=TRUE,F24=""))</formula>
    </cfRule>
  </conditionalFormatting>
  <conditionalFormatting sqref="F26 I26">
    <cfRule type="expression" dxfId="382" priority="3">
      <formula>AND(ISBLANK($C26)=FALSE,OR(ISBLANK(F26)=TRUE,F26=""))</formula>
    </cfRule>
  </conditionalFormatting>
  <conditionalFormatting sqref="F32 I32 P32 AF32 AH32">
    <cfRule type="expression" dxfId="381" priority="35">
      <formula>AND(ISBLANK($C32)=FALSE,OR(ISBLANK(F32)=TRUE,F32=""))</formula>
    </cfRule>
  </conditionalFormatting>
  <conditionalFormatting sqref="F44 I44 P44 AF44 AH44 F46 I46 P46 AF46 AH46 F48 I48 P48 AF48 AH48 F50 I50 P50 AF50 AH50 F54 I54 P54 AF54 AH54">
    <cfRule type="expression" dxfId="380" priority="25">
      <formula>AND(ISBLANK($C44)=FALSE,OR(ISBLANK(F44)=TRUE,F44=""))</formula>
    </cfRule>
  </conditionalFormatting>
  <conditionalFormatting sqref="F52 I52 P52 AF52 AH52">
    <cfRule type="expression" dxfId="379" priority="18">
      <formula>AND(ISBLANK($C52)=FALSE,OR(ISBLANK(F52)=TRUE,F52=""))</formula>
    </cfRule>
  </conditionalFormatting>
  <conditionalFormatting sqref="K18 K20 K22 K24 K26 K28 K30 K32 K34 K36 K38 K40 K42 K44 K46 K48 K50 K52 K54 K56 K58 K60 K62 K64 K66 K68 K70 K72 K74 K76">
    <cfRule type="expression" dxfId="378" priority="9">
      <formula>AND(ISBLANK($C18)=FALSE,OR(ISBLANK(K18)=TRUE,K18=""))</formula>
    </cfRule>
  </conditionalFormatting>
  <conditionalFormatting sqref="M18 M20 M22 M24 M26 M28 M30 M32 M34 M36 M38 M40 M42 M44 M46 M48 M50 M52 M54 M56 M58 M60 M62 M64 M66 M68 M70 M72 M74 M76">
    <cfRule type="expression" dxfId="377" priority="60">
      <formula>ISNUMBER(SEARCH("Only",$M18))</formula>
    </cfRule>
    <cfRule type="expression" dxfId="376" priority="61">
      <formula>AND(ISBLANK($C18)=FALSE,OR(ISBLANK(M18)=TRUE,M18=""))</formula>
    </cfRule>
  </conditionalFormatting>
  <conditionalFormatting sqref="O9">
    <cfRule type="expression" dxfId="375" priority="346">
      <formula>ISNUMBER(SEARCH("Inspection",$O$9))</formula>
    </cfRule>
  </conditionalFormatting>
  <conditionalFormatting sqref="T18 T20 T22">
    <cfRule type="expression" dxfId="374" priority="6">
      <formula>AND(ISBLANK($C18)=FALSE,OR(ISBLANK(T18)=TRUE,T18=""))</formula>
    </cfRule>
  </conditionalFormatting>
  <conditionalFormatting sqref="T24 T28 T30 T34 T36 T38 T40 T42 T56 T58 T60 T62 T64 T66 T68 T70 T72 T74 T76">
    <cfRule type="expression" dxfId="373" priority="47">
      <formula>AND(ISBLANK($C24)=FALSE,OR(ISBLANK(T24)=TRUE,T24=""))</formula>
    </cfRule>
  </conditionalFormatting>
  <conditionalFormatting sqref="T26">
    <cfRule type="expression" dxfId="372" priority="1">
      <formula>AND(ISBLANK($C26)=FALSE,OR(ISBLANK(T26)=TRUE,T26=""))</formula>
    </cfRule>
  </conditionalFormatting>
  <conditionalFormatting sqref="T32">
    <cfRule type="expression" dxfId="371" priority="31">
      <formula>AND(ISBLANK($C32)=FALSE,OR(ISBLANK(T32)=TRUE,T32=""))</formula>
    </cfRule>
  </conditionalFormatting>
  <conditionalFormatting sqref="T44 T46 T48 T50 T54">
    <cfRule type="expression" dxfId="370" priority="21">
      <formula>AND(ISBLANK($C44)=FALSE,OR(ISBLANK(T44)=TRUE,T44=""))</formula>
    </cfRule>
  </conditionalFormatting>
  <conditionalFormatting sqref="T52">
    <cfRule type="expression" dxfId="369" priority="15">
      <formula>AND(ISBLANK($C52)=FALSE,OR(ISBLANK(T52)=TRUE,T52=""))</formula>
    </cfRule>
  </conditionalFormatting>
  <conditionalFormatting sqref="X18 X20 X22">
    <cfRule type="expression" dxfId="368" priority="8">
      <formula>AND(ISBLANK($C18)=FALSE,OR(ISBLANK(X18)=TRUE,X18=""))</formula>
    </cfRule>
  </conditionalFormatting>
  <conditionalFormatting sqref="X24 X28 X30 X34 X36 X38 X40 X42 X56 X58 X60 X62 X64 X66 X68 X70 X72 X74 X76">
    <cfRule type="expression" dxfId="367" priority="49">
      <formula>AND(ISBLANK($C24)=FALSE,OR(ISBLANK(X24)=TRUE,X24=""))</formula>
    </cfRule>
  </conditionalFormatting>
  <conditionalFormatting sqref="X26">
    <cfRule type="expression" dxfId="366" priority="2">
      <formula>AND(ISBLANK($C26)=FALSE,OR(ISBLANK(X26)=TRUE,X26=""))</formula>
    </cfRule>
  </conditionalFormatting>
  <conditionalFormatting sqref="X32">
    <cfRule type="expression" dxfId="365" priority="33">
      <formula>AND(ISBLANK($C32)=FALSE,OR(ISBLANK(X32)=TRUE,X32=""))</formula>
    </cfRule>
  </conditionalFormatting>
  <conditionalFormatting sqref="X44 X46 X48 X50 X54">
    <cfRule type="expression" dxfId="364" priority="23">
      <formula>AND(ISBLANK($C44)=FALSE,OR(ISBLANK(X44)=TRUE,X44=""))</formula>
    </cfRule>
  </conditionalFormatting>
  <conditionalFormatting sqref="X52">
    <cfRule type="expression" dxfId="363" priority="16">
      <formula>AND(ISBLANK($C52)=FALSE,OR(ISBLANK(X52)=TRUE,X52=""))</formula>
    </cfRule>
  </conditionalFormatting>
  <conditionalFormatting sqref="AB18 AB20 AB22 AB24 AB26 AB28 AB30 AB32 AB34 AB36 AB38 AB40 AB42 AB44 AB46 AB48 AB50 AB52 AB54 AB56 AB58 AB60 AB62 AB64 AB66 AB68 AB70 AB72 AB74 AB76">
    <cfRule type="expression" dxfId="362" priority="48">
      <formula>AND(ISBLANK($C18)=FALSE,OR(ISBLANK(AB18)=TRUE,AB18=""))</formula>
    </cfRule>
  </conditionalFormatting>
  <conditionalFormatting sqref="AD18:AE77">
    <cfRule type="expression" dxfId="361" priority="4">
      <formula>AND(ISBLANK($O18)=FALSE,OR(ISBLANK(AD18)=TRUE,AD18=""))</formula>
    </cfRule>
    <cfRule type="expression" dxfId="360" priority="5">
      <formula>AND(ISBLANK($C18)=FALSE,OR(ISBLANK(AD18)=TRUE,AD18=""))</formula>
    </cfRule>
  </conditionalFormatting>
  <conditionalFormatting sqref="AH2 AL2">
    <cfRule type="expression" dxfId="359" priority="40">
      <formula>PROJSTATUS=PROJSTATELI</formula>
    </cfRule>
    <cfRule type="expression" dxfId="358" priority="41">
      <formula>PROJSTATUS=PROJSTATREVIEW</formula>
    </cfRule>
    <cfRule type="expression" dxfId="357" priority="42">
      <formula>PROJSTATUS=PROJSTATPREAPPROVE</formula>
    </cfRule>
    <cfRule type="expression" dxfId="356" priority="43">
      <formula>PROJSTATUS=PROJSTATSTANDARD</formula>
    </cfRule>
    <cfRule type="expression" dxfId="355" priority="44">
      <formula>PROJSTATUS=PROJSTATEXP</formula>
    </cfRule>
  </conditionalFormatting>
  <conditionalFormatting sqref="AN18 AN20 AN22 AN24 AN26 AN28 AN30 AN32 AN34 AN36 AN38 AN40 AN42 AN44 AN46 AN48 AN50 AN52 AN54 AN56 AN58 AN60 AN62 AN64 AN66 AN68 AN70 AN72 AN74 AN76">
    <cfRule type="expression" dxfId="354" priority="45" stopIfTrue="1">
      <formula>NOT(ISNUMBER(AN18))</formula>
    </cfRule>
    <cfRule type="expression" dxfId="353" priority="46">
      <formula>$BF18="Yes"</formula>
    </cfRule>
  </conditionalFormatting>
  <conditionalFormatting sqref="AQ2:AR3">
    <cfRule type="cellIs" dxfId="352" priority="54" operator="equal">
      <formula>1</formula>
    </cfRule>
    <cfRule type="cellIs" dxfId="351" priority="55" operator="between">
      <formula>0.51</formula>
      <formula>0.99</formula>
    </cfRule>
    <cfRule type="cellIs" dxfId="350" priority="56" operator="lessThanOrEqual">
      <formula>0.5</formula>
    </cfRule>
  </conditionalFormatting>
  <dataValidations xWindow="379" yWindow="854" count="11">
    <dataValidation allowBlank="1" showInputMessage="1" showErrorMessage="1" prompt="Provide a brief description of the new LED's brand, model, and part number, if applicable" sqref="P76 P72 P74 P24 P18 P28 P30 P32 P34 P36 P38 P40 P42 P44 P46 P48 P50 P52 P54 P56 P58 P60 P62 P64 P66 P68 P70 P20 P22 P26" xr:uid="{C57EA7F7-A956-45C7-9A11-23A5A51CD97B}"/>
    <dataValidation type="list" allowBlank="1" showInputMessage="1" showErrorMessage="1" prompt="Select the existing lighting type" sqref="C72 C74 C76 C24 C22 C28 C30 C32 C34 C36 C38 C40 C42 C44 C46 C48 C50 C52 C54 C56 C58 C60 C62 C64 C66 C68 C70 C18 C20 C26" xr:uid="{78CDDD57-0B2C-4C19-9833-F48A35A88685}">
      <formula1>IF(ISBLANK(F18),BASEINCANDTYPE,"")</formula1>
    </dataValidation>
    <dataValidation allowBlank="1" showInputMessage="1" showErrorMessage="1" prompt="Provide a brief description of where the lights are, e.g., &quot;1st Floor Hall&quot;, &quot;Office&quot;, &quot;Machine Shop&quot;, etc." sqref="X74 X76 X72 X24 X18 X28 X30 X32 X34 X36 X38 X40 X42 X44 X46 X48 X50 X52 X54 X56 X58 X60 X62 X64 X66 X68 X70 X22 X20 X26" xr:uid="{7525979A-0C49-4A65-9125-0ABF8AB8381F}"/>
    <dataValidation allowBlank="1" showInputMessage="1" showErrorMessage="1" prompt="Enter material or labor cost per NEW FIXTURE._x000a__x000a_For in house installs estimate labor cost." sqref="AF66 AF68 AF70 AF72 AH24 AF20 AH28 AH30 AH32 AH34 AH36 AH38 AH40 AH42 AH44 AH46 AH48 AH50 AH52 AH54 AH56 AH58 AH60 AH62 AH64 AH66 AH68 AH70 AH72 AH74 AH76 AF74 AF76 AF24 AF22 AF28 AF30 AF32 AF34 AF36 AF38 AF40 AF42 AF44 AF46 AF48 AF50 AF52 AF54 AF56 AF58 AF60 AF62 AF64 AH18 AF18 AH20 AH22 AF26 AH26" xr:uid="{DAED3E3D-2989-488F-BC22-7245ABB6F9A6}"/>
    <dataValidation type="list" allowBlank="1" showInputMessage="1" showErrorMessage="1" prompt="Select the existing lamp type" sqref="F18:H77" xr:uid="{D4904CC2-65FC-470A-A61F-69CAE8FF53A1}">
      <formula1>BASEINCANDDET</formula1>
    </dataValidation>
    <dataValidation type="whole" allowBlank="1" showInputMessage="1" showErrorMessage="1" error="Exit Signs are assumed to operate 24/7" sqref="AB18:AC77" xr:uid="{9A1FCB79-FDB3-466C-8A43-A7D64F5DBD66}">
      <formula1>IF(C18="Exit Sign",8500,1)</formula1>
      <formula2>8760</formula2>
    </dataValidation>
    <dataValidation type="list" allowBlank="1" showInputMessage="1" showErrorMessage="1" sqref="AX10" xr:uid="{DC40F905-C818-446B-8168-3A6C8E611F4C}">
      <formula1>"A-Lamp, PAR/BR/R Lamp,MR-16 Lamp, Integrated Downlight, Exit Sign"</formula1>
    </dataValidation>
    <dataValidation type="list" allowBlank="1" showInputMessage="1" showErrorMessage="1" prompt="Select the new LED lamp type." sqref="M18:O77" xr:uid="{8F1B7CF0-E0EF-49CB-92D0-8C6B1AA55122}">
      <formula1>"A-Lamp, PAR/BR/R Lamp,MR-16 Lamp, Integrated Downlight, Exit Sign"</formula1>
    </dataValidation>
    <dataValidation type="list" allowBlank="1" showInputMessage="1" showErrorMessage="1" sqref="BG18:BG77" xr:uid="{9A5D8D3A-6C3F-485E-AC9F-178E61861B02}">
      <formula1>"1.0,1.07"</formula1>
    </dataValidation>
    <dataValidation type="whole" operator="lessThanOrEqual" allowBlank="1" showInputMessage="1" showErrorMessage="1" error="Wattage is outside the allowed range. Efficient exit signs must use 5 W or less" sqref="V18:W77" xr:uid="{52320D80-B679-43AB-B5F3-A2BC6A8C4D1C}">
      <formula1>INDEX(PMELIGHTINCANEFFMIN,MATCH(CONCATENATE(C18," ",F18),PMELIGHTINCANCAT,0))</formula1>
    </dataValidation>
    <dataValidation type="whole" allowBlank="1" showInputMessage="1" showErrorMessage="1" error="Wattage is outside the allowed range. Existing exit signs should be 50 W or less" sqref="K18:L77" xr:uid="{1978E672-CE9E-48BA-9BD6-105929778343}">
      <formula1>INDEX(PMELIGHTINCANBASEMIN,MATCH(CONCATENATE(C18," ",F18),PMELIGHTINCANCAT,0))</formula1>
      <formula2>INDEX(PMELIGHTINCANBASEMAX,MATCH(CONCATENATE(C18," ",F18),PMELIGHTINCANCAT,0))</formula2>
    </dataValidation>
  </dataValidations>
  <hyperlinks>
    <hyperlink ref="B202" r:id="rId1" display="NIPSCO.Savings@LMCO.com" xr:uid="{6E80F690-2C37-4826-BC3F-AB3EFB8CBECF}"/>
  </hyperlinks>
  <pageMargins left="0.25" right="0.25" top="0.25" bottom="0.25" header="0.25" footer="0.25"/>
  <pageSetup scale="6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CC90A-87D2-49C8-9844-B30D72787BA1}">
  <sheetPr codeName="Sheet19"/>
  <dimension ref="B1:BT202"/>
  <sheetViews>
    <sheetView showGridLines="0" showRowColHeaders="0" zoomScale="85" zoomScaleNormal="85" workbookViewId="0">
      <selection activeCell="C16" sqref="C16:I17"/>
    </sheetView>
  </sheetViews>
  <sheetFormatPr defaultColWidth="0" defaultRowHeight="15" zeroHeight="1" x14ac:dyDescent="0.25"/>
  <cols>
    <col min="1" max="45" width="4.7109375" customWidth="1"/>
    <col min="46" max="46" width="4.7109375" hidden="1" customWidth="1"/>
    <col min="47" max="72" width="9.140625" hidden="1" customWidth="1"/>
  </cols>
  <sheetData>
    <row r="1" spans="2:55"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c r="AS1" s="69"/>
      <c r="AT1" s="69"/>
      <c r="AU1" s="69"/>
      <c r="AV1" s="69"/>
      <c r="AW1" s="69"/>
      <c r="AX1" s="69"/>
      <c r="AY1" s="69"/>
      <c r="AZ1" s="69"/>
      <c r="BA1" s="69"/>
      <c r="BB1" s="69"/>
      <c r="BC1" s="69"/>
    </row>
    <row r="2" spans="2:55" ht="15.95" customHeight="1" x14ac:dyDescent="0.25">
      <c r="AH2" s="602" t="str">
        <f>INCENSTATUS</f>
        <v>---</v>
      </c>
      <c r="AI2" s="603"/>
      <c r="AJ2" s="603"/>
      <c r="AK2" s="603"/>
      <c r="AL2" s="613" t="str">
        <f ca="1">PROJSTATUS</f>
        <v>Enter Measures</v>
      </c>
      <c r="AM2" s="613"/>
      <c r="AN2" s="613"/>
      <c r="AO2" s="613"/>
      <c r="AP2" s="613"/>
      <c r="AQ2" s="608">
        <f ca="1">PROGRESSSTATUS</f>
        <v>0</v>
      </c>
      <c r="AR2" s="609"/>
      <c r="AS2" s="69"/>
      <c r="AT2" s="69"/>
      <c r="AU2" s="69"/>
      <c r="AV2" s="69"/>
      <c r="AW2" s="69"/>
      <c r="AX2" s="69"/>
      <c r="AY2" s="69"/>
      <c r="AZ2" s="69"/>
      <c r="BA2" s="69"/>
      <c r="BB2" s="69"/>
      <c r="BC2" s="69"/>
    </row>
    <row r="3" spans="2:55" ht="15.95" customHeight="1" x14ac:dyDescent="0.25">
      <c r="AH3" s="604"/>
      <c r="AI3" s="605"/>
      <c r="AJ3" s="605"/>
      <c r="AK3" s="605"/>
      <c r="AL3" s="614"/>
      <c r="AM3" s="614"/>
      <c r="AN3" s="614"/>
      <c r="AO3" s="614"/>
      <c r="AP3" s="614"/>
      <c r="AQ3" s="610"/>
      <c r="AR3" s="611"/>
      <c r="AS3" s="69"/>
      <c r="AT3" s="69"/>
      <c r="AU3" s="69"/>
      <c r="AV3" s="69"/>
      <c r="AW3" s="69"/>
      <c r="AX3" s="69"/>
      <c r="AY3" s="69"/>
      <c r="AZ3" s="69"/>
      <c r="BA3" s="69"/>
      <c r="BB3" s="69"/>
      <c r="BC3" s="69"/>
    </row>
    <row r="4" spans="2:55" ht="15.95" customHeight="1" x14ac:dyDescent="0.25">
      <c r="AS4" s="69"/>
      <c r="AT4" s="69"/>
      <c r="AU4" s="69"/>
      <c r="AV4" s="69"/>
      <c r="AW4" s="69"/>
      <c r="AX4" s="69"/>
      <c r="AY4" s="69"/>
      <c r="AZ4" s="69"/>
      <c r="BA4" s="69"/>
      <c r="BB4" s="69"/>
      <c r="BC4" s="69"/>
    </row>
    <row r="5" spans="2:55"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55"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t="s">
        <v>1195</v>
      </c>
      <c r="AV6" s="69">
        <f>PROJID</f>
        <v>0</v>
      </c>
      <c r="AW6" s="69"/>
      <c r="AX6" s="69"/>
      <c r="AY6" s="69"/>
      <c r="AZ6" s="69"/>
      <c r="BA6" s="69"/>
      <c r="BB6" s="69"/>
      <c r="BC6" s="69"/>
    </row>
    <row r="7" spans="2:55"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69"/>
      <c r="AX7" s="69"/>
      <c r="AY7" s="69"/>
      <c r="AZ7" s="69"/>
      <c r="BA7" s="69"/>
      <c r="BB7" s="69"/>
      <c r="BC7" s="69"/>
    </row>
    <row r="8" spans="2:55" ht="15.95" customHeight="1" x14ac:dyDescent="0.25">
      <c r="AS8" s="69"/>
      <c r="AT8" s="69"/>
      <c r="AU8" s="69"/>
      <c r="AV8" s="69"/>
      <c r="AW8" s="69"/>
      <c r="AX8" s="69"/>
      <c r="AY8" s="69"/>
      <c r="AZ8" s="69"/>
      <c r="BA8" s="69"/>
      <c r="BB8" s="69"/>
      <c r="BC8" s="69"/>
    </row>
    <row r="9" spans="2:55" ht="15.95" customHeight="1" x14ac:dyDescent="0.25">
      <c r="B9" s="69"/>
      <c r="C9" s="69"/>
      <c r="D9" s="69"/>
      <c r="E9" s="69"/>
      <c r="F9" s="69"/>
      <c r="G9" s="69"/>
      <c r="H9" s="69"/>
      <c r="I9" s="69"/>
      <c r="J9" s="69"/>
      <c r="K9" s="69"/>
      <c r="L9" s="69"/>
      <c r="M9" s="69"/>
      <c r="N9" s="69"/>
      <c r="O9" s="794" t="str">
        <f>IF(INCENSTATUS="---",CONCATENATE(M3S6," ","Summary"),IF(INCENSTATUS&gt;15000,"This project may require an inspection. Please submit photos of existing equipment and of new efficient equipment once installed.",CONCATENATE(M3S6," ","Summary")))</f>
        <v>Occupancy Sensors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S9" s="69"/>
      <c r="AT9" s="69"/>
      <c r="AU9" s="69"/>
      <c r="AV9" s="69"/>
      <c r="AW9" s="69"/>
      <c r="AX9" s="69"/>
      <c r="AY9" s="69"/>
      <c r="AZ9" s="69"/>
      <c r="BA9" s="69"/>
      <c r="BB9" s="69"/>
      <c r="BC9" s="69"/>
    </row>
    <row r="10" spans="2:55" ht="15.95" customHeight="1" x14ac:dyDescent="0.25">
      <c r="B10" s="69"/>
      <c r="C10" s="69"/>
      <c r="D10" s="69"/>
      <c r="E10" s="69"/>
      <c r="F10" s="69"/>
      <c r="G10" s="69"/>
      <c r="H10" s="4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S10" s="69"/>
      <c r="AT10" s="69"/>
      <c r="AU10" t="str">
        <f>IF(M02S02F44="","CLICK HERE to update install status.",IF(M02S02F44="Yes","Haven't installed yet? CLICK HERE to update status and apply for Pre-Approval Incentives", IF(M02S02F44="No", "You ARE eligible to receive Pre-Approval Incentives")))</f>
        <v>CLICK HERE to update install status.</v>
      </c>
      <c r="AV10" s="69"/>
      <c r="AW10" s="69"/>
      <c r="AX10" s="69"/>
      <c r="AY10" s="69"/>
      <c r="AZ10" s="69"/>
      <c r="BA10" s="69"/>
      <c r="BB10" s="69"/>
      <c r="BC10" s="69"/>
    </row>
    <row r="11" spans="2:55" ht="15.95" customHeight="1" x14ac:dyDescent="0.3">
      <c r="B11" s="69"/>
      <c r="C11" s="69"/>
      <c r="D11" s="69"/>
      <c r="E11" s="69"/>
      <c r="F11" s="69"/>
      <c r="G11" s="69"/>
      <c r="H11" s="69"/>
      <c r="J11" s="1253" t="str">
        <f>IF(COUNTIF(AY16:AY35,"Yes")&gt;0,"The incentives for one or more measures are being capped at total measure cost","")</f>
        <v/>
      </c>
      <c r="K11" s="1253"/>
      <c r="L11" s="1253"/>
      <c r="M11" s="1253"/>
      <c r="N11" s="1253"/>
      <c r="O11" s="1253"/>
      <c r="P11" s="1253"/>
      <c r="Q11" s="1253"/>
      <c r="R11" s="1042" t="s">
        <v>68</v>
      </c>
      <c r="S11" s="1042"/>
      <c r="T11" s="1042"/>
      <c r="U11" s="1042"/>
      <c r="V11" s="1042" t="s">
        <v>69</v>
      </c>
      <c r="W11" s="1042"/>
      <c r="X11" s="1042"/>
      <c r="Y11" s="1042"/>
      <c r="Z11" s="1042" t="s">
        <v>70</v>
      </c>
      <c r="AA11" s="1042"/>
      <c r="AB11" s="1042"/>
      <c r="AC11" s="1042"/>
      <c r="AD11" s="255"/>
      <c r="AE11" s="255"/>
      <c r="AF11" s="255"/>
      <c r="AG11" s="255"/>
      <c r="AH11" s="255"/>
      <c r="AI11" s="255"/>
      <c r="AJ11" s="255"/>
      <c r="AK11" s="255"/>
      <c r="AL11" s="255"/>
      <c r="AM11" s="69"/>
      <c r="AN11" s="69"/>
      <c r="AO11" s="69"/>
      <c r="AP11" s="69"/>
      <c r="AQ11" s="69"/>
      <c r="AR11" s="69"/>
      <c r="AS11" s="69"/>
      <c r="AT11" s="69"/>
      <c r="AU11" s="69">
        <f>SUMPRODUCT(--(LEN(C16:AH77)&gt;0))</f>
        <v>0</v>
      </c>
      <c r="AV11" s="69"/>
      <c r="AW11" s="69"/>
      <c r="AX11" s="69"/>
      <c r="AY11" s="69"/>
      <c r="AZ11" s="69"/>
      <c r="BA11" s="69"/>
      <c r="BB11" s="69"/>
      <c r="BC11" s="69"/>
    </row>
    <row r="12" spans="2:55" ht="15.95" customHeight="1" x14ac:dyDescent="0.25">
      <c r="B12" s="69"/>
      <c r="C12" s="69"/>
      <c r="D12" s="69"/>
      <c r="E12" s="69"/>
      <c r="F12" s="69"/>
      <c r="G12" s="69"/>
      <c r="H12" s="69"/>
      <c r="I12" s="258"/>
      <c r="J12" s="1253"/>
      <c r="K12" s="1253"/>
      <c r="L12" s="1253"/>
      <c r="M12" s="1253"/>
      <c r="N12" s="1253"/>
      <c r="O12" s="1253"/>
      <c r="P12" s="1253"/>
      <c r="Q12" s="1253"/>
      <c r="R12" s="1040">
        <f>SUM(AO16:AQ199)</f>
        <v>0</v>
      </c>
      <c r="S12" s="1040"/>
      <c r="T12" s="1040"/>
      <c r="U12" s="1040"/>
      <c r="V12" s="1040">
        <f>AU200</f>
        <v>0</v>
      </c>
      <c r="W12" s="1040"/>
      <c r="X12" s="1040"/>
      <c r="Y12" s="1040"/>
      <c r="Z12" s="1041">
        <f>SUM(AK16:AN198)</f>
        <v>0</v>
      </c>
      <c r="AA12" s="1041"/>
      <c r="AB12" s="1041"/>
      <c r="AC12" s="1041"/>
      <c r="AD12" s="255"/>
      <c r="AE12" s="255"/>
      <c r="AF12" s="255"/>
      <c r="AG12" s="255"/>
      <c r="AH12" s="255"/>
      <c r="AI12" s="255"/>
      <c r="AJ12" s="255"/>
      <c r="AK12" s="255"/>
      <c r="AL12" s="255"/>
      <c r="AM12" s="69"/>
      <c r="AN12" s="69"/>
      <c r="AO12" s="69"/>
      <c r="AP12" s="69"/>
      <c r="AQ12" s="69"/>
      <c r="AR12" s="69"/>
      <c r="AS12" s="69"/>
      <c r="AT12" s="69"/>
      <c r="AU12" s="69"/>
      <c r="AV12" s="69"/>
      <c r="AW12" s="69"/>
      <c r="AX12" s="69"/>
      <c r="AY12" s="69"/>
      <c r="AZ12" s="69"/>
      <c r="BA12" s="69"/>
      <c r="BB12" s="69"/>
      <c r="BC12" s="69"/>
    </row>
    <row r="13" spans="2:55" ht="15.95" customHeight="1" x14ac:dyDescent="0.25">
      <c r="B13" s="69"/>
      <c r="H13" s="69"/>
      <c r="I13" s="258"/>
      <c r="J13" s="1253"/>
      <c r="K13" s="1253"/>
      <c r="L13" s="1253"/>
      <c r="M13" s="1253"/>
      <c r="N13" s="1253"/>
      <c r="O13" s="1253"/>
      <c r="P13" s="1253"/>
      <c r="Q13" s="1253"/>
      <c r="R13" s="1040"/>
      <c r="S13" s="1040"/>
      <c r="T13" s="1040"/>
      <c r="U13" s="1040"/>
      <c r="V13" s="1040"/>
      <c r="W13" s="1040"/>
      <c r="X13" s="1040"/>
      <c r="Y13" s="1040"/>
      <c r="Z13" s="1041"/>
      <c r="AA13" s="1041"/>
      <c r="AB13" s="1041"/>
      <c r="AC13" s="1041"/>
      <c r="AD13" s="255"/>
      <c r="AE13" s="255"/>
      <c r="AF13" s="255"/>
      <c r="AG13" s="255"/>
      <c r="AH13" s="255"/>
      <c r="AI13" s="255"/>
      <c r="AJ13" s="255"/>
      <c r="AK13" s="255"/>
      <c r="AL13" s="255"/>
      <c r="AM13" s="69"/>
      <c r="AN13" s="69"/>
      <c r="AO13" s="69"/>
      <c r="AP13" s="69"/>
      <c r="AQ13" s="69"/>
      <c r="AR13" s="69"/>
      <c r="AS13" s="69"/>
      <c r="AT13" s="69"/>
      <c r="AV13" s="69"/>
      <c r="AW13" s="69"/>
      <c r="AX13" s="69"/>
      <c r="AY13" s="69"/>
      <c r="AZ13" s="69"/>
      <c r="BA13" s="69"/>
      <c r="BB13" s="69"/>
      <c r="BC13" s="69"/>
    </row>
    <row r="14" spans="2:55" ht="15.95" customHeight="1" x14ac:dyDescent="0.25">
      <c r="B14" s="69"/>
      <c r="C14" s="745" t="s">
        <v>1988</v>
      </c>
      <c r="D14" s="745"/>
      <c r="E14" s="745"/>
      <c r="F14" s="745"/>
      <c r="G14" s="745"/>
      <c r="H14" s="745"/>
      <c r="I14" s="745"/>
      <c r="J14" s="745" t="s">
        <v>2049</v>
      </c>
      <c r="K14" s="745"/>
      <c r="L14" s="745"/>
      <c r="M14" s="745"/>
      <c r="N14" s="745"/>
      <c r="O14" s="745" t="s">
        <v>2050</v>
      </c>
      <c r="P14" s="745"/>
      <c r="Q14" s="745" t="s">
        <v>2072</v>
      </c>
      <c r="R14" s="745"/>
      <c r="S14" s="745"/>
      <c r="T14" s="745"/>
      <c r="U14" s="745"/>
      <c r="V14" s="745" t="s">
        <v>2051</v>
      </c>
      <c r="W14" s="799"/>
      <c r="X14" s="745" t="s">
        <v>2052</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U14" s="799" t="s">
        <v>191</v>
      </c>
      <c r="AV14" s="799" t="s">
        <v>192</v>
      </c>
      <c r="AW14" s="799" t="s">
        <v>207</v>
      </c>
      <c r="AX14" s="799" t="s">
        <v>193</v>
      </c>
      <c r="AY14" s="799" t="s">
        <v>1352</v>
      </c>
      <c r="AZ14" s="745" t="s">
        <v>2251</v>
      </c>
      <c r="BA14" s="745" t="s">
        <v>2006</v>
      </c>
      <c r="BB14" s="745" t="s">
        <v>2007</v>
      </c>
      <c r="BC14" s="745" t="s">
        <v>2008</v>
      </c>
    </row>
    <row r="15" spans="2:55" ht="15.95" customHeight="1" thickBot="1" x14ac:dyDescent="0.3">
      <c r="B15" s="69"/>
      <c r="C15" s="1414"/>
      <c r="D15" s="1414"/>
      <c r="E15" s="1414"/>
      <c r="F15" s="1414"/>
      <c r="G15" s="1414"/>
      <c r="H15" s="1414"/>
      <c r="I15" s="1414"/>
      <c r="J15" s="1414"/>
      <c r="K15" s="1414"/>
      <c r="L15" s="1414"/>
      <c r="M15" s="1414"/>
      <c r="N15" s="1414"/>
      <c r="O15" s="1414"/>
      <c r="P15" s="1414"/>
      <c r="Q15" s="1414"/>
      <c r="R15" s="1414"/>
      <c r="S15" s="1414"/>
      <c r="T15" s="1414"/>
      <c r="U15" s="1414"/>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U15" s="746"/>
      <c r="AV15" s="746"/>
      <c r="AW15" s="746"/>
      <c r="AX15" s="746"/>
      <c r="AY15" s="746"/>
      <c r="AZ15" s="746"/>
      <c r="BA15" s="746"/>
      <c r="BB15" s="746"/>
      <c r="BC15" s="746"/>
    </row>
    <row r="16" spans="2:55" ht="15.95" customHeight="1" x14ac:dyDescent="0.25">
      <c r="B16" s="1193">
        <v>1</v>
      </c>
      <c r="C16" s="1401"/>
      <c r="D16" s="1402"/>
      <c r="E16" s="1402"/>
      <c r="F16" s="1402"/>
      <c r="G16" s="1402"/>
      <c r="H16" s="1402"/>
      <c r="I16" s="1403"/>
      <c r="J16" s="1404" t="str">
        <f>IF(C16="","",INDEX(PMEOCCSEN[Base Condition],MATCH(C16,PMEOCCSEN[Measure Type],0)))</f>
        <v/>
      </c>
      <c r="K16" s="1405"/>
      <c r="L16" s="1405"/>
      <c r="M16" s="1405"/>
      <c r="N16" s="1406"/>
      <c r="O16" s="1407"/>
      <c r="P16" s="1408"/>
      <c r="Q16" s="1409"/>
      <c r="R16" s="1410"/>
      <c r="S16" s="1411"/>
      <c r="T16" s="1412" t="str">
        <f>IF(ISNUMBER(SEARCH("Fixture Mounted",C16)), "per Fixture",IF(ISNUMBER(SEARCH("Remote Mounted",C16)),"per Circuit",""))</f>
        <v/>
      </c>
      <c r="U16" s="1413"/>
      <c r="V16" s="1425"/>
      <c r="W16" s="1426"/>
      <c r="X16" s="1429"/>
      <c r="Y16" s="1429"/>
      <c r="Z16" s="1429"/>
      <c r="AA16" s="1429"/>
      <c r="AB16" s="1429"/>
      <c r="AC16" s="1429"/>
      <c r="AD16" s="1429"/>
      <c r="AE16" s="1419"/>
      <c r="AF16" s="1419"/>
      <c r="AG16" s="1419"/>
      <c r="AH16" s="1419"/>
      <c r="AI16" s="1431" t="str">
        <f>IF(C16="","",INDEX(PMEOCCSEN[Inc Rate Unit],MATCH(C16,PMEOCCSEN[Measure Type],0)))</f>
        <v/>
      </c>
      <c r="AJ16" s="1431"/>
      <c r="AK16" s="1424" t="str">
        <f>IF(OR(C16="",O16="",Q16="",V16="",X16="",AE16="",AB16="",AG16=""),"",IFERROR(ROUND(IF((AW16-AX16)&lt;=0,0,AZ16*(AW16-AX16)),0),""))</f>
        <v/>
      </c>
      <c r="AL16" s="1424"/>
      <c r="AM16" s="1424"/>
      <c r="AN16" s="1424"/>
      <c r="AO16" s="1393" t="str">
        <f>IF(M02S02F44="","Update Install Status",IF(M02S02F49="Yes","Not Eligible",IF(OR(C16="",O16="",Q16="",V16="",X16="",AE16="",AB16="",AG16=""),"",MIN(AU16,ROUND(AK16*AI16,2)))))</f>
        <v>Update Install Status</v>
      </c>
      <c r="AP16" s="1394"/>
      <c r="AQ16" s="1395"/>
      <c r="AR16" s="69"/>
      <c r="AU16" s="1420" t="str">
        <f>IF(OR(C16="",O16="",Q16="",V16="",X16="",AE16="",AB16="",AG16=""),"",(ROUND((AE16+AG16),2)))</f>
        <v/>
      </c>
      <c r="AV16" s="1387" t="str">
        <f>IF(OR(C16="",O16="",Q16="",V16="",X16="",AE16="",AB16="",AG16=""),"",ROUND(AK16*INDEX(ENDUSEALL[Factor],MATCH(INDEX(PMEOCCSEN[End Use],MATCH(C16,PMEOCCSEN[Measure Type],0)),ENDUSEALL[End Use to Coincident Peak Demand Factors],0)),4))</f>
        <v/>
      </c>
      <c r="AW16" s="802" t="str">
        <f>IF(OR(C16="",O16="",Q16="",V16="",X16="",AE16="",AB16="",AG16=""),"",ROUND((Q16*V16*O16)/1000,2))</f>
        <v/>
      </c>
      <c r="AX16" s="802" t="str">
        <f>IF(OR(C16="",O16="",Q16="",V16="",X16="",AE16="",AB16="",AG16=""),"",ROUND((Q16*V16*O16*(1-INDEX(PMEOCCSEN[ESF],MATCH(C16,PMEOCCSEN[Measure Type],0))))/1000,2))</f>
        <v/>
      </c>
      <c r="AY16" s="1387" t="str">
        <f>IF(OR(C16="",O16="",Q16="",V16="",X16="",AE16="",AB16="",AG16=""),"",IF(AO16&lt;&gt;AU16,"No","Yes"))</f>
        <v/>
      </c>
      <c r="AZ16" s="1370">
        <f>IF(M02S02F32&lt;&gt;"",INDEX(SPACEHEAT[HIF],MATCH(M02S02F32,SHEAT,0)),1)</f>
        <v>1</v>
      </c>
      <c r="BA16" s="1422">
        <f>IFERROR(ROUND(BC16*1.1,2),0)</f>
        <v>0</v>
      </c>
      <c r="BB16" s="1370" t="str">
        <f>IF(M02S02F44="","Update Install Status",IF(M02S02F49="Yes","Not Eligible",IF(OR(C16="",O16="",Q16="",V16="",X16="",AE16="",AB16="",AG16=""),"",ROUND(BA16*BONUSADJ,2))))</f>
        <v>Update Install Status</v>
      </c>
      <c r="BC16" s="1370" t="str">
        <f>IF(M02S02F44="","Update Install Status",IF(M02S02F49="Yes","Not Eligible",IF(OR(C16="",O16="",Q16="",V16="",X16="",AE16="",AB16="",AG16=""),"",MIN(AU16,ROUND(AK16*AI16,2)))))</f>
        <v>Update Install Status</v>
      </c>
    </row>
    <row r="17" spans="2:55" ht="15.95" customHeight="1" x14ac:dyDescent="0.25">
      <c r="B17" s="1193"/>
      <c r="C17" s="1390"/>
      <c r="D17" s="1391"/>
      <c r="E17" s="1391"/>
      <c r="F17" s="1391"/>
      <c r="G17" s="1391"/>
      <c r="H17" s="1391"/>
      <c r="I17" s="1392"/>
      <c r="J17" s="1380"/>
      <c r="K17" s="1381"/>
      <c r="L17" s="1381"/>
      <c r="M17" s="1381"/>
      <c r="N17" s="1382"/>
      <c r="O17" s="1385"/>
      <c r="P17" s="1386"/>
      <c r="Q17" s="1372"/>
      <c r="R17" s="1373"/>
      <c r="S17" s="1374"/>
      <c r="T17" s="1378"/>
      <c r="U17" s="1379"/>
      <c r="V17" s="1427"/>
      <c r="W17" s="1428"/>
      <c r="X17" s="880"/>
      <c r="Y17" s="880"/>
      <c r="Z17" s="880"/>
      <c r="AA17" s="880"/>
      <c r="AB17" s="880"/>
      <c r="AC17" s="880"/>
      <c r="AD17" s="880"/>
      <c r="AE17" s="900"/>
      <c r="AF17" s="900"/>
      <c r="AG17" s="900"/>
      <c r="AH17" s="900"/>
      <c r="AI17" s="1400"/>
      <c r="AJ17" s="1400"/>
      <c r="AK17" s="1424"/>
      <c r="AL17" s="1424"/>
      <c r="AM17" s="1424"/>
      <c r="AN17" s="1424"/>
      <c r="AO17" s="1396"/>
      <c r="AP17" s="1397"/>
      <c r="AQ17" s="1398"/>
      <c r="AR17" s="69"/>
      <c r="AU17" s="1421"/>
      <c r="AV17" s="1388"/>
      <c r="AW17" s="803"/>
      <c r="AX17" s="803"/>
      <c r="AY17" s="1388"/>
      <c r="AZ17" s="1371"/>
      <c r="BA17" s="1423"/>
      <c r="BB17" s="1371"/>
      <c r="BC17" s="1371"/>
    </row>
    <row r="18" spans="2:55" ht="15.95" customHeight="1" x14ac:dyDescent="0.25">
      <c r="B18" s="1193">
        <v>2</v>
      </c>
      <c r="C18" s="1415"/>
      <c r="D18" s="1416"/>
      <c r="E18" s="1416"/>
      <c r="F18" s="1416"/>
      <c r="G18" s="1416"/>
      <c r="H18" s="1416"/>
      <c r="I18" s="1417"/>
      <c r="J18" s="1380" t="str">
        <f>IF(C18="","",INDEX(PMEOCCSEN[Base Condition],MATCH(C18,PMEOCCSEN[Measure Type],0)))</f>
        <v/>
      </c>
      <c r="K18" s="1381"/>
      <c r="L18" s="1381"/>
      <c r="M18" s="1381"/>
      <c r="N18" s="1382"/>
      <c r="O18" s="1383"/>
      <c r="P18" s="1384"/>
      <c r="Q18" s="1375"/>
      <c r="R18" s="1376"/>
      <c r="S18" s="1377"/>
      <c r="T18" s="1378" t="str">
        <f t="shared" ref="T18" si="0">IF(ISNUMBER(SEARCH("Fixture Mounted",C18)), "per Fixture",IF(ISNUMBER(SEARCH("Remote Mounted",C18)),"per Circuit",""))</f>
        <v/>
      </c>
      <c r="U18" s="1379"/>
      <c r="V18" s="1399"/>
      <c r="W18" s="1399"/>
      <c r="X18" s="880"/>
      <c r="Y18" s="852"/>
      <c r="Z18" s="852"/>
      <c r="AA18" s="852"/>
      <c r="AB18" s="880"/>
      <c r="AC18" s="852"/>
      <c r="AD18" s="852"/>
      <c r="AE18" s="857"/>
      <c r="AF18" s="857"/>
      <c r="AG18" s="857"/>
      <c r="AH18" s="857"/>
      <c r="AI18" s="1400" t="str">
        <f>IF(C18="","",INDEX(PMEOCCSEN[Inc Rate Unit],MATCH(C18,PMEOCCSEN[Measure Type],0)))</f>
        <v/>
      </c>
      <c r="AJ18" s="1400"/>
      <c r="AK18" s="1424" t="str">
        <f t="shared" ref="AK18" si="1">IF(OR(C18="",O18="",Q18="",V18="",X18="",AE18="",AB18="",AG18=""),"",IFERROR(ROUND(IF((AW18-AX18)&lt;=0,0,AZ18*(AW18-AX18)),0),""))</f>
        <v/>
      </c>
      <c r="AL18" s="1424"/>
      <c r="AM18" s="1424"/>
      <c r="AN18" s="1424"/>
      <c r="AO18" s="1393" t="str">
        <f>IF(M02S02F44="","Update Install Status",IF(M02S02F49="Yes","Not Eligible",IF(OR(C18="",O18="",Q18="",V18="",X18="",AE18="",AB18="",AG18=""),"",MIN(AU18,ROUND(AK18*AI18,2)))))</f>
        <v>Update Install Status</v>
      </c>
      <c r="AP18" s="1394"/>
      <c r="AQ18" s="1395"/>
      <c r="AR18" s="69"/>
      <c r="AU18" s="1420" t="str">
        <f t="shared" ref="AU18" si="2">IF(OR(C18="",O18="",Q18="",V18="",X18="",AE18="",AB18="",AG18=""),"",(ROUND((AE18+AG18),2)))</f>
        <v/>
      </c>
      <c r="AV18" s="1387" t="str">
        <f>IF(OR(C18="",O18="",Q18="",V18="",X18="",AE18="",AB18="",AG18=""),"",ROUND(AK18*INDEX(ENDUSEALL[Factor],MATCH(INDEX(PMEOCCSEN[End Use],MATCH(C18,PMEOCCSEN[Measure Type],0)),ENDUSEALL[End Use to Coincident Peak Demand Factors],0)),4))</f>
        <v/>
      </c>
      <c r="AW18" s="802" t="str">
        <f t="shared" ref="AW18" si="3">IF(OR(C18="",O18="",Q18="",V18="",X18="",AE18="",AB18="",AG18=""),"",ROUND((Q18*V18*O18)/1000,2))</f>
        <v/>
      </c>
      <c r="AX18" s="802" t="str">
        <f>IF(OR(C18="",O18="",Q18="",V18="",X18="",AE18="",AB18="",AG18=""),"",ROUND((Q18*V18*O18*(1-INDEX(PMEOCCSEN[ESF],MATCH(C18,PMEOCCSEN[Measure Type],0))))/1000,2))</f>
        <v/>
      </c>
      <c r="AY18" s="1387" t="str">
        <f t="shared" ref="AY18" si="4">IF(OR(C18="",O18="",Q18="",V18="",X18="",AE18="",AB18="",AG18=""),"",IF(AO18&lt;&gt;AU18,"No","Yes"))</f>
        <v/>
      </c>
      <c r="AZ18" s="1370">
        <f>IF(M02S02F32&lt;&gt;"",INDEX(SPACEHEAT[HIF],MATCH(M02S02F32,SHEAT,0)),1)</f>
        <v>1</v>
      </c>
      <c r="BA18" s="1422">
        <f t="shared" ref="BA18" si="5">IFERROR(ROUND(BC18*1.1,2),0)</f>
        <v>0</v>
      </c>
      <c r="BB18" s="1370" t="str">
        <f>IF(M02S02F44="","Update Install Status",IF(M02S02F49="Yes","Not Eligible",IF(OR(C18="",O18="",Q18="",V18="",X18="",AE18="",AB18="",AG18=""),"",ROUND(BA18*BONUSADJ,2))))</f>
        <v>Update Install Status</v>
      </c>
      <c r="BC18" s="1370" t="str">
        <f>IF(M02S02F44="","Update Install Status",IF(M02S02F49="Yes","Not Eligible",IF(OR(C18="",O18="",Q18="",V18="",X18="",AE18="",AB18="",AG18=""),"",MIN(AU18,ROUND(AK18*AI18,2)))))</f>
        <v>Update Install Status</v>
      </c>
    </row>
    <row r="19" spans="2:55" ht="15.95" customHeight="1" x14ac:dyDescent="0.25">
      <c r="B19" s="1193"/>
      <c r="C19" s="1415"/>
      <c r="D19" s="1416"/>
      <c r="E19" s="1416"/>
      <c r="F19" s="1416"/>
      <c r="G19" s="1416"/>
      <c r="H19" s="1416"/>
      <c r="I19" s="1417"/>
      <c r="J19" s="1380"/>
      <c r="K19" s="1381"/>
      <c r="L19" s="1381"/>
      <c r="M19" s="1381"/>
      <c r="N19" s="1382"/>
      <c r="O19" s="1383"/>
      <c r="P19" s="1384"/>
      <c r="Q19" s="1375"/>
      <c r="R19" s="1376"/>
      <c r="S19" s="1377"/>
      <c r="T19" s="1378"/>
      <c r="U19" s="1379"/>
      <c r="V19" s="1399"/>
      <c r="W19" s="1399"/>
      <c r="X19" s="852"/>
      <c r="Y19" s="852"/>
      <c r="Z19" s="852"/>
      <c r="AA19" s="852"/>
      <c r="AB19" s="852"/>
      <c r="AC19" s="852"/>
      <c r="AD19" s="852"/>
      <c r="AE19" s="857"/>
      <c r="AF19" s="857"/>
      <c r="AG19" s="857"/>
      <c r="AH19" s="857"/>
      <c r="AI19" s="1400"/>
      <c r="AJ19" s="1400"/>
      <c r="AK19" s="1424"/>
      <c r="AL19" s="1424"/>
      <c r="AM19" s="1424"/>
      <c r="AN19" s="1424"/>
      <c r="AO19" s="1396"/>
      <c r="AP19" s="1397"/>
      <c r="AQ19" s="1398"/>
      <c r="AR19" s="69"/>
      <c r="AU19" s="1421"/>
      <c r="AV19" s="1388"/>
      <c r="AW19" s="803"/>
      <c r="AX19" s="803"/>
      <c r="AY19" s="1388"/>
      <c r="AZ19" s="1371"/>
      <c r="BA19" s="1423"/>
      <c r="BB19" s="1371"/>
      <c r="BC19" s="1371"/>
    </row>
    <row r="20" spans="2:55" ht="15.95" customHeight="1" x14ac:dyDescent="0.25">
      <c r="B20" s="1193">
        <v>3</v>
      </c>
      <c r="C20" s="1415"/>
      <c r="D20" s="1416"/>
      <c r="E20" s="1416"/>
      <c r="F20" s="1416"/>
      <c r="G20" s="1416"/>
      <c r="H20" s="1416"/>
      <c r="I20" s="1417"/>
      <c r="J20" s="1380" t="str">
        <f>IF(C20="","",INDEX(PMEOCCSEN[Base Condition],MATCH(C20,PMEOCCSEN[Measure Type],0)))</f>
        <v/>
      </c>
      <c r="K20" s="1381"/>
      <c r="L20" s="1381"/>
      <c r="M20" s="1381"/>
      <c r="N20" s="1382"/>
      <c r="O20" s="1383"/>
      <c r="P20" s="1384"/>
      <c r="Q20" s="1375"/>
      <c r="R20" s="1376"/>
      <c r="S20" s="1377"/>
      <c r="T20" s="1378" t="str">
        <f t="shared" ref="T20" si="6">IF(ISNUMBER(SEARCH("Fixture Mounted",C20)), "per Fixture",IF(ISNUMBER(SEARCH("Remote Mounted",C20)),"per Circuit",""))</f>
        <v/>
      </c>
      <c r="U20" s="1379"/>
      <c r="V20" s="1399"/>
      <c r="W20" s="1399"/>
      <c r="X20" s="880"/>
      <c r="Y20" s="852"/>
      <c r="Z20" s="852"/>
      <c r="AA20" s="852"/>
      <c r="AB20" s="880"/>
      <c r="AC20" s="852"/>
      <c r="AD20" s="852"/>
      <c r="AE20" s="857"/>
      <c r="AF20" s="857"/>
      <c r="AG20" s="857"/>
      <c r="AH20" s="857"/>
      <c r="AI20" s="1400" t="str">
        <f>IF(C20="","",INDEX(PMEOCCSEN[Inc Rate Unit],MATCH(C20,PMEOCCSEN[Measure Type],0)))</f>
        <v/>
      </c>
      <c r="AJ20" s="1400"/>
      <c r="AK20" s="1424" t="str">
        <f t="shared" ref="AK20" si="7">IF(OR(C20="",O20="",Q20="",V20="",X20="",AE20="",AB20="",AG20=""),"",IFERROR(ROUND(IF((AW20-AX20)&lt;=0,0,AZ20*(AW20-AX20)),0),""))</f>
        <v/>
      </c>
      <c r="AL20" s="1424"/>
      <c r="AM20" s="1424"/>
      <c r="AN20" s="1424"/>
      <c r="AO20" s="1393" t="str">
        <f>IF(M02S02F44="","Update Install Status",IF(M02S02F49="Yes","Not Eligible",IF(OR(C20="",O20="",Q20="",V20="",X20="",AE20="",AB20="",AG20=""),"",MIN(AU20,ROUND(AK20*AI20,2)))))</f>
        <v>Update Install Status</v>
      </c>
      <c r="AP20" s="1394"/>
      <c r="AQ20" s="1395"/>
      <c r="AR20" s="69"/>
      <c r="AU20" s="1420" t="str">
        <f t="shared" ref="AU20" si="8">IF(OR(C20="",O20="",Q20="",V20="",X20="",AE20="",AB20="",AG20=""),"",(ROUND((AE20+AG20),2)))</f>
        <v/>
      </c>
      <c r="AV20" s="1387" t="str">
        <f>IF(OR(C20="",O20="",Q20="",V20="",X20="",AE20="",AB20="",AG20=""),"",ROUND(AK20*INDEX(ENDUSEALL[Factor],MATCH(INDEX(PMEOCCSEN[End Use],MATCH(C20,PMEOCCSEN[Measure Type],0)),ENDUSEALL[End Use to Coincident Peak Demand Factors],0)),4))</f>
        <v/>
      </c>
      <c r="AW20" s="802" t="str">
        <f t="shared" ref="AW20" si="9">IF(OR(C20="",O20="",Q20="",V20="",X20="",AE20="",AB20="",AG20=""),"",ROUND((Q20*V20*O20)/1000,2))</f>
        <v/>
      </c>
      <c r="AX20" s="802" t="str">
        <f>IF(OR(C20="",O20="",Q20="",V20="",X20="",AE20="",AB20="",AG20=""),"",ROUND((Q20*V20*O20*(1-INDEX(PMEOCCSEN[ESF],MATCH(C20,PMEOCCSEN[Measure Type],0))))/1000,2))</f>
        <v/>
      </c>
      <c r="AY20" s="1387" t="str">
        <f t="shared" ref="AY20" si="10">IF(OR(C20="",O20="",Q20="",V20="",X20="",AE20="",AB20="",AG20=""),"",IF(AO20&lt;&gt;AU20,"No","Yes"))</f>
        <v/>
      </c>
      <c r="AZ20" s="1370">
        <f>IF(M02S02F32&lt;&gt;"",INDEX(SPACEHEAT[HIF],MATCH(M02S02F32,SHEAT,0)),1)</f>
        <v>1</v>
      </c>
      <c r="BA20" s="1422">
        <f t="shared" ref="BA20" si="11">IFERROR(ROUND(BC20*1.1,2),0)</f>
        <v>0</v>
      </c>
      <c r="BB20" s="1370" t="str">
        <f>IF(M02S02F44="","Update Install Status",IF(M02S02F49="Yes","Not Eligible",IF(OR(C20="",O20="",Q20="",V20="",X20="",AE20="",AB20="",AG20=""),"",ROUND(BA20*BONUSADJ,2))))</f>
        <v>Update Install Status</v>
      </c>
      <c r="BC20" s="1370" t="str">
        <f>IF(M02S02F44="","Update Install Status",IF(M02S02F49="Yes","Not Eligible",IF(OR(C20="",O20="",Q20="",V20="",X20="",AE20="",AB20="",AG20=""),"",MIN(AU20,ROUND(AK20*AI20,2)))))</f>
        <v>Update Install Status</v>
      </c>
    </row>
    <row r="21" spans="2:55" ht="15.95" customHeight="1" x14ac:dyDescent="0.25">
      <c r="B21" s="1193"/>
      <c r="C21" s="1415"/>
      <c r="D21" s="1416"/>
      <c r="E21" s="1416"/>
      <c r="F21" s="1416"/>
      <c r="G21" s="1416"/>
      <c r="H21" s="1416"/>
      <c r="I21" s="1417"/>
      <c r="J21" s="1380"/>
      <c r="K21" s="1381"/>
      <c r="L21" s="1381"/>
      <c r="M21" s="1381"/>
      <c r="N21" s="1382"/>
      <c r="O21" s="1383"/>
      <c r="P21" s="1384"/>
      <c r="Q21" s="1375"/>
      <c r="R21" s="1376"/>
      <c r="S21" s="1377"/>
      <c r="T21" s="1378"/>
      <c r="U21" s="1379"/>
      <c r="V21" s="1399"/>
      <c r="W21" s="1399"/>
      <c r="X21" s="852"/>
      <c r="Y21" s="852"/>
      <c r="Z21" s="852"/>
      <c r="AA21" s="852"/>
      <c r="AB21" s="852"/>
      <c r="AC21" s="852"/>
      <c r="AD21" s="852"/>
      <c r="AE21" s="857"/>
      <c r="AF21" s="857"/>
      <c r="AG21" s="857"/>
      <c r="AH21" s="857"/>
      <c r="AI21" s="1400"/>
      <c r="AJ21" s="1400"/>
      <c r="AK21" s="1424"/>
      <c r="AL21" s="1424"/>
      <c r="AM21" s="1424"/>
      <c r="AN21" s="1424"/>
      <c r="AO21" s="1396"/>
      <c r="AP21" s="1397"/>
      <c r="AQ21" s="1398"/>
      <c r="AR21" s="69"/>
      <c r="AU21" s="1421"/>
      <c r="AV21" s="1388"/>
      <c r="AW21" s="803"/>
      <c r="AX21" s="803"/>
      <c r="AY21" s="1388"/>
      <c r="AZ21" s="1371"/>
      <c r="BA21" s="1423"/>
      <c r="BB21" s="1371"/>
      <c r="BC21" s="1371"/>
    </row>
    <row r="22" spans="2:55" ht="15.95" customHeight="1" x14ac:dyDescent="0.25">
      <c r="B22" s="1193">
        <v>4</v>
      </c>
      <c r="C22" s="1415"/>
      <c r="D22" s="1416"/>
      <c r="E22" s="1416"/>
      <c r="F22" s="1416"/>
      <c r="G22" s="1416"/>
      <c r="H22" s="1416"/>
      <c r="I22" s="1417"/>
      <c r="J22" s="1380" t="str">
        <f>IF(C22="","",INDEX(PMEOCCSEN[Base Condition],MATCH(C22,PMEOCCSEN[Measure Type],0)))</f>
        <v/>
      </c>
      <c r="K22" s="1381"/>
      <c r="L22" s="1381"/>
      <c r="M22" s="1381"/>
      <c r="N22" s="1382"/>
      <c r="O22" s="1383"/>
      <c r="P22" s="1384"/>
      <c r="Q22" s="1375"/>
      <c r="R22" s="1376"/>
      <c r="S22" s="1377"/>
      <c r="T22" s="1378" t="str">
        <f t="shared" ref="T22" si="12">IF(ISNUMBER(SEARCH("Fixture Mounted",C22)), "per Fixture",IF(ISNUMBER(SEARCH("Remote Mounted",C22)),"per Circuit",""))</f>
        <v/>
      </c>
      <c r="U22" s="1379"/>
      <c r="V22" s="1399"/>
      <c r="W22" s="1399"/>
      <c r="X22" s="880"/>
      <c r="Y22" s="852"/>
      <c r="Z22" s="852"/>
      <c r="AA22" s="852"/>
      <c r="AB22" s="880"/>
      <c r="AC22" s="852"/>
      <c r="AD22" s="852"/>
      <c r="AE22" s="857"/>
      <c r="AF22" s="857"/>
      <c r="AG22" s="857"/>
      <c r="AH22" s="857"/>
      <c r="AI22" s="1400" t="str">
        <f>IF(C22="","",INDEX(PMEOCCSEN[Inc Rate Unit],MATCH(C22,PMEOCCSEN[Measure Type],0)))</f>
        <v/>
      </c>
      <c r="AJ22" s="1400"/>
      <c r="AK22" s="1424" t="str">
        <f t="shared" ref="AK22" si="13">IF(OR(C22="",O22="",Q22="",V22="",X22="",AE22="",AB22="",AG22=""),"",IFERROR(ROUND(IF((AW22-AX22)&lt;=0,0,AZ22*(AW22-AX22)),0),""))</f>
        <v/>
      </c>
      <c r="AL22" s="1424"/>
      <c r="AM22" s="1424"/>
      <c r="AN22" s="1424"/>
      <c r="AO22" s="1393" t="str">
        <f>IF(M02S02F44="","Update Install Status",IF(M02S02F49="Yes","Not Eligible",IF(OR(C22="",O22="",Q22="",V22="",X22="",AE22="",AB22="",AG22=""),"",MIN(AU22,ROUND(AK22*AI22,2)))))</f>
        <v>Update Install Status</v>
      </c>
      <c r="AP22" s="1394"/>
      <c r="AQ22" s="1395"/>
      <c r="AR22" s="69"/>
      <c r="AU22" s="1420" t="str">
        <f t="shared" ref="AU22" si="14">IF(OR(C22="",O22="",Q22="",V22="",X22="",AE22="",AB22="",AG22=""),"",(ROUND((AE22+AG22),2)))</f>
        <v/>
      </c>
      <c r="AV22" s="1387" t="str">
        <f>IF(OR(C22="",O22="",Q22="",V22="",X22="",AE22="",AB22="",AG22=""),"",ROUND(AK22*INDEX(ENDUSEALL[Factor],MATCH(INDEX(PMEOCCSEN[End Use],MATCH(C22,PMEOCCSEN[Measure Type],0)),ENDUSEALL[End Use to Coincident Peak Demand Factors],0)),4))</f>
        <v/>
      </c>
      <c r="AW22" s="802" t="str">
        <f t="shared" ref="AW22" si="15">IF(OR(C22="",O22="",Q22="",V22="",X22="",AE22="",AB22="",AG22=""),"",ROUND((Q22*V22*O22)/1000,2))</f>
        <v/>
      </c>
      <c r="AX22" s="802" t="str">
        <f>IF(OR(C22="",O22="",Q22="",V22="",X22="",AE22="",AB22="",AG22=""),"",ROUND((Q22*V22*O22*(1-INDEX(PMEOCCSEN[ESF],MATCH(C22,PMEOCCSEN[Measure Type],0))))/1000,2))</f>
        <v/>
      </c>
      <c r="AY22" s="1387" t="str">
        <f t="shared" ref="AY22" si="16">IF(OR(C22="",O22="",Q22="",V22="",X22="",AE22="",AB22="",AG22=""),"",IF(AO22&lt;&gt;AU22,"No","Yes"))</f>
        <v/>
      </c>
      <c r="AZ22" s="1370">
        <f>IF(M02S02F32&lt;&gt;"",INDEX(SPACEHEAT[HIF],MATCH(M02S02F32,SHEAT,0)),1)</f>
        <v>1</v>
      </c>
      <c r="BA22" s="1422">
        <f t="shared" ref="BA22" si="17">IFERROR(ROUND(BC22*1.1,2),0)</f>
        <v>0</v>
      </c>
      <c r="BB22" s="1370" t="str">
        <f>IF(M02S02F44="","Update Install Status",IF(M02S02F49="Yes","Not Eligible",IF(OR(C22="",O22="",Q22="",V22="",X22="",AE22="",AB22="",AG22=""),"",ROUND(BA22*BONUSADJ,2))))</f>
        <v>Update Install Status</v>
      </c>
      <c r="BC22" s="1370" t="str">
        <f>IF(M02S02F44="","Update Install Status",IF(M02S02F49="Yes","Not Eligible",IF(OR(C22="",O22="",Q22="",V22="",X22="",AE22="",AB22="",AG22=""),"",MIN(AU22,ROUND(AK22*AI22,2)))))</f>
        <v>Update Install Status</v>
      </c>
    </row>
    <row r="23" spans="2:55" ht="15.95" customHeight="1" x14ac:dyDescent="0.25">
      <c r="B23" s="1193"/>
      <c r="C23" s="1415"/>
      <c r="D23" s="1416"/>
      <c r="E23" s="1416"/>
      <c r="F23" s="1416"/>
      <c r="G23" s="1416"/>
      <c r="H23" s="1416"/>
      <c r="I23" s="1417"/>
      <c r="J23" s="1380"/>
      <c r="K23" s="1381"/>
      <c r="L23" s="1381"/>
      <c r="M23" s="1381"/>
      <c r="N23" s="1382"/>
      <c r="O23" s="1383"/>
      <c r="P23" s="1384"/>
      <c r="Q23" s="1375"/>
      <c r="R23" s="1376"/>
      <c r="S23" s="1377"/>
      <c r="T23" s="1378"/>
      <c r="U23" s="1379"/>
      <c r="V23" s="1399"/>
      <c r="W23" s="1399"/>
      <c r="X23" s="852"/>
      <c r="Y23" s="852"/>
      <c r="Z23" s="852"/>
      <c r="AA23" s="852"/>
      <c r="AB23" s="852"/>
      <c r="AC23" s="852"/>
      <c r="AD23" s="852"/>
      <c r="AE23" s="857"/>
      <c r="AF23" s="857"/>
      <c r="AG23" s="857"/>
      <c r="AH23" s="857"/>
      <c r="AI23" s="1400"/>
      <c r="AJ23" s="1400"/>
      <c r="AK23" s="1424"/>
      <c r="AL23" s="1424"/>
      <c r="AM23" s="1424"/>
      <c r="AN23" s="1424"/>
      <c r="AO23" s="1396"/>
      <c r="AP23" s="1397"/>
      <c r="AQ23" s="1398"/>
      <c r="AR23" s="69"/>
      <c r="AU23" s="1421"/>
      <c r="AV23" s="1388"/>
      <c r="AW23" s="803"/>
      <c r="AX23" s="803"/>
      <c r="AY23" s="1388"/>
      <c r="AZ23" s="1371"/>
      <c r="BA23" s="1423"/>
      <c r="BB23" s="1371"/>
      <c r="BC23" s="1371"/>
    </row>
    <row r="24" spans="2:55" ht="15.95" customHeight="1" x14ac:dyDescent="0.25">
      <c r="B24" s="1193">
        <v>5</v>
      </c>
      <c r="C24" s="1415"/>
      <c r="D24" s="1416"/>
      <c r="E24" s="1416"/>
      <c r="F24" s="1416"/>
      <c r="G24" s="1416"/>
      <c r="H24" s="1416"/>
      <c r="I24" s="1417"/>
      <c r="J24" s="1380" t="str">
        <f>IF(C24="","",INDEX(PMEOCCSEN[Base Condition],MATCH(C24,PMEOCCSEN[Measure Type],0)))</f>
        <v/>
      </c>
      <c r="K24" s="1381"/>
      <c r="L24" s="1381"/>
      <c r="M24" s="1381"/>
      <c r="N24" s="1382"/>
      <c r="O24" s="1383"/>
      <c r="P24" s="1384"/>
      <c r="Q24" s="1375"/>
      <c r="R24" s="1376"/>
      <c r="S24" s="1377"/>
      <c r="T24" s="1378" t="str">
        <f t="shared" ref="T24" si="18">IF(ISNUMBER(SEARCH("Fixture Mounted",C24)), "per Fixture",IF(ISNUMBER(SEARCH("Remote Mounted",C24)),"per Circuit",""))</f>
        <v/>
      </c>
      <c r="U24" s="1379"/>
      <c r="V24" s="1399"/>
      <c r="W24" s="1399"/>
      <c r="X24" s="1219"/>
      <c r="Y24" s="852"/>
      <c r="Z24" s="852"/>
      <c r="AA24" s="852"/>
      <c r="AB24" s="1219"/>
      <c r="AC24" s="852"/>
      <c r="AD24" s="852"/>
      <c r="AE24" s="857"/>
      <c r="AF24" s="857"/>
      <c r="AG24" s="857"/>
      <c r="AH24" s="857"/>
      <c r="AI24" s="1400" t="str">
        <f>IF(C24="","",INDEX(PMEOCCSEN[Inc Rate Unit],MATCH(C24,PMEOCCSEN[Measure Type],0)))</f>
        <v/>
      </c>
      <c r="AJ24" s="1400"/>
      <c r="AK24" s="1424" t="str">
        <f t="shared" ref="AK24" si="19">IF(OR(C24="",O24="",Q24="",V24="",X24="",AE24="",AB24="",AG24=""),"",IFERROR(ROUND(IF((AW24-AX24)&lt;=0,0,AZ24*(AW24-AX24)),0),""))</f>
        <v/>
      </c>
      <c r="AL24" s="1424"/>
      <c r="AM24" s="1424"/>
      <c r="AN24" s="1424"/>
      <c r="AO24" s="1393" t="str">
        <f>IF(M02S02F44="","Update Install Status",IF(M02S02F49="Yes","Not Eligible",IF(OR(C24="",O24="",Q24="",V24="",X24="",AE24="",AB24="",AG24=""),"",MIN(AU24,ROUND(AK24*AI24,2)))))</f>
        <v>Update Install Status</v>
      </c>
      <c r="AP24" s="1394"/>
      <c r="AQ24" s="1395"/>
      <c r="AU24" s="1420" t="str">
        <f t="shared" ref="AU24" si="20">IF(OR(C24="",O24="",Q24="",V24="",X24="",AE24="",AB24="",AG24=""),"",(ROUND((AE24+AG24),2)))</f>
        <v/>
      </c>
      <c r="AV24" s="1387" t="str">
        <f>IF(OR(C24="",O24="",Q24="",V24="",X24="",AE24="",AB24="",AG24=""),"",ROUND(AK24*INDEX(ENDUSEALL[Factor],MATCH(INDEX(PMEOCCSEN[End Use],MATCH(C24,PMEOCCSEN[Measure Type],0)),ENDUSEALL[End Use to Coincident Peak Demand Factors],0)),4))</f>
        <v/>
      </c>
      <c r="AW24" s="802" t="str">
        <f t="shared" ref="AW24" si="21">IF(OR(C24="",O24="",Q24="",V24="",X24="",AE24="",AB24="",AG24=""),"",ROUND((Q24*V24*O24)/1000,2))</f>
        <v/>
      </c>
      <c r="AX24" s="802" t="str">
        <f>IF(OR(C24="",O24="",Q24="",V24="",X24="",AE24="",AB24="",AG24=""),"",ROUND((Q24*V24*O24*(1-INDEX(PMEOCCSEN[ESF],MATCH(C24,PMEOCCSEN[Measure Type],0))))/1000,2))</f>
        <v/>
      </c>
      <c r="AY24" s="1387" t="str">
        <f t="shared" ref="AY24" si="22">IF(OR(C24="",O24="",Q24="",V24="",X24="",AE24="",AB24="",AG24=""),"",IF(AO24&lt;&gt;AU24,"No","Yes"))</f>
        <v/>
      </c>
      <c r="AZ24" s="1370">
        <f>IF(M02S02F32&lt;&gt;"",INDEX(SPACEHEAT[HIF],MATCH(M02S02F32,SHEAT,0)),1)</f>
        <v>1</v>
      </c>
      <c r="BA24" s="1422">
        <f t="shared" ref="BA24" si="23">IFERROR(ROUND(BC24*1.1,2),0)</f>
        <v>0</v>
      </c>
      <c r="BB24" s="1370" t="str">
        <f>IF(M02S02F44="","Update Install Status",IF(M02S02F49="Yes","Not Eligible",IF(OR(C24="",O24="",Q24="",V24="",X24="",AE24="",AB24="",AG24=""),"",ROUND(BA24*BONUSADJ,2))))</f>
        <v>Update Install Status</v>
      </c>
      <c r="BC24" s="1370" t="str">
        <f>IF(M02S02F44="","Update Install Status",IF(M02S02F49="Yes","Not Eligible",IF(OR(C24="",O24="",Q24="",V24="",X24="",AE24="",AB24="",AG24=""),"",MIN(AU24,ROUND(AK24*AI24,2)))))</f>
        <v>Update Install Status</v>
      </c>
    </row>
    <row r="25" spans="2:55" ht="15.95" customHeight="1" x14ac:dyDescent="0.25">
      <c r="B25" s="1193"/>
      <c r="C25" s="1415"/>
      <c r="D25" s="1416"/>
      <c r="E25" s="1416"/>
      <c r="F25" s="1416"/>
      <c r="G25" s="1416"/>
      <c r="H25" s="1416"/>
      <c r="I25" s="1417"/>
      <c r="J25" s="1380"/>
      <c r="K25" s="1381"/>
      <c r="L25" s="1381"/>
      <c r="M25" s="1381"/>
      <c r="N25" s="1382"/>
      <c r="O25" s="1383"/>
      <c r="P25" s="1384"/>
      <c r="Q25" s="1375"/>
      <c r="R25" s="1376"/>
      <c r="S25" s="1377"/>
      <c r="T25" s="1378"/>
      <c r="U25" s="1379"/>
      <c r="V25" s="1399"/>
      <c r="W25" s="1399"/>
      <c r="X25" s="852"/>
      <c r="Y25" s="852"/>
      <c r="Z25" s="852"/>
      <c r="AA25" s="852"/>
      <c r="AB25" s="852"/>
      <c r="AC25" s="852"/>
      <c r="AD25" s="852"/>
      <c r="AE25" s="857"/>
      <c r="AF25" s="857"/>
      <c r="AG25" s="857"/>
      <c r="AH25" s="857"/>
      <c r="AI25" s="1400"/>
      <c r="AJ25" s="1400"/>
      <c r="AK25" s="1424"/>
      <c r="AL25" s="1424"/>
      <c r="AM25" s="1424"/>
      <c r="AN25" s="1424"/>
      <c r="AO25" s="1396"/>
      <c r="AP25" s="1397"/>
      <c r="AQ25" s="1398"/>
      <c r="AU25" s="1421"/>
      <c r="AV25" s="1388"/>
      <c r="AW25" s="803"/>
      <c r="AX25" s="803"/>
      <c r="AY25" s="1388"/>
      <c r="AZ25" s="1371"/>
      <c r="BA25" s="1423"/>
      <c r="BB25" s="1371"/>
      <c r="BC25" s="1371"/>
    </row>
    <row r="26" spans="2:55" ht="15.95" customHeight="1" x14ac:dyDescent="0.25">
      <c r="B26" s="1193">
        <v>6</v>
      </c>
      <c r="C26" s="1390"/>
      <c r="D26" s="1391"/>
      <c r="E26" s="1391"/>
      <c r="F26" s="1391"/>
      <c r="G26" s="1391"/>
      <c r="H26" s="1391"/>
      <c r="I26" s="1392"/>
      <c r="J26" s="1380" t="str">
        <f>IF(C26="","",INDEX(PMEOCCSEN[Base Condition],MATCH(C26,PMEOCCSEN[Measure Type],0)))</f>
        <v/>
      </c>
      <c r="K26" s="1381"/>
      <c r="L26" s="1381"/>
      <c r="M26" s="1381"/>
      <c r="N26" s="1382"/>
      <c r="O26" s="1385"/>
      <c r="P26" s="1386"/>
      <c r="Q26" s="1372"/>
      <c r="R26" s="1373"/>
      <c r="S26" s="1374"/>
      <c r="T26" s="1378" t="str">
        <f t="shared" ref="T26" si="24">IF(ISNUMBER(SEARCH("Fixture Mounted",C26)), "per Fixture",IF(ISNUMBER(SEARCH("Remote Mounted",C26)),"per Circuit",""))</f>
        <v/>
      </c>
      <c r="U26" s="1379"/>
      <c r="V26" s="1389"/>
      <c r="W26" s="1389"/>
      <c r="X26" s="880"/>
      <c r="Y26" s="880"/>
      <c r="Z26" s="880"/>
      <c r="AA26" s="880"/>
      <c r="AB26" s="880"/>
      <c r="AC26" s="880"/>
      <c r="AD26" s="880"/>
      <c r="AE26" s="900"/>
      <c r="AF26" s="900"/>
      <c r="AG26" s="900"/>
      <c r="AH26" s="900"/>
      <c r="AI26" s="1400" t="str">
        <f>IF(C26="","",INDEX(PMEOCCSEN[Inc Rate Unit],MATCH(C26,PMEOCCSEN[Measure Type],0)))</f>
        <v/>
      </c>
      <c r="AJ26" s="1400"/>
      <c r="AK26" s="1424" t="str">
        <f t="shared" ref="AK26" si="25">IF(OR(C26="",O26="",Q26="",V26="",X26="",AE26="",AB26="",AG26=""),"",IFERROR(ROUND(IF((AW26-AX26)&lt;=0,0,AZ26*(AW26-AX26)),0),""))</f>
        <v/>
      </c>
      <c r="AL26" s="1424"/>
      <c r="AM26" s="1424"/>
      <c r="AN26" s="1424"/>
      <c r="AO26" s="1393" t="str">
        <f>IF(M02S02F44="","Update Install Status",IF(M02S02F49="Yes","Not Eligible",IF(OR(C26="",O26="",Q26="",V26="",X26="",AE26="",AB26="",AG26=""),"",MIN(AU26,ROUND(AK26*AI26,2)))))</f>
        <v>Update Install Status</v>
      </c>
      <c r="AP26" s="1394"/>
      <c r="AQ26" s="1395"/>
      <c r="AU26" s="1420" t="str">
        <f t="shared" ref="AU26" si="26">IF(OR(C26="",O26="",Q26="",V26="",X26="",AE26="",AB26="",AG26=""),"",(ROUND((AE26+AG26),2)))</f>
        <v/>
      </c>
      <c r="AV26" s="1387" t="str">
        <f>IF(OR(C26="",O26="",Q26="",V26="",X26="",AE26="",AB26="",AG26=""),"",ROUND(AK26*INDEX(ENDUSEALL[Factor],MATCH(INDEX(PMEOCCSEN[End Use],MATCH(C26,PMEOCCSEN[Measure Type],0)),ENDUSEALL[End Use to Coincident Peak Demand Factors],0)),4))</f>
        <v/>
      </c>
      <c r="AW26" s="802" t="str">
        <f t="shared" ref="AW26" si="27">IF(OR(C26="",O26="",Q26="",V26="",X26="",AE26="",AB26="",AG26=""),"",ROUND((Q26*V26*O26)/1000,2))</f>
        <v/>
      </c>
      <c r="AX26" s="802" t="str">
        <f>IF(OR(C26="",O26="",Q26="",V26="",X26="",AE26="",AB26="",AG26=""),"",ROUND((Q26*V26*O26*(1-INDEX(PMEOCCSEN[ESF],MATCH(C26,PMEOCCSEN[Measure Type],0))))/1000,2))</f>
        <v/>
      </c>
      <c r="AY26" s="1387" t="str">
        <f t="shared" ref="AY26" si="28">IF(OR(C26="",O26="",Q26="",V26="",X26="",AE26="",AB26="",AG26=""),"",IF(AO26&lt;&gt;AU26,"No","Yes"))</f>
        <v/>
      </c>
      <c r="AZ26" s="1370">
        <f>IF(M02S02F32&lt;&gt;"",INDEX(SPACEHEAT[HIF],MATCH(M02S02F32,SHEAT,0)),1)</f>
        <v>1</v>
      </c>
      <c r="BA26" s="1422">
        <f t="shared" ref="BA26" si="29">IFERROR(ROUND(BC26*1.1,2),0)</f>
        <v>0</v>
      </c>
      <c r="BB26" s="1370" t="str">
        <f>IF(M02S02F44="","Update Install Status",IF(M02S02F49="Yes","Not Eligible",IF(OR(C26="",O26="",Q26="",V26="",X26="",AE26="",AB26="",AG26=""),"",ROUND(BA26*BONUSADJ,2))))</f>
        <v>Update Install Status</v>
      </c>
      <c r="BC26" s="1370" t="str">
        <f>IF(M02S02F44="","Update Install Status",IF(M02S02F49="Yes","Not Eligible",IF(OR(C26="",O26="",Q26="",V26="",X26="",AE26="",AB26="",AG26=""),"",MIN(AU26,ROUND(AK26*AI26,2)))))</f>
        <v>Update Install Status</v>
      </c>
    </row>
    <row r="27" spans="2:55" ht="15.95" customHeight="1" x14ac:dyDescent="0.25">
      <c r="B27" s="1193"/>
      <c r="C27" s="1390"/>
      <c r="D27" s="1391"/>
      <c r="E27" s="1391"/>
      <c r="F27" s="1391"/>
      <c r="G27" s="1391"/>
      <c r="H27" s="1391"/>
      <c r="I27" s="1392"/>
      <c r="J27" s="1380"/>
      <c r="K27" s="1381"/>
      <c r="L27" s="1381"/>
      <c r="M27" s="1381"/>
      <c r="N27" s="1382"/>
      <c r="O27" s="1385"/>
      <c r="P27" s="1386"/>
      <c r="Q27" s="1372"/>
      <c r="R27" s="1373"/>
      <c r="S27" s="1374"/>
      <c r="T27" s="1378"/>
      <c r="U27" s="1379"/>
      <c r="V27" s="1389"/>
      <c r="W27" s="1389"/>
      <c r="X27" s="880"/>
      <c r="Y27" s="880"/>
      <c r="Z27" s="880"/>
      <c r="AA27" s="880"/>
      <c r="AB27" s="880"/>
      <c r="AC27" s="880"/>
      <c r="AD27" s="880"/>
      <c r="AE27" s="900"/>
      <c r="AF27" s="900"/>
      <c r="AG27" s="900"/>
      <c r="AH27" s="900"/>
      <c r="AI27" s="1400"/>
      <c r="AJ27" s="1400"/>
      <c r="AK27" s="1424"/>
      <c r="AL27" s="1424"/>
      <c r="AM27" s="1424"/>
      <c r="AN27" s="1424"/>
      <c r="AO27" s="1396"/>
      <c r="AP27" s="1397"/>
      <c r="AQ27" s="1398"/>
      <c r="AU27" s="1421"/>
      <c r="AV27" s="1388"/>
      <c r="AW27" s="803"/>
      <c r="AX27" s="803"/>
      <c r="AY27" s="1388"/>
      <c r="AZ27" s="1371"/>
      <c r="BA27" s="1423"/>
      <c r="BB27" s="1371"/>
      <c r="BC27" s="1371"/>
    </row>
    <row r="28" spans="2:55" ht="15.95" customHeight="1" x14ac:dyDescent="0.25">
      <c r="B28" s="1193">
        <v>7</v>
      </c>
      <c r="C28" s="1390"/>
      <c r="D28" s="1391"/>
      <c r="E28" s="1391"/>
      <c r="F28" s="1391"/>
      <c r="G28" s="1391"/>
      <c r="H28" s="1391"/>
      <c r="I28" s="1392"/>
      <c r="J28" s="1380" t="str">
        <f>IF(C28="","",INDEX(PMEOCCSEN[Base Condition],MATCH(C28,PMEOCCSEN[Measure Type],0)))</f>
        <v/>
      </c>
      <c r="K28" s="1381"/>
      <c r="L28" s="1381"/>
      <c r="M28" s="1381"/>
      <c r="N28" s="1382"/>
      <c r="O28" s="1385"/>
      <c r="P28" s="1386"/>
      <c r="Q28" s="1372"/>
      <c r="R28" s="1373"/>
      <c r="S28" s="1374"/>
      <c r="T28" s="1378" t="str">
        <f t="shared" ref="T28" si="30">IF(ISNUMBER(SEARCH("Fixture Mounted",C28)), "per Fixture",IF(ISNUMBER(SEARCH("Remote Mounted",C28)),"per Circuit",""))</f>
        <v/>
      </c>
      <c r="U28" s="1379"/>
      <c r="V28" s="1389"/>
      <c r="W28" s="1389"/>
      <c r="X28" s="880"/>
      <c r="Y28" s="880"/>
      <c r="Z28" s="880"/>
      <c r="AA28" s="880"/>
      <c r="AB28" s="880"/>
      <c r="AC28" s="880"/>
      <c r="AD28" s="880"/>
      <c r="AE28" s="900"/>
      <c r="AF28" s="900"/>
      <c r="AG28" s="900"/>
      <c r="AH28" s="900"/>
      <c r="AI28" s="1400" t="str">
        <f>IF(C28="","",INDEX(PMEOCCSEN[Inc Rate Unit],MATCH(C28,PMEOCCSEN[Measure Type],0)))</f>
        <v/>
      </c>
      <c r="AJ28" s="1400"/>
      <c r="AK28" s="1424" t="str">
        <f t="shared" ref="AK28" si="31">IF(OR(C28="",O28="",Q28="",V28="",X28="",AE28="",AB28="",AG28=""),"",IFERROR(ROUND(IF((AW28-AX28)&lt;=0,0,AZ28*(AW28-AX28)),0),""))</f>
        <v/>
      </c>
      <c r="AL28" s="1424"/>
      <c r="AM28" s="1424"/>
      <c r="AN28" s="1424"/>
      <c r="AO28" s="1393" t="str">
        <f>IF(M02S02F44="","Update Install Status",IF(M02S02F49="Yes","Not Eligible",IF(OR(C28="",O28="",Q28="",V28="",X28="",AE28="",AB28="",AG28=""),"",MIN(AU28,ROUND(AK28*AI28,2)))))</f>
        <v>Update Install Status</v>
      </c>
      <c r="AP28" s="1394"/>
      <c r="AQ28" s="1395"/>
      <c r="AU28" s="1420" t="str">
        <f t="shared" ref="AU28" si="32">IF(OR(C28="",O28="",Q28="",V28="",X28="",AE28="",AB28="",AG28=""),"",(ROUND((AE28+AG28),2)))</f>
        <v/>
      </c>
      <c r="AV28" s="1387" t="str">
        <f>IF(OR(C28="",O28="",Q28="",V28="",X28="",AE28="",AB28="",AG28=""),"",ROUND(AK28*INDEX(ENDUSEALL[Factor],MATCH(INDEX(PMEOCCSEN[End Use],MATCH(C28,PMEOCCSEN[Measure Type],0)),ENDUSEALL[End Use to Coincident Peak Demand Factors],0)),4))</f>
        <v/>
      </c>
      <c r="AW28" s="802" t="str">
        <f t="shared" ref="AW28" si="33">IF(OR(C28="",O28="",Q28="",V28="",X28="",AE28="",AB28="",AG28=""),"",ROUND((Q28*V28*O28)/1000,2))</f>
        <v/>
      </c>
      <c r="AX28" s="802" t="str">
        <f>IF(OR(C28="",O28="",Q28="",V28="",X28="",AE28="",AB28="",AG28=""),"",ROUND((Q28*V28*O28*(1-INDEX(PMEOCCSEN[ESF],MATCH(C28,PMEOCCSEN[Measure Type],0))))/1000,2))</f>
        <v/>
      </c>
      <c r="AY28" s="1387" t="str">
        <f t="shared" ref="AY28" si="34">IF(OR(C28="",O28="",Q28="",V28="",X28="",AE28="",AB28="",AG28=""),"",IF(AO28&lt;&gt;AU28,"No","Yes"))</f>
        <v/>
      </c>
      <c r="AZ28" s="1370">
        <f>IF(M02S02F32&lt;&gt;"",INDEX(SPACEHEAT[HIF],MATCH(M02S02F32,SHEAT,0)),1)</f>
        <v>1</v>
      </c>
      <c r="BA28" s="1422">
        <f t="shared" ref="BA28" si="35">IFERROR(ROUND(BC28*1.1,2),0)</f>
        <v>0</v>
      </c>
      <c r="BB28" s="1370" t="str">
        <f>IF(M02S02F44="","Update Install Status",IF(M02S02F49="Yes","Not Eligible",IF(OR(C28="",O28="",Q28="",V28="",X28="",AE28="",AB28="",AG28=""),"",ROUND(BA28*BONUSADJ,2))))</f>
        <v>Update Install Status</v>
      </c>
      <c r="BC28" s="1370" t="str">
        <f>IF(M02S02F44="","Update Install Status",IF(M02S02F49="Yes","Not Eligible",IF(OR(C28="",O28="",Q28="",V28="",X28="",AE28="",AB28="",AG28=""),"",MIN(AU28,ROUND(AK28*AI28,2)))))</f>
        <v>Update Install Status</v>
      </c>
    </row>
    <row r="29" spans="2:55" ht="15.95" customHeight="1" x14ac:dyDescent="0.25">
      <c r="B29" s="1193"/>
      <c r="C29" s="1390"/>
      <c r="D29" s="1391"/>
      <c r="E29" s="1391"/>
      <c r="F29" s="1391"/>
      <c r="G29" s="1391"/>
      <c r="H29" s="1391"/>
      <c r="I29" s="1392"/>
      <c r="J29" s="1380"/>
      <c r="K29" s="1381"/>
      <c r="L29" s="1381"/>
      <c r="M29" s="1381"/>
      <c r="N29" s="1382"/>
      <c r="O29" s="1385"/>
      <c r="P29" s="1386"/>
      <c r="Q29" s="1372"/>
      <c r="R29" s="1373"/>
      <c r="S29" s="1374"/>
      <c r="T29" s="1378"/>
      <c r="U29" s="1379"/>
      <c r="V29" s="1389"/>
      <c r="W29" s="1389"/>
      <c r="X29" s="880"/>
      <c r="Y29" s="880"/>
      <c r="Z29" s="880"/>
      <c r="AA29" s="880"/>
      <c r="AB29" s="880"/>
      <c r="AC29" s="880"/>
      <c r="AD29" s="880"/>
      <c r="AE29" s="900"/>
      <c r="AF29" s="900"/>
      <c r="AG29" s="900"/>
      <c r="AH29" s="900"/>
      <c r="AI29" s="1400"/>
      <c r="AJ29" s="1400"/>
      <c r="AK29" s="1424"/>
      <c r="AL29" s="1424"/>
      <c r="AM29" s="1424"/>
      <c r="AN29" s="1424"/>
      <c r="AO29" s="1396"/>
      <c r="AP29" s="1397"/>
      <c r="AQ29" s="1398"/>
      <c r="AU29" s="1421"/>
      <c r="AV29" s="1388"/>
      <c r="AW29" s="803"/>
      <c r="AX29" s="803"/>
      <c r="AY29" s="1388"/>
      <c r="AZ29" s="1371"/>
      <c r="BA29" s="1423"/>
      <c r="BB29" s="1371"/>
      <c r="BC29" s="1371"/>
    </row>
    <row r="30" spans="2:55" ht="15.95" customHeight="1" x14ac:dyDescent="0.25">
      <c r="B30" s="1193">
        <v>8</v>
      </c>
      <c r="C30" s="1390"/>
      <c r="D30" s="1391"/>
      <c r="E30" s="1391"/>
      <c r="F30" s="1391"/>
      <c r="G30" s="1391"/>
      <c r="H30" s="1391"/>
      <c r="I30" s="1392"/>
      <c r="J30" s="1380" t="str">
        <f>IF(C30="","",INDEX(PMEOCCSEN[Base Condition],MATCH(C30,PMEOCCSEN[Measure Type],0)))</f>
        <v/>
      </c>
      <c r="K30" s="1381"/>
      <c r="L30" s="1381"/>
      <c r="M30" s="1381"/>
      <c r="N30" s="1382"/>
      <c r="O30" s="1385"/>
      <c r="P30" s="1386"/>
      <c r="Q30" s="1372"/>
      <c r="R30" s="1373"/>
      <c r="S30" s="1374"/>
      <c r="T30" s="1378" t="str">
        <f t="shared" ref="T30" si="36">IF(ISNUMBER(SEARCH("Fixture Mounted",C30)), "per Fixture",IF(ISNUMBER(SEARCH("Remote Mounted",C30)),"per Circuit",""))</f>
        <v/>
      </c>
      <c r="U30" s="1379"/>
      <c r="V30" s="1389"/>
      <c r="W30" s="1389"/>
      <c r="X30" s="880"/>
      <c r="Y30" s="880"/>
      <c r="Z30" s="880"/>
      <c r="AA30" s="880"/>
      <c r="AB30" s="880"/>
      <c r="AC30" s="880"/>
      <c r="AD30" s="880"/>
      <c r="AE30" s="900"/>
      <c r="AF30" s="900"/>
      <c r="AG30" s="900"/>
      <c r="AH30" s="900"/>
      <c r="AI30" s="1400" t="str">
        <f>IF(C30="","",INDEX(PMEOCCSEN[Inc Rate Unit],MATCH(C30,PMEOCCSEN[Measure Type],0)))</f>
        <v/>
      </c>
      <c r="AJ30" s="1400"/>
      <c r="AK30" s="1424" t="str">
        <f t="shared" ref="AK30" si="37">IF(OR(C30="",O30="",Q30="",V30="",X30="",AE30="",AB30="",AG30=""),"",IFERROR(ROUND(IF((AW30-AX30)&lt;=0,0,AZ30*(AW30-AX30)),0),""))</f>
        <v/>
      </c>
      <c r="AL30" s="1424"/>
      <c r="AM30" s="1424"/>
      <c r="AN30" s="1424"/>
      <c r="AO30" s="1393" t="str">
        <f>IF(M02S02F44="","Update Install Status",IF(M02S02F49="Yes","Not Eligible",IF(OR(C30="",O30="",Q30="",V30="",X30="",AE30="",AB30="",AG30=""),"",MIN(AU30,ROUND(AK30*AI30,2)))))</f>
        <v>Update Install Status</v>
      </c>
      <c r="AP30" s="1394"/>
      <c r="AQ30" s="1395"/>
      <c r="AU30" s="1420" t="str">
        <f t="shared" ref="AU30" si="38">IF(OR(C30="",O30="",Q30="",V30="",X30="",AE30="",AB30="",AG30=""),"",(ROUND((AE30+AG30),2)))</f>
        <v/>
      </c>
      <c r="AV30" s="1387" t="str">
        <f>IF(OR(C30="",O30="",Q30="",V30="",X30="",AE30="",AB30="",AG30=""),"",ROUND(AK30*INDEX(ENDUSEALL[Factor],MATCH(INDEX(PMEOCCSEN[End Use],MATCH(C30,PMEOCCSEN[Measure Type],0)),ENDUSEALL[End Use to Coincident Peak Demand Factors],0)),4))</f>
        <v/>
      </c>
      <c r="AW30" s="802" t="str">
        <f t="shared" ref="AW30" si="39">IF(OR(C30="",O30="",Q30="",V30="",X30="",AE30="",AB30="",AG30=""),"",ROUND((Q30*V30*O30)/1000,2))</f>
        <v/>
      </c>
      <c r="AX30" s="802" t="str">
        <f>IF(OR(C30="",O30="",Q30="",V30="",X30="",AE30="",AB30="",AG30=""),"",ROUND((Q30*V30*O30*(1-INDEX(PMEOCCSEN[ESF],MATCH(C30,PMEOCCSEN[Measure Type],0))))/1000,2))</f>
        <v/>
      </c>
      <c r="AY30" s="1387" t="str">
        <f t="shared" ref="AY30" si="40">IF(OR(C30="",O30="",Q30="",V30="",X30="",AE30="",AB30="",AG30=""),"",IF(AO30&lt;&gt;AU30,"No","Yes"))</f>
        <v/>
      </c>
      <c r="AZ30" s="1370">
        <f>IF(M02S02F32&lt;&gt;"",INDEX(SPACEHEAT[HIF],MATCH(M02S02F32,SHEAT,0)),1)</f>
        <v>1</v>
      </c>
      <c r="BA30" s="1422">
        <f t="shared" ref="BA30" si="41">IFERROR(ROUND(BC30*1.1,2),0)</f>
        <v>0</v>
      </c>
      <c r="BB30" s="1370" t="str">
        <f>IF(M02S02F44="","Update Install Status",IF(M02S02F49="Yes","Not Eligible",IF(OR(C30="",O30="",Q30="",V30="",X30="",AE30="",AB30="",AG30=""),"",ROUND(BA30*BONUSADJ,2))))</f>
        <v>Update Install Status</v>
      </c>
      <c r="BC30" s="1370" t="str">
        <f>IF(M02S02F44="","Update Install Status",IF(M02S02F49="Yes","Not Eligible",IF(OR(C30="",O30="",Q30="",V30="",X30="",AE30="",AB30="",AG30=""),"",MIN(AU30,ROUND(AK30*AI30,2)))))</f>
        <v>Update Install Status</v>
      </c>
    </row>
    <row r="31" spans="2:55" ht="15.95" customHeight="1" x14ac:dyDescent="0.25">
      <c r="B31" s="1193"/>
      <c r="C31" s="1390"/>
      <c r="D31" s="1391"/>
      <c r="E31" s="1391"/>
      <c r="F31" s="1391"/>
      <c r="G31" s="1391"/>
      <c r="H31" s="1391"/>
      <c r="I31" s="1392"/>
      <c r="J31" s="1380"/>
      <c r="K31" s="1381"/>
      <c r="L31" s="1381"/>
      <c r="M31" s="1381"/>
      <c r="N31" s="1382"/>
      <c r="O31" s="1385"/>
      <c r="P31" s="1386"/>
      <c r="Q31" s="1372"/>
      <c r="R31" s="1373"/>
      <c r="S31" s="1374"/>
      <c r="T31" s="1378"/>
      <c r="U31" s="1379"/>
      <c r="V31" s="1389"/>
      <c r="W31" s="1389"/>
      <c r="X31" s="880"/>
      <c r="Y31" s="880"/>
      <c r="Z31" s="880"/>
      <c r="AA31" s="880"/>
      <c r="AB31" s="880"/>
      <c r="AC31" s="880"/>
      <c r="AD31" s="880"/>
      <c r="AE31" s="900"/>
      <c r="AF31" s="900"/>
      <c r="AG31" s="900"/>
      <c r="AH31" s="900"/>
      <c r="AI31" s="1400"/>
      <c r="AJ31" s="1400"/>
      <c r="AK31" s="1424"/>
      <c r="AL31" s="1424"/>
      <c r="AM31" s="1424"/>
      <c r="AN31" s="1424"/>
      <c r="AO31" s="1396"/>
      <c r="AP31" s="1397"/>
      <c r="AQ31" s="1398"/>
      <c r="AU31" s="1421"/>
      <c r="AV31" s="1388"/>
      <c r="AW31" s="803"/>
      <c r="AX31" s="803"/>
      <c r="AY31" s="1388"/>
      <c r="AZ31" s="1371"/>
      <c r="BA31" s="1423"/>
      <c r="BB31" s="1371"/>
      <c r="BC31" s="1371"/>
    </row>
    <row r="32" spans="2:55" ht="15.95" customHeight="1" x14ac:dyDescent="0.25">
      <c r="B32" s="1193">
        <v>9</v>
      </c>
      <c r="C32" s="1415"/>
      <c r="D32" s="1416"/>
      <c r="E32" s="1416"/>
      <c r="F32" s="1416"/>
      <c r="G32" s="1416"/>
      <c r="H32" s="1416"/>
      <c r="I32" s="1417"/>
      <c r="J32" s="1380" t="str">
        <f>IF(C32="","",INDEX(PMEOCCSEN[Base Condition],MATCH(C32,PMEOCCSEN[Measure Type],0)))</f>
        <v/>
      </c>
      <c r="K32" s="1381"/>
      <c r="L32" s="1381"/>
      <c r="M32" s="1381"/>
      <c r="N32" s="1382"/>
      <c r="O32" s="1383"/>
      <c r="P32" s="1384"/>
      <c r="Q32" s="1375"/>
      <c r="R32" s="1376"/>
      <c r="S32" s="1377"/>
      <c r="T32" s="1378" t="str">
        <f t="shared" ref="T32" si="42">IF(ISNUMBER(SEARCH("Fixture Mounted",C32)), "per Fixture",IF(ISNUMBER(SEARCH("Remote Mounted",C32)),"per Circuit",""))</f>
        <v/>
      </c>
      <c r="U32" s="1379"/>
      <c r="V32" s="1399"/>
      <c r="W32" s="1399"/>
      <c r="X32" s="1219"/>
      <c r="Y32" s="852"/>
      <c r="Z32" s="852"/>
      <c r="AA32" s="852"/>
      <c r="AB32" s="1219"/>
      <c r="AC32" s="852"/>
      <c r="AD32" s="852"/>
      <c r="AE32" s="857"/>
      <c r="AF32" s="857"/>
      <c r="AG32" s="857"/>
      <c r="AH32" s="857"/>
      <c r="AI32" s="1400" t="str">
        <f>IF(C32="","",INDEX(PMEOCCSEN[Inc Rate Unit],MATCH(C32,PMEOCCSEN[Measure Type],0)))</f>
        <v/>
      </c>
      <c r="AJ32" s="1400"/>
      <c r="AK32" s="1424" t="str">
        <f t="shared" ref="AK32" si="43">IF(OR(C32="",O32="",Q32="",V32="",X32="",AE32="",AB32="",AG32=""),"",IFERROR(ROUND(IF((AW32-AX32)&lt;=0,0,AZ32*(AW32-AX32)),0),""))</f>
        <v/>
      </c>
      <c r="AL32" s="1424"/>
      <c r="AM32" s="1424"/>
      <c r="AN32" s="1424"/>
      <c r="AO32" s="1393" t="str">
        <f>IF(M02S02F44="","Update Install Status",IF(M02S02F49="Yes","Not Eligible",IF(OR(C32="",O32="",Q32="",V32="",X32="",AE32="",AB32="",AG32=""),"",MIN(AU32,ROUND(AK32*AI32,2)))))</f>
        <v>Update Install Status</v>
      </c>
      <c r="AP32" s="1394"/>
      <c r="AQ32" s="1395"/>
      <c r="AU32" s="1420" t="str">
        <f t="shared" ref="AU32" si="44">IF(OR(C32="",O32="",Q32="",V32="",X32="",AE32="",AB32="",AG32=""),"",(ROUND((AE32+AG32),2)))</f>
        <v/>
      </c>
      <c r="AV32" s="1387" t="str">
        <f>IF(OR(C32="",O32="",Q32="",V32="",X32="",AE32="",AB32="",AG32=""),"",ROUND(AK32*INDEX(ENDUSEALL[Factor],MATCH(INDEX(PMEOCCSEN[End Use],MATCH(C32,PMEOCCSEN[Measure Type],0)),ENDUSEALL[End Use to Coincident Peak Demand Factors],0)),4))</f>
        <v/>
      </c>
      <c r="AW32" s="802" t="str">
        <f t="shared" ref="AW32" si="45">IF(OR(C32="",O32="",Q32="",V32="",X32="",AE32="",AB32="",AG32=""),"",ROUND((Q32*V32*O32)/1000,2))</f>
        <v/>
      </c>
      <c r="AX32" s="802" t="str">
        <f>IF(OR(C32="",O32="",Q32="",V32="",X32="",AE32="",AB32="",AG32=""),"",ROUND((Q32*V32*O32*(1-INDEX(PMEOCCSEN[ESF],MATCH(C32,PMEOCCSEN[Measure Type],0))))/1000,2))</f>
        <v/>
      </c>
      <c r="AY32" s="1387" t="str">
        <f t="shared" ref="AY32" si="46">IF(OR(C32="",O32="",Q32="",V32="",X32="",AE32="",AB32="",AG32=""),"",IF(AO32&lt;&gt;AU32,"No","Yes"))</f>
        <v/>
      </c>
      <c r="AZ32" s="1370">
        <f>IF(M02S02F32&lt;&gt;"",INDEX(SPACEHEAT[HIF],MATCH(M02S02F32,SHEAT,0)),1)</f>
        <v>1</v>
      </c>
      <c r="BA32" s="1422">
        <f t="shared" ref="BA32" si="47">IFERROR(ROUND(BC32*1.1,2),0)</f>
        <v>0</v>
      </c>
      <c r="BB32" s="1370" t="str">
        <f>IF(M02S02F44="","Update Install Status",IF(M02S02F49="Yes","Not Eligible",IF(OR(C32="",O32="",Q32="",V32="",X32="",AE32="",AB32="",AG32=""),"",ROUND(BA32*BONUSADJ,2))))</f>
        <v>Update Install Status</v>
      </c>
      <c r="BC32" s="1370" t="str">
        <f>IF(M02S02F44="","Update Install Status",IF(M02S02F49="Yes","Not Eligible",IF(OR(C32="",O32="",Q32="",V32="",X32="",AE32="",AB32="",AG32=""),"",MIN(AU32,ROUND(AK32*AI32,2)))))</f>
        <v>Update Install Status</v>
      </c>
    </row>
    <row r="33" spans="2:55" ht="15.95" customHeight="1" x14ac:dyDescent="0.25">
      <c r="B33" s="1193"/>
      <c r="C33" s="1415"/>
      <c r="D33" s="1416"/>
      <c r="E33" s="1416"/>
      <c r="F33" s="1416"/>
      <c r="G33" s="1416"/>
      <c r="H33" s="1416"/>
      <c r="I33" s="1417"/>
      <c r="J33" s="1380"/>
      <c r="K33" s="1381"/>
      <c r="L33" s="1381"/>
      <c r="M33" s="1381"/>
      <c r="N33" s="1382"/>
      <c r="O33" s="1383"/>
      <c r="P33" s="1384"/>
      <c r="Q33" s="1375"/>
      <c r="R33" s="1376"/>
      <c r="S33" s="1377"/>
      <c r="T33" s="1378"/>
      <c r="U33" s="1379"/>
      <c r="V33" s="1399"/>
      <c r="W33" s="1399"/>
      <c r="X33" s="852"/>
      <c r="Y33" s="852"/>
      <c r="Z33" s="852"/>
      <c r="AA33" s="852"/>
      <c r="AB33" s="852"/>
      <c r="AC33" s="852"/>
      <c r="AD33" s="852"/>
      <c r="AE33" s="857"/>
      <c r="AF33" s="857"/>
      <c r="AG33" s="857"/>
      <c r="AH33" s="857"/>
      <c r="AI33" s="1400"/>
      <c r="AJ33" s="1400"/>
      <c r="AK33" s="1424"/>
      <c r="AL33" s="1424"/>
      <c r="AM33" s="1424"/>
      <c r="AN33" s="1424"/>
      <c r="AO33" s="1396"/>
      <c r="AP33" s="1397"/>
      <c r="AQ33" s="1398"/>
      <c r="AU33" s="1421"/>
      <c r="AV33" s="1388"/>
      <c r="AW33" s="803"/>
      <c r="AX33" s="803"/>
      <c r="AY33" s="1388"/>
      <c r="AZ33" s="1371"/>
      <c r="BA33" s="1423"/>
      <c r="BB33" s="1371"/>
      <c r="BC33" s="1371"/>
    </row>
    <row r="34" spans="2:55" ht="15.95" customHeight="1" x14ac:dyDescent="0.25">
      <c r="B34" s="1193">
        <v>10</v>
      </c>
      <c r="C34" s="1415"/>
      <c r="D34" s="1416"/>
      <c r="E34" s="1416"/>
      <c r="F34" s="1416"/>
      <c r="G34" s="1416"/>
      <c r="H34" s="1416"/>
      <c r="I34" s="1417"/>
      <c r="J34" s="1380" t="str">
        <f>IF(C34="","",INDEX(PMEOCCSEN[Base Condition],MATCH(C34,PMEOCCSEN[Measure Type],0)))</f>
        <v/>
      </c>
      <c r="K34" s="1381"/>
      <c r="L34" s="1381"/>
      <c r="M34" s="1381"/>
      <c r="N34" s="1382"/>
      <c r="O34" s="1383"/>
      <c r="P34" s="1384"/>
      <c r="Q34" s="1375"/>
      <c r="R34" s="1376"/>
      <c r="S34" s="1377"/>
      <c r="T34" s="1378" t="str">
        <f t="shared" ref="T34" si="48">IF(ISNUMBER(SEARCH("Fixture Mounted",C34)), "per Fixture",IF(ISNUMBER(SEARCH("Remote Mounted",C34)),"per Circuit",""))</f>
        <v/>
      </c>
      <c r="U34" s="1379"/>
      <c r="V34" s="1399"/>
      <c r="W34" s="1399"/>
      <c r="X34" s="1219"/>
      <c r="Y34" s="852"/>
      <c r="Z34" s="852"/>
      <c r="AA34" s="852"/>
      <c r="AB34" s="1219"/>
      <c r="AC34" s="852"/>
      <c r="AD34" s="852"/>
      <c r="AE34" s="857"/>
      <c r="AF34" s="857"/>
      <c r="AG34" s="857"/>
      <c r="AH34" s="857"/>
      <c r="AI34" s="1400" t="str">
        <f>IF(C34="","",INDEX(PMEOCCSEN[Inc Rate Unit],MATCH(C34,PMEOCCSEN[Measure Type],0)))</f>
        <v/>
      </c>
      <c r="AJ34" s="1400"/>
      <c r="AK34" s="1424" t="str">
        <f t="shared" ref="AK34" si="49">IF(OR(C34="",O34="",Q34="",V34="",X34="",AE34="",AB34="",AG34=""),"",IFERROR(ROUND(IF((AW34-AX34)&lt;=0,0,AZ34*(AW34-AX34)),0),""))</f>
        <v/>
      </c>
      <c r="AL34" s="1424"/>
      <c r="AM34" s="1424"/>
      <c r="AN34" s="1424"/>
      <c r="AO34" s="1393" t="str">
        <f>IF(M02S02F44="","Update Install Status",IF(M02S02F49="Yes","Not Eligible",IF(OR(C34="",O34="",Q34="",V34="",X34="",AE34="",AB34="",AG34=""),"",MIN(AU34,ROUND(AK34*AI34,2)))))</f>
        <v>Update Install Status</v>
      </c>
      <c r="AP34" s="1394"/>
      <c r="AQ34" s="1395"/>
      <c r="AU34" s="1420" t="str">
        <f t="shared" ref="AU34" si="50">IF(OR(C34="",O34="",Q34="",V34="",X34="",AE34="",AB34="",AG34=""),"",(ROUND((AE34+AG34),2)))</f>
        <v/>
      </c>
      <c r="AV34" s="1387" t="str">
        <f>IF(OR(C34="",O34="",Q34="",V34="",X34="",AE34="",AB34="",AG34=""),"",ROUND(AK34*INDEX(ENDUSEALL[Factor],MATCH(INDEX(PMEOCCSEN[End Use],MATCH(C34,PMEOCCSEN[Measure Type],0)),ENDUSEALL[End Use to Coincident Peak Demand Factors],0)),4))</f>
        <v/>
      </c>
      <c r="AW34" s="802" t="str">
        <f t="shared" ref="AW34" si="51">IF(OR(C34="",O34="",Q34="",V34="",X34="",AE34="",AB34="",AG34=""),"",ROUND((Q34*V34*O34)/1000,2))</f>
        <v/>
      </c>
      <c r="AX34" s="802" t="str">
        <f>IF(OR(C34="",O34="",Q34="",V34="",X34="",AE34="",AB34="",AG34=""),"",ROUND((Q34*V34*O34*(1-INDEX(PMEOCCSEN[ESF],MATCH(C34,PMEOCCSEN[Measure Type],0))))/1000,2))</f>
        <v/>
      </c>
      <c r="AY34" s="1387" t="str">
        <f t="shared" ref="AY34" si="52">IF(OR(C34="",O34="",Q34="",V34="",X34="",AE34="",AB34="",AG34=""),"",IF(AO34&lt;&gt;AU34,"No","Yes"))</f>
        <v/>
      </c>
      <c r="AZ34" s="1370">
        <f>IF(M02S02F32&lt;&gt;"",INDEX(SPACEHEAT[HIF],MATCH(M02S02F32,SHEAT,0)),1)</f>
        <v>1</v>
      </c>
      <c r="BA34" s="1422">
        <f t="shared" ref="BA34" si="53">IFERROR(ROUND(BC34*1.1,2),0)</f>
        <v>0</v>
      </c>
      <c r="BB34" s="1370" t="str">
        <f>IF(M02S02F44="","Update Install Status",IF(M02S02F49="Yes","Not Eligible",IF(OR(C34="",O34="",Q34="",V34="",X34="",AE34="",AB34="",AG34=""),"",ROUND(BA34*BONUSADJ,2))))</f>
        <v>Update Install Status</v>
      </c>
      <c r="BC34" s="1370" t="str">
        <f>IF(M02S02F44="","Update Install Status",IF(M02S02F49="Yes","Not Eligible",IF(OR(C34="",O34="",Q34="",V34="",X34="",AE34="",AB34="",AG34=""),"",MIN(AU34,ROUND(AK34*AI34,2)))))</f>
        <v>Update Install Status</v>
      </c>
    </row>
    <row r="35" spans="2:55" ht="15.95" customHeight="1" x14ac:dyDescent="0.25">
      <c r="B35" s="1193"/>
      <c r="C35" s="1415"/>
      <c r="D35" s="1416"/>
      <c r="E35" s="1416"/>
      <c r="F35" s="1416"/>
      <c r="G35" s="1416"/>
      <c r="H35" s="1416"/>
      <c r="I35" s="1417"/>
      <c r="J35" s="1380"/>
      <c r="K35" s="1381"/>
      <c r="L35" s="1381"/>
      <c r="M35" s="1381"/>
      <c r="N35" s="1382"/>
      <c r="O35" s="1383"/>
      <c r="P35" s="1384"/>
      <c r="Q35" s="1375"/>
      <c r="R35" s="1376"/>
      <c r="S35" s="1377"/>
      <c r="T35" s="1378"/>
      <c r="U35" s="1379"/>
      <c r="V35" s="1399"/>
      <c r="W35" s="1399"/>
      <c r="X35" s="852"/>
      <c r="Y35" s="852"/>
      <c r="Z35" s="852"/>
      <c r="AA35" s="852"/>
      <c r="AB35" s="852"/>
      <c r="AC35" s="852"/>
      <c r="AD35" s="852"/>
      <c r="AE35" s="857"/>
      <c r="AF35" s="857"/>
      <c r="AG35" s="857"/>
      <c r="AH35" s="857"/>
      <c r="AI35" s="1400"/>
      <c r="AJ35" s="1400"/>
      <c r="AK35" s="1424"/>
      <c r="AL35" s="1424"/>
      <c r="AM35" s="1424"/>
      <c r="AN35" s="1424"/>
      <c r="AO35" s="1396"/>
      <c r="AP35" s="1397"/>
      <c r="AQ35" s="1398"/>
      <c r="AU35" s="1421"/>
      <c r="AV35" s="1388"/>
      <c r="AW35" s="803"/>
      <c r="AX35" s="803"/>
      <c r="AY35" s="1388"/>
      <c r="AZ35" s="1371"/>
      <c r="BA35" s="1423"/>
      <c r="BB35" s="1371"/>
      <c r="BC35" s="1371"/>
    </row>
    <row r="36" spans="2:55" ht="15.95" hidden="1" customHeight="1" x14ac:dyDescent="0.25">
      <c r="B36" s="1193">
        <v>11</v>
      </c>
      <c r="AU36" s="1420"/>
      <c r="AV36" s="1387"/>
      <c r="AW36" s="467"/>
      <c r="AX36" s="467"/>
      <c r="AY36" s="1387"/>
      <c r="AZ36" s="467"/>
      <c r="BA36" s="800"/>
      <c r="BB36" s="1387"/>
      <c r="BC36" s="1387"/>
    </row>
    <row r="37" spans="2:55" ht="15.95" hidden="1" customHeight="1" x14ac:dyDescent="0.25">
      <c r="B37" s="1193"/>
      <c r="AU37" s="1421"/>
      <c r="AV37" s="1388"/>
      <c r="AW37" s="468"/>
      <c r="AX37" s="468"/>
      <c r="AY37" s="1388"/>
      <c r="AZ37" s="468"/>
      <c r="BA37" s="801"/>
      <c r="BB37" s="1388"/>
      <c r="BC37" s="1388"/>
    </row>
    <row r="38" spans="2:55" ht="15.95" hidden="1" customHeight="1" x14ac:dyDescent="0.25">
      <c r="B38" s="1193">
        <v>12</v>
      </c>
      <c r="AU38" s="1420"/>
      <c r="AV38" s="1387"/>
      <c r="AW38" s="467"/>
      <c r="AX38" s="467"/>
      <c r="AY38" s="1387"/>
      <c r="AZ38" s="467"/>
      <c r="BA38" s="800"/>
      <c r="BB38" s="1387"/>
      <c r="BC38" s="1387"/>
    </row>
    <row r="39" spans="2:55" ht="15.95" hidden="1" customHeight="1" x14ac:dyDescent="0.25">
      <c r="B39" s="1193"/>
      <c r="AU39" s="1421"/>
      <c r="AV39" s="1388"/>
      <c r="AW39" s="468"/>
      <c r="AX39" s="468"/>
      <c r="AY39" s="1388"/>
      <c r="AZ39" s="468"/>
      <c r="BA39" s="801"/>
      <c r="BB39" s="1388"/>
      <c r="BC39" s="1388"/>
    </row>
    <row r="40" spans="2:55" ht="15.95" hidden="1" customHeight="1" x14ac:dyDescent="0.25">
      <c r="B40" s="1193">
        <v>13</v>
      </c>
      <c r="AU40" s="1420"/>
      <c r="AV40" s="1387"/>
      <c r="AW40" s="467"/>
      <c r="AX40" s="467"/>
      <c r="AY40" s="1387"/>
      <c r="AZ40" s="467"/>
      <c r="BA40" s="800"/>
      <c r="BB40" s="1387"/>
      <c r="BC40" s="1387"/>
    </row>
    <row r="41" spans="2:55" ht="15.95" hidden="1" customHeight="1" x14ac:dyDescent="0.25">
      <c r="B41" s="1193"/>
      <c r="AU41" s="1421"/>
      <c r="AV41" s="1388"/>
      <c r="AW41" s="468"/>
      <c r="AX41" s="468"/>
      <c r="AY41" s="1388"/>
      <c r="AZ41" s="468"/>
      <c r="BA41" s="801"/>
      <c r="BB41" s="1388"/>
      <c r="BC41" s="1388"/>
    </row>
    <row r="42" spans="2:55" ht="15.95" hidden="1" customHeight="1" x14ac:dyDescent="0.25">
      <c r="B42" s="1193">
        <v>14</v>
      </c>
      <c r="AU42" s="1420"/>
      <c r="AV42" s="1387"/>
      <c r="AW42" s="467"/>
      <c r="AX42" s="467"/>
      <c r="AY42" s="1387"/>
      <c r="AZ42" s="467"/>
      <c r="BA42" s="800"/>
      <c r="BB42" s="1387"/>
      <c r="BC42" s="1387"/>
    </row>
    <row r="43" spans="2:55" ht="15.95" hidden="1" customHeight="1" x14ac:dyDescent="0.25">
      <c r="B43" s="1193"/>
      <c r="AU43" s="1421"/>
      <c r="AV43" s="1388"/>
      <c r="AW43" s="468"/>
      <c r="AX43" s="468"/>
      <c r="AY43" s="1388"/>
      <c r="AZ43" s="468"/>
      <c r="BA43" s="801"/>
      <c r="BB43" s="1388"/>
      <c r="BC43" s="1388"/>
    </row>
    <row r="44" spans="2:55" ht="15.95" hidden="1" customHeight="1" x14ac:dyDescent="0.25">
      <c r="B44" s="1193">
        <v>15</v>
      </c>
      <c r="AU44" s="1420"/>
      <c r="AV44" s="1387"/>
      <c r="AW44" s="467"/>
      <c r="AX44" s="467"/>
      <c r="AY44" s="1387"/>
      <c r="AZ44" s="467"/>
      <c r="BA44" s="800"/>
      <c r="BB44" s="1387"/>
      <c r="BC44" s="1387"/>
    </row>
    <row r="45" spans="2:55" ht="15.95" hidden="1" customHeight="1" x14ac:dyDescent="0.25">
      <c r="B45" s="1193"/>
      <c r="AU45" s="1421"/>
      <c r="AV45" s="1388"/>
      <c r="AW45" s="468"/>
      <c r="AX45" s="468"/>
      <c r="AY45" s="1388"/>
      <c r="AZ45" s="468"/>
      <c r="BA45" s="801"/>
      <c r="BB45" s="1388"/>
      <c r="BC45" s="1388"/>
    </row>
    <row r="46" spans="2:55" ht="15.95" hidden="1" customHeight="1" x14ac:dyDescent="0.25">
      <c r="B46" s="1193">
        <v>16</v>
      </c>
      <c r="AU46" s="1420"/>
      <c r="AV46" s="1387"/>
      <c r="AW46" s="467"/>
      <c r="AX46" s="467"/>
      <c r="AY46" s="1387"/>
      <c r="AZ46" s="467"/>
      <c r="BA46" s="800"/>
      <c r="BB46" s="1387"/>
      <c r="BC46" s="1387"/>
    </row>
    <row r="47" spans="2:55" ht="15.95" hidden="1" customHeight="1" x14ac:dyDescent="0.25">
      <c r="B47" s="1193"/>
      <c r="AU47" s="1421"/>
      <c r="AV47" s="1388"/>
      <c r="AW47" s="468"/>
      <c r="AX47" s="468"/>
      <c r="AY47" s="1388"/>
      <c r="AZ47" s="468"/>
      <c r="BA47" s="801"/>
      <c r="BB47" s="1388"/>
      <c r="BC47" s="1388"/>
    </row>
    <row r="48" spans="2:55" ht="15.95" hidden="1" customHeight="1" x14ac:dyDescent="0.25">
      <c r="B48" s="1193">
        <v>17</v>
      </c>
      <c r="AU48" s="1420"/>
      <c r="AV48" s="1387"/>
      <c r="AW48" s="467"/>
      <c r="AX48" s="467"/>
      <c r="AY48" s="1387"/>
      <c r="AZ48" s="467"/>
      <c r="BA48" s="800"/>
      <c r="BB48" s="1387"/>
      <c r="BC48" s="1387"/>
    </row>
    <row r="49" spans="2:55" ht="15.95" hidden="1" customHeight="1" x14ac:dyDescent="0.25">
      <c r="B49" s="1193"/>
      <c r="AU49" s="1421"/>
      <c r="AV49" s="1388"/>
      <c r="AW49" s="468"/>
      <c r="AX49" s="468"/>
      <c r="AY49" s="1388"/>
      <c r="AZ49" s="468"/>
      <c r="BA49" s="801"/>
      <c r="BB49" s="1388"/>
      <c r="BC49" s="1388"/>
    </row>
    <row r="50" spans="2:55" ht="15.95" hidden="1" customHeight="1" x14ac:dyDescent="0.25">
      <c r="B50" s="1193">
        <v>18</v>
      </c>
      <c r="AU50" s="1420"/>
      <c r="AV50" s="1387"/>
      <c r="AW50" s="467"/>
      <c r="AX50" s="467"/>
      <c r="AY50" s="1387"/>
      <c r="AZ50" s="467"/>
      <c r="BA50" s="800"/>
      <c r="BB50" s="1387"/>
      <c r="BC50" s="1387"/>
    </row>
    <row r="51" spans="2:55" ht="15.95" hidden="1" customHeight="1" x14ac:dyDescent="0.25">
      <c r="B51" s="1193"/>
      <c r="AU51" s="1421"/>
      <c r="AV51" s="1388"/>
      <c r="AW51" s="468"/>
      <c r="AX51" s="468"/>
      <c r="AY51" s="1388"/>
      <c r="AZ51" s="468"/>
      <c r="BA51" s="801"/>
      <c r="BB51" s="1388"/>
      <c r="BC51" s="1388"/>
    </row>
    <row r="52" spans="2:55" ht="15.95" hidden="1" customHeight="1" x14ac:dyDescent="0.25">
      <c r="B52" s="1193">
        <v>19</v>
      </c>
      <c r="AU52" s="1420"/>
      <c r="AV52" s="1387"/>
      <c r="AW52" s="467"/>
      <c r="AX52" s="467"/>
      <c r="AY52" s="1387"/>
      <c r="AZ52" s="467"/>
      <c r="BA52" s="800"/>
      <c r="BB52" s="1387"/>
      <c r="BC52" s="1387"/>
    </row>
    <row r="53" spans="2:55" ht="15.95" hidden="1" customHeight="1" x14ac:dyDescent="0.25">
      <c r="B53" s="1193"/>
      <c r="AU53" s="1421"/>
      <c r="AV53" s="1388"/>
      <c r="AW53" s="468"/>
      <c r="AX53" s="468"/>
      <c r="AY53" s="1388"/>
      <c r="AZ53" s="468"/>
      <c r="BA53" s="801"/>
      <c r="BB53" s="1388"/>
      <c r="BC53" s="1388"/>
    </row>
    <row r="54" spans="2:55" ht="15.95" hidden="1" customHeight="1" x14ac:dyDescent="0.25">
      <c r="B54" s="1193">
        <v>20</v>
      </c>
      <c r="AU54" s="1420"/>
      <c r="AV54" s="1387"/>
      <c r="AW54" s="467"/>
      <c r="AX54" s="467"/>
      <c r="AY54" s="1387"/>
      <c r="AZ54" s="467"/>
      <c r="BA54" s="800"/>
      <c r="BB54" s="1387"/>
      <c r="BC54" s="1387"/>
    </row>
    <row r="55" spans="2:55" ht="15.95" hidden="1" customHeight="1" x14ac:dyDescent="0.25">
      <c r="B55" s="1193"/>
      <c r="AU55" s="1421"/>
      <c r="AV55" s="1388"/>
      <c r="AW55" s="468"/>
      <c r="AX55" s="468"/>
      <c r="AY55" s="1388"/>
      <c r="AZ55" s="468"/>
      <c r="BA55" s="801"/>
      <c r="BB55" s="1388"/>
      <c r="BC55" s="1388"/>
    </row>
    <row r="56" spans="2:55" ht="15.95" hidden="1" customHeight="1" x14ac:dyDescent="0.25">
      <c r="B56" s="1193">
        <v>21</v>
      </c>
      <c r="AU56" s="1420"/>
      <c r="AV56" s="1387"/>
      <c r="AW56" s="467"/>
      <c r="AX56" s="467"/>
      <c r="AY56" s="1387"/>
      <c r="AZ56" s="467"/>
      <c r="BA56" s="800"/>
      <c r="BB56" s="1387"/>
      <c r="BC56" s="1387"/>
    </row>
    <row r="57" spans="2:55" ht="15.95" hidden="1" customHeight="1" x14ac:dyDescent="0.25">
      <c r="B57" s="1193"/>
      <c r="AU57" s="1421"/>
      <c r="AV57" s="1388"/>
      <c r="AW57" s="468"/>
      <c r="AX57" s="468"/>
      <c r="AY57" s="1388"/>
      <c r="AZ57" s="468"/>
      <c r="BA57" s="801"/>
      <c r="BB57" s="1388"/>
      <c r="BC57" s="1388"/>
    </row>
    <row r="58" spans="2:55" ht="15.95" hidden="1" customHeight="1" x14ac:dyDescent="0.25">
      <c r="B58" s="1193">
        <v>22</v>
      </c>
      <c r="AU58" s="1420"/>
      <c r="AV58" s="1387"/>
      <c r="AW58" s="467"/>
      <c r="AX58" s="467"/>
      <c r="AY58" s="1387"/>
      <c r="AZ58" s="467"/>
      <c r="BA58" s="800"/>
      <c r="BB58" s="1387"/>
      <c r="BC58" s="1387"/>
    </row>
    <row r="59" spans="2:55" ht="15.95" hidden="1" customHeight="1" x14ac:dyDescent="0.25">
      <c r="B59" s="1193"/>
      <c r="AU59" s="1421"/>
      <c r="AV59" s="1388"/>
      <c r="AW59" s="468"/>
      <c r="AX59" s="468"/>
      <c r="AY59" s="1388"/>
      <c r="AZ59" s="468"/>
      <c r="BA59" s="801"/>
      <c r="BB59" s="1388"/>
      <c r="BC59" s="1388"/>
    </row>
    <row r="60" spans="2:55" ht="15.95" hidden="1" customHeight="1" x14ac:dyDescent="0.25">
      <c r="B60" s="1193">
        <v>23</v>
      </c>
      <c r="AU60" s="1420"/>
      <c r="AV60" s="1387"/>
      <c r="AW60" s="467"/>
      <c r="AX60" s="467"/>
      <c r="AY60" s="1387"/>
      <c r="AZ60" s="467"/>
      <c r="BA60" s="800"/>
      <c r="BB60" s="1387"/>
      <c r="BC60" s="1387"/>
    </row>
    <row r="61" spans="2:55" ht="15.95" hidden="1" customHeight="1" x14ac:dyDescent="0.25">
      <c r="B61" s="1193"/>
      <c r="AU61" s="1421"/>
      <c r="AV61" s="1388"/>
      <c r="AW61" s="468"/>
      <c r="AX61" s="468"/>
      <c r="AY61" s="1388"/>
      <c r="AZ61" s="468"/>
      <c r="BA61" s="801"/>
      <c r="BB61" s="1388"/>
      <c r="BC61" s="1388"/>
    </row>
    <row r="62" spans="2:55" ht="15.95" hidden="1" customHeight="1" x14ac:dyDescent="0.25">
      <c r="B62" s="1193">
        <v>24</v>
      </c>
      <c r="AU62" s="1420"/>
      <c r="AV62" s="1387"/>
      <c r="AW62" s="467"/>
      <c r="AX62" s="467"/>
      <c r="AY62" s="1387"/>
      <c r="AZ62" s="467"/>
      <c r="BA62" s="800"/>
      <c r="BB62" s="1387"/>
      <c r="BC62" s="1387"/>
    </row>
    <row r="63" spans="2:55" ht="15.95" hidden="1" customHeight="1" x14ac:dyDescent="0.25">
      <c r="B63" s="1193"/>
      <c r="AU63" s="1421"/>
      <c r="AV63" s="1388"/>
      <c r="AW63" s="468"/>
      <c r="AX63" s="468"/>
      <c r="AY63" s="1388"/>
      <c r="AZ63" s="468"/>
      <c r="BA63" s="801"/>
      <c r="BB63" s="1388"/>
      <c r="BC63" s="1388"/>
    </row>
    <row r="64" spans="2:55" ht="15.95" hidden="1" customHeight="1" x14ac:dyDescent="0.25">
      <c r="B64" s="1193">
        <v>25</v>
      </c>
      <c r="AU64" s="1420"/>
      <c r="AV64" s="1387"/>
      <c r="AW64" s="467"/>
      <c r="AX64" s="467"/>
      <c r="AY64" s="1387"/>
      <c r="AZ64" s="467"/>
      <c r="BA64" s="800"/>
      <c r="BB64" s="1387"/>
      <c r="BC64" s="1387"/>
    </row>
    <row r="65" spans="2:55" ht="15.95" hidden="1" customHeight="1" x14ac:dyDescent="0.25">
      <c r="B65" s="1193"/>
      <c r="AU65" s="1421"/>
      <c r="AV65" s="1388"/>
      <c r="AW65" s="468"/>
      <c r="AX65" s="468"/>
      <c r="AY65" s="1388"/>
      <c r="AZ65" s="468"/>
      <c r="BA65" s="801"/>
      <c r="BB65" s="1388"/>
      <c r="BC65" s="1388"/>
    </row>
    <row r="66" spans="2:55" ht="15.95" hidden="1" customHeight="1" x14ac:dyDescent="0.25">
      <c r="B66" s="1193">
        <v>26</v>
      </c>
      <c r="AU66" s="1420"/>
      <c r="AV66" s="1387"/>
      <c r="AW66" s="467"/>
      <c r="AX66" s="467"/>
      <c r="AY66" s="1387"/>
      <c r="AZ66" s="467"/>
      <c r="BA66" s="800"/>
      <c r="BB66" s="1387"/>
      <c r="BC66" s="1387"/>
    </row>
    <row r="67" spans="2:55" ht="15.95" hidden="1" customHeight="1" x14ac:dyDescent="0.25">
      <c r="B67" s="1193"/>
      <c r="AU67" s="1421"/>
      <c r="AV67" s="1388"/>
      <c r="AW67" s="468"/>
      <c r="AX67" s="468"/>
      <c r="AY67" s="1388"/>
      <c r="AZ67" s="468"/>
      <c r="BA67" s="801"/>
      <c r="BB67" s="1388"/>
      <c r="BC67" s="1388"/>
    </row>
    <row r="68" spans="2:55" ht="15.95" hidden="1" customHeight="1" x14ac:dyDescent="0.25">
      <c r="B68" s="1193">
        <v>27</v>
      </c>
      <c r="AU68" s="1420"/>
      <c r="AV68" s="1387"/>
      <c r="AW68" s="467"/>
      <c r="AX68" s="467"/>
      <c r="AY68" s="1387"/>
      <c r="AZ68" s="467"/>
      <c r="BA68" s="800"/>
      <c r="BB68" s="1387"/>
      <c r="BC68" s="1387"/>
    </row>
    <row r="69" spans="2:55" ht="15.95" hidden="1" customHeight="1" x14ac:dyDescent="0.25">
      <c r="B69" s="1193"/>
      <c r="AU69" s="1421"/>
      <c r="AV69" s="1388"/>
      <c r="AW69" s="468"/>
      <c r="AX69" s="468"/>
      <c r="AY69" s="1388"/>
      <c r="AZ69" s="468"/>
      <c r="BA69" s="801"/>
      <c r="BB69" s="1388"/>
      <c r="BC69" s="1388"/>
    </row>
    <row r="70" spans="2:55" ht="15.95" hidden="1" customHeight="1" x14ac:dyDescent="0.25">
      <c r="B70" s="1193">
        <v>28</v>
      </c>
      <c r="AU70" s="1420"/>
      <c r="AV70" s="1387"/>
      <c r="AW70" s="467"/>
      <c r="AX70" s="467"/>
      <c r="AY70" s="1387"/>
      <c r="AZ70" s="467"/>
      <c r="BA70" s="800"/>
      <c r="BB70" s="1387"/>
      <c r="BC70" s="1387"/>
    </row>
    <row r="71" spans="2:55" ht="15.95" hidden="1" customHeight="1" x14ac:dyDescent="0.25">
      <c r="B71" s="1193"/>
      <c r="AU71" s="1421"/>
      <c r="AV71" s="1388"/>
      <c r="AW71" s="468"/>
      <c r="AX71" s="468"/>
      <c r="AY71" s="1388"/>
      <c r="AZ71" s="468"/>
      <c r="BA71" s="801"/>
      <c r="BB71" s="1388"/>
      <c r="BC71" s="1388"/>
    </row>
    <row r="72" spans="2:55" ht="15.95" hidden="1" customHeight="1" x14ac:dyDescent="0.25">
      <c r="B72" s="1193">
        <v>29</v>
      </c>
      <c r="AU72" s="1420"/>
      <c r="AV72" s="1387"/>
      <c r="AW72" s="467"/>
      <c r="AX72" s="467"/>
      <c r="AY72" s="1387"/>
      <c r="AZ72" s="467"/>
      <c r="BA72" s="800"/>
      <c r="BB72" s="1387"/>
      <c r="BC72" s="1387"/>
    </row>
    <row r="73" spans="2:55" ht="15.95" hidden="1" customHeight="1" x14ac:dyDescent="0.25">
      <c r="B73" s="1193"/>
      <c r="AU73" s="1421"/>
      <c r="AV73" s="1388"/>
      <c r="AW73" s="468"/>
      <c r="AX73" s="468"/>
      <c r="AY73" s="1388"/>
      <c r="AZ73" s="468"/>
      <c r="BA73" s="801"/>
      <c r="BB73" s="1388"/>
      <c r="BC73" s="1388"/>
    </row>
    <row r="74" spans="2:55" ht="15.95" hidden="1" customHeight="1" x14ac:dyDescent="0.25">
      <c r="B74" s="1193">
        <v>29</v>
      </c>
      <c r="AU74" s="1420"/>
      <c r="AV74" s="1387"/>
      <c r="AW74" s="467"/>
      <c r="AX74" s="467"/>
      <c r="AY74" s="1387"/>
      <c r="AZ74" s="467"/>
      <c r="BA74" s="800"/>
      <c r="BB74" s="1387"/>
      <c r="BC74" s="1387"/>
    </row>
    <row r="75" spans="2:55" ht="15.95" hidden="1" customHeight="1" x14ac:dyDescent="0.25">
      <c r="B75" s="1193"/>
      <c r="AU75" s="1421"/>
      <c r="AV75" s="1388"/>
      <c r="AW75" s="468"/>
      <c r="AX75" s="468"/>
      <c r="AY75" s="1388"/>
      <c r="AZ75" s="468"/>
      <c r="BA75" s="801"/>
      <c r="BB75" s="1388"/>
      <c r="BC75" s="1388"/>
    </row>
    <row r="76" spans="2:55" ht="15.95" hidden="1" customHeight="1" x14ac:dyDescent="0.25">
      <c r="B76" s="1193">
        <v>30</v>
      </c>
      <c r="AU76" s="1420"/>
      <c r="AV76" s="1387"/>
      <c r="AW76" s="467"/>
      <c r="AX76" s="467"/>
      <c r="AY76" s="1387"/>
      <c r="AZ76" s="467"/>
      <c r="BA76" s="800"/>
      <c r="BB76" s="1387"/>
      <c r="BC76" s="1387"/>
    </row>
    <row r="77" spans="2:55" ht="15.95" hidden="1" customHeight="1" x14ac:dyDescent="0.25">
      <c r="B77" s="1193"/>
      <c r="AU77" s="1421"/>
      <c r="AV77" s="1388"/>
      <c r="AW77" s="468"/>
      <c r="AX77" s="468"/>
      <c r="AY77" s="1388"/>
      <c r="AZ77" s="468"/>
      <c r="BA77" s="801"/>
      <c r="BB77" s="1388"/>
      <c r="BC77" s="1388"/>
    </row>
    <row r="78" spans="2:55" ht="15.95" hidden="1" customHeight="1" x14ac:dyDescent="0.25">
      <c r="B78" s="1193"/>
      <c r="AS78" s="69"/>
      <c r="AT78" s="69"/>
      <c r="AU78" s="799" t="s">
        <v>191</v>
      </c>
      <c r="AV78" s="799" t="s">
        <v>1226</v>
      </c>
      <c r="AW78" s="465"/>
      <c r="AX78" s="465"/>
      <c r="AY78" s="799" t="s">
        <v>827</v>
      </c>
      <c r="AZ78" s="465"/>
      <c r="BA78" s="799" t="s">
        <v>193</v>
      </c>
      <c r="BB78" s="799" t="s">
        <v>1361</v>
      </c>
      <c r="BC78" s="799" t="s">
        <v>1362</v>
      </c>
    </row>
    <row r="79" spans="2:55" ht="15.95" hidden="1" customHeight="1" thickBot="1" x14ac:dyDescent="0.3">
      <c r="B79" s="1193"/>
      <c r="AS79" s="69"/>
      <c r="AT79" s="69"/>
      <c r="AU79" s="746"/>
      <c r="AV79" s="746"/>
      <c r="AW79" s="466"/>
      <c r="AX79" s="466"/>
      <c r="AY79" s="746"/>
      <c r="AZ79" s="466"/>
      <c r="BA79" s="746"/>
      <c r="BB79" s="746"/>
      <c r="BC79" s="746"/>
    </row>
    <row r="80" spans="2:55" ht="15.95" hidden="1" customHeight="1" x14ac:dyDescent="0.25">
      <c r="B80" s="1193">
        <v>32</v>
      </c>
      <c r="AS80" s="69"/>
      <c r="AT80" s="69"/>
      <c r="AU80" s="69"/>
      <c r="AV80" s="69"/>
      <c r="AW80" s="69"/>
      <c r="AX80" s="69"/>
      <c r="AY80" s="69"/>
      <c r="AZ80" s="69"/>
      <c r="BA80" s="69"/>
      <c r="BB80" s="69"/>
      <c r="BC80" s="69"/>
    </row>
    <row r="81" spans="2:55" ht="15.95" hidden="1" customHeight="1" x14ac:dyDescent="0.25">
      <c r="B81" s="1193"/>
      <c r="AS81" s="69"/>
      <c r="AT81" s="69"/>
      <c r="AU81" s="69"/>
      <c r="AV81" s="69"/>
      <c r="AW81" s="69"/>
      <c r="AX81" s="69"/>
      <c r="AY81" s="69"/>
      <c r="AZ81" s="69"/>
      <c r="BA81" s="69"/>
      <c r="BB81" s="69"/>
      <c r="BC81" s="69"/>
    </row>
    <row r="82" spans="2:55" ht="15.95" hidden="1" customHeight="1" x14ac:dyDescent="0.25">
      <c r="B82" s="1193">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S82" s="69"/>
      <c r="AT82" s="69"/>
      <c r="AU82" s="69"/>
      <c r="AV82" s="69"/>
      <c r="AW82" s="69"/>
      <c r="AX82" s="69"/>
      <c r="AY82" s="69"/>
      <c r="AZ82" s="69"/>
      <c r="BA82" s="69"/>
      <c r="BB82" s="69"/>
      <c r="BC82" s="69"/>
    </row>
    <row r="83" spans="2:55" ht="15.95" hidden="1" customHeight="1" x14ac:dyDescent="0.25">
      <c r="B83" s="119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S83" s="69"/>
      <c r="AT83" s="69"/>
      <c r="AU83" s="69"/>
      <c r="AV83" s="69"/>
      <c r="AW83" s="69"/>
      <c r="AX83" s="69"/>
      <c r="AY83" s="69"/>
      <c r="AZ83" s="69"/>
      <c r="BA83" s="69"/>
      <c r="BB83" s="69"/>
      <c r="BC83" s="69"/>
    </row>
    <row r="84" spans="2:55" ht="15.95" hidden="1" customHeight="1" x14ac:dyDescent="0.25">
      <c r="B84" s="1193">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S84" s="69"/>
      <c r="AT84" s="69"/>
      <c r="AU84" s="69"/>
      <c r="AV84" s="69"/>
      <c r="AW84" s="69"/>
      <c r="AX84" s="69"/>
      <c r="AY84" s="69"/>
      <c r="AZ84" s="69"/>
      <c r="BA84" s="69"/>
      <c r="BB84" s="69"/>
      <c r="BC84" s="69"/>
    </row>
    <row r="85" spans="2:55" ht="15.95" hidden="1" customHeight="1" x14ac:dyDescent="0.25">
      <c r="B85" s="119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S85" s="69"/>
      <c r="AT85" s="69"/>
      <c r="AU85" s="69"/>
      <c r="AV85" s="69"/>
      <c r="AW85" s="69"/>
      <c r="AX85" s="69"/>
      <c r="AY85" s="69"/>
      <c r="AZ85" s="69"/>
      <c r="BA85" s="69"/>
      <c r="BB85" s="69"/>
      <c r="BC85" s="69"/>
    </row>
    <row r="86" spans="2:55" ht="15.95" hidden="1" customHeight="1" x14ac:dyDescent="0.25">
      <c r="B86" s="1193">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S86" s="69"/>
      <c r="AT86" s="69"/>
      <c r="AU86" s="69"/>
      <c r="AV86" s="69"/>
      <c r="AW86" s="69"/>
      <c r="AX86" s="69"/>
      <c r="AY86" s="69"/>
      <c r="AZ86" s="69"/>
      <c r="BA86" s="69"/>
      <c r="BB86" s="69"/>
      <c r="BC86" s="69"/>
    </row>
    <row r="87" spans="2:55" ht="15.95" hidden="1" customHeight="1" x14ac:dyDescent="0.25">
      <c r="B87" s="119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S87" s="69"/>
      <c r="AT87" s="69"/>
      <c r="AU87" s="69"/>
      <c r="AV87" s="69"/>
      <c r="AW87" s="69"/>
      <c r="AX87" s="69"/>
      <c r="AY87" s="69"/>
      <c r="AZ87" s="69"/>
      <c r="BA87" s="69"/>
      <c r="BB87" s="69"/>
      <c r="BC87" s="69"/>
    </row>
    <row r="88" spans="2:55" ht="15.95" hidden="1" customHeight="1" x14ac:dyDescent="0.25">
      <c r="B88" s="1193">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S88" s="69"/>
      <c r="AT88" s="69"/>
      <c r="AU88" s="69"/>
      <c r="AV88" s="69"/>
      <c r="AW88" s="69"/>
      <c r="AX88" s="69"/>
      <c r="AY88" s="69"/>
      <c r="AZ88" s="69"/>
      <c r="BA88" s="69"/>
      <c r="BB88" s="69"/>
      <c r="BC88" s="69"/>
    </row>
    <row r="89" spans="2:55" ht="15.95" hidden="1" customHeight="1" x14ac:dyDescent="0.25">
      <c r="B89" s="119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S89" s="69"/>
      <c r="AT89" s="69"/>
      <c r="AU89" s="69"/>
      <c r="AV89" s="69"/>
      <c r="AW89" s="69"/>
      <c r="AX89" s="69"/>
      <c r="AY89" s="69"/>
      <c r="AZ89" s="69"/>
      <c r="BA89" s="69"/>
      <c r="BB89" s="69"/>
      <c r="BC89" s="69"/>
    </row>
    <row r="90" spans="2:55" ht="15.95" hidden="1" customHeight="1" x14ac:dyDescent="0.25">
      <c r="B90" s="1193">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S90" s="69"/>
      <c r="AT90" s="69"/>
      <c r="AU90" s="69"/>
      <c r="AV90" s="69"/>
      <c r="AW90" s="69"/>
      <c r="AX90" s="69"/>
      <c r="AY90" s="69"/>
      <c r="AZ90" s="69"/>
      <c r="BA90" s="69"/>
      <c r="BB90" s="69"/>
      <c r="BC90" s="69"/>
    </row>
    <row r="91" spans="2:55" ht="15.95" hidden="1" customHeight="1" x14ac:dyDescent="0.25">
      <c r="B91" s="119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S91" s="69"/>
      <c r="AT91" s="69"/>
      <c r="AU91" s="69"/>
      <c r="AV91" s="69"/>
      <c r="AW91" s="69"/>
      <c r="AX91" s="69"/>
      <c r="AY91" s="69"/>
      <c r="AZ91" s="69"/>
      <c r="BA91" s="69"/>
      <c r="BB91" s="69"/>
      <c r="BC91" s="69"/>
    </row>
    <row r="92" spans="2:55" ht="15.95" hidden="1" customHeight="1" x14ac:dyDescent="0.25">
      <c r="B92" s="1193">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S92" s="69"/>
      <c r="AT92" s="69"/>
      <c r="AU92" s="69"/>
      <c r="AV92" s="69"/>
      <c r="AW92" s="69"/>
      <c r="AX92" s="69"/>
      <c r="AY92" s="69"/>
      <c r="AZ92" s="69"/>
      <c r="BA92" s="69"/>
      <c r="BB92" s="69"/>
      <c r="BC92" s="69"/>
    </row>
    <row r="93" spans="2:55" ht="15.95" hidden="1" customHeight="1" x14ac:dyDescent="0.25">
      <c r="B93" s="119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S93" s="69"/>
      <c r="AT93" s="69"/>
      <c r="AU93" s="69"/>
      <c r="AV93" s="69"/>
      <c r="AW93" s="69"/>
      <c r="AX93" s="69"/>
      <c r="AY93" s="69"/>
      <c r="AZ93" s="69"/>
      <c r="BA93" s="69"/>
      <c r="BB93" s="69"/>
      <c r="BC93" s="69"/>
    </row>
    <row r="94" spans="2:55" ht="15.95" hidden="1" customHeight="1" x14ac:dyDescent="0.25">
      <c r="B94" s="1193">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S94" s="69"/>
      <c r="AT94" s="69"/>
      <c r="AU94" s="69"/>
      <c r="AV94" s="69"/>
      <c r="AW94" s="69"/>
      <c r="AX94" s="69"/>
      <c r="AY94" s="69"/>
      <c r="AZ94" s="69"/>
      <c r="BA94" s="69"/>
      <c r="BB94" s="69"/>
      <c r="BC94" s="69"/>
    </row>
    <row r="95" spans="2:55" ht="15.95" hidden="1" customHeight="1" x14ac:dyDescent="0.25">
      <c r="B95" s="119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S95" s="69"/>
      <c r="AT95" s="69"/>
      <c r="AU95" s="69"/>
      <c r="AV95" s="69"/>
      <c r="AW95" s="69"/>
      <c r="AX95" s="69"/>
      <c r="AY95" s="69"/>
      <c r="AZ95" s="69"/>
      <c r="BA95" s="69"/>
      <c r="BB95" s="69"/>
      <c r="BC95" s="69"/>
    </row>
    <row r="96" spans="2:55" ht="15.95" hidden="1" customHeight="1" x14ac:dyDescent="0.25">
      <c r="B96" s="1193">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S96" s="69"/>
      <c r="AT96" s="69"/>
      <c r="AU96" s="69"/>
      <c r="AV96" s="69"/>
      <c r="AW96" s="69"/>
      <c r="AX96" s="69"/>
      <c r="AY96" s="69"/>
      <c r="AZ96" s="69"/>
      <c r="BA96" s="69"/>
      <c r="BB96" s="69"/>
      <c r="BC96" s="69"/>
    </row>
    <row r="97" spans="2:55" ht="15.95" hidden="1" customHeight="1" x14ac:dyDescent="0.25">
      <c r="B97" s="119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S97" s="69"/>
      <c r="AT97" s="69"/>
      <c r="AU97" s="69"/>
      <c r="AV97" s="69"/>
      <c r="AW97" s="69"/>
      <c r="AX97" s="69"/>
      <c r="AY97" s="69"/>
      <c r="AZ97" s="69"/>
      <c r="BA97" s="69"/>
      <c r="BB97" s="69"/>
      <c r="BC97" s="69"/>
    </row>
    <row r="98" spans="2:55" ht="15.95" hidden="1" customHeight="1" x14ac:dyDescent="0.25">
      <c r="B98" s="1193">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S98" s="69"/>
      <c r="AT98" s="69"/>
      <c r="AU98" s="69"/>
      <c r="AV98" s="69"/>
      <c r="AW98" s="69"/>
      <c r="AX98" s="69"/>
      <c r="AY98" s="69"/>
      <c r="AZ98" s="69"/>
      <c r="BA98" s="69"/>
      <c r="BB98" s="69"/>
      <c r="BC98" s="69"/>
    </row>
    <row r="99" spans="2:55" ht="15.95" hidden="1" customHeight="1" x14ac:dyDescent="0.25">
      <c r="B99" s="119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S99" s="69"/>
      <c r="AT99" s="69"/>
      <c r="AU99" s="69"/>
      <c r="AV99" s="69"/>
      <c r="AW99" s="69"/>
      <c r="AX99" s="69"/>
      <c r="AY99" s="69"/>
      <c r="AZ99" s="69"/>
      <c r="BA99" s="69"/>
      <c r="BB99" s="69"/>
      <c r="BC99" s="69"/>
    </row>
    <row r="100" spans="2:55" ht="15.95" hidden="1" customHeight="1" x14ac:dyDescent="0.25">
      <c r="B100" s="1193">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S100" s="69"/>
      <c r="AT100" s="69"/>
      <c r="AU100" s="69"/>
      <c r="AV100" s="69"/>
      <c r="AW100" s="69"/>
      <c r="AX100" s="69"/>
      <c r="AY100" s="69"/>
      <c r="AZ100" s="69"/>
      <c r="BA100" s="69"/>
      <c r="BB100" s="69"/>
      <c r="BC100" s="69"/>
    </row>
    <row r="101" spans="2:55" ht="15.95" hidden="1" customHeight="1" x14ac:dyDescent="0.25">
      <c r="B101" s="119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S101" s="69"/>
      <c r="AT101" s="69"/>
      <c r="AU101" s="69"/>
      <c r="AV101" s="69"/>
      <c r="AW101" s="69"/>
      <c r="AX101" s="69"/>
      <c r="AY101" s="69"/>
      <c r="AZ101" s="69"/>
      <c r="BA101" s="69"/>
      <c r="BB101" s="69"/>
      <c r="BC101" s="69"/>
    </row>
    <row r="102" spans="2:55" ht="15.95" hidden="1" customHeight="1" x14ac:dyDescent="0.25">
      <c r="B102" s="1193">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S102" s="69"/>
      <c r="AT102" s="69"/>
      <c r="AU102" s="69"/>
      <c r="AV102" s="69"/>
      <c r="AW102" s="69"/>
      <c r="AX102" s="69"/>
      <c r="AY102" s="69"/>
      <c r="AZ102" s="69"/>
      <c r="BA102" s="69"/>
      <c r="BB102" s="69"/>
      <c r="BC102" s="69"/>
    </row>
    <row r="103" spans="2:55" ht="15.95" hidden="1" customHeight="1" x14ac:dyDescent="0.25">
      <c r="B103" s="119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S103" s="69"/>
      <c r="AT103" s="69"/>
      <c r="AU103" s="69"/>
      <c r="AV103" s="69"/>
      <c r="AW103" s="69"/>
      <c r="AX103" s="69"/>
      <c r="AY103" s="69"/>
      <c r="AZ103" s="69"/>
      <c r="BA103" s="69"/>
      <c r="BB103" s="69"/>
      <c r="BC103" s="69"/>
    </row>
    <row r="104" spans="2:55" ht="15.95" hidden="1" customHeight="1" x14ac:dyDescent="0.25">
      <c r="B104" s="1193">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S104" s="69"/>
      <c r="AT104" s="69"/>
      <c r="AU104" s="69"/>
      <c r="AV104" s="69"/>
      <c r="AW104" s="69"/>
      <c r="AX104" s="69"/>
      <c r="AY104" s="69"/>
      <c r="AZ104" s="69"/>
      <c r="BA104" s="69"/>
      <c r="BB104" s="69"/>
      <c r="BC104" s="69"/>
    </row>
    <row r="105" spans="2:55" ht="15.95" hidden="1" customHeight="1" x14ac:dyDescent="0.25">
      <c r="B105" s="119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S105" s="69"/>
      <c r="AT105" s="69"/>
      <c r="AU105" s="69"/>
      <c r="AV105" s="69"/>
      <c r="AW105" s="69"/>
      <c r="AX105" s="69"/>
      <c r="AY105" s="69"/>
      <c r="AZ105" s="69"/>
      <c r="BA105" s="69"/>
      <c r="BB105" s="69"/>
      <c r="BC105" s="69"/>
    </row>
    <row r="106" spans="2:55" ht="15.95" hidden="1" customHeight="1" x14ac:dyDescent="0.25">
      <c r="B106" s="1193">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S106" s="69"/>
      <c r="AT106" s="69"/>
      <c r="AU106" s="69"/>
      <c r="AV106" s="69"/>
      <c r="AW106" s="69"/>
      <c r="AX106" s="69"/>
      <c r="AY106" s="69"/>
      <c r="AZ106" s="69"/>
      <c r="BA106" s="69"/>
      <c r="BB106" s="69"/>
      <c r="BC106" s="69"/>
    </row>
    <row r="107" spans="2:55" ht="15.95" hidden="1" customHeight="1" x14ac:dyDescent="0.25">
      <c r="B107" s="119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S107" s="69"/>
      <c r="AT107" s="69"/>
      <c r="AU107" s="69"/>
      <c r="AV107" s="69"/>
      <c r="AW107" s="69"/>
      <c r="AX107" s="69"/>
      <c r="AY107" s="69"/>
      <c r="AZ107" s="69"/>
      <c r="BA107" s="69"/>
      <c r="BB107" s="69"/>
      <c r="BC107" s="69"/>
    </row>
    <row r="108" spans="2:55" ht="15.95" hidden="1" customHeight="1" x14ac:dyDescent="0.25">
      <c r="B108" s="1193">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S108" s="69"/>
      <c r="AT108" s="69"/>
      <c r="AU108" s="69"/>
      <c r="AV108" s="69"/>
      <c r="AW108" s="69"/>
      <c r="AX108" s="69"/>
      <c r="AY108" s="69"/>
      <c r="AZ108" s="69"/>
      <c r="BA108" s="69"/>
      <c r="BB108" s="69"/>
      <c r="BC108" s="69"/>
    </row>
    <row r="109" spans="2:55" ht="15.95" hidden="1" customHeight="1" x14ac:dyDescent="0.25">
      <c r="B109" s="119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S109" s="69"/>
      <c r="AT109" s="69"/>
      <c r="AU109" s="69"/>
      <c r="AV109" s="69"/>
      <c r="AW109" s="69"/>
      <c r="AX109" s="69"/>
      <c r="AY109" s="69"/>
      <c r="AZ109" s="69"/>
      <c r="BA109" s="69"/>
      <c r="BB109" s="69"/>
      <c r="BC109" s="69"/>
    </row>
    <row r="110" spans="2:55" ht="15.95" hidden="1" customHeight="1" x14ac:dyDescent="0.25">
      <c r="B110" s="1193">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S110" s="69"/>
      <c r="AT110" s="69"/>
      <c r="AU110" s="69"/>
      <c r="AV110" s="69"/>
      <c r="AW110" s="69"/>
      <c r="AX110" s="69"/>
      <c r="AY110" s="69"/>
      <c r="AZ110" s="69"/>
      <c r="BA110" s="69"/>
      <c r="BB110" s="69"/>
      <c r="BC110" s="69"/>
    </row>
    <row r="111" spans="2:55" ht="15.95" hidden="1" customHeight="1" x14ac:dyDescent="0.25">
      <c r="B111" s="119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S111" s="69"/>
      <c r="AT111" s="69"/>
      <c r="AU111" s="69"/>
      <c r="AV111" s="69"/>
      <c r="AW111" s="69"/>
      <c r="AX111" s="69"/>
      <c r="AY111" s="69"/>
      <c r="AZ111" s="69"/>
      <c r="BA111" s="69"/>
      <c r="BB111" s="69"/>
      <c r="BC111" s="69"/>
    </row>
    <row r="112" spans="2:55" ht="15.95" hidden="1" customHeight="1" x14ac:dyDescent="0.25">
      <c r="B112" s="1193">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S112" s="69"/>
      <c r="AT112" s="69"/>
      <c r="AU112" s="69"/>
      <c r="AV112" s="69"/>
      <c r="AW112" s="69"/>
      <c r="AX112" s="69"/>
      <c r="AY112" s="69"/>
      <c r="AZ112" s="69"/>
      <c r="BA112" s="69"/>
      <c r="BB112" s="69"/>
      <c r="BC112" s="69"/>
    </row>
    <row r="113" spans="2:55" ht="15.95" hidden="1" customHeight="1" x14ac:dyDescent="0.25">
      <c r="B113" s="119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S113" s="69"/>
      <c r="AT113" s="69"/>
      <c r="AU113" s="69"/>
      <c r="AV113" s="69"/>
      <c r="AW113" s="69"/>
      <c r="AX113" s="69"/>
      <c r="AY113" s="69"/>
      <c r="AZ113" s="69"/>
      <c r="BA113" s="69"/>
      <c r="BB113" s="69"/>
      <c r="BC113" s="69"/>
    </row>
    <row r="114" spans="2:55" ht="15.95" hidden="1" customHeight="1" x14ac:dyDescent="0.25">
      <c r="B114" s="1193">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S114" s="69"/>
      <c r="AT114" s="69"/>
      <c r="AU114" s="69"/>
      <c r="AV114" s="69"/>
      <c r="AW114" s="69"/>
      <c r="AX114" s="69"/>
      <c r="AY114" s="69"/>
      <c r="AZ114" s="69"/>
      <c r="BA114" s="69"/>
      <c r="BB114" s="69"/>
      <c r="BC114" s="69"/>
    </row>
    <row r="115" spans="2:55" ht="15.95" hidden="1" customHeight="1" x14ac:dyDescent="0.25">
      <c r="B115" s="119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S115" s="69"/>
      <c r="AT115" s="69"/>
      <c r="AU115" s="69"/>
      <c r="AV115" s="69"/>
      <c r="AW115" s="69"/>
      <c r="AX115" s="69"/>
      <c r="AY115" s="69"/>
      <c r="AZ115" s="69"/>
      <c r="BA115" s="69"/>
      <c r="BB115" s="69"/>
      <c r="BC115" s="69"/>
    </row>
    <row r="116" spans="2:55" ht="15.95" hidden="1" customHeight="1" x14ac:dyDescent="0.25">
      <c r="B116" s="1193">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S116" s="69"/>
      <c r="AT116" s="69"/>
      <c r="AU116" s="69"/>
      <c r="AV116" s="69"/>
      <c r="AW116" s="69"/>
      <c r="AX116" s="69"/>
      <c r="AY116" s="69"/>
      <c r="AZ116" s="69"/>
      <c r="BA116" s="69"/>
      <c r="BB116" s="69"/>
      <c r="BC116" s="69"/>
    </row>
    <row r="117" spans="2:55" ht="15.95" hidden="1" customHeight="1" x14ac:dyDescent="0.25">
      <c r="B117" s="119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S117" s="69"/>
      <c r="AT117" s="69"/>
      <c r="AU117" s="69"/>
      <c r="AV117" s="69"/>
      <c r="AW117" s="69"/>
      <c r="AX117" s="69"/>
      <c r="AY117" s="69"/>
      <c r="AZ117" s="69"/>
      <c r="BA117" s="69"/>
      <c r="BB117" s="69"/>
      <c r="BC117" s="69"/>
    </row>
    <row r="118" spans="2:55" ht="15.95" hidden="1" customHeight="1" x14ac:dyDescent="0.25">
      <c r="B118" s="1193">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S118" s="69"/>
      <c r="AT118" s="69"/>
      <c r="AU118" s="69"/>
      <c r="AV118" s="69"/>
      <c r="AW118" s="69"/>
      <c r="AX118" s="69"/>
      <c r="AY118" s="69"/>
      <c r="AZ118" s="69"/>
      <c r="BA118" s="69"/>
      <c r="BB118" s="69"/>
      <c r="BC118" s="69"/>
    </row>
    <row r="119" spans="2:55" ht="15.95" hidden="1" customHeight="1" x14ac:dyDescent="0.25">
      <c r="B119" s="119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S119" s="69"/>
      <c r="AT119" s="69"/>
      <c r="AU119" s="69"/>
      <c r="AV119" s="69"/>
      <c r="AW119" s="69"/>
      <c r="AX119" s="69"/>
      <c r="AY119" s="69"/>
      <c r="AZ119" s="69"/>
      <c r="BA119" s="69"/>
      <c r="BB119" s="69"/>
      <c r="BC119" s="69"/>
    </row>
    <row r="120" spans="2:55" ht="15.95" hidden="1" customHeight="1" x14ac:dyDescent="0.25">
      <c r="B120" s="1193">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S120" s="69"/>
      <c r="AT120" s="69"/>
      <c r="AU120" s="69"/>
      <c r="AV120" s="69"/>
      <c r="AW120" s="69"/>
      <c r="AX120" s="69"/>
      <c r="AY120" s="69"/>
      <c r="AZ120" s="69"/>
      <c r="BA120" s="69"/>
      <c r="BB120" s="69"/>
      <c r="BC120" s="69"/>
    </row>
    <row r="121" spans="2:55" ht="15.95" hidden="1" customHeight="1" x14ac:dyDescent="0.25">
      <c r="B121" s="119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S121" s="69"/>
      <c r="AT121" s="69"/>
      <c r="AU121" s="69"/>
      <c r="AV121" s="69"/>
      <c r="AW121" s="69"/>
      <c r="AX121" s="69"/>
      <c r="AY121" s="69"/>
      <c r="AZ121" s="69"/>
      <c r="BA121" s="69"/>
      <c r="BB121" s="69"/>
      <c r="BC121" s="69"/>
    </row>
    <row r="122" spans="2:55" ht="15.95" hidden="1" customHeight="1" x14ac:dyDescent="0.25">
      <c r="B122" s="1193">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S122" s="69"/>
      <c r="AT122" s="69"/>
      <c r="AU122" s="69"/>
      <c r="AV122" s="69"/>
      <c r="AW122" s="69"/>
      <c r="AX122" s="69"/>
      <c r="AY122" s="69"/>
      <c r="AZ122" s="69"/>
      <c r="BA122" s="69"/>
      <c r="BB122" s="69"/>
      <c r="BC122" s="69"/>
    </row>
    <row r="123" spans="2:55" ht="15.95" hidden="1" customHeight="1" x14ac:dyDescent="0.25">
      <c r="B123" s="119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S123" s="69"/>
      <c r="AT123" s="69"/>
      <c r="AU123" s="69"/>
      <c r="AV123" s="69"/>
      <c r="AW123" s="69"/>
      <c r="AX123" s="69"/>
      <c r="AY123" s="69"/>
      <c r="AZ123" s="69"/>
      <c r="BA123" s="69"/>
      <c r="BB123" s="69"/>
      <c r="BC123" s="69"/>
    </row>
    <row r="124" spans="2:55" ht="15.95" hidden="1" customHeight="1" x14ac:dyDescent="0.25">
      <c r="B124" s="1193">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S124" s="69"/>
      <c r="AT124" s="69"/>
      <c r="AU124" s="69"/>
      <c r="AV124" s="69"/>
      <c r="AW124" s="69"/>
      <c r="AX124" s="69"/>
      <c r="AY124" s="69"/>
      <c r="AZ124" s="69"/>
      <c r="BA124" s="69"/>
      <c r="BB124" s="69"/>
      <c r="BC124" s="69"/>
    </row>
    <row r="125" spans="2:55" ht="15.95" hidden="1" customHeight="1" x14ac:dyDescent="0.25">
      <c r="B125" s="119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S125" s="69"/>
      <c r="AT125" s="69"/>
      <c r="AU125" s="69"/>
      <c r="AV125" s="69"/>
      <c r="AW125" s="69"/>
      <c r="AX125" s="69"/>
      <c r="AY125" s="69"/>
      <c r="AZ125" s="69"/>
      <c r="BA125" s="69"/>
      <c r="BB125" s="69"/>
      <c r="BC125" s="69"/>
    </row>
    <row r="126" spans="2:55" ht="15.95" hidden="1" customHeight="1" x14ac:dyDescent="0.25">
      <c r="B126" s="1193">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S126" s="69"/>
      <c r="AT126" s="69"/>
      <c r="AU126" s="69"/>
      <c r="AV126" s="69"/>
      <c r="AW126" s="69"/>
      <c r="AX126" s="69"/>
      <c r="AY126" s="69"/>
      <c r="AZ126" s="69"/>
      <c r="BA126" s="69"/>
      <c r="BB126" s="69"/>
      <c r="BC126" s="69"/>
    </row>
    <row r="127" spans="2:55" ht="15.95" hidden="1" customHeight="1" x14ac:dyDescent="0.25">
      <c r="B127" s="119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S127" s="69"/>
      <c r="AT127" s="69"/>
      <c r="AU127" s="69"/>
      <c r="AV127" s="69"/>
      <c r="AW127" s="69"/>
      <c r="AX127" s="69"/>
      <c r="AY127" s="69"/>
      <c r="AZ127" s="69"/>
      <c r="BA127" s="69"/>
      <c r="BB127" s="69"/>
      <c r="BC127" s="69"/>
    </row>
    <row r="128" spans="2:55" ht="15.95" hidden="1" customHeight="1" x14ac:dyDescent="0.25">
      <c r="B128" s="1193">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S128" s="69"/>
      <c r="AT128" s="69"/>
      <c r="AU128" s="69"/>
      <c r="AV128" s="69"/>
      <c r="AW128" s="69"/>
      <c r="AX128" s="69"/>
      <c r="AY128" s="69"/>
      <c r="AZ128" s="69"/>
      <c r="BA128" s="69"/>
      <c r="BB128" s="69"/>
      <c r="BC128" s="69"/>
    </row>
    <row r="129" spans="2:55" ht="15.95" hidden="1" customHeight="1" x14ac:dyDescent="0.25">
      <c r="B129" s="119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S129" s="69"/>
      <c r="AT129" s="69"/>
      <c r="AU129" s="69"/>
      <c r="AV129" s="69"/>
      <c r="AW129" s="69"/>
      <c r="AX129" s="69"/>
      <c r="AY129" s="69"/>
      <c r="AZ129" s="69"/>
      <c r="BA129" s="69"/>
      <c r="BB129" s="69"/>
      <c r="BC129" s="69"/>
    </row>
    <row r="130" spans="2:55" ht="15.95" hidden="1" customHeight="1" x14ac:dyDescent="0.25">
      <c r="B130" s="1193">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S130" s="69"/>
      <c r="AT130" s="69"/>
      <c r="AU130" s="69"/>
      <c r="AV130" s="69"/>
      <c r="AW130" s="69"/>
      <c r="AX130" s="69"/>
      <c r="AY130" s="69"/>
      <c r="AZ130" s="69"/>
      <c r="BA130" s="69"/>
      <c r="BB130" s="69"/>
      <c r="BC130" s="69"/>
    </row>
    <row r="131" spans="2:55" ht="15.95" hidden="1" customHeight="1" x14ac:dyDescent="0.25">
      <c r="B131" s="119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S131" s="69"/>
      <c r="AT131" s="69"/>
      <c r="AU131" s="69"/>
      <c r="AV131" s="69"/>
      <c r="AW131" s="69"/>
      <c r="AX131" s="69"/>
      <c r="AY131" s="69"/>
      <c r="AZ131" s="69"/>
      <c r="BA131" s="69"/>
      <c r="BB131" s="69"/>
      <c r="BC131" s="69"/>
    </row>
    <row r="132" spans="2:55" ht="15.95" hidden="1" customHeight="1" x14ac:dyDescent="0.25">
      <c r="B132" s="1193">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S132" s="69"/>
      <c r="AT132" s="69"/>
      <c r="AU132" s="69"/>
      <c r="AV132" s="69"/>
      <c r="AW132" s="69"/>
      <c r="AX132" s="69"/>
      <c r="AY132" s="69"/>
      <c r="AZ132" s="69"/>
      <c r="BA132" s="69"/>
      <c r="BB132" s="69"/>
      <c r="BC132" s="69"/>
    </row>
    <row r="133" spans="2:55" ht="15.95" hidden="1" customHeight="1" x14ac:dyDescent="0.25">
      <c r="B133" s="119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S133" s="69"/>
      <c r="AT133" s="69"/>
      <c r="AU133" s="69"/>
      <c r="AV133" s="69"/>
      <c r="AW133" s="69"/>
      <c r="AX133" s="69"/>
      <c r="AY133" s="69"/>
      <c r="AZ133" s="69"/>
      <c r="BA133" s="69"/>
      <c r="BB133" s="69"/>
      <c r="BC133" s="69"/>
    </row>
    <row r="134" spans="2:55" ht="15.95" hidden="1" customHeight="1" x14ac:dyDescent="0.25">
      <c r="B134" s="1193">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S134" s="69"/>
      <c r="AT134" s="69"/>
      <c r="AU134" s="69"/>
      <c r="AV134" s="69"/>
      <c r="AW134" s="69"/>
      <c r="AX134" s="69"/>
      <c r="AY134" s="69"/>
      <c r="AZ134" s="69"/>
      <c r="BA134" s="69"/>
      <c r="BB134" s="69"/>
      <c r="BC134" s="69"/>
    </row>
    <row r="135" spans="2:55" ht="15.95" hidden="1" customHeight="1" x14ac:dyDescent="0.25">
      <c r="B135" s="119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S135" s="69"/>
      <c r="AT135" s="69"/>
      <c r="AU135" s="69"/>
      <c r="AV135" s="69"/>
      <c r="AW135" s="69"/>
      <c r="AX135" s="69"/>
      <c r="AY135" s="69"/>
      <c r="AZ135" s="69"/>
      <c r="BA135" s="69"/>
      <c r="BB135" s="69"/>
      <c r="BC135" s="69"/>
    </row>
    <row r="136" spans="2:55" ht="15.95" hidden="1" customHeight="1" x14ac:dyDescent="0.25">
      <c r="B136" s="1193">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S136" s="69"/>
      <c r="AT136" s="69"/>
      <c r="AU136" s="69"/>
      <c r="AV136" s="69"/>
      <c r="AW136" s="69"/>
      <c r="AX136" s="69"/>
      <c r="AY136" s="69"/>
      <c r="AZ136" s="69"/>
      <c r="BA136" s="69"/>
      <c r="BB136" s="69"/>
      <c r="BC136" s="69"/>
    </row>
    <row r="137" spans="2:55" ht="15.95" hidden="1" customHeight="1" x14ac:dyDescent="0.25">
      <c r="B137" s="119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S137" s="69"/>
      <c r="AT137" s="69"/>
      <c r="AU137" s="69"/>
      <c r="AV137" s="69"/>
      <c r="AW137" s="69"/>
      <c r="AX137" s="69"/>
      <c r="AY137" s="69"/>
      <c r="AZ137" s="69"/>
      <c r="BA137" s="69"/>
      <c r="BB137" s="69"/>
      <c r="BC137" s="69"/>
    </row>
    <row r="138" spans="2:55" ht="15.95" hidden="1" customHeight="1" x14ac:dyDescent="0.25">
      <c r="B138" s="1193">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S138" s="69"/>
      <c r="AT138" s="69"/>
      <c r="AU138" s="69"/>
      <c r="AV138" s="69"/>
      <c r="AW138" s="69"/>
      <c r="AX138" s="69"/>
      <c r="AY138" s="69"/>
      <c r="AZ138" s="69"/>
      <c r="BA138" s="69"/>
      <c r="BB138" s="69"/>
      <c r="BC138" s="69"/>
    </row>
    <row r="139" spans="2:55" ht="15.95" hidden="1" customHeight="1" x14ac:dyDescent="0.25">
      <c r="B139" s="119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S139" s="69"/>
      <c r="AT139" s="69"/>
      <c r="AU139" s="69"/>
      <c r="AV139" s="69"/>
      <c r="AW139" s="69"/>
      <c r="AX139" s="69"/>
      <c r="AY139" s="69"/>
      <c r="AZ139" s="69"/>
      <c r="BA139" s="69"/>
      <c r="BB139" s="69"/>
      <c r="BC139" s="69"/>
    </row>
    <row r="140" spans="2:55" ht="15.95" hidden="1" customHeight="1" x14ac:dyDescent="0.25">
      <c r="B140" s="1193">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S140" s="69"/>
      <c r="AT140" s="69"/>
      <c r="AU140" s="69"/>
      <c r="AV140" s="69"/>
      <c r="AW140" s="69"/>
      <c r="AX140" s="69"/>
      <c r="AY140" s="69"/>
      <c r="AZ140" s="69"/>
      <c r="BA140" s="69"/>
      <c r="BB140" s="69"/>
      <c r="BC140" s="69"/>
    </row>
    <row r="141" spans="2:55" ht="15.95" hidden="1" customHeight="1" x14ac:dyDescent="0.25">
      <c r="B141" s="119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S141" s="69"/>
      <c r="AT141" s="69"/>
      <c r="AU141" s="69"/>
      <c r="AV141" s="69"/>
      <c r="AW141" s="69"/>
      <c r="AX141" s="69"/>
      <c r="AY141" s="69"/>
      <c r="AZ141" s="69"/>
      <c r="BA141" s="69"/>
      <c r="BB141" s="69"/>
      <c r="BC141" s="69"/>
    </row>
    <row r="142" spans="2:55" ht="15.95" hidden="1" customHeight="1" x14ac:dyDescent="0.25">
      <c r="B142" s="1193">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S142" s="69"/>
      <c r="AT142" s="69"/>
      <c r="AU142" s="69"/>
      <c r="AV142" s="69"/>
      <c r="AW142" s="69"/>
      <c r="AX142" s="69"/>
      <c r="AY142" s="69"/>
      <c r="AZ142" s="69"/>
      <c r="BA142" s="69"/>
      <c r="BB142" s="69"/>
      <c r="BC142" s="69"/>
    </row>
    <row r="143" spans="2:55" ht="15.95" hidden="1" customHeight="1" x14ac:dyDescent="0.25">
      <c r="B143" s="119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S143" s="69"/>
      <c r="AT143" s="69"/>
      <c r="AU143" s="69"/>
      <c r="AV143" s="69"/>
      <c r="AW143" s="69"/>
      <c r="AX143" s="69"/>
      <c r="AY143" s="69"/>
      <c r="AZ143" s="69"/>
      <c r="BA143" s="69"/>
      <c r="BB143" s="69"/>
      <c r="BC143" s="69"/>
    </row>
    <row r="144" spans="2:55" ht="15.95" hidden="1" customHeight="1" x14ac:dyDescent="0.25">
      <c r="B144" s="1193">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S144" s="69"/>
      <c r="AT144" s="69"/>
      <c r="AU144" s="69"/>
      <c r="AV144" s="69"/>
      <c r="AW144" s="69"/>
      <c r="AX144" s="69"/>
      <c r="AY144" s="69"/>
      <c r="AZ144" s="69"/>
      <c r="BA144" s="69"/>
      <c r="BB144" s="69"/>
      <c r="BC144" s="69"/>
    </row>
    <row r="145" spans="2:55" ht="15.95" hidden="1" customHeight="1" x14ac:dyDescent="0.25">
      <c r="B145" s="119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S145" s="69"/>
      <c r="AT145" s="69"/>
      <c r="AU145" s="69"/>
      <c r="AV145" s="69"/>
      <c r="AW145" s="69"/>
      <c r="AX145" s="69"/>
      <c r="AY145" s="69"/>
      <c r="AZ145" s="69"/>
      <c r="BA145" s="69"/>
      <c r="BB145" s="69"/>
      <c r="BC145" s="69"/>
    </row>
    <row r="146" spans="2:55" ht="15.95" hidden="1" customHeight="1" x14ac:dyDescent="0.25">
      <c r="B146" s="1193">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S146" s="69"/>
      <c r="AT146" s="69"/>
      <c r="AU146" s="69"/>
      <c r="AV146" s="69"/>
      <c r="AW146" s="69"/>
      <c r="AX146" s="69"/>
      <c r="AY146" s="69"/>
      <c r="AZ146" s="69"/>
      <c r="BA146" s="69"/>
      <c r="BB146" s="69"/>
      <c r="BC146" s="69"/>
    </row>
    <row r="147" spans="2:55" ht="15.95" hidden="1" customHeight="1" x14ac:dyDescent="0.25">
      <c r="B147" s="119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S147" s="69"/>
      <c r="AT147" s="69"/>
      <c r="AU147" s="69"/>
      <c r="AV147" s="69"/>
      <c r="AW147" s="69"/>
      <c r="AX147" s="69"/>
      <c r="AY147" s="69"/>
      <c r="AZ147" s="69"/>
      <c r="BA147" s="69"/>
      <c r="BB147" s="69"/>
      <c r="BC147" s="69"/>
    </row>
    <row r="148" spans="2:55" ht="15.95" hidden="1" customHeight="1" x14ac:dyDescent="0.25">
      <c r="B148" s="1193">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S148" s="69"/>
      <c r="AT148" s="69"/>
      <c r="AU148" s="69"/>
      <c r="AV148" s="69"/>
      <c r="AW148" s="69"/>
      <c r="AX148" s="69"/>
      <c r="AY148" s="69"/>
      <c r="AZ148" s="69"/>
      <c r="BA148" s="69"/>
      <c r="BB148" s="69"/>
      <c r="BC148" s="69"/>
    </row>
    <row r="149" spans="2:55" ht="15.95" hidden="1" customHeight="1" x14ac:dyDescent="0.25">
      <c r="B149" s="119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S149" s="69"/>
      <c r="AT149" s="69"/>
      <c r="AU149" s="69"/>
      <c r="AV149" s="69"/>
      <c r="AW149" s="69"/>
      <c r="AX149" s="69"/>
      <c r="AY149" s="69"/>
      <c r="AZ149" s="69"/>
      <c r="BA149" s="69"/>
      <c r="BB149" s="69"/>
      <c r="BC149" s="69"/>
    </row>
    <row r="150" spans="2:55" ht="15.95" hidden="1" customHeight="1" x14ac:dyDescent="0.25">
      <c r="B150" s="1193">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S150" s="69"/>
      <c r="AT150" s="69"/>
      <c r="AU150" s="69"/>
      <c r="AV150" s="69"/>
      <c r="AW150" s="69"/>
      <c r="AX150" s="69"/>
      <c r="AY150" s="69"/>
      <c r="AZ150" s="69"/>
      <c r="BA150" s="69"/>
      <c r="BB150" s="69"/>
      <c r="BC150" s="69"/>
    </row>
    <row r="151" spans="2:55" ht="15.95" hidden="1" customHeight="1" x14ac:dyDescent="0.25">
      <c r="B151" s="119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S151" s="69"/>
      <c r="AT151" s="69"/>
      <c r="AU151" s="69"/>
      <c r="AV151" s="69"/>
      <c r="AW151" s="69"/>
      <c r="AX151" s="69"/>
      <c r="AY151" s="69"/>
      <c r="AZ151" s="69"/>
      <c r="BA151" s="69"/>
      <c r="BB151" s="69"/>
      <c r="BC151" s="69"/>
    </row>
    <row r="152" spans="2:55" ht="15.95" hidden="1" customHeight="1" x14ac:dyDescent="0.25">
      <c r="B152" s="1193">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S152" s="69"/>
      <c r="AT152" s="69"/>
      <c r="AU152" s="69"/>
      <c r="AV152" s="69"/>
      <c r="AW152" s="69"/>
      <c r="AX152" s="69"/>
      <c r="AY152" s="69"/>
      <c r="AZ152" s="69"/>
      <c r="BA152" s="69"/>
      <c r="BB152" s="69"/>
      <c r="BC152" s="69"/>
    </row>
    <row r="153" spans="2:55" ht="15.95" hidden="1" customHeight="1" x14ac:dyDescent="0.25">
      <c r="B153" s="119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S153" s="69"/>
      <c r="AT153" s="69"/>
      <c r="AU153" s="69"/>
      <c r="AV153" s="69"/>
      <c r="AW153" s="69"/>
      <c r="AX153" s="69"/>
      <c r="AY153" s="69"/>
      <c r="AZ153" s="69"/>
      <c r="BA153" s="69"/>
      <c r="BB153" s="69"/>
      <c r="BC153" s="69"/>
    </row>
    <row r="154" spans="2:55" ht="15.95" hidden="1" customHeight="1" x14ac:dyDescent="0.25">
      <c r="B154" s="1193">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S154" s="69"/>
      <c r="AT154" s="69"/>
      <c r="AU154" s="69"/>
      <c r="AV154" s="69"/>
      <c r="AW154" s="69"/>
      <c r="AX154" s="69"/>
      <c r="AY154" s="69"/>
      <c r="AZ154" s="69"/>
      <c r="BA154" s="69"/>
      <c r="BB154" s="69"/>
      <c r="BC154" s="69"/>
    </row>
    <row r="155" spans="2:55" ht="15.95" hidden="1" customHeight="1" x14ac:dyDescent="0.25">
      <c r="B155" s="119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S155" s="69"/>
      <c r="AT155" s="69"/>
      <c r="AU155" s="69"/>
      <c r="AV155" s="69"/>
      <c r="AW155" s="69"/>
      <c r="AX155" s="69"/>
      <c r="AY155" s="69"/>
      <c r="AZ155" s="69"/>
      <c r="BA155" s="69"/>
      <c r="BB155" s="69"/>
      <c r="BC155" s="69"/>
    </row>
    <row r="156" spans="2:55" ht="15.95" hidden="1" customHeight="1" x14ac:dyDescent="0.25">
      <c r="B156" s="1193">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S156" s="69"/>
      <c r="AT156" s="69"/>
      <c r="AU156" s="69"/>
      <c r="AV156" s="69"/>
      <c r="AW156" s="69"/>
      <c r="AX156" s="69"/>
      <c r="AY156" s="69"/>
      <c r="AZ156" s="69"/>
      <c r="BA156" s="69"/>
      <c r="BB156" s="69"/>
      <c r="BC156" s="69"/>
    </row>
    <row r="157" spans="2:55" ht="15.95" hidden="1" customHeight="1" x14ac:dyDescent="0.25">
      <c r="B157" s="119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S157" s="69"/>
      <c r="AT157" s="69"/>
      <c r="AU157" s="69"/>
      <c r="AV157" s="69"/>
      <c r="AW157" s="69"/>
      <c r="AX157" s="69"/>
      <c r="AY157" s="69"/>
      <c r="AZ157" s="69"/>
      <c r="BA157" s="69"/>
      <c r="BB157" s="69"/>
      <c r="BC157" s="69"/>
    </row>
    <row r="158" spans="2:55" ht="15.95" hidden="1" customHeight="1" x14ac:dyDescent="0.25">
      <c r="B158" s="1193">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S158" s="69"/>
      <c r="AT158" s="69"/>
      <c r="AU158" s="69"/>
      <c r="AV158" s="69"/>
      <c r="AW158" s="69"/>
      <c r="AX158" s="69"/>
      <c r="AY158" s="69"/>
      <c r="AZ158" s="69"/>
      <c r="BA158" s="69"/>
      <c r="BB158" s="69"/>
      <c r="BC158" s="69"/>
    </row>
    <row r="159" spans="2:55" ht="15.95" hidden="1" customHeight="1" x14ac:dyDescent="0.25">
      <c r="B159" s="119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S159" s="69"/>
      <c r="AT159" s="69"/>
      <c r="AU159" s="69"/>
      <c r="AV159" s="69"/>
      <c r="AW159" s="69"/>
      <c r="AX159" s="69"/>
      <c r="AY159" s="69"/>
      <c r="AZ159" s="69"/>
      <c r="BA159" s="69"/>
      <c r="BB159" s="69"/>
      <c r="BC159" s="69"/>
    </row>
    <row r="160" spans="2:55" ht="15.95" hidden="1" customHeight="1" x14ac:dyDescent="0.25">
      <c r="B160" s="1193">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S160" s="69"/>
      <c r="AT160" s="69"/>
      <c r="AU160" s="69"/>
      <c r="AV160" s="69"/>
      <c r="AW160" s="69"/>
      <c r="AX160" s="69"/>
      <c r="AY160" s="69"/>
      <c r="AZ160" s="69"/>
      <c r="BA160" s="69"/>
      <c r="BB160" s="69"/>
      <c r="BC160" s="69"/>
    </row>
    <row r="161" spans="2:55" ht="15.95" hidden="1" customHeight="1" x14ac:dyDescent="0.25">
      <c r="B161" s="119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S161" s="69"/>
      <c r="AT161" s="69"/>
      <c r="AU161" s="69"/>
      <c r="AV161" s="69"/>
      <c r="AW161" s="69"/>
      <c r="AX161" s="69"/>
      <c r="AY161" s="69"/>
      <c r="AZ161" s="69"/>
      <c r="BA161" s="69"/>
      <c r="BB161" s="69"/>
      <c r="BC161" s="69"/>
    </row>
    <row r="162" spans="2:55" ht="15.95" hidden="1" customHeight="1" x14ac:dyDescent="0.25">
      <c r="B162" s="1193">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S162" s="69"/>
      <c r="AT162" s="69"/>
      <c r="AU162" s="69"/>
      <c r="AV162" s="69"/>
      <c r="AW162" s="69"/>
      <c r="AX162" s="69"/>
      <c r="AY162" s="69"/>
      <c r="AZ162" s="69"/>
      <c r="BA162" s="69"/>
      <c r="BB162" s="69"/>
      <c r="BC162" s="69"/>
    </row>
    <row r="163" spans="2:55" ht="15.95" hidden="1" customHeight="1" x14ac:dyDescent="0.25">
      <c r="B163" s="119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S163" s="69"/>
      <c r="AT163" s="69"/>
      <c r="AU163" s="69"/>
      <c r="AV163" s="69"/>
      <c r="AW163" s="69"/>
      <c r="AX163" s="69"/>
      <c r="AY163" s="69"/>
      <c r="AZ163" s="69"/>
      <c r="BA163" s="69"/>
      <c r="BB163" s="69"/>
      <c r="BC163" s="69"/>
    </row>
    <row r="164" spans="2:55" ht="15.95" hidden="1" customHeight="1" x14ac:dyDescent="0.25">
      <c r="B164" s="1193">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S164" s="69"/>
      <c r="AT164" s="69"/>
      <c r="AU164" s="69"/>
      <c r="AV164" s="69"/>
      <c r="AW164" s="69"/>
      <c r="AX164" s="69"/>
      <c r="AY164" s="69"/>
      <c r="AZ164" s="69"/>
      <c r="BA164" s="69"/>
      <c r="BB164" s="69"/>
      <c r="BC164" s="69"/>
    </row>
    <row r="165" spans="2:55" ht="15.95" hidden="1" customHeight="1" x14ac:dyDescent="0.25">
      <c r="B165" s="119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S165" s="69"/>
      <c r="AT165" s="69"/>
      <c r="AU165" s="69"/>
      <c r="AV165" s="69"/>
      <c r="AW165" s="69"/>
      <c r="AX165" s="69"/>
      <c r="AY165" s="69"/>
      <c r="AZ165" s="69"/>
      <c r="BA165" s="69"/>
      <c r="BB165" s="69"/>
      <c r="BC165" s="69"/>
    </row>
    <row r="166" spans="2:55" ht="15.95" hidden="1" customHeight="1" x14ac:dyDescent="0.25">
      <c r="B166" s="1193">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S166" s="69"/>
      <c r="AT166" s="69"/>
      <c r="AU166" s="69"/>
      <c r="AV166" s="69"/>
      <c r="AW166" s="69"/>
      <c r="AX166" s="69"/>
      <c r="AY166" s="69"/>
      <c r="AZ166" s="69"/>
      <c r="BA166" s="69"/>
      <c r="BB166" s="69"/>
      <c r="BC166" s="69"/>
    </row>
    <row r="167" spans="2:55" ht="15.95" hidden="1" customHeight="1" x14ac:dyDescent="0.25">
      <c r="B167" s="119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S167" s="69"/>
      <c r="AT167" s="69"/>
      <c r="AU167" s="69"/>
      <c r="AV167" s="69"/>
      <c r="AW167" s="69"/>
      <c r="AX167" s="69"/>
      <c r="AY167" s="69"/>
      <c r="AZ167" s="69"/>
      <c r="BA167" s="69"/>
      <c r="BB167" s="69"/>
      <c r="BC167" s="69"/>
    </row>
    <row r="168" spans="2:55" ht="15.95" hidden="1" customHeight="1" x14ac:dyDescent="0.25">
      <c r="B168" s="1193">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S168" s="69"/>
      <c r="AT168" s="69"/>
      <c r="AU168" s="69"/>
      <c r="AV168" s="69"/>
      <c r="AW168" s="69"/>
      <c r="AX168" s="69"/>
      <c r="AY168" s="69"/>
      <c r="AZ168" s="69"/>
      <c r="BA168" s="69"/>
      <c r="BB168" s="69"/>
      <c r="BC168" s="69"/>
    </row>
    <row r="169" spans="2:55" ht="15.95" hidden="1" customHeight="1" x14ac:dyDescent="0.25">
      <c r="B169" s="119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S169" s="69"/>
      <c r="AT169" s="69"/>
      <c r="AU169" s="69"/>
      <c r="AV169" s="69"/>
      <c r="AW169" s="69"/>
      <c r="AX169" s="69"/>
      <c r="AY169" s="69"/>
      <c r="AZ169" s="69"/>
      <c r="BA169" s="69"/>
      <c r="BB169" s="69"/>
      <c r="BC169" s="69"/>
    </row>
    <row r="170" spans="2:55" ht="15.95" hidden="1" customHeight="1" x14ac:dyDescent="0.25">
      <c r="B170" s="1193">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S170" s="69"/>
      <c r="AT170" s="69"/>
      <c r="AU170" s="69"/>
      <c r="AV170" s="69"/>
      <c r="AW170" s="69"/>
      <c r="AX170" s="69"/>
      <c r="AY170" s="69"/>
      <c r="AZ170" s="69"/>
      <c r="BA170" s="69"/>
      <c r="BB170" s="69"/>
      <c r="BC170" s="69"/>
    </row>
    <row r="171" spans="2:55" ht="15.95" hidden="1" customHeight="1" x14ac:dyDescent="0.25">
      <c r="B171" s="119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S171" s="69"/>
      <c r="AT171" s="69"/>
      <c r="AU171" s="69"/>
      <c r="AV171" s="69"/>
      <c r="AW171" s="69"/>
      <c r="AX171" s="69"/>
      <c r="AY171" s="69"/>
      <c r="AZ171" s="69"/>
      <c r="BA171" s="69"/>
      <c r="BB171" s="69"/>
      <c r="BC171" s="69"/>
    </row>
    <row r="172" spans="2:55" ht="15.95" hidden="1" customHeight="1" x14ac:dyDescent="0.25">
      <c r="B172" s="1193">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S172" s="69"/>
      <c r="AT172" s="69"/>
      <c r="AU172" s="69"/>
      <c r="AV172" s="69"/>
      <c r="AW172" s="69"/>
      <c r="AX172" s="69"/>
      <c r="AY172" s="69"/>
      <c r="AZ172" s="69"/>
      <c r="BA172" s="69"/>
      <c r="BB172" s="69"/>
      <c r="BC172" s="69"/>
    </row>
    <row r="173" spans="2:55" ht="15.95" hidden="1" customHeight="1" x14ac:dyDescent="0.25">
      <c r="B173" s="119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S173" s="69"/>
      <c r="AT173" s="69"/>
      <c r="AU173" s="69"/>
      <c r="AV173" s="69"/>
      <c r="AW173" s="69"/>
      <c r="AX173" s="69"/>
      <c r="AY173" s="69"/>
      <c r="AZ173" s="69"/>
      <c r="BA173" s="69"/>
      <c r="BB173" s="69"/>
      <c r="BC173" s="69"/>
    </row>
    <row r="174" spans="2:55" ht="15.95" hidden="1" customHeight="1" x14ac:dyDescent="0.25">
      <c r="B174" s="1193">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S174" s="69"/>
      <c r="AT174" s="69"/>
      <c r="AU174" s="69"/>
      <c r="AV174" s="69"/>
      <c r="AW174" s="69"/>
      <c r="AX174" s="69"/>
      <c r="AY174" s="69"/>
      <c r="AZ174" s="69"/>
      <c r="BA174" s="69"/>
      <c r="BB174" s="69"/>
      <c r="BC174" s="69"/>
    </row>
    <row r="175" spans="2:55" ht="15.95" hidden="1" customHeight="1" x14ac:dyDescent="0.25">
      <c r="B175" s="119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S175" s="69"/>
      <c r="AT175" s="69"/>
      <c r="AU175" s="69"/>
      <c r="AV175" s="69"/>
      <c r="AW175" s="69"/>
      <c r="AX175" s="69"/>
      <c r="AY175" s="69"/>
      <c r="AZ175" s="69"/>
      <c r="BA175" s="69"/>
      <c r="BB175" s="69"/>
      <c r="BC175" s="69"/>
    </row>
    <row r="176" spans="2:55" ht="15.95" hidden="1" customHeight="1" x14ac:dyDescent="0.25">
      <c r="B176" s="1193">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S176" s="69"/>
      <c r="AT176" s="69"/>
      <c r="AU176" s="69"/>
      <c r="AV176" s="69"/>
      <c r="AW176" s="69"/>
      <c r="AX176" s="69"/>
      <c r="AY176" s="69"/>
      <c r="AZ176" s="69"/>
      <c r="BA176" s="69"/>
      <c r="BB176" s="69"/>
      <c r="BC176" s="69"/>
    </row>
    <row r="177" spans="2:55" ht="15.95" hidden="1" customHeight="1" x14ac:dyDescent="0.25">
      <c r="B177" s="119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S177" s="69"/>
      <c r="AT177" s="69"/>
      <c r="AU177" s="69"/>
      <c r="AV177" s="69"/>
      <c r="AW177" s="69"/>
      <c r="AX177" s="69"/>
      <c r="AY177" s="69"/>
      <c r="AZ177" s="69"/>
      <c r="BA177" s="69"/>
      <c r="BB177" s="69"/>
      <c r="BC177" s="69"/>
    </row>
    <row r="178" spans="2:55" ht="15.95" hidden="1" customHeight="1" x14ac:dyDescent="0.25">
      <c r="B178" s="1193">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S178" s="69"/>
      <c r="AT178" s="69"/>
      <c r="AU178" s="69"/>
      <c r="AV178" s="69"/>
      <c r="AW178" s="69"/>
      <c r="AX178" s="69"/>
      <c r="AY178" s="69"/>
      <c r="AZ178" s="69"/>
      <c r="BA178" s="69"/>
      <c r="BB178" s="69"/>
      <c r="BC178" s="69"/>
    </row>
    <row r="179" spans="2:55" ht="15.95" hidden="1" customHeight="1" x14ac:dyDescent="0.25">
      <c r="B179" s="119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S179" s="69"/>
      <c r="AT179" s="69"/>
      <c r="AU179" s="69"/>
      <c r="AV179" s="69"/>
      <c r="AW179" s="69"/>
      <c r="AX179" s="69"/>
      <c r="AY179" s="69"/>
      <c r="AZ179" s="69"/>
      <c r="BA179" s="69"/>
      <c r="BB179" s="69"/>
      <c r="BC179" s="69"/>
    </row>
    <row r="180" spans="2:55" ht="15.95" hidden="1" customHeight="1" x14ac:dyDescent="0.25">
      <c r="B180" s="1193">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S180" s="69"/>
      <c r="AT180" s="69"/>
      <c r="AU180" s="69"/>
      <c r="AV180" s="69"/>
      <c r="AW180" s="69"/>
      <c r="AX180" s="69"/>
      <c r="AY180" s="69"/>
      <c r="AZ180" s="69"/>
      <c r="BA180" s="69"/>
      <c r="BB180" s="69"/>
      <c r="BC180" s="69"/>
    </row>
    <row r="181" spans="2:55" ht="15.95" hidden="1" customHeight="1" x14ac:dyDescent="0.25">
      <c r="B181" s="119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S181" s="69"/>
      <c r="AT181" s="69"/>
      <c r="AU181" s="69"/>
      <c r="AV181" s="69"/>
      <c r="AW181" s="69"/>
      <c r="AX181" s="69"/>
      <c r="AY181" s="69"/>
      <c r="AZ181" s="69"/>
      <c r="BA181" s="69"/>
      <c r="BB181" s="69"/>
      <c r="BC181" s="69"/>
    </row>
    <row r="182" spans="2:55" ht="15.95" hidden="1" customHeight="1" x14ac:dyDescent="0.25">
      <c r="B182" s="1193">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S182" s="69"/>
      <c r="AT182" s="69"/>
      <c r="AU182" s="69"/>
      <c r="AV182" s="69"/>
      <c r="AW182" s="69"/>
      <c r="AX182" s="69"/>
      <c r="AY182" s="69"/>
      <c r="AZ182" s="69"/>
      <c r="BA182" s="69"/>
      <c r="BB182" s="69"/>
      <c r="BC182" s="69"/>
    </row>
    <row r="183" spans="2:55" ht="15.95" hidden="1" customHeight="1" x14ac:dyDescent="0.25">
      <c r="B183" s="119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S183" s="69"/>
      <c r="AT183" s="69"/>
      <c r="AU183" s="69"/>
      <c r="AV183" s="69"/>
      <c r="AW183" s="69"/>
      <c r="AX183" s="69"/>
      <c r="AY183" s="69"/>
      <c r="AZ183" s="69"/>
      <c r="BA183" s="69"/>
      <c r="BB183" s="69"/>
      <c r="BC183" s="69"/>
    </row>
    <row r="184" spans="2:55" ht="15.95" hidden="1" customHeight="1" x14ac:dyDescent="0.25">
      <c r="B184" s="1193">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S184" s="69"/>
      <c r="AT184" s="69"/>
      <c r="AU184" s="69"/>
      <c r="AV184" s="69"/>
      <c r="AW184" s="69"/>
      <c r="AX184" s="69"/>
      <c r="AY184" s="69"/>
      <c r="AZ184" s="69"/>
      <c r="BA184" s="69"/>
      <c r="BB184" s="69"/>
      <c r="BC184" s="69"/>
    </row>
    <row r="185" spans="2:55" ht="15.95" hidden="1" customHeight="1" x14ac:dyDescent="0.25">
      <c r="B185" s="119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S185" s="69"/>
      <c r="AT185" s="69"/>
      <c r="AU185" s="69"/>
      <c r="AV185" s="69"/>
      <c r="AW185" s="69"/>
      <c r="AX185" s="69"/>
      <c r="AY185" s="69"/>
      <c r="AZ185" s="69"/>
      <c r="BA185" s="69"/>
      <c r="BB185" s="69"/>
      <c r="BC185" s="69"/>
    </row>
    <row r="186" spans="2:55" ht="15.95" hidden="1" customHeight="1" x14ac:dyDescent="0.25">
      <c r="B186" s="1193">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S186" s="69"/>
      <c r="AT186" s="69"/>
      <c r="AU186" s="69"/>
      <c r="AV186" s="69"/>
      <c r="AW186" s="69"/>
      <c r="AX186" s="69"/>
      <c r="AY186" s="69"/>
      <c r="AZ186" s="69"/>
      <c r="BA186" s="69"/>
      <c r="BB186" s="69"/>
      <c r="BC186" s="69"/>
    </row>
    <row r="187" spans="2:55" ht="15.95" hidden="1" customHeight="1" x14ac:dyDescent="0.25">
      <c r="B187" s="119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S187" s="69"/>
      <c r="AT187" s="69"/>
      <c r="AU187" s="69"/>
      <c r="AV187" s="69"/>
      <c r="AW187" s="69"/>
      <c r="AX187" s="69"/>
      <c r="AY187" s="69"/>
      <c r="AZ187" s="69"/>
      <c r="BA187" s="69"/>
      <c r="BB187" s="69"/>
      <c r="BC187" s="69"/>
    </row>
    <row r="188" spans="2:55" ht="15.95" hidden="1" customHeight="1" x14ac:dyDescent="0.25">
      <c r="B188" s="1193">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S188" s="69"/>
      <c r="AT188" s="69"/>
      <c r="AU188" s="69"/>
      <c r="AV188" s="69"/>
      <c r="AW188" s="69"/>
      <c r="AX188" s="69"/>
      <c r="AY188" s="69"/>
      <c r="AZ188" s="69"/>
      <c r="BA188" s="69"/>
      <c r="BB188" s="69"/>
      <c r="BC188" s="69"/>
    </row>
    <row r="189" spans="2:55" ht="15.95" hidden="1" customHeight="1" x14ac:dyDescent="0.25">
      <c r="B189" s="119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S189" s="69"/>
      <c r="AT189" s="69"/>
      <c r="AU189" s="69"/>
      <c r="AV189" s="69"/>
      <c r="AW189" s="69"/>
      <c r="AX189" s="69"/>
      <c r="AY189" s="69"/>
      <c r="AZ189" s="69"/>
      <c r="BA189" s="69"/>
      <c r="BB189" s="69"/>
      <c r="BC189" s="69"/>
    </row>
    <row r="190" spans="2:55" ht="15.95" hidden="1" customHeight="1" x14ac:dyDescent="0.25">
      <c r="B190" s="1193">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S190" s="69"/>
      <c r="AT190" s="69"/>
      <c r="AU190" s="69"/>
      <c r="AV190" s="69"/>
      <c r="AW190" s="69"/>
      <c r="AX190" s="69"/>
      <c r="AY190" s="69"/>
      <c r="AZ190" s="69"/>
      <c r="BA190" s="69"/>
      <c r="BB190" s="69"/>
      <c r="BC190" s="69"/>
    </row>
    <row r="191" spans="2:55" ht="15.95" hidden="1" customHeight="1" x14ac:dyDescent="0.25">
      <c r="B191" s="119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S191" s="69"/>
      <c r="AT191" s="69"/>
      <c r="AU191" s="69"/>
      <c r="AV191" s="69"/>
      <c r="AW191" s="69"/>
      <c r="AX191" s="69"/>
      <c r="AY191" s="69"/>
      <c r="AZ191" s="69"/>
      <c r="BA191" s="69"/>
      <c r="BB191" s="69"/>
      <c r="BC191" s="69"/>
    </row>
    <row r="192" spans="2:55" ht="15.95" hidden="1" customHeight="1" x14ac:dyDescent="0.25">
      <c r="B192" s="1193">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S192" s="69"/>
      <c r="AT192" s="69"/>
      <c r="AU192" s="69"/>
      <c r="AV192" s="69"/>
      <c r="AW192" s="69"/>
      <c r="AX192" s="69"/>
      <c r="AY192" s="69"/>
      <c r="AZ192" s="69"/>
      <c r="BA192" s="69"/>
      <c r="BB192" s="69"/>
      <c r="BC192" s="69"/>
    </row>
    <row r="193" spans="2:55" ht="15.95" hidden="1" customHeight="1" x14ac:dyDescent="0.25">
      <c r="B193" s="119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S193" s="69"/>
      <c r="AT193" s="69"/>
      <c r="AU193" s="69"/>
      <c r="AV193" s="69"/>
      <c r="AW193" s="69"/>
      <c r="AX193" s="69"/>
      <c r="AY193" s="69"/>
      <c r="AZ193" s="69"/>
      <c r="BA193" s="69"/>
      <c r="BB193" s="69"/>
      <c r="BC193" s="69"/>
    </row>
    <row r="194" spans="2:55" ht="15.95" hidden="1" customHeight="1" x14ac:dyDescent="0.25">
      <c r="B194" s="1193">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S194" s="69"/>
      <c r="AT194" s="69"/>
      <c r="AU194" s="69"/>
      <c r="AV194" s="69"/>
      <c r="AW194" s="69"/>
      <c r="AX194" s="69"/>
      <c r="AY194" s="69"/>
      <c r="AZ194" s="69"/>
      <c r="BA194" s="69"/>
      <c r="BB194" s="69"/>
      <c r="BC194" s="69"/>
    </row>
    <row r="195" spans="2:55" ht="15.95" hidden="1" customHeight="1" x14ac:dyDescent="0.25">
      <c r="B195" s="119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S195" s="69"/>
      <c r="AT195" s="69"/>
      <c r="AU195" s="69"/>
      <c r="AV195" s="69"/>
      <c r="AW195" s="69"/>
      <c r="AX195" s="69"/>
      <c r="AY195" s="69"/>
      <c r="AZ195" s="69"/>
      <c r="BA195" s="69"/>
      <c r="BB195" s="69"/>
      <c r="BC195" s="69"/>
    </row>
    <row r="196" spans="2:55" ht="15.95" hidden="1" customHeight="1" x14ac:dyDescent="0.25">
      <c r="B196" s="1193">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S196" s="69"/>
      <c r="AT196" s="69"/>
      <c r="AU196" s="69"/>
      <c r="AV196" s="69"/>
      <c r="AW196" s="69"/>
      <c r="AX196" s="69"/>
      <c r="AY196" s="69"/>
      <c r="AZ196" s="69"/>
      <c r="BA196" s="69"/>
      <c r="BB196" s="69"/>
      <c r="BC196" s="69"/>
    </row>
    <row r="197" spans="2:55" ht="15.95" hidden="1" customHeight="1" x14ac:dyDescent="0.25">
      <c r="B197" s="119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S197" s="69"/>
      <c r="AT197" s="69"/>
      <c r="AU197" s="69"/>
      <c r="AV197" s="69"/>
      <c r="AW197" s="69"/>
      <c r="AX197" s="69"/>
      <c r="AY197" s="69"/>
      <c r="AZ197" s="69"/>
      <c r="BA197" s="69"/>
      <c r="BB197" s="69"/>
      <c r="BC197" s="69"/>
    </row>
    <row r="198" spans="2:55" ht="15.95" hidden="1" customHeight="1" x14ac:dyDescent="0.25">
      <c r="B198" s="1193">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S198" s="69"/>
      <c r="AT198" s="69"/>
      <c r="AU198" s="69"/>
      <c r="AV198" s="69"/>
      <c r="AW198" s="69"/>
      <c r="AX198" s="69"/>
      <c r="AY198" s="69"/>
      <c r="AZ198" s="69"/>
      <c r="BA198" s="69"/>
      <c r="BB198" s="69"/>
      <c r="BC198" s="69"/>
    </row>
    <row r="199" spans="2:55" ht="15.95" hidden="1" customHeight="1" x14ac:dyDescent="0.25">
      <c r="B199" s="119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S199" s="69"/>
      <c r="AT199" s="69"/>
      <c r="AU199" s="69"/>
      <c r="AV199" s="69"/>
      <c r="AW199" s="69"/>
      <c r="AX199" s="69"/>
      <c r="AY199" s="69"/>
      <c r="AZ199" s="69"/>
      <c r="BA199" s="69"/>
      <c r="BB199" s="69"/>
      <c r="BC199" s="69"/>
    </row>
    <row r="200" spans="2:55"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S200" s="69"/>
      <c r="AT200" s="69"/>
      <c r="AU200" s="804">
        <f>SUM(AU16:AU199)</f>
        <v>0</v>
      </c>
      <c r="AV200" s="752">
        <f>SUM(AV16:AV199)</f>
        <v>0</v>
      </c>
      <c r="AW200" s="802">
        <f>SUM(AW16:AW199)</f>
        <v>0</v>
      </c>
      <c r="AX200" s="750">
        <f t="shared" ref="AX200" si="54">SUM(AX16:AX199)</f>
        <v>0</v>
      </c>
      <c r="AY200" s="69"/>
      <c r="AZ200" s="69"/>
      <c r="BA200" s="804">
        <f>SUM(BA16:BA199)</f>
        <v>0</v>
      </c>
      <c r="BB200" s="804">
        <f t="shared" ref="BB200:BC200" si="55">SUM(BB16:BB199)</f>
        <v>0</v>
      </c>
      <c r="BC200" s="804">
        <f t="shared" si="55"/>
        <v>0</v>
      </c>
    </row>
    <row r="201" spans="2:55"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S201" s="69"/>
      <c r="AT201" s="69"/>
      <c r="AU201" s="805"/>
      <c r="AV201" s="751"/>
      <c r="AW201" s="751"/>
      <c r="AX201" s="751"/>
      <c r="AY201" s="69"/>
      <c r="AZ201" s="69"/>
      <c r="BA201" s="805"/>
      <c r="BB201" s="805"/>
      <c r="BC201" s="805"/>
    </row>
    <row r="202" spans="2:55"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row>
  </sheetData>
  <sheetProtection algorithmName="SHA-512" hashValue="5TUa7cR1k9iT+w60hBwxFjRVrOLmuScfBXz28xwk4dqujNNcsC9t2yw+pYc7OVSw8LPKaINQ1NE6Nxy7x1IEcw==" saltValue="OvFUby2wd5wMSxx42cRKag==" spinCount="100000" sheet="1" objects="1" scenarios="1" selectLockedCells="1"/>
  <mergeCells count="491">
    <mergeCell ref="AH1:AK1"/>
    <mergeCell ref="AL1:AP1"/>
    <mergeCell ref="AQ1:AR1"/>
    <mergeCell ref="J11:Q13"/>
    <mergeCell ref="R11:U11"/>
    <mergeCell ref="V11:Y11"/>
    <mergeCell ref="Z11:AC11"/>
    <mergeCell ref="R12:U13"/>
    <mergeCell ref="Q1:R1"/>
    <mergeCell ref="U1:V1"/>
    <mergeCell ref="Y1:Z1"/>
    <mergeCell ref="V12:Y13"/>
    <mergeCell ref="Z12:AC13"/>
    <mergeCell ref="AH2:AK3"/>
    <mergeCell ref="AL2:AP3"/>
    <mergeCell ref="AQ2:AR3"/>
    <mergeCell ref="O9:AF10"/>
    <mergeCell ref="BA16:BA17"/>
    <mergeCell ref="BB16:BB17"/>
    <mergeCell ref="AB14:AD15"/>
    <mergeCell ref="AE14:AH14"/>
    <mergeCell ref="AI14:AJ15"/>
    <mergeCell ref="AK14:AN15"/>
    <mergeCell ref="AY14:AY15"/>
    <mergeCell ref="BA14:BA15"/>
    <mergeCell ref="BB14:BB15"/>
    <mergeCell ref="AV14:AV15"/>
    <mergeCell ref="AI16:AJ17"/>
    <mergeCell ref="AK16:AN17"/>
    <mergeCell ref="AO16:AQ17"/>
    <mergeCell ref="AU14:AU15"/>
    <mergeCell ref="AZ14:AZ15"/>
    <mergeCell ref="AZ16:AZ17"/>
    <mergeCell ref="BC16:BC17"/>
    <mergeCell ref="AU16:AU17"/>
    <mergeCell ref="AV16:AV17"/>
    <mergeCell ref="AY16:AY17"/>
    <mergeCell ref="V16:W17"/>
    <mergeCell ref="X16:AA17"/>
    <mergeCell ref="AB16:AD17"/>
    <mergeCell ref="B20:B21"/>
    <mergeCell ref="AY18:AY19"/>
    <mergeCell ref="BA18:BA19"/>
    <mergeCell ref="BB18:BB19"/>
    <mergeCell ref="BC18:BC19"/>
    <mergeCell ref="AU18:AU19"/>
    <mergeCell ref="AV18:AV19"/>
    <mergeCell ref="AE18:AF19"/>
    <mergeCell ref="AG18:AH19"/>
    <mergeCell ref="AI18:AJ19"/>
    <mergeCell ref="AK18:AN19"/>
    <mergeCell ref="AB18:AD19"/>
    <mergeCell ref="B18:B19"/>
    <mergeCell ref="BC20:BC21"/>
    <mergeCell ref="AU20:AU21"/>
    <mergeCell ref="AV20:AV21"/>
    <mergeCell ref="AY20:AY21"/>
    <mergeCell ref="BA20:BA21"/>
    <mergeCell ref="BB20:BB21"/>
    <mergeCell ref="AK20:AN21"/>
    <mergeCell ref="AO20:AQ21"/>
    <mergeCell ref="AB20:AD21"/>
    <mergeCell ref="AE20:AF21"/>
    <mergeCell ref="AG20:AH21"/>
    <mergeCell ref="AI20:AJ21"/>
    <mergeCell ref="B24:B25"/>
    <mergeCell ref="AY22:AY23"/>
    <mergeCell ref="BA22:BA23"/>
    <mergeCell ref="BB22:BB23"/>
    <mergeCell ref="V20:W21"/>
    <mergeCell ref="X20:AA21"/>
    <mergeCell ref="C20:I21"/>
    <mergeCell ref="C24:I25"/>
    <mergeCell ref="J20:N21"/>
    <mergeCell ref="J24:N25"/>
    <mergeCell ref="Q20:S21"/>
    <mergeCell ref="Q24:S25"/>
    <mergeCell ref="BC22:BC23"/>
    <mergeCell ref="AU22:AU23"/>
    <mergeCell ref="AV22:AV23"/>
    <mergeCell ref="AE22:AF23"/>
    <mergeCell ref="AG22:AH23"/>
    <mergeCell ref="AI22:AJ23"/>
    <mergeCell ref="AK22:AN23"/>
    <mergeCell ref="AB22:AD23"/>
    <mergeCell ref="B22:B23"/>
    <mergeCell ref="AX22:AX23"/>
    <mergeCell ref="C22:I23"/>
    <mergeCell ref="J22:N23"/>
    <mergeCell ref="Q22:S23"/>
    <mergeCell ref="BC24:BC25"/>
    <mergeCell ref="AU24:AU25"/>
    <mergeCell ref="AV24:AV25"/>
    <mergeCell ref="AY24:AY25"/>
    <mergeCell ref="BA24:BA25"/>
    <mergeCell ref="BB24:BB25"/>
    <mergeCell ref="AK24:AN25"/>
    <mergeCell ref="AO24:AQ25"/>
    <mergeCell ref="AI24:AJ25"/>
    <mergeCell ref="AX24:AX25"/>
    <mergeCell ref="B28:B29"/>
    <mergeCell ref="AY26:AY27"/>
    <mergeCell ref="BA26:BA27"/>
    <mergeCell ref="BB26:BB27"/>
    <mergeCell ref="BC26:BC27"/>
    <mergeCell ref="AU26:AU27"/>
    <mergeCell ref="AV26:AV27"/>
    <mergeCell ref="AE26:AF27"/>
    <mergeCell ref="AG26:AH27"/>
    <mergeCell ref="AI26:AJ27"/>
    <mergeCell ref="AK26:AN27"/>
    <mergeCell ref="AB26:AD27"/>
    <mergeCell ref="B26:B27"/>
    <mergeCell ref="BC28:BC29"/>
    <mergeCell ref="AU28:AU29"/>
    <mergeCell ref="AV28:AV29"/>
    <mergeCell ref="AY28:AY29"/>
    <mergeCell ref="BA28:BA29"/>
    <mergeCell ref="BB28:BB29"/>
    <mergeCell ref="AK28:AN29"/>
    <mergeCell ref="AO28:AQ29"/>
    <mergeCell ref="AI28:AJ29"/>
    <mergeCell ref="C26:I27"/>
    <mergeCell ref="V26:W27"/>
    <mergeCell ref="B32:B33"/>
    <mergeCell ref="AY30:AY31"/>
    <mergeCell ref="BA30:BA31"/>
    <mergeCell ref="BB30:BB31"/>
    <mergeCell ref="BC30:BC31"/>
    <mergeCell ref="AU30:AU31"/>
    <mergeCell ref="AV30:AV31"/>
    <mergeCell ref="AE30:AF31"/>
    <mergeCell ref="AG30:AH31"/>
    <mergeCell ref="AI30:AJ31"/>
    <mergeCell ref="AK30:AN31"/>
    <mergeCell ref="AB30:AD31"/>
    <mergeCell ref="B30:B31"/>
    <mergeCell ref="BC32:BC33"/>
    <mergeCell ref="AU32:AU33"/>
    <mergeCell ref="AV32:AV33"/>
    <mergeCell ref="AY32:AY33"/>
    <mergeCell ref="BA32:BA33"/>
    <mergeCell ref="BB32:BB33"/>
    <mergeCell ref="AK32:AN33"/>
    <mergeCell ref="AO32:AQ33"/>
    <mergeCell ref="AX32:AX33"/>
    <mergeCell ref="C30:I31"/>
    <mergeCell ref="C32:I33"/>
    <mergeCell ref="BC36:BC37"/>
    <mergeCell ref="AU36:AU37"/>
    <mergeCell ref="AV36:AV37"/>
    <mergeCell ref="AY36:AY37"/>
    <mergeCell ref="BA36:BA37"/>
    <mergeCell ref="BB36:BB37"/>
    <mergeCell ref="B36:B37"/>
    <mergeCell ref="AY34:AY35"/>
    <mergeCell ref="BA34:BA35"/>
    <mergeCell ref="BB34:BB35"/>
    <mergeCell ref="BC34:BC35"/>
    <mergeCell ref="AU34:AU35"/>
    <mergeCell ref="AV34:AV35"/>
    <mergeCell ref="AE34:AF35"/>
    <mergeCell ref="AG34:AH35"/>
    <mergeCell ref="AI34:AJ35"/>
    <mergeCell ref="AK34:AN35"/>
    <mergeCell ref="AB34:AD35"/>
    <mergeCell ref="B34:B35"/>
    <mergeCell ref="V34:W35"/>
    <mergeCell ref="C34:I35"/>
    <mergeCell ref="BC40:BC41"/>
    <mergeCell ref="AU40:AU41"/>
    <mergeCell ref="AV40:AV41"/>
    <mergeCell ref="AY40:AY41"/>
    <mergeCell ref="BA40:BA41"/>
    <mergeCell ref="BB40:BB41"/>
    <mergeCell ref="B40:B41"/>
    <mergeCell ref="AY38:AY39"/>
    <mergeCell ref="BA38:BA39"/>
    <mergeCell ref="BB38:BB39"/>
    <mergeCell ref="BC38:BC39"/>
    <mergeCell ref="AU38:AU39"/>
    <mergeCell ref="AV38:AV39"/>
    <mergeCell ref="B38:B39"/>
    <mergeCell ref="BC44:BC45"/>
    <mergeCell ref="AU44:AU45"/>
    <mergeCell ref="AV44:AV45"/>
    <mergeCell ref="AY44:AY45"/>
    <mergeCell ref="BA44:BA45"/>
    <mergeCell ref="BB44:BB45"/>
    <mergeCell ref="B44:B45"/>
    <mergeCell ref="AY42:AY43"/>
    <mergeCell ref="BA42:BA43"/>
    <mergeCell ref="BB42:BB43"/>
    <mergeCell ref="BC42:BC43"/>
    <mergeCell ref="AU42:AU43"/>
    <mergeCell ref="AV42:AV43"/>
    <mergeCell ref="B42:B43"/>
    <mergeCell ref="BC48:BC49"/>
    <mergeCell ref="AU48:AU49"/>
    <mergeCell ref="AV48:AV49"/>
    <mergeCell ref="AY48:AY49"/>
    <mergeCell ref="BA48:BA49"/>
    <mergeCell ref="BB48:BB49"/>
    <mergeCell ref="B48:B49"/>
    <mergeCell ref="AY46:AY47"/>
    <mergeCell ref="BA46:BA47"/>
    <mergeCell ref="BB46:BB47"/>
    <mergeCell ref="BC46:BC47"/>
    <mergeCell ref="AU46:AU47"/>
    <mergeCell ref="AV46:AV47"/>
    <mergeCell ref="B46:B47"/>
    <mergeCell ref="BC52:BC53"/>
    <mergeCell ref="AU52:AU53"/>
    <mergeCell ref="AV52:AV53"/>
    <mergeCell ref="AY52:AY53"/>
    <mergeCell ref="BA52:BA53"/>
    <mergeCell ref="BB52:BB53"/>
    <mergeCell ref="B52:B53"/>
    <mergeCell ref="AY50:AY51"/>
    <mergeCell ref="BA50:BA51"/>
    <mergeCell ref="BB50:BB51"/>
    <mergeCell ref="BC50:BC51"/>
    <mergeCell ref="AU50:AU51"/>
    <mergeCell ref="AV50:AV51"/>
    <mergeCell ref="B50:B51"/>
    <mergeCell ref="BC56:BC57"/>
    <mergeCell ref="AU56:AU57"/>
    <mergeCell ref="AV56:AV57"/>
    <mergeCell ref="AY56:AY57"/>
    <mergeCell ref="BA56:BA57"/>
    <mergeCell ref="BB56:BB57"/>
    <mergeCell ref="B56:B57"/>
    <mergeCell ref="AY54:AY55"/>
    <mergeCell ref="BA54:BA55"/>
    <mergeCell ref="BB54:BB55"/>
    <mergeCell ref="BC54:BC55"/>
    <mergeCell ref="AU54:AU55"/>
    <mergeCell ref="AV54:AV55"/>
    <mergeCell ref="B54:B55"/>
    <mergeCell ref="BC60:BC61"/>
    <mergeCell ref="AU60:AU61"/>
    <mergeCell ref="AV60:AV61"/>
    <mergeCell ref="AY60:AY61"/>
    <mergeCell ref="BA60:BA61"/>
    <mergeCell ref="BB60:BB61"/>
    <mergeCell ref="B60:B61"/>
    <mergeCell ref="AY58:AY59"/>
    <mergeCell ref="BA58:BA59"/>
    <mergeCell ref="BB58:BB59"/>
    <mergeCell ref="BC58:BC59"/>
    <mergeCell ref="AU58:AU59"/>
    <mergeCell ref="AV58:AV59"/>
    <mergeCell ref="B58:B59"/>
    <mergeCell ref="BC64:BC65"/>
    <mergeCell ref="AU64:AU65"/>
    <mergeCell ref="AV64:AV65"/>
    <mergeCell ref="AY64:AY65"/>
    <mergeCell ref="BA64:BA65"/>
    <mergeCell ref="BB64:BB65"/>
    <mergeCell ref="B64:B65"/>
    <mergeCell ref="AY62:AY63"/>
    <mergeCell ref="BA62:BA63"/>
    <mergeCell ref="BB62:BB63"/>
    <mergeCell ref="BC62:BC63"/>
    <mergeCell ref="AU62:AU63"/>
    <mergeCell ref="AV62:AV63"/>
    <mergeCell ref="B62:B63"/>
    <mergeCell ref="B70:B71"/>
    <mergeCell ref="BC68:BC69"/>
    <mergeCell ref="AU68:AU69"/>
    <mergeCell ref="AV68:AV69"/>
    <mergeCell ref="AY68:AY69"/>
    <mergeCell ref="BA68:BA69"/>
    <mergeCell ref="BB68:BB69"/>
    <mergeCell ref="B68:B69"/>
    <mergeCell ref="AY66:AY67"/>
    <mergeCell ref="BA66:BA67"/>
    <mergeCell ref="BB66:BB67"/>
    <mergeCell ref="BC66:BC67"/>
    <mergeCell ref="AU66:AU67"/>
    <mergeCell ref="AV66:AV67"/>
    <mergeCell ref="B66:B67"/>
    <mergeCell ref="AU70:AU71"/>
    <mergeCell ref="AV70:AV71"/>
    <mergeCell ref="B76:B77"/>
    <mergeCell ref="AY74:AY75"/>
    <mergeCell ref="BA74:BA75"/>
    <mergeCell ref="BB74:BB75"/>
    <mergeCell ref="BC74:BC75"/>
    <mergeCell ref="AU74:AU75"/>
    <mergeCell ref="AV74:AV75"/>
    <mergeCell ref="B74:B75"/>
    <mergeCell ref="BC72:BC73"/>
    <mergeCell ref="AU72:AU73"/>
    <mergeCell ref="AV72:AV73"/>
    <mergeCell ref="AY72:AY73"/>
    <mergeCell ref="BA72:BA73"/>
    <mergeCell ref="BB72:BB73"/>
    <mergeCell ref="B72:B73"/>
    <mergeCell ref="AU76:AU77"/>
    <mergeCell ref="AV76:AV77"/>
    <mergeCell ref="B80:B81"/>
    <mergeCell ref="B82:B83"/>
    <mergeCell ref="B84:B85"/>
    <mergeCell ref="B86:B87"/>
    <mergeCell ref="B88:B89"/>
    <mergeCell ref="AY78:AY79"/>
    <mergeCell ref="BA78:BA79"/>
    <mergeCell ref="BB78:BB79"/>
    <mergeCell ref="BC78:BC79"/>
    <mergeCell ref="AU78:AU79"/>
    <mergeCell ref="AV78:AV79"/>
    <mergeCell ref="B78:B79"/>
    <mergeCell ref="B102:B103"/>
    <mergeCell ref="B104:B105"/>
    <mergeCell ref="B106:B107"/>
    <mergeCell ref="B108:B109"/>
    <mergeCell ref="B110:B111"/>
    <mergeCell ref="B112:B113"/>
    <mergeCell ref="B90:B91"/>
    <mergeCell ref="B92:B93"/>
    <mergeCell ref="B94:B95"/>
    <mergeCell ref="B96:B97"/>
    <mergeCell ref="B98:B99"/>
    <mergeCell ref="B100:B101"/>
    <mergeCell ref="B132:B133"/>
    <mergeCell ref="B134:B135"/>
    <mergeCell ref="B136:B137"/>
    <mergeCell ref="B114:B115"/>
    <mergeCell ref="B116:B117"/>
    <mergeCell ref="B118:B119"/>
    <mergeCell ref="B120:B121"/>
    <mergeCell ref="B122:B123"/>
    <mergeCell ref="B124:B125"/>
    <mergeCell ref="B126:B127"/>
    <mergeCell ref="B128:B129"/>
    <mergeCell ref="B130:B131"/>
    <mergeCell ref="AU200:AU201"/>
    <mergeCell ref="AV200:AV201"/>
    <mergeCell ref="B186:B187"/>
    <mergeCell ref="B188:B189"/>
    <mergeCell ref="B190:B191"/>
    <mergeCell ref="B192:B193"/>
    <mergeCell ref="B194:B195"/>
    <mergeCell ref="B196:B197"/>
    <mergeCell ref="B170:B171"/>
    <mergeCell ref="B172:B173"/>
    <mergeCell ref="B180:B181"/>
    <mergeCell ref="B182:B183"/>
    <mergeCell ref="B184:B185"/>
    <mergeCell ref="B162:B163"/>
    <mergeCell ref="B164:B165"/>
    <mergeCell ref="B166:B167"/>
    <mergeCell ref="B168:B169"/>
    <mergeCell ref="B198:B199"/>
    <mergeCell ref="M200:AG201"/>
    <mergeCell ref="B16:B17"/>
    <mergeCell ref="AE16:AF17"/>
    <mergeCell ref="AG16:AH17"/>
    <mergeCell ref="B174:B175"/>
    <mergeCell ref="B176:B177"/>
    <mergeCell ref="B178:B179"/>
    <mergeCell ref="B150:B151"/>
    <mergeCell ref="B152:B153"/>
    <mergeCell ref="B154:B155"/>
    <mergeCell ref="B156:B157"/>
    <mergeCell ref="B158:B159"/>
    <mergeCell ref="B160:B161"/>
    <mergeCell ref="B138:B139"/>
    <mergeCell ref="B140:B141"/>
    <mergeCell ref="B142:B143"/>
    <mergeCell ref="B144:B145"/>
    <mergeCell ref="B146:B147"/>
    <mergeCell ref="B148:B149"/>
    <mergeCell ref="AO18:AQ19"/>
    <mergeCell ref="V18:W19"/>
    <mergeCell ref="X18:AA19"/>
    <mergeCell ref="V14:W15"/>
    <mergeCell ref="X14:AA15"/>
    <mergeCell ref="C16:I17"/>
    <mergeCell ref="J16:N17"/>
    <mergeCell ref="O16:P17"/>
    <mergeCell ref="Q16:S17"/>
    <mergeCell ref="T16:U17"/>
    <mergeCell ref="C14:I15"/>
    <mergeCell ref="J14:N15"/>
    <mergeCell ref="O14:P15"/>
    <mergeCell ref="Q14:U15"/>
    <mergeCell ref="C18:I19"/>
    <mergeCell ref="AO14:AQ15"/>
    <mergeCell ref="AE15:AF15"/>
    <mergeCell ref="AG15:AH15"/>
    <mergeCell ref="J18:N19"/>
    <mergeCell ref="Q18:S19"/>
    <mergeCell ref="X26:AA27"/>
    <mergeCell ref="AO22:AQ23"/>
    <mergeCell ref="V24:W25"/>
    <mergeCell ref="X24:AA25"/>
    <mergeCell ref="AB24:AD25"/>
    <mergeCell ref="AE24:AF25"/>
    <mergeCell ref="AG24:AH25"/>
    <mergeCell ref="V22:W23"/>
    <mergeCell ref="X22:AA23"/>
    <mergeCell ref="AO26:AQ27"/>
    <mergeCell ref="V28:W29"/>
    <mergeCell ref="X28:AA29"/>
    <mergeCell ref="AB28:AD29"/>
    <mergeCell ref="AE28:AF29"/>
    <mergeCell ref="AG28:AH29"/>
    <mergeCell ref="C28:I29"/>
    <mergeCell ref="X34:AA35"/>
    <mergeCell ref="AO30:AQ31"/>
    <mergeCell ref="V32:W33"/>
    <mergeCell ref="X32:AA33"/>
    <mergeCell ref="AB32:AD33"/>
    <mergeCell ref="AE32:AF33"/>
    <mergeCell ref="AG32:AH33"/>
    <mergeCell ref="V30:W31"/>
    <mergeCell ref="X30:AA31"/>
    <mergeCell ref="AI32:AJ33"/>
    <mergeCell ref="AO34:AQ35"/>
    <mergeCell ref="BA200:BA201"/>
    <mergeCell ref="BB200:BB201"/>
    <mergeCell ref="BC200:BC201"/>
    <mergeCell ref="AW14:AW15"/>
    <mergeCell ref="AX14:AX15"/>
    <mergeCell ref="AW16:AW17"/>
    <mergeCell ref="AX16:AX17"/>
    <mergeCell ref="AW18:AW19"/>
    <mergeCell ref="AW20:AW21"/>
    <mergeCell ref="BC14:BC15"/>
    <mergeCell ref="BC76:BC77"/>
    <mergeCell ref="AY76:AY77"/>
    <mergeCell ref="BA76:BA77"/>
    <mergeCell ref="BB76:BB77"/>
    <mergeCell ref="AY70:AY71"/>
    <mergeCell ref="BA70:BA71"/>
    <mergeCell ref="BB70:BB71"/>
    <mergeCell ref="BC70:BC71"/>
    <mergeCell ref="AX34:AX35"/>
    <mergeCell ref="AW34:AW35"/>
    <mergeCell ref="AW200:AW201"/>
    <mergeCell ref="AX200:AX201"/>
    <mergeCell ref="AX18:AX19"/>
    <mergeCell ref="AX20:AX21"/>
    <mergeCell ref="AX26:AX27"/>
    <mergeCell ref="AX28:AX29"/>
    <mergeCell ref="AX30:AX31"/>
    <mergeCell ref="AW22:AW23"/>
    <mergeCell ref="AW24:AW25"/>
    <mergeCell ref="AW26:AW27"/>
    <mergeCell ref="AW28:AW29"/>
    <mergeCell ref="AW30:AW31"/>
    <mergeCell ref="AW32:AW33"/>
    <mergeCell ref="J26:N27"/>
    <mergeCell ref="J28:N29"/>
    <mergeCell ref="J30:N31"/>
    <mergeCell ref="J32:N33"/>
    <mergeCell ref="J34:N35"/>
    <mergeCell ref="O18:P19"/>
    <mergeCell ref="O20:P21"/>
    <mergeCell ref="O22:P23"/>
    <mergeCell ref="O24:P25"/>
    <mergeCell ref="O26:P27"/>
    <mergeCell ref="O28:P29"/>
    <mergeCell ref="O30:P31"/>
    <mergeCell ref="O32:P33"/>
    <mergeCell ref="O34:P35"/>
    <mergeCell ref="Q26:S27"/>
    <mergeCell ref="Q28:S29"/>
    <mergeCell ref="Q30:S31"/>
    <mergeCell ref="Q32:S33"/>
    <mergeCell ref="Q34:S35"/>
    <mergeCell ref="T18:U19"/>
    <mergeCell ref="T20:U21"/>
    <mergeCell ref="T22:U23"/>
    <mergeCell ref="T24:U25"/>
    <mergeCell ref="T26:U27"/>
    <mergeCell ref="T28:U29"/>
    <mergeCell ref="T30:U31"/>
    <mergeCell ref="T32:U33"/>
    <mergeCell ref="T34:U35"/>
    <mergeCell ref="AZ18:AZ19"/>
    <mergeCell ref="AZ20:AZ21"/>
    <mergeCell ref="AZ22:AZ23"/>
    <mergeCell ref="AZ24:AZ25"/>
    <mergeCell ref="AZ26:AZ27"/>
    <mergeCell ref="AZ28:AZ29"/>
    <mergeCell ref="AZ30:AZ31"/>
    <mergeCell ref="AZ32:AZ33"/>
    <mergeCell ref="AZ34:AZ35"/>
  </mergeCells>
  <conditionalFormatting sqref="O9">
    <cfRule type="expression" dxfId="349" priority="320">
      <formula>ISNUMBER(SEARCH("Inspection",$O$9))</formula>
    </cfRule>
  </conditionalFormatting>
  <conditionalFormatting sqref="AD11">
    <cfRule type="expression" dxfId="348" priority="32">
      <formula>ISTEXT(AD11)</formula>
    </cfRule>
  </conditionalFormatting>
  <conditionalFormatting sqref="AH2 AL2">
    <cfRule type="expression" dxfId="347" priority="17">
      <formula>PROJSTATUS=PROJSTATELI</formula>
    </cfRule>
    <cfRule type="expression" dxfId="346" priority="18">
      <formula>PROJSTATUS=PROJSTATREVIEW</formula>
    </cfRule>
    <cfRule type="expression" dxfId="345" priority="19">
      <formula>PROJSTATUS=PROJSTATPREAPPROVE</formula>
    </cfRule>
    <cfRule type="expression" dxfId="344" priority="20">
      <formula>PROJSTATUS=PROJSTATSTANDARD</formula>
    </cfRule>
    <cfRule type="expression" dxfId="343" priority="21">
      <formula>PROJSTATUS=PROJSTATEXP</formula>
    </cfRule>
  </conditionalFormatting>
  <conditionalFormatting sqref="AO16:AQ35">
    <cfRule type="expression" dxfId="342" priority="2">
      <formula>ISNUMBER($AO16)=FALSE</formula>
    </cfRule>
    <cfRule type="expression" dxfId="341" priority="3">
      <formula>$AY16="Yes"</formula>
    </cfRule>
  </conditionalFormatting>
  <conditionalFormatting sqref="AQ2:AR3">
    <cfRule type="cellIs" dxfId="340" priority="29" operator="equal">
      <formula>1</formula>
    </cfRule>
    <cfRule type="cellIs" dxfId="339" priority="30" operator="between">
      <formula>0.51</formula>
      <formula>0.99</formula>
    </cfRule>
    <cfRule type="cellIs" dxfId="338" priority="31" operator="lessThanOrEqual">
      <formula>0.5</formula>
    </cfRule>
  </conditionalFormatting>
  <dataValidations count="6">
    <dataValidation type="decimal" allowBlank="1" showInputMessage="1" showErrorMessage="1" error="Please enter a numerical value" sqref="AE16:AH35" xr:uid="{190ED54E-8004-4EC7-BB50-3EE0DDB30756}">
      <formula1>0</formula1>
      <formula2>999999</formula2>
    </dataValidation>
    <dataValidation type="list" allowBlank="1" showInputMessage="1" showErrorMessage="1" sqref="C34 C18 C20 C22 C24 C26 C28 C30 C32 C16" xr:uid="{08DCA868-0EFA-4374-906E-1C27E83108DF}">
      <formula1>PMEOCCSENEFF</formula1>
    </dataValidation>
    <dataValidation type="whole" operator="greaterThan" allowBlank="1" showInputMessage="1" showErrorMessage="1" sqref="O32 O34 O18 O20 O22 O24 O26 O28 O30 O16" xr:uid="{C80022E7-A492-4348-9765-E46AD73058F1}">
      <formula1>0</formula1>
    </dataValidation>
    <dataValidation type="decimal" operator="greaterThanOrEqual" allowBlank="1" showInputMessage="1" showErrorMessage="1" prompt="Enter the total wattage of the lighting controlled EACH sensor" sqref="Q16:S35" xr:uid="{11804B29-1261-4287-937A-98113751C2CA}">
      <formula1>INDEX(PMEOCCSENWATT,MATCH(C16,PMEOCCSENEFF,0))</formula1>
    </dataValidation>
    <dataValidation type="whole" allowBlank="1" showInputMessage="1" showErrorMessage="1" error="Please enter a numerical value" sqref="V16:W35" xr:uid="{1CA1305B-667E-453E-B1BB-347A57196C0C}">
      <formula1>1</formula1>
      <formula2>8760</formula2>
    </dataValidation>
    <dataValidation type="list" allowBlank="1" showInputMessage="1" showErrorMessage="1" sqref="AZ16:AZ35" xr:uid="{2A5984C2-F207-44B0-A8B1-5CCE5EDDB1CD}">
      <formula1>"1.0,1.07"</formula1>
    </dataValidation>
  </dataValidations>
  <hyperlinks>
    <hyperlink ref="B202" r:id="rId1" display="NIPSCO.Savings@LMCO.com" xr:uid="{6F33314E-A56C-4767-B99A-0F99C1F91246}"/>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CFECE-8114-4EB5-9540-0F3125593D8B}">
  <sheetPr codeName="Sheet18">
    <pageSetUpPr fitToPage="1"/>
  </sheetPr>
  <dimension ref="A1:BS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1" width="9.140625" style="69" hidden="1" customWidth="1"/>
    <col min="72" max="16384" width="9.140625" hidden="1"/>
  </cols>
  <sheetData>
    <row r="1" spans="2:62"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62"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62" ht="15.95" customHeight="1" x14ac:dyDescent="0.25">
      <c r="AH3" s="604"/>
      <c r="AI3" s="605"/>
      <c r="AJ3" s="605"/>
      <c r="AK3" s="605"/>
      <c r="AL3" s="614"/>
      <c r="AM3" s="614"/>
      <c r="AN3" s="614"/>
      <c r="AO3" s="614"/>
      <c r="AP3" s="614"/>
      <c r="AQ3" s="610"/>
      <c r="AR3" s="611"/>
    </row>
    <row r="4" spans="2:62" ht="15.95" customHeight="1" x14ac:dyDescent="0.25">
      <c r="AU4" s="69">
        <f>IF(AND(ISNUMBER(SEARCH("CFL",#REF!)),ISNUMBER(SEARCH("Linear Tube",U18))),12,15)</f>
        <v>15</v>
      </c>
    </row>
    <row r="5" spans="2:62"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row>
    <row r="6" spans="2:62"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U6" s="69" t="s">
        <v>1195</v>
      </c>
      <c r="AV6" s="69">
        <f>PROJID</f>
        <v>0</v>
      </c>
    </row>
    <row r="7" spans="2:62"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U7" s="121"/>
      <c r="AV7" s="121" t="s">
        <v>1096</v>
      </c>
      <c r="AW7" s="121" t="s">
        <v>212</v>
      </c>
      <c r="AX7" s="121" t="s">
        <v>1163</v>
      </c>
      <c r="AY7" s="121"/>
    </row>
    <row r="8" spans="2:62" ht="15.95" customHeight="1" x14ac:dyDescent="0.25">
      <c r="AU8" s="121" t="s">
        <v>208</v>
      </c>
      <c r="AV8" s="121" t="str">
        <f ca="1">CBPRESE</f>
        <v>NA</v>
      </c>
      <c r="AW8" s="121" t="str">
        <f ca="1">CBCUSE</f>
        <v>NA</v>
      </c>
      <c r="AX8" s="121" t="str">
        <f ca="1">CBALL</f>
        <v>NA</v>
      </c>
      <c r="AY8" s="121"/>
    </row>
    <row r="9" spans="2:62" ht="15.95" customHeight="1" x14ac:dyDescent="0.25">
      <c r="B9" s="69"/>
      <c r="C9" s="69"/>
      <c r="D9" s="69"/>
      <c r="E9" s="69"/>
      <c r="F9" s="69"/>
      <c r="G9" s="69"/>
      <c r="H9" s="69"/>
      <c r="I9" s="69"/>
      <c r="J9" s="69"/>
      <c r="K9" s="69"/>
      <c r="L9" s="69"/>
      <c r="M9" s="69"/>
      <c r="N9" s="69"/>
      <c r="O9" s="794" t="str">
        <f>IF(INCENSTATUS="---",CONCATENATE(M3S5," ","Summary"),IF(INCENSTATUS&gt;15000,"This project may require an inspection. Please submit photos of existing equipment and of new efficient equipment once installed.",CONCATENATE(M3S5," ","Summary")))</f>
        <v>Custom Lighting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62" ht="15.95" customHeight="1" x14ac:dyDescent="0.25">
      <c r="B10" s="69"/>
      <c r="C10" s="69"/>
      <c r="D10" s="69"/>
      <c r="E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274"/>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62" ht="15.95" customHeight="1" x14ac:dyDescent="0.3">
      <c r="B11" s="69"/>
      <c r="C11" s="69"/>
      <c r="D11" s="69"/>
      <c r="E11" s="69"/>
      <c r="J11" s="876" t="str">
        <f>IF(COUNTIF(BF16:BF75,"50% Cost")&gt;0,"The incentives for one or more measures are being capped at half the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62" ht="15.95" customHeight="1" x14ac:dyDescent="0.25">
      <c r="B12" s="69"/>
      <c r="C12" s="79"/>
      <c r="D12" s="69"/>
      <c r="E12" s="69"/>
      <c r="J12" s="876"/>
      <c r="K12" s="876"/>
      <c r="L12" s="876"/>
      <c r="M12" s="876"/>
      <c r="N12" s="876"/>
      <c r="O12" s="876"/>
      <c r="P12" s="876"/>
      <c r="Q12" s="876"/>
      <c r="R12" s="1040">
        <f>SUM(AN16:AQ199)</f>
        <v>0</v>
      </c>
      <c r="S12" s="1040"/>
      <c r="T12" s="1040"/>
      <c r="U12" s="1040"/>
      <c r="V12" s="1040">
        <f>SUM(AK16:AM199)</f>
        <v>0</v>
      </c>
      <c r="W12" s="1040"/>
      <c r="X12" s="1040"/>
      <c r="Y12" s="1040"/>
      <c r="Z12" s="1041">
        <f>SUM(AZ16:AZ199)</f>
        <v>0</v>
      </c>
      <c r="AA12" s="1041"/>
      <c r="AB12" s="1041"/>
      <c r="AC12" s="1041"/>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62" ht="15.95" customHeight="1" x14ac:dyDescent="0.25">
      <c r="B13" s="69"/>
      <c r="C13" s="79"/>
      <c r="D13" s="69"/>
      <c r="E13" s="69"/>
      <c r="F13" s="266"/>
      <c r="G13" s="266"/>
      <c r="H13" s="266"/>
      <c r="I13" s="266"/>
      <c r="J13" s="876"/>
      <c r="K13" s="876"/>
      <c r="L13" s="876"/>
      <c r="M13" s="876"/>
      <c r="N13" s="876"/>
      <c r="O13" s="876"/>
      <c r="P13" s="876"/>
      <c r="Q13" s="876"/>
      <c r="R13" s="1040"/>
      <c r="S13" s="1040"/>
      <c r="T13" s="1040"/>
      <c r="U13" s="1040"/>
      <c r="V13" s="1040"/>
      <c r="W13" s="1040"/>
      <c r="X13" s="1040"/>
      <c r="Y13" s="1040"/>
      <c r="Z13" s="1041"/>
      <c r="AA13" s="1041"/>
      <c r="AB13" s="1041"/>
      <c r="AC13" s="1041"/>
      <c r="AD13" s="105"/>
      <c r="AE13" s="105"/>
      <c r="AF13" s="105"/>
      <c r="AG13" s="105"/>
      <c r="AH13" s="69"/>
      <c r="AI13" s="69"/>
      <c r="AJ13" s="69"/>
      <c r="AK13" s="69"/>
      <c r="AL13" s="69"/>
      <c r="AM13" s="69"/>
      <c r="AN13" s="69"/>
      <c r="AO13" s="69"/>
      <c r="AP13" s="69"/>
      <c r="AQ13" s="69"/>
      <c r="AR13" s="69"/>
      <c r="AU13" s="69" cm="1">
        <f t="array" ref="AU13">SUMPRODUCT(--(LEN(H16:AJ75)&gt;0))+SUMPRODUCT(--(LEN(C16:E75)&gt;0))</f>
        <v>0</v>
      </c>
    </row>
    <row r="14" spans="2:62" ht="15.95" customHeight="1" x14ac:dyDescent="0.25">
      <c r="B14" s="69"/>
      <c r="C14" s="799" t="s">
        <v>92</v>
      </c>
      <c r="D14" s="799"/>
      <c r="E14" s="799"/>
      <c r="F14" s="799" t="s">
        <v>823</v>
      </c>
      <c r="G14" s="799"/>
      <c r="H14" s="799" t="s">
        <v>93</v>
      </c>
      <c r="I14" s="799"/>
      <c r="J14" s="799"/>
      <c r="K14" s="799" t="s">
        <v>102</v>
      </c>
      <c r="L14" s="799"/>
      <c r="M14" s="799"/>
      <c r="N14" s="799" t="s">
        <v>576</v>
      </c>
      <c r="O14" s="799"/>
      <c r="P14" s="799" t="s">
        <v>94</v>
      </c>
      <c r="Q14" s="799"/>
      <c r="R14" s="799" t="s">
        <v>1147</v>
      </c>
      <c r="S14" s="799"/>
      <c r="T14" s="799" t="s">
        <v>101</v>
      </c>
      <c r="U14" s="799"/>
      <c r="V14" s="799"/>
      <c r="W14" s="799"/>
      <c r="X14" s="799" t="s">
        <v>102</v>
      </c>
      <c r="Y14" s="799"/>
      <c r="Z14" s="799"/>
      <c r="AA14" s="799" t="s">
        <v>95</v>
      </c>
      <c r="AB14" s="799"/>
      <c r="AC14" s="799" t="s">
        <v>94</v>
      </c>
      <c r="AD14" s="799"/>
      <c r="AE14" s="799" t="s">
        <v>1903</v>
      </c>
      <c r="AF14" s="799"/>
      <c r="AG14" s="799" t="s">
        <v>1305</v>
      </c>
      <c r="AH14" s="799"/>
      <c r="AI14" s="799"/>
      <c r="AJ14" s="799"/>
      <c r="AK14" s="799" t="s">
        <v>97</v>
      </c>
      <c r="AL14" s="799"/>
      <c r="AM14" s="799"/>
      <c r="AN14" s="799" t="s">
        <v>96</v>
      </c>
      <c r="AO14" s="799"/>
      <c r="AP14" s="799"/>
      <c r="AQ14" s="799"/>
      <c r="AR14" s="69"/>
      <c r="AU14" s="799" t="s">
        <v>208</v>
      </c>
      <c r="AV14" s="799" t="s">
        <v>562</v>
      </c>
      <c r="AW14" s="799" t="s">
        <v>827</v>
      </c>
      <c r="AX14" s="799" t="s">
        <v>193</v>
      </c>
      <c r="AY14" s="799" t="s">
        <v>125</v>
      </c>
      <c r="AZ14" s="799" t="s">
        <v>104</v>
      </c>
      <c r="BA14" s="799" t="s">
        <v>995</v>
      </c>
      <c r="BB14" s="799" t="s">
        <v>561</v>
      </c>
      <c r="BC14" s="799" t="s">
        <v>473</v>
      </c>
      <c r="BD14" s="799" t="s">
        <v>1353</v>
      </c>
      <c r="BE14" s="799" t="s">
        <v>1354</v>
      </c>
      <c r="BF14" s="799" t="s">
        <v>1352</v>
      </c>
      <c r="BG14" s="745" t="s">
        <v>2251</v>
      </c>
      <c r="BH14" s="745" t="s">
        <v>2006</v>
      </c>
      <c r="BI14" s="745" t="s">
        <v>2007</v>
      </c>
      <c r="BJ14" s="745" t="s">
        <v>2008</v>
      </c>
    </row>
    <row r="15" spans="2:62" ht="15.95" customHeight="1" thickBot="1" x14ac:dyDescent="0.3">
      <c r="B15" s="69"/>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t="s">
        <v>98</v>
      </c>
      <c r="AH15" s="746"/>
      <c r="AI15" s="746" t="s">
        <v>99</v>
      </c>
      <c r="AJ15" s="746"/>
      <c r="AK15" s="746"/>
      <c r="AL15" s="746"/>
      <c r="AM15" s="746"/>
      <c r="AN15" s="746"/>
      <c r="AO15" s="746"/>
      <c r="AP15" s="746"/>
      <c r="AQ15" s="746"/>
      <c r="AR15" s="69"/>
      <c r="AU15" s="746"/>
      <c r="AV15" s="746"/>
      <c r="AW15" s="746"/>
      <c r="AX15" s="746"/>
      <c r="AY15" s="746"/>
      <c r="AZ15" s="746"/>
      <c r="BA15" s="746"/>
      <c r="BB15" s="746"/>
      <c r="BC15" s="746"/>
      <c r="BD15" s="746"/>
      <c r="BE15" s="746"/>
      <c r="BF15" s="746"/>
      <c r="BG15" s="746"/>
      <c r="BH15" s="746"/>
      <c r="BI15" s="746"/>
      <c r="BJ15" s="746"/>
    </row>
    <row r="16" spans="2:62" ht="15.95" customHeight="1" x14ac:dyDescent="0.25">
      <c r="B16" s="1193">
        <v>1</v>
      </c>
      <c r="C16" s="881"/>
      <c r="D16" s="822"/>
      <c r="E16" s="823"/>
      <c r="F16" s="1440" t="s">
        <v>560</v>
      </c>
      <c r="G16" s="1441"/>
      <c r="H16" s="842"/>
      <c r="I16" s="822"/>
      <c r="J16" s="823"/>
      <c r="K16" s="880"/>
      <c r="L16" s="852"/>
      <c r="M16" s="852"/>
      <c r="N16" s="1070"/>
      <c r="O16" s="1070"/>
      <c r="P16" s="1066" t="str">
        <f>IF(H16="","",INDEX(CMLIGHTBASE[Base Watt 1],MATCH(H16,CMLIGHTBASE[Base Desc 1],0)))</f>
        <v/>
      </c>
      <c r="Q16" s="1447"/>
      <c r="R16" s="1445" t="str">
        <f t="shared" ref="R16" si="0">IF(ISNUMBER(SEARCH("24/7",F16)),8760, IF(ISNUMBER(SEARCH("Dusk to Dawn", F16)),4380,""))</f>
        <v/>
      </c>
      <c r="S16" s="1446"/>
      <c r="T16" s="1228"/>
      <c r="U16" s="852"/>
      <c r="V16" s="852"/>
      <c r="W16" s="852"/>
      <c r="X16" s="880"/>
      <c r="Y16" s="852"/>
      <c r="Z16" s="852"/>
      <c r="AA16" s="1070"/>
      <c r="AB16" s="1070"/>
      <c r="AC16" s="1066" t="str">
        <f>IF(T16="","",INDEX(CFLEFF[Eff Watt 1],MATCH(T16,CFLEFF[Eff Desc 1],0)))</f>
        <v/>
      </c>
      <c r="AD16" s="1066"/>
      <c r="AE16" s="1451"/>
      <c r="AF16" s="1452"/>
      <c r="AG16" s="1466"/>
      <c r="AH16" s="857"/>
      <c r="AI16" s="857"/>
      <c r="AJ16" s="1467"/>
      <c r="AK16" s="1453" t="str">
        <f>IF(OR(C16="",F16="",K16="",N16="",P16="",R16="",X16="",AA16="",AC16="",AG16="",AI16=""),"",ROUND((AG16+AI16)*AA16,2))</f>
        <v/>
      </c>
      <c r="AL16" s="1454"/>
      <c r="AM16" s="1454"/>
      <c r="AN16" s="1458"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c r="AO16" s="1459"/>
      <c r="AP16" s="1459"/>
      <c r="AQ16" s="1460"/>
      <c r="AR16" s="69"/>
      <c r="AU16" s="1434" t="str">
        <f>IFERROR(IF(OR(C16="",H16="",K16="",N16="",P16="",R16="",T16="",X16="",AA16="",AC16="",AG16="",AI16=""),"",((1+ELOSS)*PEAKTD*(1+INDEX(ELECCB[Capacity Reserve Margin],MATCH(15,ELECCB[Year Number],0)))*((AZ16*INDEX(ELECCB[NPV AEC $/kWh],MATCH(15,ELECCB[Year Number],0)))+(AV16*INDEX(ELECCB[NPV ACC+T&amp;D $/kW],MATCH(15,ELECCB[Year Number],0))))/AK16)),0)</f>
        <v/>
      </c>
      <c r="AV16" s="752" t="str">
        <f>IF(OR(C16="",H16="",K16="",N16="",P16="",R16="",T16="",X16="",AA16="",AC16="",AG16="",AI16=""),"",IF((N16*P16)&lt;=(AA16*AC16),"0",ROUND(AZ16*INDEX(ENDUSEALL[Factor],MATCH(INDEX(CMELIGHT[End Use Category],MATCH(F16,CMELIGHT[Proj Desc 1],0)),ENDUSEALL[End Use to Coincident Peak Demand Factors],0)),4)))</f>
        <v/>
      </c>
      <c r="AW16" s="802" t="str">
        <f>IF(OR(C16="",F16="",H16="",K16="",N16="",P16="",R16="",T16="",X16="",AA16="",AC16="",AG16="",AI16=""),"",IF(ISNUMBER(SEARCH("Incandescent",H16)),(0.24*P16)*R16*N16/1000,IF(ISNUMBER(SEARCH("Halogen",H16)),(0.34*P16)*R16*N16/1000,N16*P16*R16/1000)))</f>
        <v/>
      </c>
      <c r="AX16" s="802" t="str">
        <f>IF(OR(C16="",F16="",H16="",K16="",N16="",P16="",R16="",T16="",X16="",AA16="",AC16="",AG16="",AI16=""),"",AA16*AC16*R16/1000)</f>
        <v/>
      </c>
      <c r="AY16" s="1463" t="str">
        <f>IF(OR(C16="",F16="",H16="",K16="",N16="",P16="",R16="",T16="",X16="",AA16="",AC16="",AG16="",AI16=""),"",CONCATENATE(INDEX(CMLIGHTEFF[Measure Number],MATCH(T16,CMLIGHTEFF[Eff Desc 1],0)),INDEX(CMLIGHTBASE[Measure Number],MATCH(H16,CMLIGHTBASE[Base Desc 1],0))))</f>
        <v/>
      </c>
      <c r="AZ16" s="802" t="str">
        <f>IF(OR(C16="",F16="",H16="",K16="",N16="",P16="",R16="",T16="",X16="",AA16="",AC16="",AG16="",AI16=""),"",ROUND(IF((N16*P16)&lt;=(AA16*AC16),"0",IF(AND(F16="Interior", M02S02F32&lt;&gt;""),BG16*(AW16-AX16),IF(AND(ISNUMBER(SEARCH("24/7",F16)),M02S02F32&lt;&gt;""),(AW16-AX16),(AW16-AX16)))),0))</f>
        <v/>
      </c>
      <c r="BA16" s="1464" t="str">
        <f>IF(OR(C16="",F16="",H16="",K16="",N16="",P16="",R16="",T16="",X16="",AA16="",AC16="",AG16="",AI16=""),"",IF((N16*P16)&lt;=(AA16*AC16),"0",ROUND(((N16*P16)-(AA16*AC16))/1000,3)))</f>
        <v/>
      </c>
      <c r="BB16" s="1461" t="str">
        <f>IFERROR(AK16/M02S02F35/AZ16,"")</f>
        <v/>
      </c>
      <c r="BC16" s="1461" t="str">
        <f>IFERROR(IF(OR(T16="CFL"),MEASUREELI,IF((N16*P16)&lt;=(AA16*AC16),MEASURESAVE,IF(M02S02F35="",MEASURERATE,IF(AK16/M02S02F35/AZ16&lt;1,MEASUREPAY,IF(AU16&lt;1,MEASURECB, IF(AND(ISNUMBER(SEARCH("24/7",F16)),R16&lt;8500),"Check Location and Hours",IF(AND(ISNUMBER(SEARCH("Dusk to Dawn",F16)),R16&gt;=8500,R16&lt;=8760),"Check Location and Hours",""))))))),MEASURESUBMIT)</f>
        <v>Submit for Review</v>
      </c>
      <c r="BD16" s="1461">
        <f>IF(ISNUMBER(SEARCH("24/7",H16)),AK16/(AZ16*INDEX(CMLIGHTEFF[Inc Rate Exterior],MATCH(T16,CMLIGHTEFF[Eff Desc 1],0))),0)</f>
        <v>0</v>
      </c>
      <c r="BE16" s="1461">
        <f>IFERROR(IF(ISNUMBER(SEARCH("24/7",H16)),0,AK16/(AZ16*INDEX(CMLIGHTEFF[Inc Rate],MATCH(T16,CMLIGHTEFF[Eff Desc 1],0)))),0)</f>
        <v>0</v>
      </c>
      <c r="BF16" s="1461" t="str">
        <f>IF(AND(ISNUMBER(AN16),OR(AND(BD16&lt;&gt;0,BD16&lt;2),AND(BE16&lt;&gt;0,BE16&lt;2))),"50% Cost","")</f>
        <v/>
      </c>
      <c r="BG16" s="1432">
        <f>IF(M02S02F32&lt;&gt;"",INDEX(SPACEHEAT[HIF],MATCH(M02S02F32,SHEAT,0)),1)</f>
        <v>1</v>
      </c>
      <c r="BH16" s="1367">
        <f t="shared" ref="BH16" si="1">IFERROR(ROUND(BJ16*1.1,2),0)</f>
        <v>0</v>
      </c>
      <c r="BI16" s="1367" t="str">
        <f>IF(M02S02F44="","Update Install Status",IF(M02S02F44="Yes","Not Eligible if Pre-Purchased",IF(M02S02F49="Yes","Use New Load",IF(OR(C16="",F16="",H16="",K16="",N16="",P16="",R16="",T16="",X16="",AA16="",AC16="",AG16="",AI16="",AE16=""),"",IF(BC16&lt;&gt;"",BC16,ROUND(BH16*BONUSADJ,2))))))</f>
        <v>Update Install Status</v>
      </c>
      <c r="BJ16" s="1367" t="str">
        <f>IF(M02S02F44="","Update Install Status",IF(M02S02F44="Yes","Not Eligible if Pre-Purchased",IF(M02S02F49="Yes","Use New Load",IF(OR(C16="",F16="",H16="",K16="",N16="",P16="",R16="",T16="",X16="",AA16="",AC16="",AG16="",AI16="",AE16=""),"",IF(BC16&lt;&gt;"",BC16,IF(OR(F16="Exterior 24/7",F16="Garage 24/7"),ROUND(MIN(AK16*0.5,AZ16*INDEX(CMLIGHTEFF[Inc Rate Exterior],MATCH(T16,CMLIGHTEFF[Eff Desc 1],0))),2),ROUND(MIN(AK16*0.5,AZ16*INDEX(CMLIGHTEFF[Inc Rate],MATCH(T16,CMLIGHTEFF[Eff Desc 1],0))),2)))))))</f>
        <v>Update Install Status</v>
      </c>
    </row>
    <row r="17" spans="2:62" ht="15.95" customHeight="1" x14ac:dyDescent="0.25">
      <c r="B17" s="1193"/>
      <c r="C17" s="824"/>
      <c r="D17" s="825"/>
      <c r="E17" s="826"/>
      <c r="F17" s="1442"/>
      <c r="G17" s="1443"/>
      <c r="H17" s="824"/>
      <c r="I17" s="825"/>
      <c r="J17" s="826"/>
      <c r="K17" s="852"/>
      <c r="L17" s="852"/>
      <c r="M17" s="852"/>
      <c r="N17" s="1070"/>
      <c r="O17" s="1070"/>
      <c r="P17" s="1066"/>
      <c r="Q17" s="1447"/>
      <c r="R17" s="1445"/>
      <c r="S17" s="1446"/>
      <c r="T17" s="1228"/>
      <c r="U17" s="852"/>
      <c r="V17" s="852"/>
      <c r="W17" s="852"/>
      <c r="X17" s="852"/>
      <c r="Y17" s="852"/>
      <c r="Z17" s="852"/>
      <c r="AA17" s="1070"/>
      <c r="AB17" s="1070"/>
      <c r="AC17" s="1066"/>
      <c r="AD17" s="1066"/>
      <c r="AE17" s="1139"/>
      <c r="AF17" s="1452"/>
      <c r="AG17" s="1466"/>
      <c r="AH17" s="857"/>
      <c r="AI17" s="857"/>
      <c r="AJ17" s="1467"/>
      <c r="AK17" s="1453"/>
      <c r="AL17" s="1454"/>
      <c r="AM17" s="1454"/>
      <c r="AN17" s="1448"/>
      <c r="AO17" s="1449"/>
      <c r="AP17" s="1449"/>
      <c r="AQ17" s="1450"/>
      <c r="AR17" s="69"/>
      <c r="AU17" s="1435"/>
      <c r="AV17" s="753"/>
      <c r="AW17" s="803"/>
      <c r="AX17" s="803"/>
      <c r="AY17" s="751"/>
      <c r="AZ17" s="803"/>
      <c r="BA17" s="1465"/>
      <c r="BB17" s="1462"/>
      <c r="BC17" s="1462"/>
      <c r="BD17" s="1462"/>
      <c r="BE17" s="1462"/>
      <c r="BF17" s="1462"/>
      <c r="BG17" s="1433"/>
      <c r="BH17" s="1367"/>
      <c r="BI17" s="1367"/>
      <c r="BJ17" s="1367"/>
    </row>
    <row r="18" spans="2:62" ht="15.95" customHeight="1" x14ac:dyDescent="0.25">
      <c r="B18" s="1204">
        <v>2</v>
      </c>
      <c r="C18" s="881"/>
      <c r="D18" s="894"/>
      <c r="E18" s="895"/>
      <c r="F18" s="1440" t="s">
        <v>560</v>
      </c>
      <c r="G18" s="1441"/>
      <c r="H18" s="881"/>
      <c r="I18" s="894"/>
      <c r="J18" s="895"/>
      <c r="K18" s="880"/>
      <c r="L18" s="880"/>
      <c r="M18" s="880"/>
      <c r="N18" s="1065"/>
      <c r="O18" s="1065"/>
      <c r="P18" s="1066" t="str">
        <f>IF(H18="","",INDEX(CMLIGHTBASE[Base Watt 1],MATCH(H18,CMLIGHTBASE[Base Desc 1],0)))</f>
        <v/>
      </c>
      <c r="Q18" s="1447"/>
      <c r="R18" s="1445" t="str">
        <f>IF(ISNUMBER(SEARCH("24/7",F18)),8760, IF(ISNUMBER(SEARCH("Dusk to Dawn", F18)),4380,""))</f>
        <v/>
      </c>
      <c r="S18" s="1446"/>
      <c r="T18" s="1259"/>
      <c r="U18" s="880"/>
      <c r="V18" s="880"/>
      <c r="W18" s="880"/>
      <c r="X18" s="880"/>
      <c r="Y18" s="880"/>
      <c r="Z18" s="880"/>
      <c r="AA18" s="1065"/>
      <c r="AB18" s="1065"/>
      <c r="AC18" s="1066" t="str">
        <f>IF(T18="","",INDEX(CFLEFF[Eff Watt 1],MATCH(T18,CFLEFF[Eff Desc 1],0)))</f>
        <v/>
      </c>
      <c r="AD18" s="1066"/>
      <c r="AE18" s="1451"/>
      <c r="AF18" s="1455"/>
      <c r="AG18" s="1456"/>
      <c r="AH18" s="900"/>
      <c r="AI18" s="900"/>
      <c r="AJ18" s="1457"/>
      <c r="AK18" s="1453" t="str">
        <f>IF(OR(C18="",F18="",K18="",N18="",P18="",R18="",X18="",AA18="",AC18="",AG18="",AI18=""),"",ROUND((AG18+AI18)*AA18,2))</f>
        <v/>
      </c>
      <c r="AL18" s="1454"/>
      <c r="AM18" s="1454"/>
      <c r="AN18" s="1448"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c r="AO18" s="1449"/>
      <c r="AP18" s="1449"/>
      <c r="AQ18" s="1450"/>
      <c r="AR18" s="69"/>
      <c r="AU18" s="1434" t="str">
        <f>IFERROR(IF(OR(C18="",H18="",K18="",N18="",P18="",R18="",T18="",X18="",AA18="",AC18="",AG18="",AI18=""),"",((1+ELOSS)*PEAKTD*(1+INDEX(ELECCB[Capacity Reserve Margin],MATCH(15,ELECCB[Year Number],0)))*((AZ18*INDEX(ELECCB[NPV AEC $/kWh],MATCH(15,ELECCB[Year Number],0)))+(AV18*INDEX(ELECCB[NPV ACC+T&amp;D $/kW],MATCH(15,ELECCB[Year Number],0))))/AK18)),0)</f>
        <v/>
      </c>
      <c r="AV18" s="752" t="str">
        <f>IF(OR(C18="",H18="",K18="",N18="",P18="",R18="",T18="",X18="",AA18="",AC18="",AG18="",AI18=""),"",IF((N18*P18)&lt;=(AA18*AC18),"0",ROUND(AZ18*INDEX(ENDUSEALL[Factor],MATCH(INDEX(CMELIGHT[End Use Category],MATCH(F18,CMELIGHT[Proj Desc 1],0)),ENDUSEALL[End Use to Coincident Peak Demand Factors],0)),4)))</f>
        <v/>
      </c>
      <c r="AW18" s="802" t="str">
        <f>IF(OR(C18="",F18="",H18="",K18="",N18="",P18="",R18="",T18="",X18="",AA18="",AC18="",AG18="",AI18=""),"",IF(ISNUMBER(SEARCH("Incandescent",H18)),(0.24*P18)*R18*N18/1000,IF(ISNUMBER(SEARCH("Halogen",H18)),(0.34*P18)*R18*N18/1000,N18*P18*R18/1000)))</f>
        <v/>
      </c>
      <c r="AX18" s="802" t="str">
        <f t="shared" ref="AX18" si="2">IF(OR(C18="",F18="",H18="",K18="",N18="",P18="",R18="",T18="",X18="",AA18="",AC18="",AG18="",AI18=""),"",AA18*AC18*R18/1000)</f>
        <v/>
      </c>
      <c r="AY18" s="1463" t="str">
        <f>IF(OR(C18="",F18="",H18="",K18="",N18="",P18="",R18="",T18="",X18="",AA18="",AC18="",AG18="",AI18=""),"",CONCATENATE(INDEX(CMLIGHTEFF[Measure Number],MATCH(T18,CMLIGHTEFF[Eff Desc 1],0)),INDEX(CMLIGHTBASE[Measure Number],MATCH(H18,CMLIGHTBASE[Base Desc 1],0))))</f>
        <v/>
      </c>
      <c r="AZ18" s="802" t="str">
        <f>IF(OR(C18="",F18="",H18="",K18="",N18="",P18="",R18="",T18="",X18="",AA18="",AC18="",AG18="",AI18=""),"",ROUND(IF((N18*P18)&lt;=(AA18*AC18),"0",IF(AND(F18="Interior", M02S02F32&lt;&gt;""),BG18*(AW18-AX18),IF(AND(ISNUMBER(SEARCH("24/7",F18)),M02S02F32&lt;&gt;""),(AW18-AX18),(AW18-AX18)))),0))</f>
        <v/>
      </c>
      <c r="BA18" s="1464" t="str">
        <f t="shared" ref="BA18" si="3">IF(OR(C18="",F18="",H18="",K18="",N18="",P18="",R18="",T18="",X18="",AA18="",AC18="",AG18="",AI18=""),"",IF((N18*P18)&lt;=(AA18*AC18),"0",ROUND(((N18*P18)-(AA18*AC18))/1000,3)))</f>
        <v/>
      </c>
      <c r="BB18" s="1461" t="str">
        <f>IFERROR(AK18/M02S02F35/AZ18,"")</f>
        <v/>
      </c>
      <c r="BC18" s="1461" t="str">
        <f>IFERROR(IF(OR(T18="CFL"),MEASUREELI,IF((N18*P18)&lt;=(AA18*AC18),MEASURESAVE,IF(M02S02F35="",MEASURERATE,IF(AK18/M02S02F35/AZ18&lt;1,MEASUREPAY,IF(AU18&lt;1,MEASURECB, IF(AND(ISNUMBER(SEARCH("24/7",F18)),R18&lt;8500),"Check Location and Hours",IF(AND(ISNUMBER(SEARCH("Dusk to Dawn",F18)),R18&gt;=8500,R18&lt;=8760),"Check Location and Hours",""))))))),MEASURESUBMIT)</f>
        <v>Submit for Review</v>
      </c>
      <c r="BD18" s="1461">
        <f>IF(ISNUMBER(SEARCH("24/7",H18)),AK18/(AZ18*INDEX(CMLIGHTEFF[Inc Rate Exterior],MATCH(T18,CMLIGHTEFF[Eff Desc 1],0))),0)</f>
        <v>0</v>
      </c>
      <c r="BE18" s="1461">
        <f>IFERROR(IF(ISNUMBER(SEARCH("24/7",H18)),0,AK18/(AZ18*INDEX(CMLIGHTEFF[Inc Rate],MATCH(T18,CMLIGHTEFF[Eff Desc 1],0)))),0)</f>
        <v>0</v>
      </c>
      <c r="BF18" s="1461" t="str">
        <f t="shared" ref="BF18" si="4">IF(AND(ISNUMBER(AN18),OR(AND(BD18&lt;&gt;0,BD18&lt;2),AND(BE18&lt;&gt;0,BE18&lt;2))),"50% Cost","")</f>
        <v/>
      </c>
      <c r="BG18" s="1432">
        <f>IF(M02S02F32&lt;&gt;"",INDEX(SPACEHEAT[HIF],MATCH(M02S02F32,SHEAT,0)),1)</f>
        <v>1</v>
      </c>
      <c r="BH18" s="1367">
        <f t="shared" ref="BH18" si="5">IFERROR(ROUND(BJ18*1.1,2),0)</f>
        <v>0</v>
      </c>
      <c r="BI18" s="1367" t="str">
        <f>IF(M02S02F44="","Update Install Status",IF(M02S02F44="Yes","Not Eligible if Pre-Purchased",IF(M02S02F49="Yes","Use New Load",IF(OR(C18="",F18="",H18="",K18="",N18="",P18="",R18="",T18="",X18="",AA18="",AC18="",AG18="",AI18="",AE18=""),"",IF(BC18&lt;&gt;"",BC18,ROUND(BH18*BONUSADJ,2))))))</f>
        <v>Update Install Status</v>
      </c>
      <c r="BJ18" s="1367" t="str">
        <f>IF(M02S02F44="","Update Install Status",IF(M02S02F44="Yes","Not Eligible if Pre-Purchased",IF(M02S02F49="Yes","Use New Load",IF(OR(C18="",F18="",H18="",K18="",N18="",P18="",R18="",T18="",X18="",AA18="",AC18="",AG18="",AI18="",AE18=""),"",IF(BC18&lt;&gt;"",BC18,IF(OR(F18="Exterior 24/7",F18="Garage 24/7"),ROUND(MIN(AK18*0.5,AZ18*INDEX(CMLIGHTEFF[Inc Rate Exterior],MATCH(T18,CMLIGHTEFF[Eff Desc 1],0))),2),ROUND(MIN(AK18*0.5,AZ18*INDEX(CMLIGHTEFF[Inc Rate],MATCH(T18,CMLIGHTEFF[Eff Desc 1],0))),2)))))))</f>
        <v>Update Install Status</v>
      </c>
    </row>
    <row r="19" spans="2:62" ht="15.95" customHeight="1" x14ac:dyDescent="0.25">
      <c r="B19" s="1204"/>
      <c r="C19" s="896"/>
      <c r="D19" s="897"/>
      <c r="E19" s="898"/>
      <c r="F19" s="1442"/>
      <c r="G19" s="1443"/>
      <c r="H19" s="896"/>
      <c r="I19" s="897"/>
      <c r="J19" s="898"/>
      <c r="K19" s="880"/>
      <c r="L19" s="880"/>
      <c r="M19" s="880"/>
      <c r="N19" s="1065"/>
      <c r="O19" s="1065"/>
      <c r="P19" s="1066"/>
      <c r="Q19" s="1447"/>
      <c r="R19" s="1445"/>
      <c r="S19" s="1446"/>
      <c r="T19" s="1259"/>
      <c r="U19" s="880"/>
      <c r="V19" s="880"/>
      <c r="W19" s="880"/>
      <c r="X19" s="880"/>
      <c r="Y19" s="880"/>
      <c r="Z19" s="880"/>
      <c r="AA19" s="1065"/>
      <c r="AB19" s="1065"/>
      <c r="AC19" s="1066"/>
      <c r="AD19" s="1066"/>
      <c r="AE19" s="1451"/>
      <c r="AF19" s="1455"/>
      <c r="AG19" s="1456"/>
      <c r="AH19" s="900"/>
      <c r="AI19" s="900"/>
      <c r="AJ19" s="1457"/>
      <c r="AK19" s="1453"/>
      <c r="AL19" s="1454"/>
      <c r="AM19" s="1454"/>
      <c r="AN19" s="1448"/>
      <c r="AO19" s="1449"/>
      <c r="AP19" s="1449"/>
      <c r="AQ19" s="1450"/>
      <c r="AR19" s="69"/>
      <c r="AU19" s="1435"/>
      <c r="AV19" s="753"/>
      <c r="AW19" s="803"/>
      <c r="AX19" s="803"/>
      <c r="AY19" s="751"/>
      <c r="AZ19" s="803"/>
      <c r="BA19" s="1465"/>
      <c r="BB19" s="1462"/>
      <c r="BC19" s="1462"/>
      <c r="BD19" s="1462"/>
      <c r="BE19" s="1462"/>
      <c r="BF19" s="1462"/>
      <c r="BG19" s="1433"/>
      <c r="BH19" s="1367"/>
      <c r="BI19" s="1367"/>
      <c r="BJ19" s="1367"/>
    </row>
    <row r="20" spans="2:62" ht="15.95" customHeight="1" x14ac:dyDescent="0.25">
      <c r="B20" s="1204">
        <v>3</v>
      </c>
      <c r="C20" s="1468"/>
      <c r="D20" s="822"/>
      <c r="E20" s="823"/>
      <c r="F20" s="1440" t="s">
        <v>560</v>
      </c>
      <c r="G20" s="1441"/>
      <c r="H20" s="842"/>
      <c r="I20" s="822"/>
      <c r="J20" s="823"/>
      <c r="K20" s="1438"/>
      <c r="L20" s="852"/>
      <c r="M20" s="852"/>
      <c r="N20" s="1070"/>
      <c r="O20" s="1070"/>
      <c r="P20" s="1066" t="str">
        <f>IF(H20="","",INDEX(CMLIGHTBASE[Base Watt 1],MATCH(H20,CMLIGHTBASE[Base Desc 1],0)))</f>
        <v/>
      </c>
      <c r="Q20" s="1447"/>
      <c r="R20" s="1445" t="str">
        <f>IF(ISNUMBER(SEARCH("24/7",F20)),8760, IF(ISNUMBER(SEARCH("Dusk to Dawn", F20)),4380,""))</f>
        <v/>
      </c>
      <c r="S20" s="1446"/>
      <c r="T20" s="1228"/>
      <c r="U20" s="852"/>
      <c r="V20" s="852"/>
      <c r="W20" s="852"/>
      <c r="X20" s="880"/>
      <c r="Y20" s="852"/>
      <c r="Z20" s="852"/>
      <c r="AA20" s="1070"/>
      <c r="AB20" s="1070"/>
      <c r="AC20" s="1066" t="str">
        <f>IF(T20="","",INDEX(CFLEFF[Eff Watt 1],MATCH(T20,CFLEFF[Eff Desc 1],0)))</f>
        <v/>
      </c>
      <c r="AD20" s="1066"/>
      <c r="AE20" s="1451"/>
      <c r="AF20" s="1452"/>
      <c r="AG20" s="1466"/>
      <c r="AH20" s="857"/>
      <c r="AI20" s="857"/>
      <c r="AJ20" s="1467"/>
      <c r="AK20" s="1453" t="str">
        <f t="shared" ref="AK20" si="6">IF(OR(C20="",F20="",K20="",N20="",P20="",R20="",X20="",AA20="",AC20="",AG20="",AI20=""),"",ROUND((AG20+AI20)*AA20,2))</f>
        <v/>
      </c>
      <c r="AL20" s="1454"/>
      <c r="AM20" s="1454"/>
      <c r="AN20" s="1448"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c r="AO20" s="1449"/>
      <c r="AP20" s="1449"/>
      <c r="AQ20" s="1450"/>
      <c r="AR20" s="69"/>
      <c r="AU20" s="1434" t="str">
        <f>IFERROR(IF(OR(C20="",H20="",K20="",N20="",P20="",R20="",T20="",X20="",AA20="",AC20="",AG20="",AI20=""),"",((1+ELOSS)*PEAKTD*(1+INDEX(ELECCB[Capacity Reserve Margin],MATCH(15,ELECCB[Year Number],0)))*((AZ20*INDEX(ELECCB[NPV AEC $/kWh],MATCH(15,ELECCB[Year Number],0)))+(AV20*INDEX(ELECCB[NPV ACC+T&amp;D $/kW],MATCH(15,ELECCB[Year Number],0))))/AK20)),0)</f>
        <v/>
      </c>
      <c r="AV20" s="752" t="str">
        <f>IF(OR(C20="",H20="",K20="",N20="",P20="",R20="",T20="",X20="",AA20="",AC20="",AG20="",AI20=""),"",IF((N20*P20)&lt;=(AA20*AC20),"0",ROUND(AZ20*INDEX(ENDUSEALL[Factor],MATCH(INDEX(CMELIGHT[End Use Category],MATCH(F20,CMELIGHT[Proj Desc 1],0)),ENDUSEALL[End Use to Coincident Peak Demand Factors],0)),4)))</f>
        <v/>
      </c>
      <c r="AW20" s="802" t="str">
        <f t="shared" ref="AW20" si="7">IF(OR(C20="",F20="",H20="",K20="",N20="",P20="",R20="",T20="",X20="",AA20="",AC20="",AG20="",AI20=""),"",IF(ISNUMBER(SEARCH("Incandescent",H20)),(0.24*P20)*R20*N20/1000,IF(ISNUMBER(SEARCH("Halogen",H20)),(0.34*P20)*R20*N20/1000,N20*P20*R20/1000)))</f>
        <v/>
      </c>
      <c r="AX20" s="802" t="str">
        <f t="shared" ref="AX20" si="8">IF(OR(C20="",F20="",H20="",K20="",N20="",P20="",R20="",T20="",X20="",AA20="",AC20="",AG20="",AI20=""),"",AA20*AC20*R20/1000)</f>
        <v/>
      </c>
      <c r="AY20" s="1463" t="str">
        <f>IF(OR(C20="",F20="",H20="",K20="",N20="",P20="",R20="",T20="",X20="",AA20="",AC20="",AG20="",AI20=""),"",CONCATENATE(INDEX(CMLIGHTEFF[Measure Number],MATCH(T20,CMLIGHTEFF[Eff Desc 1],0)),INDEX(CMLIGHTBASE[Measure Number],MATCH(H20,CMLIGHTBASE[Base Desc 1],0))))</f>
        <v/>
      </c>
      <c r="AZ20" s="802" t="str">
        <f>IF(OR(C20="",F20="",H20="",K20="",N20="",P20="",R20="",T20="",X20="",AA20="",AC20="",AG20="",AI20=""),"",ROUND(IF((N20*P20)&lt;=(AA20*AC20),"0",IF(AND(F20="Interior", M02S02F32&lt;&gt;""),BG20*(AW20-AX20),IF(AND(ISNUMBER(SEARCH("24/7",F20)),M02S02F32&lt;&gt;""),(AW20-AX20),(AW20-AX20)))),0))</f>
        <v/>
      </c>
      <c r="BA20" s="1464" t="str">
        <f t="shared" ref="BA20" si="9">IF(OR(C20="",F20="",H20="",K20="",N20="",P20="",R20="",T20="",X20="",AA20="",AC20="",AG20="",AI20=""),"",IF((N20*P20)&lt;=(AA20*AC20),"0",ROUND(((N20*P20)-(AA20*AC20))/1000,3)))</f>
        <v/>
      </c>
      <c r="BB20" s="1461" t="str">
        <f>IFERROR(AK20/M02S02F35/AZ20,"")</f>
        <v/>
      </c>
      <c r="BC20" s="1461" t="str">
        <f>IFERROR(IF(OR(T20="CFL"),MEASUREELI,IF((N20*P20)&lt;=(AA20*AC20),MEASURESAVE,IF(M02S02F35="",MEASURERATE,IF(AK20/M02S02F35/AZ20&lt;1,MEASUREPAY,IF(AU20&lt;1,MEASURECB, IF(AND(ISNUMBER(SEARCH("24/7",F20)),R20&lt;8500),"Check Location and Hours",IF(AND(ISNUMBER(SEARCH("Dusk to Dawn",F20)),R20&gt;=8500,R20&lt;=8760),"Check Location and Hours",""))))))),MEASURESUBMIT)</f>
        <v>Submit for Review</v>
      </c>
      <c r="BD20" s="1461">
        <f>IF(ISNUMBER(SEARCH("24/7",H20)),AK20/(AZ20*INDEX(CMLIGHTEFF[Inc Rate Exterior],MATCH(T20,CMLIGHTEFF[Eff Desc 1],0))),0)</f>
        <v>0</v>
      </c>
      <c r="BE20" s="1461">
        <f>IFERROR(IF(ISNUMBER(SEARCH("24/7",H20)),0,AK20/(AZ20*INDEX(CMLIGHTEFF[Inc Rate],MATCH(T20,CMLIGHTEFF[Eff Desc 1],0)))),0)</f>
        <v>0</v>
      </c>
      <c r="BF20" s="1461" t="str">
        <f t="shared" ref="BF20" si="10">IF(AND(ISNUMBER(AN20),OR(AND(BD20&lt;&gt;0,BD20&lt;2),AND(BE20&lt;&gt;0,BE20&lt;2))),"50% Cost","")</f>
        <v/>
      </c>
      <c r="BG20" s="1432">
        <f>IF(M02S02F32&lt;&gt;"",INDEX(SPACEHEAT[HIF],MATCH(M02S02F32,SHEAT,0)),1)</f>
        <v>1</v>
      </c>
      <c r="BH20" s="1367">
        <f t="shared" ref="BH20" si="11">IFERROR(ROUND(BJ20*1.1,2),0)</f>
        <v>0</v>
      </c>
      <c r="BI20" s="1367" t="str">
        <f>IF(M02S02F44="","Update Install Status",IF(M02S02F44="Yes","Not Eligible if Pre-Purchased",IF(M02S02F49="Yes","Use New Load",IF(OR(C20="",F20="",H20="",K20="",N20="",P20="",R20="",T20="",X20="",AA20="",AC20="",AG20="",AI20="",AE20=""),"",IF(BC20&lt;&gt;"",BC20,ROUND(BH20*BONUSADJ,2))))))</f>
        <v>Update Install Status</v>
      </c>
      <c r="BJ20" s="1367" t="str">
        <f>IF(M02S02F44="","Update Install Status",IF(M02S02F44="Yes","Not Eligible if Pre-Purchased",IF(M02S02F49="Yes","Use New Load",IF(OR(C20="",F20="",H20="",K20="",N20="",P20="",R20="",T20="",X20="",AA20="",AC20="",AG20="",AI20="",AE20=""),"",IF(BC20&lt;&gt;"",BC20,IF(OR(F20="Exterior 24/7",F20="Garage 24/7"),ROUND(MIN(AK20*0.5,AZ20*INDEX(CMLIGHTEFF[Inc Rate Exterior],MATCH(T20,CMLIGHTEFF[Eff Desc 1],0))),2),ROUND(MIN(AK20*0.5,AZ20*INDEX(CMLIGHTEFF[Inc Rate],MATCH(T20,CMLIGHTEFF[Eff Desc 1],0))),2)))))))</f>
        <v>Update Install Status</v>
      </c>
    </row>
    <row r="21" spans="2:62" ht="15.95" customHeight="1" x14ac:dyDescent="0.25">
      <c r="B21" s="1204"/>
      <c r="C21" s="824"/>
      <c r="D21" s="825"/>
      <c r="E21" s="826"/>
      <c r="F21" s="1442"/>
      <c r="G21" s="1443"/>
      <c r="H21" s="824"/>
      <c r="I21" s="825"/>
      <c r="J21" s="826"/>
      <c r="K21" s="852"/>
      <c r="L21" s="852"/>
      <c r="M21" s="852"/>
      <c r="N21" s="1070"/>
      <c r="O21" s="1070"/>
      <c r="P21" s="1066"/>
      <c r="Q21" s="1447"/>
      <c r="R21" s="1445"/>
      <c r="S21" s="1446"/>
      <c r="T21" s="1228"/>
      <c r="U21" s="852"/>
      <c r="V21" s="852"/>
      <c r="W21" s="852"/>
      <c r="X21" s="852"/>
      <c r="Y21" s="852"/>
      <c r="Z21" s="852"/>
      <c r="AA21" s="1070"/>
      <c r="AB21" s="1070"/>
      <c r="AC21" s="1066"/>
      <c r="AD21" s="1066"/>
      <c r="AE21" s="1139"/>
      <c r="AF21" s="1452"/>
      <c r="AG21" s="1466"/>
      <c r="AH21" s="857"/>
      <c r="AI21" s="857"/>
      <c r="AJ21" s="1467"/>
      <c r="AK21" s="1453"/>
      <c r="AL21" s="1454"/>
      <c r="AM21" s="1454"/>
      <c r="AN21" s="1448"/>
      <c r="AO21" s="1449"/>
      <c r="AP21" s="1449"/>
      <c r="AQ21" s="1450"/>
      <c r="AR21" s="69"/>
      <c r="AU21" s="1435"/>
      <c r="AV21" s="753"/>
      <c r="AW21" s="803"/>
      <c r="AX21" s="803"/>
      <c r="AY21" s="751"/>
      <c r="AZ21" s="803"/>
      <c r="BA21" s="1465"/>
      <c r="BB21" s="1462"/>
      <c r="BC21" s="1462"/>
      <c r="BD21" s="1462"/>
      <c r="BE21" s="1462"/>
      <c r="BF21" s="1462"/>
      <c r="BG21" s="1433"/>
      <c r="BH21" s="1367"/>
      <c r="BI21" s="1367"/>
      <c r="BJ21" s="1367"/>
    </row>
    <row r="22" spans="2:62" ht="15.95" customHeight="1" x14ac:dyDescent="0.25">
      <c r="B22" s="1204">
        <v>4</v>
      </c>
      <c r="C22" s="1468"/>
      <c r="D22" s="822"/>
      <c r="E22" s="823"/>
      <c r="F22" s="1440" t="s">
        <v>560</v>
      </c>
      <c r="G22" s="1441"/>
      <c r="H22" s="842"/>
      <c r="I22" s="822"/>
      <c r="J22" s="823"/>
      <c r="K22" s="1438"/>
      <c r="L22" s="852"/>
      <c r="M22" s="852"/>
      <c r="N22" s="1070"/>
      <c r="O22" s="1070"/>
      <c r="P22" s="1066" t="str">
        <f>IF(H22="","",INDEX(CMLIGHTBASE[Base Watt 1],MATCH(H22,CMLIGHTBASE[Base Desc 1],0)))</f>
        <v/>
      </c>
      <c r="Q22" s="1447"/>
      <c r="R22" s="1445" t="str">
        <f t="shared" ref="R22" si="12">IF(ISNUMBER(SEARCH("24/7",F22)),8760, IF(ISNUMBER(SEARCH("Dusk to Dawn", F22)),4380,""))</f>
        <v/>
      </c>
      <c r="S22" s="1446"/>
      <c r="T22" s="1228"/>
      <c r="U22" s="852"/>
      <c r="V22" s="852"/>
      <c r="W22" s="852"/>
      <c r="X22" s="1438"/>
      <c r="Y22" s="852"/>
      <c r="Z22" s="852"/>
      <c r="AA22" s="1070"/>
      <c r="AB22" s="1070"/>
      <c r="AC22" s="1066" t="str">
        <f>IF(T22="","",INDEX(CFLEFF[Eff Watt 1],MATCH(T22,CFLEFF[Eff Desc 1],0)))</f>
        <v/>
      </c>
      <c r="AD22" s="1066"/>
      <c r="AE22" s="1451"/>
      <c r="AF22" s="1452"/>
      <c r="AG22" s="1466"/>
      <c r="AH22" s="857"/>
      <c r="AI22" s="857"/>
      <c r="AJ22" s="1467"/>
      <c r="AK22" s="1453" t="str">
        <f t="shared" ref="AK22" si="13">IF(OR(C22="",F22="",K22="",N22="",P22="",R22="",X22="",AA22="",AC22="",AG22="",AI22=""),"",ROUND((AG22+AI22)*AA22,2))</f>
        <v/>
      </c>
      <c r="AL22" s="1454"/>
      <c r="AM22" s="1454"/>
      <c r="AN22" s="1448"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c r="AO22" s="1449"/>
      <c r="AP22" s="1449"/>
      <c r="AQ22" s="1450"/>
      <c r="AR22" s="69"/>
      <c r="AU22" s="1434" t="str">
        <f>IFERROR(IF(OR(C22="",H22="",K22="",N22="",P22="",R22="",T22="",X22="",AA22="",AC22="",AG22="",AI22=""),"",((1+ELOSS)*PEAKTD*(1+INDEX(ELECCB[Capacity Reserve Margin],MATCH(15,ELECCB[Year Number],0)))*((AZ22*INDEX(ELECCB[NPV AEC $/kWh],MATCH(15,ELECCB[Year Number],0)))+(AV22*INDEX(ELECCB[NPV ACC+T&amp;D $/kW],MATCH(15,ELECCB[Year Number],0))))/AK22)),0)</f>
        <v/>
      </c>
      <c r="AV22" s="752" t="str">
        <f>IF(OR(C22="",H22="",K22="",N22="",P22="",R22="",T22="",X22="",AA22="",AC22="",AG22="",AI22=""),"",IF((N22*P22)&lt;=(AA22*AC22),"0",ROUND(AZ22*INDEX(ENDUSEALL[Factor],MATCH(INDEX(CMELIGHT[End Use Category],MATCH(F22,CMELIGHT[Proj Desc 1],0)),ENDUSEALL[End Use to Coincident Peak Demand Factors],0)),4)))</f>
        <v/>
      </c>
      <c r="AW22" s="802" t="str">
        <f t="shared" ref="AW22" si="14">IF(OR(C22="",F22="",H22="",K22="",N22="",P22="",R22="",T22="",X22="",AA22="",AC22="",AG22="",AI22=""),"",IF(ISNUMBER(SEARCH("Incandescent",H22)),(0.24*P22)*R22*N22/1000,IF(ISNUMBER(SEARCH("Halogen",H22)),(0.34*P22)*R22*N22/1000,N22*P22*R22/1000)))</f>
        <v/>
      </c>
      <c r="AX22" s="802" t="str">
        <f t="shared" ref="AX22" si="15">IF(OR(C22="",F22="",H22="",K22="",N22="",P22="",R22="",T22="",X22="",AA22="",AC22="",AG22="",AI22=""),"",AA22*AC22*R22/1000)</f>
        <v/>
      </c>
      <c r="AY22" s="1463" t="str">
        <f>IF(OR(C22="",F22="",H22="",K22="",N22="",P22="",R22="",T22="",X22="",AA22="",AC22="",AG22="",AI22=""),"",CONCATENATE(INDEX(CMLIGHTEFF[Measure Number],MATCH(T22,CMLIGHTEFF[Eff Desc 1],0)),INDEX(CMLIGHTBASE[Measure Number],MATCH(H22,CMLIGHTBASE[Base Desc 1],0))))</f>
        <v/>
      </c>
      <c r="AZ22" s="802" t="str">
        <f>IF(OR(C22="",F22="",H22="",K22="",N22="",P22="",R22="",T22="",X22="",AA22="",AC22="",AG22="",AI22=""),"",ROUND(IF((N22*P22)&lt;=(AA22*AC22),"0",IF(AND(F22="Interior", M02S02F32&lt;&gt;""),BG22*(AW22-AX22),IF(AND(ISNUMBER(SEARCH("24/7",F22)),M02S02F32&lt;&gt;""),(AW22-AX22),(AW22-AX22)))),0))</f>
        <v/>
      </c>
      <c r="BA22" s="1464" t="str">
        <f t="shared" ref="BA22" si="16">IF(OR(C22="",F22="",H22="",K22="",N22="",P22="",R22="",T22="",X22="",AA22="",AC22="",AG22="",AI22=""),"",IF((N22*P22)&lt;=(AA22*AC22),"0",ROUND(((N22*P22)-(AA22*AC22))/1000,3)))</f>
        <v/>
      </c>
      <c r="BB22" s="1461" t="str">
        <f>IFERROR(AK22/M02S02F35/AZ22,"")</f>
        <v/>
      </c>
      <c r="BC22" s="1461" t="str">
        <f>IFERROR(IF(OR(T22="CFL"),MEASUREELI,IF((N22*P22)&lt;=(AA22*AC22),MEASURESAVE,IF(M02S02F35="",MEASURERATE,IF(AK22/M02S02F35/AZ22&lt;1,MEASUREPAY,IF(AU22&lt;1,MEASURECB, IF(AND(ISNUMBER(SEARCH("24/7",F22)),R22&lt;8500),"Check Location and Hours",IF(AND(ISNUMBER(SEARCH("Dusk to Dawn",F22)),R22&gt;=8500,R22&lt;=8760),"Check Location and Hours",""))))))),MEASURESUBMIT)</f>
        <v>Submit for Review</v>
      </c>
      <c r="BD22" s="1461">
        <f>IF(ISNUMBER(SEARCH("24/7",H22)),AK22/(AZ22*INDEX(CMLIGHTEFF[Inc Rate Exterior],MATCH(T22,CMLIGHTEFF[Eff Desc 1],0))),0)</f>
        <v>0</v>
      </c>
      <c r="BE22" s="1461">
        <f>IFERROR(IF(ISNUMBER(SEARCH("24/7",H22)),0,AK22/(AZ22*INDEX(CMLIGHTEFF[Inc Rate],MATCH(T22,CMLIGHTEFF[Eff Desc 1],0)))),0)</f>
        <v>0</v>
      </c>
      <c r="BF22" s="1461" t="str">
        <f t="shared" ref="BF22" si="17">IF(AND(ISNUMBER(AN22),OR(AND(BD22&lt;&gt;0,BD22&lt;2),AND(BE22&lt;&gt;0,BE22&lt;2))),"50% Cost","")</f>
        <v/>
      </c>
      <c r="BG22" s="1432">
        <f>IF(M02S02F32&lt;&gt;"",INDEX(SPACEHEAT[HIF],MATCH(M02S02F32,SHEAT,0)),1)</f>
        <v>1</v>
      </c>
      <c r="BH22" s="1367">
        <f t="shared" ref="BH22" si="18">IFERROR(ROUND(BJ22*1.1,2),0)</f>
        <v>0</v>
      </c>
      <c r="BI22" s="1367" t="str">
        <f>IF(M02S02F44="","Update Install Status",IF(M02S02F44="Yes","Not Eligible if Pre-Purchased",IF(M02S02F49="Yes","Use New Load",IF(OR(C22="",F22="",H22="",K22="",N22="",P22="",R22="",T22="",X22="",AA22="",AC22="",AG22="",AI22="",AE22=""),"",IF(BC22&lt;&gt;"",BC22,ROUND(BH22*BONUSADJ,2))))))</f>
        <v>Update Install Status</v>
      </c>
      <c r="BJ22" s="1367" t="str">
        <f>IF(M02S02F44="","Update Install Status",IF(M02S02F44="Yes","Not Eligible if Pre-Purchased",IF(M02S02F49="Yes","Use New Load",IF(OR(C22="",F22="",H22="",K22="",N22="",P22="",R22="",T22="",X22="",AA22="",AC22="",AG22="",AI22="",AE22=""),"",IF(BC22&lt;&gt;"",BC22,IF(OR(F22="Exterior 24/7",F22="Garage 24/7"),ROUND(MIN(AK22*0.5,AZ22*INDEX(CMLIGHTEFF[Inc Rate Exterior],MATCH(T22,CMLIGHTEFF[Eff Desc 1],0))),2),ROUND(MIN(AK22*0.5,AZ22*INDEX(CMLIGHTEFF[Inc Rate],MATCH(T22,CMLIGHTEFF[Eff Desc 1],0))),2)))))))</f>
        <v>Update Install Status</v>
      </c>
    </row>
    <row r="23" spans="2:62" ht="15.95" customHeight="1" x14ac:dyDescent="0.25">
      <c r="B23" s="1204"/>
      <c r="C23" s="824"/>
      <c r="D23" s="825"/>
      <c r="E23" s="826"/>
      <c r="F23" s="1442"/>
      <c r="G23" s="1443"/>
      <c r="H23" s="824"/>
      <c r="I23" s="825"/>
      <c r="J23" s="826"/>
      <c r="K23" s="852"/>
      <c r="L23" s="852"/>
      <c r="M23" s="852"/>
      <c r="N23" s="1070"/>
      <c r="O23" s="1070"/>
      <c r="P23" s="1066"/>
      <c r="Q23" s="1447"/>
      <c r="R23" s="1445"/>
      <c r="S23" s="1446"/>
      <c r="T23" s="1228"/>
      <c r="U23" s="852"/>
      <c r="V23" s="852"/>
      <c r="W23" s="852"/>
      <c r="X23" s="852"/>
      <c r="Y23" s="852"/>
      <c r="Z23" s="852"/>
      <c r="AA23" s="1070"/>
      <c r="AB23" s="1070"/>
      <c r="AC23" s="1066"/>
      <c r="AD23" s="1066"/>
      <c r="AE23" s="1139"/>
      <c r="AF23" s="1452"/>
      <c r="AG23" s="1466"/>
      <c r="AH23" s="857"/>
      <c r="AI23" s="857"/>
      <c r="AJ23" s="1467"/>
      <c r="AK23" s="1453"/>
      <c r="AL23" s="1454"/>
      <c r="AM23" s="1454"/>
      <c r="AN23" s="1448"/>
      <c r="AO23" s="1449"/>
      <c r="AP23" s="1449"/>
      <c r="AQ23" s="1450"/>
      <c r="AR23" s="69"/>
      <c r="AU23" s="1435"/>
      <c r="AV23" s="753"/>
      <c r="AW23" s="803"/>
      <c r="AX23" s="803"/>
      <c r="AY23" s="751"/>
      <c r="AZ23" s="803"/>
      <c r="BA23" s="1465"/>
      <c r="BB23" s="1462"/>
      <c r="BC23" s="1462"/>
      <c r="BD23" s="1462"/>
      <c r="BE23" s="1462"/>
      <c r="BF23" s="1462"/>
      <c r="BG23" s="1433"/>
      <c r="BH23" s="1367"/>
      <c r="BI23" s="1367"/>
      <c r="BJ23" s="1367"/>
    </row>
    <row r="24" spans="2:62" ht="15.95" customHeight="1" x14ac:dyDescent="0.25">
      <c r="B24" s="1204">
        <v>5</v>
      </c>
      <c r="C24" s="1469"/>
      <c r="D24" s="822"/>
      <c r="E24" s="823"/>
      <c r="F24" s="1440" t="s">
        <v>560</v>
      </c>
      <c r="G24" s="1441"/>
      <c r="H24" s="842"/>
      <c r="I24" s="822"/>
      <c r="J24" s="823"/>
      <c r="K24" s="1444"/>
      <c r="L24" s="852"/>
      <c r="M24" s="852"/>
      <c r="N24" s="1070"/>
      <c r="O24" s="1070"/>
      <c r="P24" s="1066" t="str">
        <f>IF(H24="","",INDEX(CMLIGHTBASE[Base Watt 1],MATCH(H24,CMLIGHTBASE[Base Desc 1],0)))</f>
        <v/>
      </c>
      <c r="Q24" s="1447"/>
      <c r="R24" s="1445" t="str">
        <f t="shared" ref="R24" si="19">IF(ISNUMBER(SEARCH("24/7",F24)),8760, IF(ISNUMBER(SEARCH("Dusk to Dawn", F24)),4380,""))</f>
        <v/>
      </c>
      <c r="S24" s="1446"/>
      <c r="T24" s="1228"/>
      <c r="U24" s="852"/>
      <c r="V24" s="852"/>
      <c r="W24" s="852"/>
      <c r="X24" s="1444"/>
      <c r="Y24" s="852"/>
      <c r="Z24" s="852"/>
      <c r="AA24" s="1070"/>
      <c r="AB24" s="1070"/>
      <c r="AC24" s="1066" t="str">
        <f>IF(T24="","",INDEX(CFLEFF[Eff Watt 1],MATCH(T24,CFLEFF[Eff Desc 1],0)))</f>
        <v/>
      </c>
      <c r="AD24" s="1066"/>
      <c r="AE24" s="1451"/>
      <c r="AF24" s="1452"/>
      <c r="AG24" s="1466"/>
      <c r="AH24" s="857"/>
      <c r="AI24" s="857"/>
      <c r="AJ24" s="1467"/>
      <c r="AK24" s="1453" t="str">
        <f t="shared" ref="AK24" si="20">IF(OR(C24="",F24="",K24="",N24="",P24="",R24="",X24="",AA24="",AC24="",AG24="",AI24=""),"",ROUND((AG24+AI24)*AA24,2))</f>
        <v/>
      </c>
      <c r="AL24" s="1454"/>
      <c r="AM24" s="1454"/>
      <c r="AN24" s="1448"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c r="AO24" s="1449"/>
      <c r="AP24" s="1449"/>
      <c r="AQ24" s="1450"/>
      <c r="AR24" s="69"/>
      <c r="AU24" s="1434" t="str">
        <f>IFERROR(IF(OR(C24="",H24="",K24="",N24="",P24="",R24="",T24="",X24="",AA24="",AC24="",AG24="",AI24=""),"",((1+ELOSS)*PEAKTD*(1+INDEX(ELECCB[Capacity Reserve Margin],MATCH(15,ELECCB[Year Number],0)))*((AZ24*INDEX(ELECCB[NPV AEC $/kWh],MATCH(15,ELECCB[Year Number],0)))+(AV24*INDEX(ELECCB[NPV ACC+T&amp;D $/kW],MATCH(15,ELECCB[Year Number],0))))/AK24)),0)</f>
        <v/>
      </c>
      <c r="AV24" s="752" t="str">
        <f>IF(OR(C24="",H24="",K24="",N24="",P24="",R24="",T24="",X24="",AA24="",AC24="",AG24="",AI24=""),"",IF((N24*P24)&lt;=(AA24*AC24),"0",ROUND(AZ24*INDEX(ENDUSEALL[Factor],MATCH(INDEX(CMELIGHT[End Use Category],MATCH(F24,CMELIGHT[Proj Desc 1],0)),ENDUSEALL[End Use to Coincident Peak Demand Factors],0)),4)))</f>
        <v/>
      </c>
      <c r="AW24" s="802" t="str">
        <f t="shared" ref="AW24" si="21">IF(OR(C24="",F24="",H24="",K24="",N24="",P24="",R24="",T24="",X24="",AA24="",AC24="",AG24="",AI24=""),"",IF(ISNUMBER(SEARCH("Incandescent",H24)),(0.24*P24)*R24*N24/1000,IF(ISNUMBER(SEARCH("Halogen",H24)),(0.34*P24)*R24*N24/1000,N24*P24*R24/1000)))</f>
        <v/>
      </c>
      <c r="AX24" s="802" t="str">
        <f t="shared" ref="AX24" si="22">IF(OR(C24="",F24="",H24="",K24="",N24="",P24="",R24="",T24="",X24="",AA24="",AC24="",AG24="",AI24=""),"",AA24*AC24*R24/1000)</f>
        <v/>
      </c>
      <c r="AY24" s="1463" t="str">
        <f>IF(OR(C24="",F24="",H24="",K24="",N24="",P24="",R24="",T24="",X24="",AA24="",AC24="",AG24="",AI24=""),"",CONCATENATE(INDEX(CMLIGHTEFF[Measure Number],MATCH(T24,CMLIGHTEFF[Eff Desc 1],0)),INDEX(CMLIGHTBASE[Measure Number],MATCH(H24,CMLIGHTBASE[Base Desc 1],0))))</f>
        <v/>
      </c>
      <c r="AZ24" s="802" t="str">
        <f>IF(OR(C24="",F24="",H24="",K24="",N24="",P24="",R24="",T24="",X24="",AA24="",AC24="",AG24="",AI24=""),"",ROUND(IF((N24*P24)&lt;=(AA24*AC24),"0",IF(AND(F24="Interior", M02S02F32&lt;&gt;""),INDEX(SPACEHEAT[HIF],MATCH(M02S02F32,SHEAT,0))*(AW24-AX24),IF(AND(ISNUMBER(SEARCH("24/7",F24)),M02S02F32&lt;&gt;""),(AW24-AX24),(AW24-AX24)))),0))</f>
        <v/>
      </c>
      <c r="BA24" s="1464" t="str">
        <f t="shared" ref="BA24" si="23">IF(OR(C24="",F24="",H24="",K24="",N24="",P24="",R24="",T24="",X24="",AA24="",AC24="",AG24="",AI24=""),"",IF((N24*P24)&lt;=(AA24*AC24),"0",ROUND(((N24*P24)-(AA24*AC24))/1000,3)))</f>
        <v/>
      </c>
      <c r="BB24" s="1461" t="str">
        <f>IFERROR(AK24/M02S02F35/AZ24,"")</f>
        <v/>
      </c>
      <c r="BC24" s="1461" t="str">
        <f>IFERROR(IF(OR(T24="CFL"),MEASUREELI,IF((N24*P24)&lt;=(AA24*AC24),MEASURESAVE,IF(M02S02F35="",MEASURERATE,IF(AK24/M02S02F35/AZ24&lt;1,MEASUREPAY,IF(AU24&lt;1,MEASURECB, IF(AND(ISNUMBER(SEARCH("24/7",F24)),R24&lt;8500),"Check Location and Hours",IF(AND(ISNUMBER(SEARCH("Dusk to Dawn",F24)),R24&gt;=8500,R24&lt;=8760),"Check Location and Hours",""))))))),MEASURESUBMIT)</f>
        <v>Submit for Review</v>
      </c>
      <c r="BD24" s="1461">
        <f>IF(ISNUMBER(SEARCH("24/7",H24)),AK24/(AZ24*INDEX(CMLIGHTEFF[Inc Rate Exterior],MATCH(T24,CMLIGHTEFF[Eff Desc 1],0))),0)</f>
        <v>0</v>
      </c>
      <c r="BE24" s="1461">
        <f>IFERROR(IF(ISNUMBER(SEARCH("24/7",H24)),0,AK24/(AZ24*INDEX(CMLIGHTEFF[Inc Rate],MATCH(T24,CMLIGHTEFF[Eff Desc 1],0)))),0)</f>
        <v>0</v>
      </c>
      <c r="BF24" s="1461" t="str">
        <f t="shared" ref="BF24" si="24">IF(AND(ISNUMBER(AN24),OR(AND(BD24&lt;&gt;0,BD24&lt;2),AND(BE24&lt;&gt;0,BE24&lt;2))),"50% Cost","")</f>
        <v/>
      </c>
      <c r="BG24" s="1432">
        <f>IF(M02S02F32&lt;&gt;"",INDEX(SPACEHEAT[HIF],MATCH(M02S02F32,SHEAT,0)),1)</f>
        <v>1</v>
      </c>
      <c r="BH24" s="1367">
        <f t="shared" ref="BH24" si="25">IFERROR(ROUND(BJ24*1.1,2),0)</f>
        <v>0</v>
      </c>
      <c r="BI24" s="1367" t="str">
        <f>IF(M02S02F44="","Update Install Status",IF(M02S02F44="Yes","Not Eligible if Pre-Purchased",IF(M02S02F49="Yes","Use New Load",IF(OR(C24="",F24="",H24="",K24="",N24="",P24="",R24="",T24="",X24="",AA24="",AC24="",AG24="",AI24="",AE24=""),"",IF(BC24&lt;&gt;"",BC24,ROUND(BH24*BONUSADJ,2))))))</f>
        <v>Update Install Status</v>
      </c>
      <c r="BJ24" s="1367" t="str">
        <f>IF(M02S02F44="","Update Install Status",IF(M02S02F44="Yes","Not Eligible if Pre-Purchased",IF(M02S02F49="Yes","Use New Load",IF(OR(C24="",F24="",H24="",K24="",N24="",P24="",R24="",T24="",X24="",AA24="",AC24="",AG24="",AI24="",AE24=""),"",IF(BC24&lt;&gt;"",BC24,IF(OR(F24="Exterior 24/7",F24="Garage 24/7"),ROUND(MIN(AK24*0.5,AZ24*INDEX(CMLIGHTEFF[Inc Rate Exterior],MATCH(T24,CMLIGHTEFF[Eff Desc 1],0))),2),ROUND(MIN(AK24*0.5,AZ24*INDEX(CMLIGHTEFF[Inc Rate],MATCH(T24,CMLIGHTEFF[Eff Desc 1],0))),2)))))))</f>
        <v>Update Install Status</v>
      </c>
    </row>
    <row r="25" spans="2:62" ht="15.95" customHeight="1" x14ac:dyDescent="0.25">
      <c r="B25" s="1204"/>
      <c r="C25" s="824"/>
      <c r="D25" s="825"/>
      <c r="E25" s="826"/>
      <c r="F25" s="1442"/>
      <c r="G25" s="1443"/>
      <c r="H25" s="824"/>
      <c r="I25" s="825"/>
      <c r="J25" s="826"/>
      <c r="K25" s="852"/>
      <c r="L25" s="852"/>
      <c r="M25" s="852"/>
      <c r="N25" s="1070"/>
      <c r="O25" s="1070"/>
      <c r="P25" s="1066"/>
      <c r="Q25" s="1447"/>
      <c r="R25" s="1445"/>
      <c r="S25" s="1446"/>
      <c r="T25" s="1228"/>
      <c r="U25" s="852"/>
      <c r="V25" s="852"/>
      <c r="W25" s="852"/>
      <c r="X25" s="852"/>
      <c r="Y25" s="852"/>
      <c r="Z25" s="852"/>
      <c r="AA25" s="1070"/>
      <c r="AB25" s="1070"/>
      <c r="AC25" s="1066"/>
      <c r="AD25" s="1066"/>
      <c r="AE25" s="1139"/>
      <c r="AF25" s="1452"/>
      <c r="AG25" s="1466"/>
      <c r="AH25" s="857"/>
      <c r="AI25" s="857"/>
      <c r="AJ25" s="1467"/>
      <c r="AK25" s="1453"/>
      <c r="AL25" s="1454"/>
      <c r="AM25" s="1454"/>
      <c r="AN25" s="1448"/>
      <c r="AO25" s="1449"/>
      <c r="AP25" s="1449"/>
      <c r="AQ25" s="1450"/>
      <c r="AR25" s="69"/>
      <c r="AU25" s="1435"/>
      <c r="AV25" s="753"/>
      <c r="AW25" s="803"/>
      <c r="AX25" s="803"/>
      <c r="AY25" s="751"/>
      <c r="AZ25" s="803"/>
      <c r="BA25" s="1465"/>
      <c r="BB25" s="1462"/>
      <c r="BC25" s="1462"/>
      <c r="BD25" s="1462"/>
      <c r="BE25" s="1462"/>
      <c r="BF25" s="1462"/>
      <c r="BG25" s="1433"/>
      <c r="BH25" s="1367"/>
      <c r="BI25" s="1367"/>
      <c r="BJ25" s="1367"/>
    </row>
    <row r="26" spans="2:62" ht="15.95" customHeight="1" x14ac:dyDescent="0.25">
      <c r="B26" s="1204">
        <v>6</v>
      </c>
      <c r="C26" s="1468"/>
      <c r="D26" s="822"/>
      <c r="E26" s="823"/>
      <c r="F26" s="1440" t="s">
        <v>560</v>
      </c>
      <c r="G26" s="1441"/>
      <c r="H26" s="842"/>
      <c r="I26" s="822"/>
      <c r="J26" s="823"/>
      <c r="K26" s="1438"/>
      <c r="L26" s="852"/>
      <c r="M26" s="852"/>
      <c r="N26" s="1070"/>
      <c r="O26" s="1070"/>
      <c r="P26" s="1066" t="str">
        <f>IF(H26="","",INDEX(CMLIGHTBASE[Base Watt 1],MATCH(H26,CMLIGHTBASE[Base Desc 1],0)))</f>
        <v/>
      </c>
      <c r="Q26" s="1447"/>
      <c r="R26" s="1445" t="str">
        <f t="shared" ref="R26" si="26">IF(ISNUMBER(SEARCH("24/7",F26)),8760, IF(ISNUMBER(SEARCH("Dusk to Dawn", F26)),4380,""))</f>
        <v/>
      </c>
      <c r="S26" s="1446"/>
      <c r="T26" s="1228"/>
      <c r="U26" s="852"/>
      <c r="V26" s="852"/>
      <c r="W26" s="852"/>
      <c r="X26" s="1438"/>
      <c r="Y26" s="852"/>
      <c r="Z26" s="852"/>
      <c r="AA26" s="1070"/>
      <c r="AB26" s="1070"/>
      <c r="AC26" s="1066" t="str">
        <f>IF(T26="","",INDEX(CFLEFF[Eff Watt 1],MATCH(T26,CFLEFF[Eff Desc 1],0)))</f>
        <v/>
      </c>
      <c r="AD26" s="1066"/>
      <c r="AE26" s="1451"/>
      <c r="AF26" s="1452"/>
      <c r="AG26" s="1466"/>
      <c r="AH26" s="857"/>
      <c r="AI26" s="857"/>
      <c r="AJ26" s="1467"/>
      <c r="AK26" s="1453" t="str">
        <f t="shared" ref="AK26" si="27">IF(OR(C26="",F26="",K26="",N26="",P26="",R26="",X26="",AA26="",AC26="",AG26="",AI26=""),"",ROUND((AG26+AI26)*AA26,2))</f>
        <v/>
      </c>
      <c r="AL26" s="1454"/>
      <c r="AM26" s="1454"/>
      <c r="AN26" s="1448"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c r="AO26" s="1449"/>
      <c r="AP26" s="1449"/>
      <c r="AQ26" s="1450"/>
      <c r="AR26" s="69"/>
      <c r="AU26" s="1434" t="str">
        <f>IFERROR(IF(OR(C26="",H26="",K26="",N26="",P26="",R26="",T26="",X26="",AA26="",AC26="",AG26="",AI26=""),"",((1+ELOSS)*PEAKTD*(1+INDEX(ELECCB[Capacity Reserve Margin],MATCH(15,ELECCB[Year Number],0)))*((AZ26*INDEX(ELECCB[NPV AEC $/kWh],MATCH(15,ELECCB[Year Number],0)))+(AV26*INDEX(ELECCB[NPV ACC+T&amp;D $/kW],MATCH(15,ELECCB[Year Number],0))))/AK26)),0)</f>
        <v/>
      </c>
      <c r="AV26" s="752" t="str">
        <f>IF(OR(C26="",H26="",K26="",N26="",P26="",R26="",T26="",X26="",AA26="",AC26="",AG26="",AI26=""),"",IF((N26*P26)&lt;=(AA26*AC26),"0",ROUND(AZ26*INDEX(ENDUSEALL[Factor],MATCH(INDEX(CMELIGHT[End Use Category],MATCH(F26,CMELIGHT[Proj Desc 1],0)),ENDUSEALL[End Use to Coincident Peak Demand Factors],0)),4)))</f>
        <v/>
      </c>
      <c r="AW26" s="802" t="str">
        <f t="shared" ref="AW26" si="28">IF(OR(C26="",F26="",H26="",K26="",N26="",P26="",R26="",T26="",X26="",AA26="",AC26="",AG26="",AI26=""),"",IF(ISNUMBER(SEARCH("Incandescent",H26)),(0.24*P26)*R26*N26/1000,IF(ISNUMBER(SEARCH("Halogen",H26)),(0.34*P26)*R26*N26/1000,N26*P26*R26/1000)))</f>
        <v/>
      </c>
      <c r="AX26" s="802" t="str">
        <f t="shared" ref="AX26" si="29">IF(OR(C26="",F26="",H26="",K26="",N26="",P26="",R26="",T26="",X26="",AA26="",AC26="",AG26="",AI26=""),"",AA26*AC26*R26/1000)</f>
        <v/>
      </c>
      <c r="AY26" s="1463" t="str">
        <f>IF(OR(C26="",F26="",H26="",K26="",N26="",P26="",R26="",T26="",X26="",AA26="",AC26="",AG26="",AI26=""),"",CONCATENATE(INDEX(CMLIGHTEFF[Measure Number],MATCH(T26,CMLIGHTEFF[Eff Desc 1],0)),INDEX(CMLIGHTBASE[Measure Number],MATCH(H26,CMLIGHTBASE[Base Desc 1],0))))</f>
        <v/>
      </c>
      <c r="AZ26" s="802" t="str">
        <f>IF(OR(C26="",F26="",H26="",K26="",N26="",P26="",R26="",T26="",X26="",AA26="",AC26="",AG26="",AI26=""),"",ROUND(IF((N26*P26)&lt;=(AA26*AC26),"0",IF(AND(F26="Interior", M02S02F32&lt;&gt;""),INDEX(SPACEHEAT[HIF],MATCH(M02S02F32,SHEAT,0))*(AW26-AX26),IF(AND(ISNUMBER(SEARCH("24/7",F26)),M02S02F32&lt;&gt;""),(AW26-AX26),(AW26-AX26)))),0))</f>
        <v/>
      </c>
      <c r="BA26" s="1464" t="str">
        <f t="shared" ref="BA26" si="30">IF(OR(C26="",F26="",H26="",K26="",N26="",P26="",R26="",T26="",X26="",AA26="",AC26="",AG26="",AI26=""),"",IF((N26*P26)&lt;=(AA26*AC26),"0",ROUND(((N26*P26)-(AA26*AC26))/1000,3)))</f>
        <v/>
      </c>
      <c r="BB26" s="1461" t="str">
        <f>IFERROR(AK26/M02S02F35/AZ26,"")</f>
        <v/>
      </c>
      <c r="BC26" s="1461" t="str">
        <f>IFERROR(IF(OR(T26="CFL"),MEASUREELI,IF((N26*P26)&lt;=(AA26*AC26),MEASURESAVE,IF(M02S02F35="",MEASURERATE,IF(AK26/M02S02F35/AZ26&lt;1,MEASUREPAY,IF(AU26&lt;1,MEASURECB, IF(AND(ISNUMBER(SEARCH("24/7",F26)),R26&lt;8500),"Check Location and Hours",IF(AND(ISNUMBER(SEARCH("Dusk to Dawn",F26)),R26&gt;=8500,R26&lt;=8760),"Check Location and Hours",""))))))),MEASURESUBMIT)</f>
        <v>Submit for Review</v>
      </c>
      <c r="BD26" s="1461">
        <f>IF(ISNUMBER(SEARCH("24/7",H26)),AK26/(AZ26*INDEX(CMLIGHTEFF[Inc Rate Exterior],MATCH(T26,CMLIGHTEFF[Eff Desc 1],0))),0)</f>
        <v>0</v>
      </c>
      <c r="BE26" s="1461">
        <f>IFERROR(IF(ISNUMBER(SEARCH("24/7",H26)),0,AK26/(AZ26*INDEX(CMLIGHTEFF[Inc Rate],MATCH(T26,CMLIGHTEFF[Eff Desc 1],0)))),0)</f>
        <v>0</v>
      </c>
      <c r="BF26" s="1461" t="str">
        <f t="shared" ref="BF26" si="31">IF(AND(ISNUMBER(AN26),OR(AND(BD26&lt;&gt;0,BD26&lt;2),AND(BE26&lt;&gt;0,BE26&lt;2))),"50% Cost","")</f>
        <v/>
      </c>
      <c r="BG26" s="1432">
        <f>IF(M02S02F32&lt;&gt;"",INDEX(SPACEHEAT[HIF],MATCH(M02S02F32,SHEAT,0)),1)</f>
        <v>1</v>
      </c>
      <c r="BH26" s="1367">
        <f t="shared" ref="BH26" si="32">IFERROR(ROUND(BJ26*1.1,2),0)</f>
        <v>0</v>
      </c>
      <c r="BI26" s="1367" t="str">
        <f>IF(M02S02F44="","Update Install Status",IF(M02S02F44="Yes","Not Eligible if Pre-Purchased",IF(M02S02F49="Yes","Use New Load",IF(OR(C26="",F26="",H26="",K26="",N26="",P26="",R26="",T26="",X26="",AA26="",AC26="",AG26="",AI26="",AE26=""),"",IF(BC26&lt;&gt;"",BC26,ROUND(BH26*BONUSADJ,2))))))</f>
        <v>Update Install Status</v>
      </c>
      <c r="BJ26" s="1367" t="str">
        <f>IF(M02S02F44="","Update Install Status",IF(M02S02F44="Yes","Not Eligible if Pre-Purchased",IF(M02S02F49="Yes","Use New Load",IF(OR(C26="",F26="",H26="",K26="",N26="",P26="",R26="",T26="",X26="",AA26="",AC26="",AG26="",AI26="",AE26=""),"",IF(BC26&lt;&gt;"",BC26,IF(OR(F26="Exterior 24/7",F26="Garage 24/7"),ROUND(MIN(AK26*0.5,AZ26*INDEX(CMLIGHTEFF[Inc Rate Exterior],MATCH(T26,CMLIGHTEFF[Eff Desc 1],0))),2),ROUND(MIN(AK26*0.5,AZ26*INDEX(CMLIGHTEFF[Inc Rate],MATCH(T26,CMLIGHTEFF[Eff Desc 1],0))),2)))))))</f>
        <v>Update Install Status</v>
      </c>
    </row>
    <row r="27" spans="2:62" ht="15.95" customHeight="1" x14ac:dyDescent="0.25">
      <c r="B27" s="1204"/>
      <c r="C27" s="824"/>
      <c r="D27" s="825"/>
      <c r="E27" s="826"/>
      <c r="F27" s="1442"/>
      <c r="G27" s="1443"/>
      <c r="H27" s="824"/>
      <c r="I27" s="825"/>
      <c r="J27" s="826"/>
      <c r="K27" s="852"/>
      <c r="L27" s="852"/>
      <c r="M27" s="852"/>
      <c r="N27" s="1070"/>
      <c r="O27" s="1070"/>
      <c r="P27" s="1066"/>
      <c r="Q27" s="1447"/>
      <c r="R27" s="1445"/>
      <c r="S27" s="1446"/>
      <c r="T27" s="1228"/>
      <c r="U27" s="852"/>
      <c r="V27" s="852"/>
      <c r="W27" s="852"/>
      <c r="X27" s="852"/>
      <c r="Y27" s="852"/>
      <c r="Z27" s="852"/>
      <c r="AA27" s="1070"/>
      <c r="AB27" s="1070"/>
      <c r="AC27" s="1066"/>
      <c r="AD27" s="1066"/>
      <c r="AE27" s="1139"/>
      <c r="AF27" s="1452"/>
      <c r="AG27" s="1466"/>
      <c r="AH27" s="857"/>
      <c r="AI27" s="857"/>
      <c r="AJ27" s="1467"/>
      <c r="AK27" s="1453"/>
      <c r="AL27" s="1454"/>
      <c r="AM27" s="1454"/>
      <c r="AN27" s="1448"/>
      <c r="AO27" s="1449"/>
      <c r="AP27" s="1449"/>
      <c r="AQ27" s="1450"/>
      <c r="AR27" s="69"/>
      <c r="AU27" s="1435"/>
      <c r="AV27" s="753"/>
      <c r="AW27" s="803"/>
      <c r="AX27" s="803"/>
      <c r="AY27" s="751"/>
      <c r="AZ27" s="803"/>
      <c r="BA27" s="1465"/>
      <c r="BB27" s="1462"/>
      <c r="BC27" s="1462"/>
      <c r="BD27" s="1462"/>
      <c r="BE27" s="1462"/>
      <c r="BF27" s="1462"/>
      <c r="BG27" s="1433"/>
      <c r="BH27" s="1367"/>
      <c r="BI27" s="1367"/>
      <c r="BJ27" s="1367"/>
    </row>
    <row r="28" spans="2:62" ht="15.95" customHeight="1" x14ac:dyDescent="0.25">
      <c r="B28" s="1204">
        <v>7</v>
      </c>
      <c r="C28" s="881"/>
      <c r="D28" s="894"/>
      <c r="E28" s="895"/>
      <c r="F28" s="1440" t="s">
        <v>560</v>
      </c>
      <c r="G28" s="1441"/>
      <c r="H28" s="881"/>
      <c r="I28" s="894"/>
      <c r="J28" s="895"/>
      <c r="K28" s="880"/>
      <c r="L28" s="880"/>
      <c r="M28" s="880"/>
      <c r="N28" s="1065"/>
      <c r="O28" s="1065"/>
      <c r="P28" s="1066" t="str">
        <f>IF(H28="","",INDEX(CMLIGHTBASE[Base Watt 1],MATCH(H28,CMLIGHTBASE[Base Desc 1],0)))</f>
        <v/>
      </c>
      <c r="Q28" s="1447"/>
      <c r="R28" s="1445" t="str">
        <f t="shared" ref="R28" si="33">IF(ISNUMBER(SEARCH("24/7",F28)),8760, IF(ISNUMBER(SEARCH("Dusk to Dawn", F28)),4380,""))</f>
        <v/>
      </c>
      <c r="S28" s="1446"/>
      <c r="T28" s="1259"/>
      <c r="U28" s="880"/>
      <c r="V28" s="880"/>
      <c r="W28" s="880"/>
      <c r="X28" s="880"/>
      <c r="Y28" s="880"/>
      <c r="Z28" s="880"/>
      <c r="AA28" s="1065"/>
      <c r="AB28" s="1065"/>
      <c r="AC28" s="1066" t="str">
        <f>IF(T28="","",INDEX(CFLEFF[Eff Watt 1],MATCH(T28,CFLEFF[Eff Desc 1],0)))</f>
        <v/>
      </c>
      <c r="AD28" s="1066"/>
      <c r="AE28" s="1451"/>
      <c r="AF28" s="1455"/>
      <c r="AG28" s="1456"/>
      <c r="AH28" s="900"/>
      <c r="AI28" s="900"/>
      <c r="AJ28" s="1457"/>
      <c r="AK28" s="1453" t="str">
        <f t="shared" ref="AK28" si="34">IF(OR(C28="",F28="",K28="",N28="",P28="",R28="",X28="",AA28="",AC28="",AG28="",AI28=""),"",ROUND((AG28+AI28)*AA28,2))</f>
        <v/>
      </c>
      <c r="AL28" s="1454"/>
      <c r="AM28" s="1454"/>
      <c r="AN28" s="1448"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c r="AO28" s="1449"/>
      <c r="AP28" s="1449"/>
      <c r="AQ28" s="1450"/>
      <c r="AR28" s="69"/>
      <c r="AU28" s="1434" t="str">
        <f>IFERROR(IF(OR(C28="",H28="",K28="",N28="",P28="",R28="",T28="",X28="",AA28="",AC28="",AG28="",AI28=""),"",((1+ELOSS)*PEAKTD*(1+INDEX(ELECCB[Capacity Reserve Margin],MATCH(15,ELECCB[Year Number],0)))*((AZ28*INDEX(ELECCB[NPV AEC $/kWh],MATCH(15,ELECCB[Year Number],0)))+(AV28*INDEX(ELECCB[NPV ACC+T&amp;D $/kW],MATCH(15,ELECCB[Year Number],0))))/AK28)),0)</f>
        <v/>
      </c>
      <c r="AV28" s="752" t="str">
        <f>IF(OR(C28="",H28="",K28="",N28="",P28="",R28="",T28="",X28="",AA28="",AC28="",AG28="",AI28=""),"",IF((N28*P28)&lt;=(AA28*AC28),"0",ROUND(AZ28*INDEX(ENDUSEALL[Factor],MATCH(INDEX(CMELIGHT[End Use Category],MATCH(F28,CMELIGHT[Proj Desc 1],0)),ENDUSEALL[End Use to Coincident Peak Demand Factors],0)),4)))</f>
        <v/>
      </c>
      <c r="AW28" s="802" t="str">
        <f t="shared" ref="AW28" si="35">IF(OR(C28="",F28="",H28="",K28="",N28="",P28="",R28="",T28="",X28="",AA28="",AC28="",AG28="",AI28=""),"",IF(ISNUMBER(SEARCH("Incandescent",H28)),(0.24*P28)*R28*N28/1000,IF(ISNUMBER(SEARCH("Halogen",H28)),(0.34*P28)*R28*N28/1000,N28*P28*R28/1000)))</f>
        <v/>
      </c>
      <c r="AX28" s="802" t="str">
        <f t="shared" ref="AX28" si="36">IF(OR(C28="",F28="",H28="",K28="",N28="",P28="",R28="",T28="",X28="",AA28="",AC28="",AG28="",AI28=""),"",AA28*AC28*R28/1000)</f>
        <v/>
      </c>
      <c r="AY28" s="1463" t="str">
        <f>IF(OR(C28="",F28="",H28="",K28="",N28="",P28="",R28="",T28="",X28="",AA28="",AC28="",AG28="",AI28=""),"",CONCATENATE(INDEX(CMLIGHTEFF[Measure Number],MATCH(T28,CMLIGHTEFF[Eff Desc 1],0)),INDEX(CMLIGHTBASE[Measure Number],MATCH(H28,CMLIGHTBASE[Base Desc 1],0))))</f>
        <v/>
      </c>
      <c r="AZ28" s="802" t="str">
        <f>IF(OR(C28="",F28="",H28="",K28="",N28="",P28="",R28="",T28="",X28="",AA28="",AC28="",AG28="",AI28=""),"",ROUND(IF((N28*P28)&lt;=(AA28*AC28),"0",IF(AND(F28="Interior", M02S02F32&lt;&gt;""),INDEX(SPACEHEAT[HIF],MATCH(M02S02F32,SHEAT,0))*(AW28-AX28),IF(AND(ISNUMBER(SEARCH("24/7",F28)),M02S02F32&lt;&gt;""),(AW28-AX28),(AW28-AX28)))),0))</f>
        <v/>
      </c>
      <c r="BA28" s="1464" t="str">
        <f t="shared" ref="BA28" si="37">IF(OR(C28="",F28="",H28="",K28="",N28="",P28="",R28="",T28="",X28="",AA28="",AC28="",AG28="",AI28=""),"",IF((N28*P28)&lt;=(AA28*AC28),"0",ROUND(((N28*P28)-(AA28*AC28))/1000,3)))</f>
        <v/>
      </c>
      <c r="BB28" s="1461" t="str">
        <f>IFERROR(AK28/M02S02F35/AZ28,"")</f>
        <v/>
      </c>
      <c r="BC28" s="1461" t="str">
        <f>IFERROR(IF(OR(T28="CFL"),MEASUREELI,IF((N28*P28)&lt;=(AA28*AC28),MEASURESAVE,IF(M02S02F35="",MEASURERATE,IF(AK28/M02S02F35/AZ28&lt;1,MEASUREPAY,IF(AU28&lt;1,MEASURECB, IF(AND(ISNUMBER(SEARCH("24/7",F28)),R28&lt;8500),"Check Location and Hours",IF(AND(ISNUMBER(SEARCH("Dusk to Dawn",F28)),R28&gt;=8500,R28&lt;=8760),"Check Location and Hours",""))))))),MEASURESUBMIT)</f>
        <v>Submit for Review</v>
      </c>
      <c r="BD28" s="1461">
        <f>IF(ISNUMBER(SEARCH("24/7",H28)),AK28/(AZ28*INDEX(CMLIGHTEFF[Inc Rate Exterior],MATCH(T28,CMLIGHTEFF[Eff Desc 1],0))),0)</f>
        <v>0</v>
      </c>
      <c r="BE28" s="1461">
        <f>IFERROR(IF(ISNUMBER(SEARCH("24/7",H28)),0,AK28/(AZ28*INDEX(CMLIGHTEFF[Inc Rate],MATCH(T28,CMLIGHTEFF[Eff Desc 1],0)))),0)</f>
        <v>0</v>
      </c>
      <c r="BF28" s="1461" t="str">
        <f t="shared" ref="BF28" si="38">IF(AND(ISNUMBER(AN28),OR(AND(BD28&lt;&gt;0,BD28&lt;2),AND(BE28&lt;&gt;0,BE28&lt;2))),"50% Cost","")</f>
        <v/>
      </c>
      <c r="BG28" s="1432">
        <f>IF(M02S02F32&lt;&gt;"",INDEX(SPACEHEAT[HIF],MATCH(M02S02F32,SHEAT,0)),1)</f>
        <v>1</v>
      </c>
      <c r="BH28" s="1367">
        <f t="shared" ref="BH28" si="39">IFERROR(ROUND(BJ28*1.1,2),0)</f>
        <v>0</v>
      </c>
      <c r="BI28" s="1367" t="str">
        <f>IF(M02S02F44="","Update Install Status",IF(M02S02F44="Yes","Not Eligible if Pre-Purchased",IF(M02S02F49="Yes","Use New Load",IF(OR(C28="",F28="",H28="",K28="",N28="",P28="",R28="",T28="",X28="",AA28="",AC28="",AG28="",AI28="",AE28=""),"",IF(BC28&lt;&gt;"",BC28,ROUND(BH28*BONUSADJ,2))))))</f>
        <v>Update Install Status</v>
      </c>
      <c r="BJ28" s="1367" t="str">
        <f>IF(M02S02F44="","Update Install Status",IF(M02S02F44="Yes","Not Eligible if Pre-Purchased",IF(M02S02F49="Yes","Use New Load",IF(OR(C28="",F28="",H28="",K28="",N28="",P28="",R28="",T28="",X28="",AA28="",AC28="",AG28="",AI28="",AE28=""),"",IF(BC28&lt;&gt;"",BC28,IF(OR(F28="Exterior 24/7",F28="Garage 24/7"),ROUND(MIN(AK28*0.5,AZ28*INDEX(CMLIGHTEFF[Inc Rate Exterior],MATCH(T28,CMLIGHTEFF[Eff Desc 1],0))),2),ROUND(MIN(AK28*0.5,AZ28*INDEX(CMLIGHTEFF[Inc Rate],MATCH(T28,CMLIGHTEFF[Eff Desc 1],0))),2)))))))</f>
        <v>Update Install Status</v>
      </c>
    </row>
    <row r="29" spans="2:62" ht="15.95" customHeight="1" x14ac:dyDescent="0.25">
      <c r="B29" s="1204"/>
      <c r="C29" s="896"/>
      <c r="D29" s="897"/>
      <c r="E29" s="898"/>
      <c r="F29" s="1442"/>
      <c r="G29" s="1443"/>
      <c r="H29" s="896"/>
      <c r="I29" s="897"/>
      <c r="J29" s="898"/>
      <c r="K29" s="880"/>
      <c r="L29" s="880"/>
      <c r="M29" s="880"/>
      <c r="N29" s="1065"/>
      <c r="O29" s="1065"/>
      <c r="P29" s="1066"/>
      <c r="Q29" s="1447"/>
      <c r="R29" s="1445"/>
      <c r="S29" s="1446"/>
      <c r="T29" s="1259"/>
      <c r="U29" s="880"/>
      <c r="V29" s="880"/>
      <c r="W29" s="880"/>
      <c r="X29" s="880"/>
      <c r="Y29" s="880"/>
      <c r="Z29" s="880"/>
      <c r="AA29" s="1065"/>
      <c r="AB29" s="1065"/>
      <c r="AC29" s="1066"/>
      <c r="AD29" s="1066"/>
      <c r="AE29" s="1451"/>
      <c r="AF29" s="1455"/>
      <c r="AG29" s="1456"/>
      <c r="AH29" s="900"/>
      <c r="AI29" s="900"/>
      <c r="AJ29" s="1457"/>
      <c r="AK29" s="1453"/>
      <c r="AL29" s="1454"/>
      <c r="AM29" s="1454"/>
      <c r="AN29" s="1448"/>
      <c r="AO29" s="1449"/>
      <c r="AP29" s="1449"/>
      <c r="AQ29" s="1450"/>
      <c r="AR29" s="69"/>
      <c r="AU29" s="1435"/>
      <c r="AV29" s="753"/>
      <c r="AW29" s="803"/>
      <c r="AX29" s="803"/>
      <c r="AY29" s="751"/>
      <c r="AZ29" s="803"/>
      <c r="BA29" s="1465"/>
      <c r="BB29" s="1462"/>
      <c r="BC29" s="1462"/>
      <c r="BD29" s="1462"/>
      <c r="BE29" s="1462"/>
      <c r="BF29" s="1462"/>
      <c r="BG29" s="1433"/>
      <c r="BH29" s="1367"/>
      <c r="BI29" s="1367"/>
      <c r="BJ29" s="1367"/>
    </row>
    <row r="30" spans="2:62" ht="15.95" customHeight="1" x14ac:dyDescent="0.25">
      <c r="B30" s="1204">
        <v>8</v>
      </c>
      <c r="C30" s="1468"/>
      <c r="D30" s="822"/>
      <c r="E30" s="823"/>
      <c r="F30" s="1440" t="s">
        <v>560</v>
      </c>
      <c r="G30" s="1441"/>
      <c r="H30" s="842"/>
      <c r="I30" s="822"/>
      <c r="J30" s="823"/>
      <c r="K30" s="1438"/>
      <c r="L30" s="852"/>
      <c r="M30" s="852"/>
      <c r="N30" s="1070"/>
      <c r="O30" s="1070"/>
      <c r="P30" s="1066" t="str">
        <f>IF(H30="","",INDEX(CMLIGHTBASE[Base Watt 1],MATCH(H30,CMLIGHTBASE[Base Desc 1],0)))</f>
        <v/>
      </c>
      <c r="Q30" s="1447"/>
      <c r="R30" s="1445" t="str">
        <f t="shared" ref="R30" si="40">IF(ISNUMBER(SEARCH("24/7",F30)),8760, IF(ISNUMBER(SEARCH("Dusk to Dawn", F30)),4380,""))</f>
        <v/>
      </c>
      <c r="S30" s="1446"/>
      <c r="T30" s="1228"/>
      <c r="U30" s="852"/>
      <c r="V30" s="852"/>
      <c r="W30" s="852"/>
      <c r="X30" s="1438"/>
      <c r="Y30" s="852"/>
      <c r="Z30" s="852"/>
      <c r="AA30" s="1070"/>
      <c r="AB30" s="1070"/>
      <c r="AC30" s="1066" t="str">
        <f>IF(T30="","",INDEX(CFLEFF[Eff Watt 1],MATCH(T30,CFLEFF[Eff Desc 1],0)))</f>
        <v/>
      </c>
      <c r="AD30" s="1066"/>
      <c r="AE30" s="1451"/>
      <c r="AF30" s="1452"/>
      <c r="AG30" s="1466"/>
      <c r="AH30" s="857"/>
      <c r="AI30" s="857"/>
      <c r="AJ30" s="1467"/>
      <c r="AK30" s="1453" t="str">
        <f t="shared" ref="AK30" si="41">IF(OR(C30="",F30="",K30="",N30="",P30="",R30="",X30="",AA30="",AC30="",AG30="",AI30=""),"",ROUND((AG30+AI30)*AA30,2))</f>
        <v/>
      </c>
      <c r="AL30" s="1454"/>
      <c r="AM30" s="1454"/>
      <c r="AN30" s="1448"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c r="AO30" s="1449"/>
      <c r="AP30" s="1449"/>
      <c r="AQ30" s="1450"/>
      <c r="AR30" s="69"/>
      <c r="AU30" s="1434" t="str">
        <f>IFERROR(IF(OR(C30="",H30="",K30="",N30="",P30="",R30="",T30="",X30="",AA30="",AC30="",AG30="",AI30=""),"",((1+ELOSS)*PEAKTD*(1+INDEX(ELECCB[Capacity Reserve Margin],MATCH(15,ELECCB[Year Number],0)))*((AZ30*INDEX(ELECCB[NPV AEC $/kWh],MATCH(15,ELECCB[Year Number],0)))+(AV30*INDEX(ELECCB[NPV ACC+T&amp;D $/kW],MATCH(15,ELECCB[Year Number],0))))/AK30)),0)</f>
        <v/>
      </c>
      <c r="AV30" s="752" t="str">
        <f>IF(OR(C30="",H30="",K30="",N30="",P30="",R30="",T30="",X30="",AA30="",AC30="",AG30="",AI30=""),"",IF((N30*P30)&lt;=(AA30*AC30),"0",ROUND(AZ30*INDEX(ENDUSEALL[Factor],MATCH(INDEX(CMELIGHT[End Use Category],MATCH(F30,CMELIGHT[Proj Desc 1],0)),ENDUSEALL[End Use to Coincident Peak Demand Factors],0)),4)))</f>
        <v/>
      </c>
      <c r="AW30" s="802" t="str">
        <f t="shared" ref="AW30" si="42">IF(OR(C30="",F30="",H30="",K30="",N30="",P30="",R30="",T30="",X30="",AA30="",AC30="",AG30="",AI30=""),"",IF(ISNUMBER(SEARCH("Incandescent",H30)),(0.24*P30)*R30*N30/1000,IF(ISNUMBER(SEARCH("Halogen",H30)),(0.34*P30)*R30*N30/1000,N30*P30*R30/1000)))</f>
        <v/>
      </c>
      <c r="AX30" s="802" t="str">
        <f t="shared" ref="AX30" si="43">IF(OR(C30="",F30="",H30="",K30="",N30="",P30="",R30="",T30="",X30="",AA30="",AC30="",AG30="",AI30=""),"",AA30*AC30*R30/1000)</f>
        <v/>
      </c>
      <c r="AY30" s="1463" t="str">
        <f>IF(OR(C30="",F30="",H30="",K30="",N30="",P30="",R30="",T30="",X30="",AA30="",AC30="",AG30="",AI30=""),"",CONCATENATE(INDEX(CMLIGHTEFF[Measure Number],MATCH(T30,CMLIGHTEFF[Eff Desc 1],0)),INDEX(CMLIGHTBASE[Measure Number],MATCH(H30,CMLIGHTBASE[Base Desc 1],0))))</f>
        <v/>
      </c>
      <c r="AZ30" s="802" t="str">
        <f>IF(OR(C30="",F30="",H30="",K30="",N30="",P30="",R30="",T30="",X30="",AA30="",AC30="",AG30="",AI30=""),"",ROUND(IF((N30*P30)&lt;=(AA30*AC30),"0",IF(AND(F30="Interior", M02S02F32&lt;&gt;""),INDEX(SPACEHEAT[HIF],MATCH(M02S02F32,SHEAT,0))*(AW30-AX30),IF(AND(ISNUMBER(SEARCH("24/7",F30)),M02S02F32&lt;&gt;""),(AW30-AX30),(AW30-AX30)))),0))</f>
        <v/>
      </c>
      <c r="BA30" s="1464" t="str">
        <f t="shared" ref="BA30" si="44">IF(OR(C30="",F30="",H30="",K30="",N30="",P30="",R30="",T30="",X30="",AA30="",AC30="",AG30="",AI30=""),"",IF((N30*P30)&lt;=(AA30*AC30),"0",ROUND(((N30*P30)-(AA30*AC30))/1000,3)))</f>
        <v/>
      </c>
      <c r="BB30" s="1461" t="str">
        <f>IFERROR(AK30/M02S02F35/AZ30,"")</f>
        <v/>
      </c>
      <c r="BC30" s="1461" t="str">
        <f>IFERROR(IF(OR(T30="CFL"),MEASUREELI,IF((N30*P30)&lt;=(AA30*AC30),MEASURESAVE,IF(M02S02F35="",MEASURERATE,IF(AK30/M02S02F35/AZ30&lt;1,MEASUREPAY,IF(AU30&lt;1,MEASURECB, IF(AND(ISNUMBER(SEARCH("24/7",F30)),R30&lt;8500),"Check Location and Hours",IF(AND(ISNUMBER(SEARCH("Dusk to Dawn",F30)),R30&gt;=8500,R30&lt;=8760),"Check Location and Hours",""))))))),MEASURESUBMIT)</f>
        <v>Submit for Review</v>
      </c>
      <c r="BD30" s="1461">
        <f>IF(ISNUMBER(SEARCH("24/7",H30)),AK30/(AZ30*INDEX(CMLIGHTEFF[Inc Rate Exterior],MATCH(T30,CMLIGHTEFF[Eff Desc 1],0))),0)</f>
        <v>0</v>
      </c>
      <c r="BE30" s="1461">
        <f>IFERROR(IF(ISNUMBER(SEARCH("24/7",H30)),0,AK30/(AZ30*INDEX(CMLIGHTEFF[Inc Rate],MATCH(T30,CMLIGHTEFF[Eff Desc 1],0)))),0)</f>
        <v>0</v>
      </c>
      <c r="BF30" s="1461" t="str">
        <f t="shared" ref="BF30" si="45">IF(AND(ISNUMBER(AN30),OR(AND(BD30&lt;&gt;0,BD30&lt;2),AND(BE30&lt;&gt;0,BE30&lt;2))),"50% Cost","")</f>
        <v/>
      </c>
      <c r="BG30" s="1432">
        <f>IF(M02S02F32&lt;&gt;"",INDEX(SPACEHEAT[HIF],MATCH(M02S02F32,SHEAT,0)),1)</f>
        <v>1</v>
      </c>
      <c r="BH30" s="1367">
        <f t="shared" ref="BH30" si="46">IFERROR(ROUND(BJ30*1.1,2),0)</f>
        <v>0</v>
      </c>
      <c r="BI30" s="1367" t="str">
        <f>IF(M02S02F44="","Update Install Status",IF(M02S02F44="Yes","Not Eligible if Pre-Purchased",IF(M02S02F49="Yes","Use New Load",IF(OR(C30="",F30="",H30="",K30="",N30="",P30="",R30="",T30="",X30="",AA30="",AC30="",AG30="",AI30="",AE30=""),"",IF(BC30&lt;&gt;"",BC30,ROUND(BH30*BONUSADJ,2))))))</f>
        <v>Update Install Status</v>
      </c>
      <c r="BJ30" s="1367" t="str">
        <f>IF(M02S02F44="","Update Install Status",IF(M02S02F44="Yes","Not Eligible if Pre-Purchased",IF(M02S02F49="Yes","Use New Load",IF(OR(C30="",F30="",H30="",K30="",N30="",P30="",R30="",T30="",X30="",AA30="",AC30="",AG30="",AI30="",AE30=""),"",IF(BC30&lt;&gt;"",BC30,IF(OR(F30="Exterior 24/7",F30="Garage 24/7"),ROUND(MIN(AK30*0.5,AZ30*INDEX(CMLIGHTEFF[Inc Rate Exterior],MATCH(T30,CMLIGHTEFF[Eff Desc 1],0))),2),ROUND(MIN(AK30*0.5,AZ30*INDEX(CMLIGHTEFF[Inc Rate],MATCH(T30,CMLIGHTEFF[Eff Desc 1],0))),2)))))))</f>
        <v>Update Install Status</v>
      </c>
    </row>
    <row r="31" spans="2:62" ht="15.95" customHeight="1" x14ac:dyDescent="0.25">
      <c r="B31" s="1204"/>
      <c r="C31" s="824"/>
      <c r="D31" s="825"/>
      <c r="E31" s="826"/>
      <c r="F31" s="1442"/>
      <c r="G31" s="1443"/>
      <c r="H31" s="824"/>
      <c r="I31" s="825"/>
      <c r="J31" s="826"/>
      <c r="K31" s="852"/>
      <c r="L31" s="852"/>
      <c r="M31" s="852"/>
      <c r="N31" s="1070"/>
      <c r="O31" s="1070"/>
      <c r="P31" s="1066"/>
      <c r="Q31" s="1447"/>
      <c r="R31" s="1445"/>
      <c r="S31" s="1446"/>
      <c r="T31" s="1228"/>
      <c r="U31" s="852"/>
      <c r="V31" s="852"/>
      <c r="W31" s="852"/>
      <c r="X31" s="852"/>
      <c r="Y31" s="852"/>
      <c r="Z31" s="852"/>
      <c r="AA31" s="1070"/>
      <c r="AB31" s="1070"/>
      <c r="AC31" s="1066"/>
      <c r="AD31" s="1066"/>
      <c r="AE31" s="1139"/>
      <c r="AF31" s="1452"/>
      <c r="AG31" s="1466"/>
      <c r="AH31" s="857"/>
      <c r="AI31" s="857"/>
      <c r="AJ31" s="1467"/>
      <c r="AK31" s="1453"/>
      <c r="AL31" s="1454"/>
      <c r="AM31" s="1454"/>
      <c r="AN31" s="1448"/>
      <c r="AO31" s="1449"/>
      <c r="AP31" s="1449"/>
      <c r="AQ31" s="1450"/>
      <c r="AR31" s="69"/>
      <c r="AU31" s="1435"/>
      <c r="AV31" s="753"/>
      <c r="AW31" s="803"/>
      <c r="AX31" s="803"/>
      <c r="AY31" s="751"/>
      <c r="AZ31" s="803"/>
      <c r="BA31" s="1465"/>
      <c r="BB31" s="1462"/>
      <c r="BC31" s="1462"/>
      <c r="BD31" s="1462"/>
      <c r="BE31" s="1462"/>
      <c r="BF31" s="1462"/>
      <c r="BG31" s="1433"/>
      <c r="BH31" s="1367"/>
      <c r="BI31" s="1367"/>
      <c r="BJ31" s="1367"/>
    </row>
    <row r="32" spans="2:62" ht="15.95" customHeight="1" x14ac:dyDescent="0.25">
      <c r="B32" s="1204">
        <v>9</v>
      </c>
      <c r="C32" s="1468"/>
      <c r="D32" s="822"/>
      <c r="E32" s="823"/>
      <c r="F32" s="1440" t="s">
        <v>560</v>
      </c>
      <c r="G32" s="1441"/>
      <c r="H32" s="842"/>
      <c r="I32" s="822"/>
      <c r="J32" s="823"/>
      <c r="K32" s="1438"/>
      <c r="L32" s="852"/>
      <c r="M32" s="852"/>
      <c r="N32" s="1070"/>
      <c r="O32" s="1070"/>
      <c r="P32" s="1066" t="str">
        <f>IF(H32="","",INDEX(CMLIGHTBASE[Base Watt 1],MATCH(H32,CMLIGHTBASE[Base Desc 1],0)))</f>
        <v/>
      </c>
      <c r="Q32" s="1447"/>
      <c r="R32" s="1445" t="str">
        <f t="shared" ref="R32" si="47">IF(ISNUMBER(SEARCH("24/7",F32)),8760, IF(ISNUMBER(SEARCH("Dusk to Dawn", F32)),4380,""))</f>
        <v/>
      </c>
      <c r="S32" s="1446"/>
      <c r="T32" s="1228"/>
      <c r="U32" s="852"/>
      <c r="V32" s="852"/>
      <c r="W32" s="852"/>
      <c r="X32" s="1438"/>
      <c r="Y32" s="852"/>
      <c r="Z32" s="852"/>
      <c r="AA32" s="1070"/>
      <c r="AB32" s="1070"/>
      <c r="AC32" s="1066" t="str">
        <f>IF(T32="","",INDEX(CFLEFF[Eff Watt 1],MATCH(T32,CFLEFF[Eff Desc 1],0)))</f>
        <v/>
      </c>
      <c r="AD32" s="1066"/>
      <c r="AE32" s="1451"/>
      <c r="AF32" s="1452"/>
      <c r="AG32" s="1466"/>
      <c r="AH32" s="857"/>
      <c r="AI32" s="857"/>
      <c r="AJ32" s="1467"/>
      <c r="AK32" s="1453" t="str">
        <f t="shared" ref="AK32" si="48">IF(OR(C32="",F32="",K32="",N32="",P32="",R32="",X32="",AA32="",AC32="",AG32="",AI32=""),"",ROUND((AG32+AI32)*AA32,2))</f>
        <v/>
      </c>
      <c r="AL32" s="1454"/>
      <c r="AM32" s="1454"/>
      <c r="AN32" s="1448"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c r="AO32" s="1449"/>
      <c r="AP32" s="1449"/>
      <c r="AQ32" s="1450"/>
      <c r="AR32" s="69"/>
      <c r="AU32" s="1434" t="str">
        <f>IFERROR(IF(OR(C32="",H32="",K32="",N32="",P32="",R32="",T32="",X32="",AA32="",AC32="",AG32="",AI32=""),"",((1+ELOSS)*PEAKTD*(1+INDEX(ELECCB[Capacity Reserve Margin],MATCH(15,ELECCB[Year Number],0)))*((AZ32*INDEX(ELECCB[NPV AEC $/kWh],MATCH(15,ELECCB[Year Number],0)))+(AV32*INDEX(ELECCB[NPV ACC+T&amp;D $/kW],MATCH(15,ELECCB[Year Number],0))))/AK32)),0)</f>
        <v/>
      </c>
      <c r="AV32" s="752" t="str">
        <f>IF(OR(C32="",H32="",K32="",N32="",P32="",R32="",T32="",X32="",AA32="",AC32="",AG32="",AI32=""),"",IF((N32*P32)&lt;=(AA32*AC32),"0",ROUND(AZ32*INDEX(ENDUSEALL[Factor],MATCH(INDEX(CMELIGHT[End Use Category],MATCH(F32,CMELIGHT[Proj Desc 1],0)),ENDUSEALL[End Use to Coincident Peak Demand Factors],0)),4)))</f>
        <v/>
      </c>
      <c r="AW32" s="802" t="str">
        <f t="shared" ref="AW32" si="49">IF(OR(C32="",F32="",H32="",K32="",N32="",P32="",R32="",T32="",X32="",AA32="",AC32="",AG32="",AI32=""),"",IF(ISNUMBER(SEARCH("Incandescent",H32)),(0.24*P32)*R32*N32/1000,IF(ISNUMBER(SEARCH("Halogen",H32)),(0.34*P32)*R32*N32/1000,N32*P32*R32/1000)))</f>
        <v/>
      </c>
      <c r="AX32" s="802" t="str">
        <f t="shared" ref="AX32" si="50">IF(OR(C32="",F32="",H32="",K32="",N32="",P32="",R32="",T32="",X32="",AA32="",AC32="",AG32="",AI32=""),"",AA32*AC32*R32/1000)</f>
        <v/>
      </c>
      <c r="AY32" s="1463" t="str">
        <f>IF(OR(C32="",F32="",H32="",K32="",N32="",P32="",R32="",T32="",X32="",AA32="",AC32="",AG32="",AI32=""),"",CONCATENATE(INDEX(CMLIGHTEFF[Measure Number],MATCH(T32,CMLIGHTEFF[Eff Desc 1],0)),INDEX(CMLIGHTBASE[Measure Number],MATCH(H32,CMLIGHTBASE[Base Desc 1],0))))</f>
        <v/>
      </c>
      <c r="AZ32" s="802" t="str">
        <f>IF(OR(C32="",F32="",H32="",K32="",N32="",P32="",R32="",T32="",X32="",AA32="",AC32="",AG32="",AI32=""),"",ROUND(IF((N32*P32)&lt;=(AA32*AC32),"0",IF(AND(F32="Interior", M02S02F32&lt;&gt;""),INDEX(SPACEHEAT[HIF],MATCH(M02S02F32,SHEAT,0))*(AW32-AX32),IF(AND(ISNUMBER(SEARCH("24/7",F32)),M02S02F32&lt;&gt;""),(AW32-AX32),(AW32-AX32)))),0))</f>
        <v/>
      </c>
      <c r="BA32" s="1464" t="str">
        <f t="shared" ref="BA32" si="51">IF(OR(C32="",F32="",H32="",K32="",N32="",P32="",R32="",T32="",X32="",AA32="",AC32="",AG32="",AI32=""),"",IF((N32*P32)&lt;=(AA32*AC32),"0",ROUND(((N32*P32)-(AA32*AC32))/1000,3)))</f>
        <v/>
      </c>
      <c r="BB32" s="1461" t="str">
        <f>IFERROR(AK32/M02S02F35/AZ32,"")</f>
        <v/>
      </c>
      <c r="BC32" s="1461" t="str">
        <f>IFERROR(IF(OR(T32="CFL"),MEASUREELI,IF((N32*P32)&lt;=(AA32*AC32),MEASURESAVE,IF(M02S02F35="",MEASURERATE,IF(AK32/M02S02F35/AZ32&lt;1,MEASUREPAY,IF(AU32&lt;1,MEASURECB, IF(AND(ISNUMBER(SEARCH("24/7",F32)),R32&lt;8500),"Check Location and Hours",IF(AND(ISNUMBER(SEARCH("Dusk to Dawn",F32)),R32&gt;=8500,R32&lt;=8760),"Check Location and Hours",""))))))),MEASURESUBMIT)</f>
        <v>Submit for Review</v>
      </c>
      <c r="BD32" s="1461">
        <f>IF(ISNUMBER(SEARCH("24/7",H32)),AK32/(AZ32*INDEX(CMLIGHTEFF[Inc Rate Exterior],MATCH(T32,CMLIGHTEFF[Eff Desc 1],0))),0)</f>
        <v>0</v>
      </c>
      <c r="BE32" s="1461">
        <f>IFERROR(IF(ISNUMBER(SEARCH("24/7",H32)),0,AK32/(AZ32*INDEX(CMLIGHTEFF[Inc Rate],MATCH(T32,CMLIGHTEFF[Eff Desc 1],0)))),0)</f>
        <v>0</v>
      </c>
      <c r="BF32" s="1461" t="str">
        <f t="shared" ref="BF32" si="52">IF(AND(ISNUMBER(AN32),OR(AND(BD32&lt;&gt;0,BD32&lt;2),AND(BE32&lt;&gt;0,BE32&lt;2))),"50% Cost","")</f>
        <v/>
      </c>
      <c r="BG32" s="1432">
        <f>IF(M02S02F32&lt;&gt;"",INDEX(SPACEHEAT[HIF],MATCH(M02S02F32,SHEAT,0)),1)</f>
        <v>1</v>
      </c>
      <c r="BH32" s="1367">
        <f t="shared" ref="BH32" si="53">IFERROR(ROUND(BJ32*1.1,2),0)</f>
        <v>0</v>
      </c>
      <c r="BI32" s="1367" t="str">
        <f>IF(M02S02F44="","Update Install Status",IF(M02S02F44="Yes","Not Eligible if Pre-Purchased",IF(M02S02F49="Yes","Use New Load",IF(OR(C32="",F32="",H32="",K32="",N32="",P32="",R32="",T32="",X32="",AA32="",AC32="",AG32="",AI32="",AE32=""),"",IF(BC32&lt;&gt;"",BC32,ROUND(BH32*BONUSADJ,2))))))</f>
        <v>Update Install Status</v>
      </c>
      <c r="BJ32" s="1367" t="str">
        <f>IF(M02S02F44="","Update Install Status",IF(M02S02F44="Yes","Not Eligible if Pre-Purchased",IF(M02S02F49="Yes","Use New Load",IF(OR(C32="",F32="",H32="",K32="",N32="",P32="",R32="",T32="",X32="",AA32="",AC32="",AG32="",AI32="",AE32=""),"",IF(BC32&lt;&gt;"",BC32,IF(OR(F32="Exterior 24/7",F32="Garage 24/7"),ROUND(MIN(AK32*0.5,AZ32*INDEX(CMLIGHTEFF[Inc Rate Exterior],MATCH(T32,CMLIGHTEFF[Eff Desc 1],0))),2),ROUND(MIN(AK32*0.5,AZ32*INDEX(CMLIGHTEFF[Inc Rate],MATCH(T32,CMLIGHTEFF[Eff Desc 1],0))),2)))))))</f>
        <v>Update Install Status</v>
      </c>
    </row>
    <row r="33" spans="2:62" ht="15.95" customHeight="1" x14ac:dyDescent="0.25">
      <c r="B33" s="1204"/>
      <c r="C33" s="824"/>
      <c r="D33" s="825"/>
      <c r="E33" s="826"/>
      <c r="F33" s="1442"/>
      <c r="G33" s="1443"/>
      <c r="H33" s="824"/>
      <c r="I33" s="825"/>
      <c r="J33" s="826"/>
      <c r="K33" s="852"/>
      <c r="L33" s="852"/>
      <c r="M33" s="852"/>
      <c r="N33" s="1070"/>
      <c r="O33" s="1070"/>
      <c r="P33" s="1066"/>
      <c r="Q33" s="1447"/>
      <c r="R33" s="1445"/>
      <c r="S33" s="1446"/>
      <c r="T33" s="1228"/>
      <c r="U33" s="852"/>
      <c r="V33" s="852"/>
      <c r="W33" s="852"/>
      <c r="X33" s="852"/>
      <c r="Y33" s="852"/>
      <c r="Z33" s="852"/>
      <c r="AA33" s="1070"/>
      <c r="AB33" s="1070"/>
      <c r="AC33" s="1066"/>
      <c r="AD33" s="1066"/>
      <c r="AE33" s="1139"/>
      <c r="AF33" s="1452"/>
      <c r="AG33" s="1466"/>
      <c r="AH33" s="857"/>
      <c r="AI33" s="857"/>
      <c r="AJ33" s="1467"/>
      <c r="AK33" s="1453"/>
      <c r="AL33" s="1454"/>
      <c r="AM33" s="1454"/>
      <c r="AN33" s="1448"/>
      <c r="AO33" s="1449"/>
      <c r="AP33" s="1449"/>
      <c r="AQ33" s="1450"/>
      <c r="AR33" s="69"/>
      <c r="AU33" s="1435"/>
      <c r="AV33" s="753"/>
      <c r="AW33" s="803"/>
      <c r="AX33" s="803"/>
      <c r="AY33" s="751"/>
      <c r="AZ33" s="803"/>
      <c r="BA33" s="1465"/>
      <c r="BB33" s="1462"/>
      <c r="BC33" s="1462"/>
      <c r="BD33" s="1462"/>
      <c r="BE33" s="1462"/>
      <c r="BF33" s="1462"/>
      <c r="BG33" s="1433"/>
      <c r="BH33" s="1367"/>
      <c r="BI33" s="1367"/>
      <c r="BJ33" s="1367"/>
    </row>
    <row r="34" spans="2:62" ht="15.95" customHeight="1" x14ac:dyDescent="0.25">
      <c r="B34" s="1204">
        <v>10</v>
      </c>
      <c r="C34" s="1468"/>
      <c r="D34" s="822"/>
      <c r="E34" s="823"/>
      <c r="F34" s="1440" t="s">
        <v>560</v>
      </c>
      <c r="G34" s="1441"/>
      <c r="H34" s="842"/>
      <c r="I34" s="822"/>
      <c r="J34" s="823"/>
      <c r="K34" s="1438"/>
      <c r="L34" s="852"/>
      <c r="M34" s="852"/>
      <c r="N34" s="1070"/>
      <c r="O34" s="1070"/>
      <c r="P34" s="1066" t="str">
        <f>IF(H34="","",INDEX(CMLIGHTBASE[Base Watt 1],MATCH(H34,CMLIGHTBASE[Base Desc 1],0)))</f>
        <v/>
      </c>
      <c r="Q34" s="1447"/>
      <c r="R34" s="1445" t="str">
        <f t="shared" ref="R34" si="54">IF(ISNUMBER(SEARCH("24/7",F34)),8760, IF(ISNUMBER(SEARCH("Dusk to Dawn", F34)),4380,""))</f>
        <v/>
      </c>
      <c r="S34" s="1446"/>
      <c r="T34" s="1228"/>
      <c r="U34" s="852"/>
      <c r="V34" s="852"/>
      <c r="W34" s="852"/>
      <c r="X34" s="1438"/>
      <c r="Y34" s="852"/>
      <c r="Z34" s="852"/>
      <c r="AA34" s="1070"/>
      <c r="AB34" s="1070"/>
      <c r="AC34" s="1066" t="str">
        <f>IF(T34="","",INDEX(CFLEFF[Eff Watt 1],MATCH(T34,CFLEFF[Eff Desc 1],0)))</f>
        <v/>
      </c>
      <c r="AD34" s="1066"/>
      <c r="AE34" s="1451"/>
      <c r="AF34" s="1452"/>
      <c r="AG34" s="1466"/>
      <c r="AH34" s="857"/>
      <c r="AI34" s="857"/>
      <c r="AJ34" s="1467"/>
      <c r="AK34" s="1453" t="str">
        <f t="shared" ref="AK34" si="55">IF(OR(C34="",F34="",K34="",N34="",P34="",R34="",X34="",AA34="",AC34="",AG34="",AI34=""),"",ROUND((AG34+AI34)*AA34,2))</f>
        <v/>
      </c>
      <c r="AL34" s="1454"/>
      <c r="AM34" s="1454"/>
      <c r="AN34" s="1448"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c r="AO34" s="1449"/>
      <c r="AP34" s="1449"/>
      <c r="AQ34" s="1450"/>
      <c r="AR34" s="69"/>
      <c r="AU34" s="1434" t="str">
        <f>IFERROR(IF(OR(C34="",H34="",K34="",N34="",P34="",R34="",T34="",X34="",AA34="",AC34="",AG34="",AI34=""),"",((1+ELOSS)*PEAKTD*(1+INDEX(ELECCB[Capacity Reserve Margin],MATCH(15,ELECCB[Year Number],0)))*((AZ34*INDEX(ELECCB[NPV AEC $/kWh],MATCH(15,ELECCB[Year Number],0)))+(AV34*INDEX(ELECCB[NPV ACC+T&amp;D $/kW],MATCH(15,ELECCB[Year Number],0))))/AK34)),0)</f>
        <v/>
      </c>
      <c r="AV34" s="752" t="str">
        <f>IF(OR(C34="",H34="",K34="",N34="",P34="",R34="",T34="",X34="",AA34="",AC34="",AG34="",AI34=""),"",IF((N34*P34)&lt;=(AA34*AC34),"0",ROUND(AZ34*INDEX(ENDUSEALL[Factor],MATCH(INDEX(CMELIGHT[End Use Category],MATCH(F34,CMELIGHT[Proj Desc 1],0)),ENDUSEALL[End Use to Coincident Peak Demand Factors],0)),4)))</f>
        <v/>
      </c>
      <c r="AW34" s="802" t="str">
        <f t="shared" ref="AW34" si="56">IF(OR(C34="",F34="",H34="",K34="",N34="",P34="",R34="",T34="",X34="",AA34="",AC34="",AG34="",AI34=""),"",IF(ISNUMBER(SEARCH("Incandescent",H34)),(0.24*P34)*R34*N34/1000,IF(ISNUMBER(SEARCH("Halogen",H34)),(0.34*P34)*R34*N34/1000,N34*P34*R34/1000)))</f>
        <v/>
      </c>
      <c r="AX34" s="802" t="str">
        <f t="shared" ref="AX34" si="57">IF(OR(C34="",F34="",H34="",K34="",N34="",P34="",R34="",T34="",X34="",AA34="",AC34="",AG34="",AI34=""),"",AA34*AC34*R34/1000)</f>
        <v/>
      </c>
      <c r="AY34" s="1463" t="str">
        <f>IF(OR(C34="",F34="",H34="",K34="",N34="",P34="",R34="",T34="",X34="",AA34="",AC34="",AG34="",AI34=""),"",CONCATENATE(INDEX(CMLIGHTEFF[Measure Number],MATCH(T34,CMLIGHTEFF[Eff Desc 1],0)),INDEX(CMLIGHTBASE[Measure Number],MATCH(H34,CMLIGHTBASE[Base Desc 1],0))))</f>
        <v/>
      </c>
      <c r="AZ34" s="802" t="str">
        <f>IF(OR(C34="",F34="",H34="",K34="",N34="",P34="",R34="",T34="",X34="",AA34="",AC34="",AG34="",AI34=""),"",ROUND(IF((N34*P34)&lt;=(AA34*AC34),"0",IF(AND(F34="Interior", M02S02F32&lt;&gt;""),INDEX(SPACEHEAT[HIF],MATCH(M02S02F32,SHEAT,0))*(AW34-AX34),IF(AND(ISNUMBER(SEARCH("24/7",F34)),M02S02F32&lt;&gt;""),(AW34-AX34),(AW34-AX34)))),0))</f>
        <v/>
      </c>
      <c r="BA34" s="1464" t="str">
        <f t="shared" ref="BA34" si="58">IF(OR(C34="",F34="",H34="",K34="",N34="",P34="",R34="",T34="",X34="",AA34="",AC34="",AG34="",AI34=""),"",IF((N34*P34)&lt;=(AA34*AC34),"0",ROUND(((N34*P34)-(AA34*AC34))/1000,3)))</f>
        <v/>
      </c>
      <c r="BB34" s="1461" t="str">
        <f>IFERROR(AK34/M02S02F35/AZ34,"")</f>
        <v/>
      </c>
      <c r="BC34" s="1461" t="str">
        <f>IFERROR(IF(OR(T34="CFL"),MEASUREELI,IF((N34*P34)&lt;=(AA34*AC34),MEASURESAVE,IF(M02S02F35="",MEASURERATE,IF(AK34/M02S02F35/AZ34&lt;1,MEASUREPAY,IF(AU34&lt;1,MEASURECB, IF(AND(ISNUMBER(SEARCH("24/7",F34)),R34&lt;8500),"Check Location and Hours",IF(AND(ISNUMBER(SEARCH("Dusk to Dawn",F34)),R34&gt;=8500,R34&lt;=8760),"Check Location and Hours",""))))))),MEASURESUBMIT)</f>
        <v>Submit for Review</v>
      </c>
      <c r="BD34" s="1461">
        <f>IF(ISNUMBER(SEARCH("24/7",H34)),AK34/(AZ34*INDEX(CMLIGHTEFF[Inc Rate Exterior],MATCH(T34,CMLIGHTEFF[Eff Desc 1],0))),0)</f>
        <v>0</v>
      </c>
      <c r="BE34" s="1461">
        <f>IFERROR(IF(ISNUMBER(SEARCH("24/7",H34)),0,AK34/(AZ34*INDEX(CMLIGHTEFF[Inc Rate],MATCH(T34,CMLIGHTEFF[Eff Desc 1],0)))),0)</f>
        <v>0</v>
      </c>
      <c r="BF34" s="1461" t="str">
        <f t="shared" ref="BF34" si="59">IF(AND(ISNUMBER(AN34),OR(AND(BD34&lt;&gt;0,BD34&lt;2),AND(BE34&lt;&gt;0,BE34&lt;2))),"50% Cost","")</f>
        <v/>
      </c>
      <c r="BG34" s="1432">
        <f>IF(M02S02F32&lt;&gt;"",INDEX(SPACEHEAT[HIF],MATCH(M02S02F32,SHEAT,0)),1)</f>
        <v>1</v>
      </c>
      <c r="BH34" s="1367">
        <f t="shared" ref="BH34" si="60">IFERROR(ROUND(BJ34*1.1,2),0)</f>
        <v>0</v>
      </c>
      <c r="BI34" s="1367" t="str">
        <f>IF(M02S02F44="","Update Install Status",IF(M02S02F44="Yes","Not Eligible if Pre-Purchased",IF(M02S02F49="Yes","Use New Load",IF(OR(C34="",F34="",H34="",K34="",N34="",P34="",R34="",T34="",X34="",AA34="",AC34="",AG34="",AI34="",AE34=""),"",IF(BC34&lt;&gt;"",BC34,ROUND(BH34*BONUSADJ,2))))))</f>
        <v>Update Install Status</v>
      </c>
      <c r="BJ34" s="1367" t="str">
        <f>IF(M02S02F44="","Update Install Status",IF(M02S02F44="Yes","Not Eligible if Pre-Purchased",IF(M02S02F49="Yes","Use New Load",IF(OR(C34="",F34="",H34="",K34="",N34="",P34="",R34="",T34="",X34="",AA34="",AC34="",AG34="",AI34="",AE34=""),"",IF(BC34&lt;&gt;"",BC34,IF(OR(F34="Exterior 24/7",F34="Garage 24/7"),ROUND(MIN(AK34*0.5,AZ34*INDEX(CMLIGHTEFF[Inc Rate Exterior],MATCH(T34,CMLIGHTEFF[Eff Desc 1],0))),2),ROUND(MIN(AK34*0.5,AZ34*INDEX(CMLIGHTEFF[Inc Rate],MATCH(T34,CMLIGHTEFF[Eff Desc 1],0))),2)))))))</f>
        <v>Update Install Status</v>
      </c>
    </row>
    <row r="35" spans="2:62" ht="15.95" customHeight="1" x14ac:dyDescent="0.25">
      <c r="B35" s="1204"/>
      <c r="C35" s="824"/>
      <c r="D35" s="825"/>
      <c r="E35" s="826"/>
      <c r="F35" s="1442"/>
      <c r="G35" s="1443"/>
      <c r="H35" s="824"/>
      <c r="I35" s="825"/>
      <c r="J35" s="826"/>
      <c r="K35" s="852"/>
      <c r="L35" s="852"/>
      <c r="M35" s="852"/>
      <c r="N35" s="1070"/>
      <c r="O35" s="1070"/>
      <c r="P35" s="1066"/>
      <c r="Q35" s="1447"/>
      <c r="R35" s="1445"/>
      <c r="S35" s="1446"/>
      <c r="T35" s="1228"/>
      <c r="U35" s="852"/>
      <c r="V35" s="852"/>
      <c r="W35" s="852"/>
      <c r="X35" s="852"/>
      <c r="Y35" s="852"/>
      <c r="Z35" s="852"/>
      <c r="AA35" s="1070"/>
      <c r="AB35" s="1070"/>
      <c r="AC35" s="1066"/>
      <c r="AD35" s="1066"/>
      <c r="AE35" s="1139"/>
      <c r="AF35" s="1452"/>
      <c r="AG35" s="1466"/>
      <c r="AH35" s="857"/>
      <c r="AI35" s="857"/>
      <c r="AJ35" s="1467"/>
      <c r="AK35" s="1453"/>
      <c r="AL35" s="1454"/>
      <c r="AM35" s="1454"/>
      <c r="AN35" s="1448"/>
      <c r="AO35" s="1449"/>
      <c r="AP35" s="1449"/>
      <c r="AQ35" s="1450"/>
      <c r="AR35" s="69"/>
      <c r="AU35" s="1435"/>
      <c r="AV35" s="753"/>
      <c r="AW35" s="803"/>
      <c r="AX35" s="803"/>
      <c r="AY35" s="751"/>
      <c r="AZ35" s="803"/>
      <c r="BA35" s="1465"/>
      <c r="BB35" s="1462"/>
      <c r="BC35" s="1462"/>
      <c r="BD35" s="1462"/>
      <c r="BE35" s="1462"/>
      <c r="BF35" s="1462"/>
      <c r="BG35" s="1433"/>
      <c r="BH35" s="1367"/>
      <c r="BI35" s="1367"/>
      <c r="BJ35" s="1367"/>
    </row>
    <row r="36" spans="2:62" ht="15.95" customHeight="1" x14ac:dyDescent="0.25">
      <c r="B36" s="1204">
        <v>11</v>
      </c>
      <c r="C36" s="1468"/>
      <c r="D36" s="822"/>
      <c r="E36" s="823"/>
      <c r="F36" s="1440" t="s">
        <v>560</v>
      </c>
      <c r="G36" s="1441"/>
      <c r="H36" s="842"/>
      <c r="I36" s="822"/>
      <c r="J36" s="823"/>
      <c r="K36" s="1438"/>
      <c r="L36" s="852"/>
      <c r="M36" s="852"/>
      <c r="N36" s="1070"/>
      <c r="O36" s="1070"/>
      <c r="P36" s="1066" t="str">
        <f>IF(H36="","",INDEX(CMLIGHTBASE[Base Watt 1],MATCH(H36,CMLIGHTBASE[Base Desc 1],0)))</f>
        <v/>
      </c>
      <c r="Q36" s="1447"/>
      <c r="R36" s="1445" t="str">
        <f t="shared" ref="R36" si="61">IF(ISNUMBER(SEARCH("24/7",F36)),8760, IF(ISNUMBER(SEARCH("Dusk to Dawn", F36)),4380,""))</f>
        <v/>
      </c>
      <c r="S36" s="1446"/>
      <c r="T36" s="1228"/>
      <c r="U36" s="852"/>
      <c r="V36" s="852"/>
      <c r="W36" s="852"/>
      <c r="X36" s="1438"/>
      <c r="Y36" s="852"/>
      <c r="Z36" s="852"/>
      <c r="AA36" s="1070"/>
      <c r="AB36" s="1070"/>
      <c r="AC36" s="1066" t="str">
        <f>IF(T36="","",INDEX(CFLEFF[Eff Watt 1],MATCH(T36,CFLEFF[Eff Desc 1],0)))</f>
        <v/>
      </c>
      <c r="AD36" s="1066"/>
      <c r="AE36" s="1451"/>
      <c r="AF36" s="1452"/>
      <c r="AG36" s="1466"/>
      <c r="AH36" s="857"/>
      <c r="AI36" s="857"/>
      <c r="AJ36" s="1467"/>
      <c r="AK36" s="1453" t="str">
        <f t="shared" ref="AK36" si="62">IF(OR(C36="",F36="",K36="",N36="",P36="",R36="",X36="",AA36="",AC36="",AG36="",AI36=""),"",ROUND((AG36+AI36)*AA36,2))</f>
        <v/>
      </c>
      <c r="AL36" s="1454"/>
      <c r="AM36" s="1454"/>
      <c r="AN36" s="1448"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c r="AO36" s="1449"/>
      <c r="AP36" s="1449"/>
      <c r="AQ36" s="1450"/>
      <c r="AR36" s="69"/>
      <c r="AU36" s="1434" t="str">
        <f>IFERROR(IF(OR(C36="",H36="",K36="",N36="",P36="",R36="",T36="",X36="",AA36="",AC36="",AG36="",AI36=""),"",((1+ELOSS)*PEAKTD*(1+INDEX(ELECCB[Capacity Reserve Margin],MATCH(15,ELECCB[Year Number],0)))*((AZ36*INDEX(ELECCB[NPV AEC $/kWh],MATCH(15,ELECCB[Year Number],0)))+(AV36*INDEX(ELECCB[NPV ACC+T&amp;D $/kW],MATCH(15,ELECCB[Year Number],0))))/AK36)),0)</f>
        <v/>
      </c>
      <c r="AV36" s="752" t="str">
        <f>IF(OR(C36="",H36="",K36="",N36="",P36="",R36="",T36="",X36="",AA36="",AC36="",AG36="",AI36=""),"",IF((N36*P36)&lt;=(AA36*AC36),"0",ROUND(AZ36*INDEX(ENDUSEALL[Factor],MATCH(INDEX(CMELIGHT[End Use Category],MATCH(F36,CMELIGHT[Proj Desc 1],0)),ENDUSEALL[End Use to Coincident Peak Demand Factors],0)),4)))</f>
        <v/>
      </c>
      <c r="AW36" s="802" t="str">
        <f t="shared" ref="AW36" si="63">IF(OR(C36="",F36="",H36="",K36="",N36="",P36="",R36="",T36="",X36="",AA36="",AC36="",AG36="",AI36=""),"",IF(ISNUMBER(SEARCH("Incandescent",H36)),(0.24*P36)*R36*N36/1000,IF(ISNUMBER(SEARCH("Halogen",H36)),(0.34*P36)*R36*N36/1000,N36*P36*R36/1000)))</f>
        <v/>
      </c>
      <c r="AX36" s="802" t="str">
        <f t="shared" ref="AX36" si="64">IF(OR(C36="",F36="",H36="",K36="",N36="",P36="",R36="",T36="",X36="",AA36="",AC36="",AG36="",AI36=""),"",AA36*AC36*R36/1000)</f>
        <v/>
      </c>
      <c r="AY36" s="1463" t="str">
        <f>IF(OR(C36="",F36="",H36="",K36="",N36="",P36="",R36="",T36="",X36="",AA36="",AC36="",AG36="",AI36=""),"",CONCATENATE(INDEX(CMLIGHTEFF[Measure Number],MATCH(T36,CMLIGHTEFF[Eff Desc 1],0)),INDEX(CMLIGHTBASE[Measure Number],MATCH(H36,CMLIGHTBASE[Base Desc 1],0))))</f>
        <v/>
      </c>
      <c r="AZ36" s="802" t="str">
        <f>IF(OR(C36="",F36="",H36="",K36="",N36="",P36="",R36="",T36="",X36="",AA36="",AC36="",AG36="",AI36=""),"",ROUND(IF((N36*P36)&lt;=(AA36*AC36),"0",IF(AND(F36="Interior", M02S02F32&lt;&gt;""),INDEX(SPACEHEAT[HIF],MATCH(M02S02F32,SHEAT,0))*(AW36-AX36),IF(AND(ISNUMBER(SEARCH("24/7",F36)),M02S02F32&lt;&gt;""),(AW36-AX36),(AW36-AX36)))),0))</f>
        <v/>
      </c>
      <c r="BA36" s="1464" t="str">
        <f t="shared" ref="BA36" si="65">IF(OR(C36="",F36="",H36="",K36="",N36="",P36="",R36="",T36="",X36="",AA36="",AC36="",AG36="",AI36=""),"",IF((N36*P36)&lt;=(AA36*AC36),"0",ROUND(((N36*P36)-(AA36*AC36))/1000,3)))</f>
        <v/>
      </c>
      <c r="BB36" s="1461" t="str">
        <f>IFERROR(AK36/M02S02F35/AZ36,"")</f>
        <v/>
      </c>
      <c r="BC36" s="1461" t="str">
        <f>IFERROR(IF(OR(T36="CFL"),MEASUREELI,IF((N36*P36)&lt;=(AA36*AC36),MEASURESAVE,IF(M02S02F35="",MEASURERATE,IF(AK36/M02S02F35/AZ36&lt;1,MEASUREPAY,IF(AU36&lt;1,MEASURECB, IF(AND(ISNUMBER(SEARCH("24/7",F36)),R36&lt;8500),"Check Location and Hours",IF(AND(ISNUMBER(SEARCH("Dusk to Dawn",F36)),R36&gt;=8500,R36&lt;=8760),"Check Location and Hours",""))))))),MEASURESUBMIT)</f>
        <v>Submit for Review</v>
      </c>
      <c r="BD36" s="1461">
        <f>IF(ISNUMBER(SEARCH("24/7",H36)),AK36/(AZ36*INDEX(CMLIGHTEFF[Inc Rate Exterior],MATCH(T36,CMLIGHTEFF[Eff Desc 1],0))),0)</f>
        <v>0</v>
      </c>
      <c r="BE36" s="1461">
        <f>IFERROR(IF(ISNUMBER(SEARCH("24/7",H36)),0,AK36/(AZ36*INDEX(CMLIGHTEFF[Inc Rate],MATCH(T36,CMLIGHTEFF[Eff Desc 1],0)))),0)</f>
        <v>0</v>
      </c>
      <c r="BF36" s="1461" t="str">
        <f t="shared" ref="BF36" si="66">IF(AND(ISNUMBER(AN36),OR(AND(BD36&lt;&gt;0,BD36&lt;2),AND(BE36&lt;&gt;0,BE36&lt;2))),"50% Cost","")</f>
        <v/>
      </c>
      <c r="BG36" s="1432">
        <f>IF(M02S02F32&lt;&gt;"",INDEX(SPACEHEAT[HIF],MATCH(M02S02F32,SHEAT,0)),1)</f>
        <v>1</v>
      </c>
      <c r="BH36" s="1367">
        <f t="shared" ref="BH36" si="67">IFERROR(ROUND(BJ36*1.1,2),0)</f>
        <v>0</v>
      </c>
      <c r="BI36" s="1367" t="str">
        <f>IF(M02S02F44="","Update Install Status",IF(M02S02F44="Yes","Not Eligible if Pre-Purchased",IF(M02S02F49="Yes","Use New Load",IF(OR(C36="",F36="",H36="",K36="",N36="",P36="",R36="",T36="",X36="",AA36="",AC36="",AG36="",AI36="",AE36=""),"",IF(BC36&lt;&gt;"",BC36,ROUND(BH36*BONUSADJ,2))))))</f>
        <v>Update Install Status</v>
      </c>
      <c r="BJ36" s="1367" t="str">
        <f>IF(M02S02F44="","Update Install Status",IF(M02S02F44="Yes","Not Eligible if Pre-Purchased",IF(M02S02F49="Yes","Use New Load",IF(OR(C36="",F36="",H36="",K36="",N36="",P36="",R36="",T36="",X36="",AA36="",AC36="",AG36="",AI36="",AE36=""),"",IF(BC36&lt;&gt;"",BC36,IF(OR(F36="Exterior 24/7",F36="Garage 24/7"),ROUND(MIN(AK36*0.5,AZ36*INDEX(CMLIGHTEFF[Inc Rate Exterior],MATCH(T36,CMLIGHTEFF[Eff Desc 1],0))),2),ROUND(MIN(AK36*0.5,AZ36*INDEX(CMLIGHTEFF[Inc Rate],MATCH(T36,CMLIGHTEFF[Eff Desc 1],0))),2)))))))</f>
        <v>Update Install Status</v>
      </c>
    </row>
    <row r="37" spans="2:62" ht="15.95" customHeight="1" x14ac:dyDescent="0.25">
      <c r="B37" s="1204"/>
      <c r="C37" s="824"/>
      <c r="D37" s="825"/>
      <c r="E37" s="826"/>
      <c r="F37" s="1442"/>
      <c r="G37" s="1443"/>
      <c r="H37" s="824"/>
      <c r="I37" s="825"/>
      <c r="J37" s="826"/>
      <c r="K37" s="852"/>
      <c r="L37" s="852"/>
      <c r="M37" s="852"/>
      <c r="N37" s="1070"/>
      <c r="O37" s="1070"/>
      <c r="P37" s="1066"/>
      <c r="Q37" s="1447"/>
      <c r="R37" s="1445"/>
      <c r="S37" s="1446"/>
      <c r="T37" s="1228"/>
      <c r="U37" s="852"/>
      <c r="V37" s="852"/>
      <c r="W37" s="852"/>
      <c r="X37" s="852"/>
      <c r="Y37" s="852"/>
      <c r="Z37" s="852"/>
      <c r="AA37" s="1070"/>
      <c r="AB37" s="1070"/>
      <c r="AC37" s="1066"/>
      <c r="AD37" s="1066"/>
      <c r="AE37" s="1139"/>
      <c r="AF37" s="1452"/>
      <c r="AG37" s="1466"/>
      <c r="AH37" s="857"/>
      <c r="AI37" s="857"/>
      <c r="AJ37" s="1467"/>
      <c r="AK37" s="1453"/>
      <c r="AL37" s="1454"/>
      <c r="AM37" s="1454"/>
      <c r="AN37" s="1448"/>
      <c r="AO37" s="1449"/>
      <c r="AP37" s="1449"/>
      <c r="AQ37" s="1450"/>
      <c r="AR37" s="69"/>
      <c r="AU37" s="1435"/>
      <c r="AV37" s="753"/>
      <c r="AW37" s="803"/>
      <c r="AX37" s="803"/>
      <c r="AY37" s="751"/>
      <c r="AZ37" s="803"/>
      <c r="BA37" s="1465"/>
      <c r="BB37" s="1462"/>
      <c r="BC37" s="1462"/>
      <c r="BD37" s="1462"/>
      <c r="BE37" s="1462"/>
      <c r="BF37" s="1462"/>
      <c r="BG37" s="1433"/>
      <c r="BH37" s="1367"/>
      <c r="BI37" s="1367"/>
      <c r="BJ37" s="1367"/>
    </row>
    <row r="38" spans="2:62" ht="15.95" customHeight="1" x14ac:dyDescent="0.25">
      <c r="B38" s="1204">
        <v>12</v>
      </c>
      <c r="C38" s="1468"/>
      <c r="D38" s="822"/>
      <c r="E38" s="823"/>
      <c r="F38" s="1440" t="s">
        <v>560</v>
      </c>
      <c r="G38" s="1441"/>
      <c r="H38" s="842"/>
      <c r="I38" s="822"/>
      <c r="J38" s="823"/>
      <c r="K38" s="1438"/>
      <c r="L38" s="852"/>
      <c r="M38" s="852"/>
      <c r="N38" s="1070"/>
      <c r="O38" s="1070"/>
      <c r="P38" s="1066" t="str">
        <f>IF(H38="","",INDEX(CMLIGHTBASE[Base Watt 1],MATCH(H38,CMLIGHTBASE[Base Desc 1],0)))</f>
        <v/>
      </c>
      <c r="Q38" s="1447"/>
      <c r="R38" s="1445" t="str">
        <f t="shared" ref="R38" si="68">IF(ISNUMBER(SEARCH("24/7",F38)),8760, IF(ISNUMBER(SEARCH("Dusk to Dawn", F38)),4380,""))</f>
        <v/>
      </c>
      <c r="S38" s="1446"/>
      <c r="T38" s="1228"/>
      <c r="U38" s="852"/>
      <c r="V38" s="852"/>
      <c r="W38" s="852"/>
      <c r="X38" s="1438"/>
      <c r="Y38" s="852"/>
      <c r="Z38" s="852"/>
      <c r="AA38" s="1070"/>
      <c r="AB38" s="1070"/>
      <c r="AC38" s="1066" t="str">
        <f>IF(T38="","",INDEX(CFLEFF[Eff Watt 1],MATCH(T38,CFLEFF[Eff Desc 1],0)))</f>
        <v/>
      </c>
      <c r="AD38" s="1066"/>
      <c r="AE38" s="1451"/>
      <c r="AF38" s="1452"/>
      <c r="AG38" s="1466"/>
      <c r="AH38" s="857"/>
      <c r="AI38" s="857"/>
      <c r="AJ38" s="1467"/>
      <c r="AK38" s="1453" t="str">
        <f t="shared" ref="AK38" si="69">IF(OR(C38="",F38="",K38="",N38="",P38="",R38="",X38="",AA38="",AC38="",AG38="",AI38=""),"",ROUND((AG38+AI38)*AA38,2))</f>
        <v/>
      </c>
      <c r="AL38" s="1454"/>
      <c r="AM38" s="1454"/>
      <c r="AN38" s="1448"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c r="AO38" s="1449"/>
      <c r="AP38" s="1449"/>
      <c r="AQ38" s="1450"/>
      <c r="AR38" s="69"/>
      <c r="AU38" s="1434" t="str">
        <f>IFERROR(IF(OR(C38="",H38="",K38="",N38="",P38="",R38="",T38="",X38="",AA38="",AC38="",AG38="",AI38=""),"",((1+ELOSS)*PEAKTD*(1+INDEX(ELECCB[Capacity Reserve Margin],MATCH(15,ELECCB[Year Number],0)))*((AZ38*INDEX(ELECCB[NPV AEC $/kWh],MATCH(15,ELECCB[Year Number],0)))+(AV38*INDEX(ELECCB[NPV ACC+T&amp;D $/kW],MATCH(15,ELECCB[Year Number],0))))/AK38)),0)</f>
        <v/>
      </c>
      <c r="AV38" s="752" t="str">
        <f>IF(OR(C38="",H38="",K38="",N38="",P38="",R38="",T38="",X38="",AA38="",AC38="",AG38="",AI38=""),"",IF((N38*P38)&lt;=(AA38*AC38),"0",ROUND(AZ38*INDEX(ENDUSEALL[Factor],MATCH(INDEX(CMELIGHT[End Use Category],MATCH(F38,CMELIGHT[Proj Desc 1],0)),ENDUSEALL[End Use to Coincident Peak Demand Factors],0)),4)))</f>
        <v/>
      </c>
      <c r="AW38" s="802" t="str">
        <f t="shared" ref="AW38" si="70">IF(OR(C38="",F38="",H38="",K38="",N38="",P38="",R38="",T38="",X38="",AA38="",AC38="",AG38="",AI38=""),"",IF(ISNUMBER(SEARCH("Incandescent",H38)),(0.24*P38)*R38*N38/1000,IF(ISNUMBER(SEARCH("Halogen",H38)),(0.34*P38)*R38*N38/1000,N38*P38*R38/1000)))</f>
        <v/>
      </c>
      <c r="AX38" s="802" t="str">
        <f t="shared" ref="AX38" si="71">IF(OR(C38="",F38="",H38="",K38="",N38="",P38="",R38="",T38="",X38="",AA38="",AC38="",AG38="",AI38=""),"",AA38*AC38*R38/1000)</f>
        <v/>
      </c>
      <c r="AY38" s="1463" t="str">
        <f>IF(OR(C38="",F38="",H38="",K38="",N38="",P38="",R38="",T38="",X38="",AA38="",AC38="",AG38="",AI38=""),"",CONCATENATE(INDEX(CMLIGHTEFF[Measure Number],MATCH(T38,CMLIGHTEFF[Eff Desc 1],0)),INDEX(CMLIGHTBASE[Measure Number],MATCH(H38,CMLIGHTBASE[Base Desc 1],0))))</f>
        <v/>
      </c>
      <c r="AZ38" s="802" t="str">
        <f>IF(OR(C38="",F38="",H38="",K38="",N38="",P38="",R38="",T38="",X38="",AA38="",AC38="",AG38="",AI38=""),"",ROUND(IF((N38*P38)&lt;=(AA38*AC38),"0",IF(AND(F38="Interior", M02S02F32&lt;&gt;""),INDEX(SPACEHEAT[HIF],MATCH(M02S02F32,SHEAT,0))*(AW38-AX38),IF(AND(ISNUMBER(SEARCH("24/7",F38)),M02S02F32&lt;&gt;""),(AW38-AX38),(AW38-AX38)))),0))</f>
        <v/>
      </c>
      <c r="BA38" s="1464" t="str">
        <f t="shared" ref="BA38" si="72">IF(OR(C38="",F38="",H38="",K38="",N38="",P38="",R38="",T38="",X38="",AA38="",AC38="",AG38="",AI38=""),"",IF((N38*P38)&lt;=(AA38*AC38),"0",ROUND(((N38*P38)-(AA38*AC38))/1000,3)))</f>
        <v/>
      </c>
      <c r="BB38" s="1461" t="str">
        <f>IFERROR(AK38/M02S02F35/AZ38,"")</f>
        <v/>
      </c>
      <c r="BC38" s="1461" t="str">
        <f>IFERROR(IF(OR(T38="CFL"),MEASUREELI,IF((N38*P38)&lt;=(AA38*AC38),MEASURESAVE,IF(M02S02F35="",MEASURERATE,IF(AK38/M02S02F35/AZ38&lt;1,MEASUREPAY,IF(AU38&lt;1,MEASURECB, IF(AND(ISNUMBER(SEARCH("24/7",F38)),R38&lt;8500),"Check Location and Hours",IF(AND(ISNUMBER(SEARCH("Dusk to Dawn",F38)),R38&gt;=8500,R38&lt;=8760),"Check Location and Hours",""))))))),MEASURESUBMIT)</f>
        <v>Submit for Review</v>
      </c>
      <c r="BD38" s="1461">
        <f>IF(ISNUMBER(SEARCH("24/7",H38)),AK38/(AZ38*INDEX(CMLIGHTEFF[Inc Rate Exterior],MATCH(T38,CMLIGHTEFF[Eff Desc 1],0))),0)</f>
        <v>0</v>
      </c>
      <c r="BE38" s="1461">
        <f>IFERROR(IF(ISNUMBER(SEARCH("24/7",H38)),0,AK38/(AZ38*INDEX(CMLIGHTEFF[Inc Rate],MATCH(T38,CMLIGHTEFF[Eff Desc 1],0)))),0)</f>
        <v>0</v>
      </c>
      <c r="BF38" s="1461" t="str">
        <f t="shared" ref="BF38" si="73">IF(AND(ISNUMBER(AN38),OR(AND(BD38&lt;&gt;0,BD38&lt;2),AND(BE38&lt;&gt;0,BE38&lt;2))),"50% Cost","")</f>
        <v/>
      </c>
      <c r="BG38" s="1432">
        <f>IF(M02S02F32&lt;&gt;"",INDEX(SPACEHEAT[HIF],MATCH(M02S02F32,SHEAT,0)),1)</f>
        <v>1</v>
      </c>
      <c r="BH38" s="1367">
        <f t="shared" ref="BH38" si="74">IFERROR(ROUND(BJ38*1.1,2),0)</f>
        <v>0</v>
      </c>
      <c r="BI38" s="1367" t="str">
        <f>IF(M02S02F44="","Update Install Status",IF(M02S02F44="Yes","Not Eligible if Pre-Purchased",IF(M02S02F49="Yes","Use New Load",IF(OR(C38="",F38="",H38="",K38="",N38="",P38="",R38="",T38="",X38="",AA38="",AC38="",AG38="",AI38="",AE38=""),"",IF(BC38&lt;&gt;"",BC38,ROUND(BH38*BONUSADJ,2))))))</f>
        <v>Update Install Status</v>
      </c>
      <c r="BJ38" s="1367" t="str">
        <f>IF(M02S02F44="","Update Install Status",IF(M02S02F44="Yes","Not Eligible if Pre-Purchased",IF(M02S02F49="Yes","Use New Load",IF(OR(C38="",F38="",H38="",K38="",N38="",P38="",R38="",T38="",X38="",AA38="",AC38="",AG38="",AI38="",AE38=""),"",IF(BC38&lt;&gt;"",BC38,IF(OR(F38="Exterior 24/7",F38="Garage 24/7"),ROUND(MIN(AK38*0.5,AZ38*INDEX(CMLIGHTEFF[Inc Rate Exterior],MATCH(T38,CMLIGHTEFF[Eff Desc 1],0))),2),ROUND(MIN(AK38*0.5,AZ38*INDEX(CMLIGHTEFF[Inc Rate],MATCH(T38,CMLIGHTEFF[Eff Desc 1],0))),2)))))))</f>
        <v>Update Install Status</v>
      </c>
    </row>
    <row r="39" spans="2:62" ht="15.95" customHeight="1" x14ac:dyDescent="0.25">
      <c r="B39" s="1204"/>
      <c r="C39" s="824"/>
      <c r="D39" s="825"/>
      <c r="E39" s="826"/>
      <c r="F39" s="1442"/>
      <c r="G39" s="1443"/>
      <c r="H39" s="824"/>
      <c r="I39" s="825"/>
      <c r="J39" s="826"/>
      <c r="K39" s="852"/>
      <c r="L39" s="852"/>
      <c r="M39" s="852"/>
      <c r="N39" s="1070"/>
      <c r="O39" s="1070"/>
      <c r="P39" s="1066"/>
      <c r="Q39" s="1447"/>
      <c r="R39" s="1445"/>
      <c r="S39" s="1446"/>
      <c r="T39" s="1228"/>
      <c r="U39" s="852"/>
      <c r="V39" s="852"/>
      <c r="W39" s="852"/>
      <c r="X39" s="852"/>
      <c r="Y39" s="852"/>
      <c r="Z39" s="852"/>
      <c r="AA39" s="1070"/>
      <c r="AB39" s="1070"/>
      <c r="AC39" s="1066"/>
      <c r="AD39" s="1066"/>
      <c r="AE39" s="1139"/>
      <c r="AF39" s="1452"/>
      <c r="AG39" s="1466"/>
      <c r="AH39" s="857"/>
      <c r="AI39" s="857"/>
      <c r="AJ39" s="1467"/>
      <c r="AK39" s="1453"/>
      <c r="AL39" s="1454"/>
      <c r="AM39" s="1454"/>
      <c r="AN39" s="1448"/>
      <c r="AO39" s="1449"/>
      <c r="AP39" s="1449"/>
      <c r="AQ39" s="1450"/>
      <c r="AR39" s="69"/>
      <c r="AU39" s="1435"/>
      <c r="AV39" s="753"/>
      <c r="AW39" s="803"/>
      <c r="AX39" s="803"/>
      <c r="AY39" s="751"/>
      <c r="AZ39" s="803"/>
      <c r="BA39" s="1465"/>
      <c r="BB39" s="1462"/>
      <c r="BC39" s="1462"/>
      <c r="BD39" s="1462"/>
      <c r="BE39" s="1462"/>
      <c r="BF39" s="1462"/>
      <c r="BG39" s="1433"/>
      <c r="BH39" s="1367"/>
      <c r="BI39" s="1367"/>
      <c r="BJ39" s="1367"/>
    </row>
    <row r="40" spans="2:62" ht="15.95" customHeight="1" x14ac:dyDescent="0.25">
      <c r="B40" s="1204">
        <v>13</v>
      </c>
      <c r="C40" s="1468"/>
      <c r="D40" s="822"/>
      <c r="E40" s="823"/>
      <c r="F40" s="1440" t="s">
        <v>560</v>
      </c>
      <c r="G40" s="1441"/>
      <c r="H40" s="842"/>
      <c r="I40" s="822"/>
      <c r="J40" s="823"/>
      <c r="K40" s="1438"/>
      <c r="L40" s="852"/>
      <c r="M40" s="852"/>
      <c r="N40" s="1070"/>
      <c r="O40" s="1070"/>
      <c r="P40" s="1066" t="str">
        <f>IF(H40="","",INDEX(CMLIGHTBASE[Base Watt 1],MATCH(H40,CMLIGHTBASE[Base Desc 1],0)))</f>
        <v/>
      </c>
      <c r="Q40" s="1447"/>
      <c r="R40" s="1445" t="str">
        <f t="shared" ref="R40" si="75">IF(ISNUMBER(SEARCH("24/7",F40)),8760, IF(ISNUMBER(SEARCH("Dusk to Dawn", F40)),4380,""))</f>
        <v/>
      </c>
      <c r="S40" s="1446"/>
      <c r="T40" s="1228"/>
      <c r="U40" s="852"/>
      <c r="V40" s="852"/>
      <c r="W40" s="852"/>
      <c r="X40" s="1438"/>
      <c r="Y40" s="852"/>
      <c r="Z40" s="852"/>
      <c r="AA40" s="1070"/>
      <c r="AB40" s="1070"/>
      <c r="AC40" s="1066" t="str">
        <f>IF(T40="","",INDEX(CFLEFF[Eff Watt 1],MATCH(T40,CFLEFF[Eff Desc 1],0)))</f>
        <v/>
      </c>
      <c r="AD40" s="1066"/>
      <c r="AE40" s="1451"/>
      <c r="AF40" s="1452"/>
      <c r="AG40" s="1466"/>
      <c r="AH40" s="857"/>
      <c r="AI40" s="857"/>
      <c r="AJ40" s="1467"/>
      <c r="AK40" s="1453" t="str">
        <f t="shared" ref="AK40" si="76">IF(OR(C40="",F40="",K40="",N40="",P40="",R40="",X40="",AA40="",AC40="",AG40="",AI40=""),"",ROUND((AG40+AI40)*AA40,2))</f>
        <v/>
      </c>
      <c r="AL40" s="1454"/>
      <c r="AM40" s="1454"/>
      <c r="AN40" s="1448"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c r="AO40" s="1449"/>
      <c r="AP40" s="1449"/>
      <c r="AQ40" s="1450"/>
      <c r="AR40" s="69"/>
      <c r="AU40" s="1434" t="str">
        <f>IFERROR(IF(OR(C40="",H40="",K40="",N40="",P40="",R40="",T40="",X40="",AA40="",AC40="",AG40="",AI40=""),"",((1+ELOSS)*PEAKTD*(1+INDEX(ELECCB[Capacity Reserve Margin],MATCH(15,ELECCB[Year Number],0)))*((AZ40*INDEX(ELECCB[NPV AEC $/kWh],MATCH(15,ELECCB[Year Number],0)))+(AV40*INDEX(ELECCB[NPV ACC+T&amp;D $/kW],MATCH(15,ELECCB[Year Number],0))))/AK40)),0)</f>
        <v/>
      </c>
      <c r="AV40" s="752" t="str">
        <f>IF(OR(C40="",H40="",K40="",N40="",P40="",R40="",T40="",X40="",AA40="",AC40="",AG40="",AI40=""),"",IF((N40*P40)&lt;=(AA40*AC40),"0",ROUND(AZ40*INDEX(ENDUSEALL[Factor],MATCH(INDEX(CMELIGHT[End Use Category],MATCH(F40,CMELIGHT[Proj Desc 1],0)),ENDUSEALL[End Use to Coincident Peak Demand Factors],0)),4)))</f>
        <v/>
      </c>
      <c r="AW40" s="802" t="str">
        <f t="shared" ref="AW40" si="77">IF(OR(C40="",F40="",H40="",K40="",N40="",P40="",R40="",T40="",X40="",AA40="",AC40="",AG40="",AI40=""),"",IF(ISNUMBER(SEARCH("Incandescent",H40)),(0.24*P40)*R40*N40/1000,IF(ISNUMBER(SEARCH("Halogen",H40)),(0.34*P40)*R40*N40/1000,N40*P40*R40/1000)))</f>
        <v/>
      </c>
      <c r="AX40" s="802" t="str">
        <f t="shared" ref="AX40" si="78">IF(OR(C40="",F40="",H40="",K40="",N40="",P40="",R40="",T40="",X40="",AA40="",AC40="",AG40="",AI40=""),"",AA40*AC40*R40/1000)</f>
        <v/>
      </c>
      <c r="AY40" s="1463" t="str">
        <f>IF(OR(C40="",F40="",H40="",K40="",N40="",P40="",R40="",T40="",X40="",AA40="",AC40="",AG40="",AI40=""),"",CONCATENATE(INDEX(CMLIGHTEFF[Measure Number],MATCH(T40,CMLIGHTEFF[Eff Desc 1],0)),INDEX(CMLIGHTBASE[Measure Number],MATCH(H40,CMLIGHTBASE[Base Desc 1],0))))</f>
        <v/>
      </c>
      <c r="AZ40" s="802" t="str">
        <f>IF(OR(C40="",F40="",H40="",K40="",N40="",P40="",R40="",T40="",X40="",AA40="",AC40="",AG40="",AI40=""),"",ROUND(IF((N40*P40)&lt;=(AA40*AC40),"0",IF(AND(F40="Interior", M02S02F32&lt;&gt;""),INDEX(SPACEHEAT[HIF],MATCH(M02S02F32,SHEAT,0))*(AW40-AX40),IF(AND(ISNUMBER(SEARCH("24/7",F40)),M02S02F32&lt;&gt;""),(AW40-AX40),(AW40-AX40)))),0))</f>
        <v/>
      </c>
      <c r="BA40" s="1464" t="str">
        <f t="shared" ref="BA40" si="79">IF(OR(C40="",F40="",H40="",K40="",N40="",P40="",R40="",T40="",X40="",AA40="",AC40="",AG40="",AI40=""),"",IF((N40*P40)&lt;=(AA40*AC40),"0",ROUND(((N40*P40)-(AA40*AC40))/1000,3)))</f>
        <v/>
      </c>
      <c r="BB40" s="1461" t="str">
        <f>IFERROR(AK40/M02S02F35/AZ40,"")</f>
        <v/>
      </c>
      <c r="BC40" s="1461" t="str">
        <f>IFERROR(IF(OR(T40="CFL"),MEASUREELI,IF((N40*P40)&lt;=(AA40*AC40),MEASURESAVE,IF(M02S02F35="",MEASURERATE,IF(AK40/M02S02F35/AZ40&lt;1,MEASUREPAY,IF(AU40&lt;1,MEASURECB, IF(AND(ISNUMBER(SEARCH("24/7",F40)),R40&lt;8500),"Check Location and Hours",IF(AND(ISNUMBER(SEARCH("Dusk to Dawn",F40)),R40&gt;=8500,R40&lt;=8760),"Check Location and Hours",""))))))),MEASURESUBMIT)</f>
        <v>Submit for Review</v>
      </c>
      <c r="BD40" s="1461">
        <f>IF(ISNUMBER(SEARCH("24/7",H40)),AK40/(AZ40*INDEX(CMLIGHTEFF[Inc Rate Exterior],MATCH(T40,CMLIGHTEFF[Eff Desc 1],0))),0)</f>
        <v>0</v>
      </c>
      <c r="BE40" s="1461">
        <f>IFERROR(IF(ISNUMBER(SEARCH("24/7",H40)),0,AK40/(AZ40*INDEX(CMLIGHTEFF[Inc Rate],MATCH(T40,CMLIGHTEFF[Eff Desc 1],0)))),0)</f>
        <v>0</v>
      </c>
      <c r="BF40" s="1461" t="str">
        <f t="shared" ref="BF40" si="80">IF(AND(ISNUMBER(AN40),OR(AND(BD40&lt;&gt;0,BD40&lt;2),AND(BE40&lt;&gt;0,BE40&lt;2))),"50% Cost","")</f>
        <v/>
      </c>
      <c r="BG40" s="1432">
        <f>IF(M02S02F32&lt;&gt;"",INDEX(SPACEHEAT[HIF],MATCH(M02S02F32,SHEAT,0)),1)</f>
        <v>1</v>
      </c>
      <c r="BH40" s="1367">
        <f t="shared" ref="BH40" si="81">IFERROR(ROUND(BJ40*1.1,2),0)</f>
        <v>0</v>
      </c>
      <c r="BI40" s="1367" t="str">
        <f>IF(M02S02F44="","Update Install Status",IF(M02S02F44="Yes","Not Eligible if Pre-Purchased",IF(M02S02F49="Yes","Use New Load",IF(OR(C40="",F40="",H40="",K40="",N40="",P40="",R40="",T40="",X40="",AA40="",AC40="",AG40="",AI40="",AE40=""),"",IF(BC40&lt;&gt;"",BC40,ROUND(BH40*BONUSADJ,2))))))</f>
        <v>Update Install Status</v>
      </c>
      <c r="BJ40" s="1367" t="str">
        <f>IF(M02S02F44="","Update Install Status",IF(M02S02F44="Yes","Not Eligible if Pre-Purchased",IF(M02S02F49="Yes","Use New Load",IF(OR(C40="",F40="",H40="",K40="",N40="",P40="",R40="",T40="",X40="",AA40="",AC40="",AG40="",AI40="",AE40=""),"",IF(BC40&lt;&gt;"",BC40,IF(OR(F40="Exterior 24/7",F40="Garage 24/7"),ROUND(MIN(AK40*0.5,AZ40*INDEX(CMLIGHTEFF[Inc Rate Exterior],MATCH(T40,CMLIGHTEFF[Eff Desc 1],0))),2),ROUND(MIN(AK40*0.5,AZ40*INDEX(CMLIGHTEFF[Inc Rate],MATCH(T40,CMLIGHTEFF[Eff Desc 1],0))),2)))))))</f>
        <v>Update Install Status</v>
      </c>
    </row>
    <row r="41" spans="2:62" ht="15.95" customHeight="1" x14ac:dyDescent="0.25">
      <c r="B41" s="1204"/>
      <c r="C41" s="824"/>
      <c r="D41" s="825"/>
      <c r="E41" s="826"/>
      <c r="F41" s="1442"/>
      <c r="G41" s="1443"/>
      <c r="H41" s="824"/>
      <c r="I41" s="825"/>
      <c r="J41" s="826"/>
      <c r="K41" s="852"/>
      <c r="L41" s="852"/>
      <c r="M41" s="852"/>
      <c r="N41" s="1070"/>
      <c r="O41" s="1070"/>
      <c r="P41" s="1066"/>
      <c r="Q41" s="1447"/>
      <c r="R41" s="1445"/>
      <c r="S41" s="1446"/>
      <c r="T41" s="1228"/>
      <c r="U41" s="852"/>
      <c r="V41" s="852"/>
      <c r="W41" s="852"/>
      <c r="X41" s="852"/>
      <c r="Y41" s="852"/>
      <c r="Z41" s="852"/>
      <c r="AA41" s="1070"/>
      <c r="AB41" s="1070"/>
      <c r="AC41" s="1066"/>
      <c r="AD41" s="1066"/>
      <c r="AE41" s="1139"/>
      <c r="AF41" s="1452"/>
      <c r="AG41" s="1466"/>
      <c r="AH41" s="857"/>
      <c r="AI41" s="857"/>
      <c r="AJ41" s="1467"/>
      <c r="AK41" s="1453"/>
      <c r="AL41" s="1454"/>
      <c r="AM41" s="1454"/>
      <c r="AN41" s="1448"/>
      <c r="AO41" s="1449"/>
      <c r="AP41" s="1449"/>
      <c r="AQ41" s="1450"/>
      <c r="AR41" s="69"/>
      <c r="AU41" s="1435"/>
      <c r="AV41" s="753"/>
      <c r="AW41" s="803"/>
      <c r="AX41" s="803"/>
      <c r="AY41" s="751"/>
      <c r="AZ41" s="803"/>
      <c r="BA41" s="1465"/>
      <c r="BB41" s="1462"/>
      <c r="BC41" s="1462"/>
      <c r="BD41" s="1462"/>
      <c r="BE41" s="1462"/>
      <c r="BF41" s="1462"/>
      <c r="BG41" s="1433"/>
      <c r="BH41" s="1367"/>
      <c r="BI41" s="1367"/>
      <c r="BJ41" s="1367"/>
    </row>
    <row r="42" spans="2:62" ht="15.95" customHeight="1" x14ac:dyDescent="0.25">
      <c r="B42" s="1204">
        <v>14</v>
      </c>
      <c r="C42" s="1468"/>
      <c r="D42" s="822"/>
      <c r="E42" s="823"/>
      <c r="F42" s="1440" t="s">
        <v>560</v>
      </c>
      <c r="G42" s="1441"/>
      <c r="H42" s="842"/>
      <c r="I42" s="822"/>
      <c r="J42" s="823"/>
      <c r="K42" s="1438"/>
      <c r="L42" s="852"/>
      <c r="M42" s="852"/>
      <c r="N42" s="1070"/>
      <c r="O42" s="1070"/>
      <c r="P42" s="1066" t="str">
        <f>IF(H42="","",INDEX(CMLIGHTBASE[Base Watt 1],MATCH(H42,CMLIGHTBASE[Base Desc 1],0)))</f>
        <v/>
      </c>
      <c r="Q42" s="1447"/>
      <c r="R42" s="1445" t="str">
        <f t="shared" ref="R42" si="82">IF(ISNUMBER(SEARCH("24/7",F42)),8760, IF(ISNUMBER(SEARCH("Dusk to Dawn", F42)),4380,""))</f>
        <v/>
      </c>
      <c r="S42" s="1446"/>
      <c r="T42" s="1228"/>
      <c r="U42" s="852"/>
      <c r="V42" s="852"/>
      <c r="W42" s="852"/>
      <c r="X42" s="1438"/>
      <c r="Y42" s="852"/>
      <c r="Z42" s="852"/>
      <c r="AA42" s="1070"/>
      <c r="AB42" s="1070"/>
      <c r="AC42" s="1066" t="str">
        <f>IF(T42="","",INDEX(CFLEFF[Eff Watt 1],MATCH(T42,CFLEFF[Eff Desc 1],0)))</f>
        <v/>
      </c>
      <c r="AD42" s="1066"/>
      <c r="AE42" s="1451"/>
      <c r="AF42" s="1452"/>
      <c r="AG42" s="1466"/>
      <c r="AH42" s="857"/>
      <c r="AI42" s="857"/>
      <c r="AJ42" s="1467"/>
      <c r="AK42" s="1453" t="str">
        <f t="shared" ref="AK42" si="83">IF(OR(C42="",F42="",K42="",N42="",P42="",R42="",X42="",AA42="",AC42="",AG42="",AI42=""),"",ROUND((AG42+AI42)*AA42,2))</f>
        <v/>
      </c>
      <c r="AL42" s="1454"/>
      <c r="AM42" s="1454"/>
      <c r="AN42" s="1448"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c r="AO42" s="1449"/>
      <c r="AP42" s="1449"/>
      <c r="AQ42" s="1450"/>
      <c r="AR42" s="69"/>
      <c r="AU42" s="1434" t="str">
        <f>IFERROR(IF(OR(C42="",H42="",K42="",N42="",P42="",R42="",T42="",X42="",AA42="",AC42="",AG42="",AI42=""),"",((1+ELOSS)*PEAKTD*(1+INDEX(ELECCB[Capacity Reserve Margin],MATCH(15,ELECCB[Year Number],0)))*((AZ42*INDEX(ELECCB[NPV AEC $/kWh],MATCH(15,ELECCB[Year Number],0)))+(AV42*INDEX(ELECCB[NPV ACC+T&amp;D $/kW],MATCH(15,ELECCB[Year Number],0))))/AK42)),0)</f>
        <v/>
      </c>
      <c r="AV42" s="752" t="str">
        <f>IF(OR(C42="",H42="",K42="",N42="",P42="",R42="",T42="",X42="",AA42="",AC42="",AG42="",AI42=""),"",IF((N42*P42)&lt;=(AA42*AC42),"0",ROUND(AZ42*INDEX(ENDUSEALL[Factor],MATCH(INDEX(CMELIGHT[End Use Category],MATCH(F42,CMELIGHT[Proj Desc 1],0)),ENDUSEALL[End Use to Coincident Peak Demand Factors],0)),4)))</f>
        <v/>
      </c>
      <c r="AW42" s="802" t="str">
        <f t="shared" ref="AW42" si="84">IF(OR(C42="",F42="",H42="",K42="",N42="",P42="",R42="",T42="",X42="",AA42="",AC42="",AG42="",AI42=""),"",IF(ISNUMBER(SEARCH("Incandescent",H42)),(0.24*P42)*R42*N42/1000,IF(ISNUMBER(SEARCH("Halogen",H42)),(0.34*P42)*R42*N42/1000,N42*P42*R42/1000)))</f>
        <v/>
      </c>
      <c r="AX42" s="802" t="str">
        <f t="shared" ref="AX42" si="85">IF(OR(C42="",F42="",H42="",K42="",N42="",P42="",R42="",T42="",X42="",AA42="",AC42="",AG42="",AI42=""),"",AA42*AC42*R42/1000)</f>
        <v/>
      </c>
      <c r="AY42" s="1463" t="str">
        <f>IF(OR(C42="",F42="",H42="",K42="",N42="",P42="",R42="",T42="",X42="",AA42="",AC42="",AG42="",AI42=""),"",CONCATENATE(INDEX(CMLIGHTEFF[Measure Number],MATCH(T42,CMLIGHTEFF[Eff Desc 1],0)),INDEX(CMLIGHTBASE[Measure Number],MATCH(H42,CMLIGHTBASE[Base Desc 1],0))))</f>
        <v/>
      </c>
      <c r="AZ42" s="802" t="str">
        <f>IF(OR(C42="",F42="",H42="",K42="",N42="",P42="",R42="",T42="",X42="",AA42="",AC42="",AG42="",AI42=""),"",ROUND(IF((N42*P42)&lt;=(AA42*AC42),"0",IF(AND(F42="Interior", M02S02F32&lt;&gt;""),INDEX(SPACEHEAT[HIF],MATCH(M02S02F32,SHEAT,0))*(AW42-AX42),IF(AND(ISNUMBER(SEARCH("24/7",F42)),M02S02F32&lt;&gt;""),(AW42-AX42),(AW42-AX42)))),0))</f>
        <v/>
      </c>
      <c r="BA42" s="1464" t="str">
        <f t="shared" ref="BA42" si="86">IF(OR(C42="",F42="",H42="",K42="",N42="",P42="",R42="",T42="",X42="",AA42="",AC42="",AG42="",AI42=""),"",IF((N42*P42)&lt;=(AA42*AC42),"0",ROUND(((N42*P42)-(AA42*AC42))/1000,3)))</f>
        <v/>
      </c>
      <c r="BB42" s="1461" t="str">
        <f>IFERROR(AK42/M02S02F35/AZ42,"")</f>
        <v/>
      </c>
      <c r="BC42" s="1461" t="str">
        <f>IFERROR(IF(OR(T42="CFL"),MEASUREELI,IF((N42*P42)&lt;=(AA42*AC42),MEASURESAVE,IF(M02S02F35="",MEASURERATE,IF(AK42/M02S02F35/AZ42&lt;1,MEASUREPAY,IF(AU42&lt;1,MEASURECB, IF(AND(ISNUMBER(SEARCH("24/7",F42)),R42&lt;8500),"Check Location and Hours",IF(AND(ISNUMBER(SEARCH("Dusk to Dawn",F42)),R42&gt;=8500,R42&lt;=8760),"Check Location and Hours",""))))))),MEASURESUBMIT)</f>
        <v>Submit for Review</v>
      </c>
      <c r="BD42" s="1461">
        <f>IF(ISNUMBER(SEARCH("24/7",H42)),AK42/(AZ42*INDEX(CMLIGHTEFF[Inc Rate Exterior],MATCH(T42,CMLIGHTEFF[Eff Desc 1],0))),0)</f>
        <v>0</v>
      </c>
      <c r="BE42" s="1461">
        <f>IFERROR(IF(ISNUMBER(SEARCH("24/7",H42)),0,AK42/(AZ42*INDEX(CMLIGHTEFF[Inc Rate],MATCH(T42,CMLIGHTEFF[Eff Desc 1],0)))),0)</f>
        <v>0</v>
      </c>
      <c r="BF42" s="1461" t="str">
        <f t="shared" ref="BF42" si="87">IF(AND(ISNUMBER(AN42),OR(AND(BD42&lt;&gt;0,BD42&lt;2),AND(BE42&lt;&gt;0,BE42&lt;2))),"50% Cost","")</f>
        <v/>
      </c>
      <c r="BG42" s="1432">
        <f>IF(M02S02F32&lt;&gt;"",INDEX(SPACEHEAT[HIF],MATCH(M02S02F32,SHEAT,0)),1)</f>
        <v>1</v>
      </c>
      <c r="BH42" s="1367">
        <f t="shared" ref="BH42" si="88">IFERROR(ROUND(BJ42*1.1,2),0)</f>
        <v>0</v>
      </c>
      <c r="BI42" s="1367" t="str">
        <f>IF(M02S02F44="","Update Install Status",IF(M02S02F44="Yes","Not Eligible if Pre-Purchased",IF(M02S02F49="Yes","Use New Load",IF(OR(C42="",F42="",H42="",K42="",N42="",P42="",R42="",T42="",X42="",AA42="",AC42="",AG42="",AI42="",AE42=""),"",IF(BC42&lt;&gt;"",BC42,ROUND(BH42*BONUSADJ,2))))))</f>
        <v>Update Install Status</v>
      </c>
      <c r="BJ42" s="1367" t="str">
        <f>IF(M02S02F44="","Update Install Status",IF(M02S02F44="Yes","Not Eligible if Pre-Purchased",IF(M02S02F49="Yes","Use New Load",IF(OR(C42="",F42="",H42="",K42="",N42="",P42="",R42="",T42="",X42="",AA42="",AC42="",AG42="",AI42="",AE42=""),"",IF(BC42&lt;&gt;"",BC42,IF(OR(F42="Exterior 24/7",F42="Garage 24/7"),ROUND(MIN(AK42*0.5,AZ42*INDEX(CMLIGHTEFF[Inc Rate Exterior],MATCH(T42,CMLIGHTEFF[Eff Desc 1],0))),2),ROUND(MIN(AK42*0.5,AZ42*INDEX(CMLIGHTEFF[Inc Rate],MATCH(T42,CMLIGHTEFF[Eff Desc 1],0))),2)))))))</f>
        <v>Update Install Status</v>
      </c>
    </row>
    <row r="43" spans="2:62" ht="15.95" customHeight="1" x14ac:dyDescent="0.25">
      <c r="B43" s="1204"/>
      <c r="C43" s="824"/>
      <c r="D43" s="825"/>
      <c r="E43" s="826"/>
      <c r="F43" s="1442"/>
      <c r="G43" s="1443"/>
      <c r="H43" s="824"/>
      <c r="I43" s="825"/>
      <c r="J43" s="826"/>
      <c r="K43" s="852"/>
      <c r="L43" s="852"/>
      <c r="M43" s="852"/>
      <c r="N43" s="1070"/>
      <c r="O43" s="1070"/>
      <c r="P43" s="1066"/>
      <c r="Q43" s="1447"/>
      <c r="R43" s="1445"/>
      <c r="S43" s="1446"/>
      <c r="T43" s="1228"/>
      <c r="U43" s="852"/>
      <c r="V43" s="852"/>
      <c r="W43" s="852"/>
      <c r="X43" s="852"/>
      <c r="Y43" s="852"/>
      <c r="Z43" s="852"/>
      <c r="AA43" s="1070"/>
      <c r="AB43" s="1070"/>
      <c r="AC43" s="1066"/>
      <c r="AD43" s="1066"/>
      <c r="AE43" s="1139"/>
      <c r="AF43" s="1452"/>
      <c r="AG43" s="1466"/>
      <c r="AH43" s="857"/>
      <c r="AI43" s="857"/>
      <c r="AJ43" s="1467"/>
      <c r="AK43" s="1453"/>
      <c r="AL43" s="1454"/>
      <c r="AM43" s="1454"/>
      <c r="AN43" s="1448"/>
      <c r="AO43" s="1449"/>
      <c r="AP43" s="1449"/>
      <c r="AQ43" s="1450"/>
      <c r="AR43" s="69"/>
      <c r="AU43" s="1435"/>
      <c r="AV43" s="753"/>
      <c r="AW43" s="803"/>
      <c r="AX43" s="803"/>
      <c r="AY43" s="751"/>
      <c r="AZ43" s="803"/>
      <c r="BA43" s="1465"/>
      <c r="BB43" s="1462"/>
      <c r="BC43" s="1462"/>
      <c r="BD43" s="1462"/>
      <c r="BE43" s="1462"/>
      <c r="BF43" s="1462"/>
      <c r="BG43" s="1433"/>
      <c r="BH43" s="1367"/>
      <c r="BI43" s="1367"/>
      <c r="BJ43" s="1367"/>
    </row>
    <row r="44" spans="2:62" ht="15.95" customHeight="1" x14ac:dyDescent="0.25">
      <c r="B44" s="1204">
        <v>15</v>
      </c>
      <c r="C44" s="1468"/>
      <c r="D44" s="822"/>
      <c r="E44" s="823"/>
      <c r="F44" s="1440" t="s">
        <v>560</v>
      </c>
      <c r="G44" s="1441"/>
      <c r="H44" s="842"/>
      <c r="I44" s="822"/>
      <c r="J44" s="823"/>
      <c r="K44" s="1438"/>
      <c r="L44" s="852"/>
      <c r="M44" s="852"/>
      <c r="N44" s="1070"/>
      <c r="O44" s="1070"/>
      <c r="P44" s="1066" t="str">
        <f>IF(H44="","",INDEX(CMLIGHTBASE[Base Watt 1],MATCH(H44,CMLIGHTBASE[Base Desc 1],0)))</f>
        <v/>
      </c>
      <c r="Q44" s="1447"/>
      <c r="R44" s="1445" t="str">
        <f t="shared" ref="R44" si="89">IF(ISNUMBER(SEARCH("24/7",F44)),8760, IF(ISNUMBER(SEARCH("Dusk to Dawn", F44)),4380,""))</f>
        <v/>
      </c>
      <c r="S44" s="1446"/>
      <c r="T44" s="1228"/>
      <c r="U44" s="852"/>
      <c r="V44" s="852"/>
      <c r="W44" s="852"/>
      <c r="X44" s="1438"/>
      <c r="Y44" s="852"/>
      <c r="Z44" s="852"/>
      <c r="AA44" s="1070"/>
      <c r="AB44" s="1070"/>
      <c r="AC44" s="1066" t="str">
        <f>IF(T44="","",INDEX(CFLEFF[Eff Watt 1],MATCH(T44,CFLEFF[Eff Desc 1],0)))</f>
        <v/>
      </c>
      <c r="AD44" s="1066"/>
      <c r="AE44" s="1451"/>
      <c r="AF44" s="1452"/>
      <c r="AG44" s="1466"/>
      <c r="AH44" s="857"/>
      <c r="AI44" s="857"/>
      <c r="AJ44" s="1467"/>
      <c r="AK44" s="1453" t="str">
        <f t="shared" ref="AK44" si="90">IF(OR(C44="",F44="",K44="",N44="",P44="",R44="",X44="",AA44="",AC44="",AG44="",AI44=""),"",ROUND((AG44+AI44)*AA44,2))</f>
        <v/>
      </c>
      <c r="AL44" s="1454"/>
      <c r="AM44" s="1454"/>
      <c r="AN44" s="1448"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c r="AO44" s="1449"/>
      <c r="AP44" s="1449"/>
      <c r="AQ44" s="1450"/>
      <c r="AR44" s="69"/>
      <c r="AU44" s="1434" t="str">
        <f>IFERROR(IF(OR(C44="",H44="",K44="",N44="",P44="",R44="",T44="",X44="",AA44="",AC44="",AG44="",AI44=""),"",((1+ELOSS)*PEAKTD*(1+INDEX(ELECCB[Capacity Reserve Margin],MATCH(15,ELECCB[Year Number],0)))*((AZ44*INDEX(ELECCB[NPV AEC $/kWh],MATCH(15,ELECCB[Year Number],0)))+(AV44*INDEX(ELECCB[NPV ACC+T&amp;D $/kW],MATCH(15,ELECCB[Year Number],0))))/AK44)),0)</f>
        <v/>
      </c>
      <c r="AV44" s="752" t="str">
        <f>IF(OR(C44="",H44="",K44="",N44="",P44="",R44="",T44="",X44="",AA44="",AC44="",AG44="",AI44=""),"",IF((N44*P44)&lt;=(AA44*AC44),"0",ROUND(AZ44*INDEX(ENDUSEALL[Factor],MATCH(INDEX(CMELIGHT[End Use Category],MATCH(F44,CMELIGHT[Proj Desc 1],0)),ENDUSEALL[End Use to Coincident Peak Demand Factors],0)),4)))</f>
        <v/>
      </c>
      <c r="AW44" s="802" t="str">
        <f t="shared" ref="AW44" si="91">IF(OR(C44="",F44="",H44="",K44="",N44="",P44="",R44="",T44="",X44="",AA44="",AC44="",AG44="",AI44=""),"",IF(ISNUMBER(SEARCH("Incandescent",H44)),(0.24*P44)*R44*N44/1000,IF(ISNUMBER(SEARCH("Halogen",H44)),(0.34*P44)*R44*N44/1000,N44*P44*R44/1000)))</f>
        <v/>
      </c>
      <c r="AX44" s="802" t="str">
        <f t="shared" ref="AX44" si="92">IF(OR(C44="",F44="",H44="",K44="",N44="",P44="",R44="",T44="",X44="",AA44="",AC44="",AG44="",AI44=""),"",AA44*AC44*R44/1000)</f>
        <v/>
      </c>
      <c r="AY44" s="1463" t="str">
        <f>IF(OR(C44="",F44="",H44="",K44="",N44="",P44="",R44="",T44="",X44="",AA44="",AC44="",AG44="",AI44=""),"",CONCATENATE(INDEX(CMLIGHTEFF[Measure Number],MATCH(T44,CMLIGHTEFF[Eff Desc 1],0)),INDEX(CMLIGHTBASE[Measure Number],MATCH(H44,CMLIGHTBASE[Base Desc 1],0))))</f>
        <v/>
      </c>
      <c r="AZ44" s="802" t="str">
        <f>IF(OR(C44="",F44="",H44="",K44="",N44="",P44="",R44="",T44="",X44="",AA44="",AC44="",AG44="",AI44=""),"",ROUND(IF((N44*P44)&lt;=(AA44*AC44),"0",IF(AND(F44="Interior", M02S02F32&lt;&gt;""),INDEX(SPACEHEAT[HIF],MATCH(M02S02F32,SHEAT,0))*(AW44-AX44),IF(AND(ISNUMBER(SEARCH("24/7",F44)),M02S02F32&lt;&gt;""),(AW44-AX44),(AW44-AX44)))),0))</f>
        <v/>
      </c>
      <c r="BA44" s="1464" t="str">
        <f t="shared" ref="BA44" si="93">IF(OR(C44="",F44="",H44="",K44="",N44="",P44="",R44="",T44="",X44="",AA44="",AC44="",AG44="",AI44=""),"",IF((N44*P44)&lt;=(AA44*AC44),"0",ROUND(((N44*P44)-(AA44*AC44))/1000,3)))</f>
        <v/>
      </c>
      <c r="BB44" s="1461" t="str">
        <f>IFERROR(AK44/M02S02F35/AZ44,"")</f>
        <v/>
      </c>
      <c r="BC44" s="1461" t="str">
        <f>IFERROR(IF(OR(T44="CFL"),MEASUREELI,IF((N44*P44)&lt;=(AA44*AC44),MEASURESAVE,IF(M02S02F35="",MEASURERATE,IF(AK44/M02S02F35/AZ44&lt;1,MEASUREPAY,IF(AU44&lt;1,MEASURECB, IF(AND(ISNUMBER(SEARCH("24/7",F44)),R44&lt;8500),"Check Location and Hours",IF(AND(ISNUMBER(SEARCH("Dusk to Dawn",F44)),R44&gt;=8500,R44&lt;=8760),"Check Location and Hours",""))))))),MEASURESUBMIT)</f>
        <v>Submit for Review</v>
      </c>
      <c r="BD44" s="1461">
        <f>IF(ISNUMBER(SEARCH("24/7",H44)),AK44/(AZ44*INDEX(CMLIGHTEFF[Inc Rate Exterior],MATCH(T44,CMLIGHTEFF[Eff Desc 1],0))),0)</f>
        <v>0</v>
      </c>
      <c r="BE44" s="1461">
        <f>IFERROR(IF(ISNUMBER(SEARCH("24/7",H44)),0,AK44/(AZ44*INDEX(CMLIGHTEFF[Inc Rate],MATCH(T44,CMLIGHTEFF[Eff Desc 1],0)))),0)</f>
        <v>0</v>
      </c>
      <c r="BF44" s="1461" t="str">
        <f t="shared" ref="BF44" si="94">IF(AND(ISNUMBER(AN44),OR(AND(BD44&lt;&gt;0,BD44&lt;2),AND(BE44&lt;&gt;0,BE44&lt;2))),"50% Cost","")</f>
        <v/>
      </c>
      <c r="BG44" s="1432">
        <f>IF(M02S02F32&lt;&gt;"",INDEX(SPACEHEAT[HIF],MATCH(M02S02F32,SHEAT,0)),1)</f>
        <v>1</v>
      </c>
      <c r="BH44" s="1367">
        <f t="shared" ref="BH44" si="95">IFERROR(ROUND(BJ44*1.1,2),0)</f>
        <v>0</v>
      </c>
      <c r="BI44" s="1367" t="str">
        <f>IF(M02S02F44="","Update Install Status",IF(M02S02F44="Yes","Not Eligible if Pre-Purchased",IF(M02S02F49="Yes","Use New Load",IF(OR(C44="",F44="",H44="",K44="",N44="",P44="",R44="",T44="",X44="",AA44="",AC44="",AG44="",AI44="",AE44=""),"",IF(BC44&lt;&gt;"",BC44,ROUND(BH44*BONUSADJ,2))))))</f>
        <v>Update Install Status</v>
      </c>
      <c r="BJ44" s="1367" t="str">
        <f>IF(M02S02F44="","Update Install Status",IF(M02S02F44="Yes","Not Eligible if Pre-Purchased",IF(M02S02F49="Yes","Use New Load",IF(OR(C44="",F44="",H44="",K44="",N44="",P44="",R44="",T44="",X44="",AA44="",AC44="",AG44="",AI44="",AE44=""),"",IF(BC44&lt;&gt;"",BC44,IF(OR(F44="Exterior 24/7",F44="Garage 24/7"),ROUND(MIN(AK44*0.5,AZ44*INDEX(CMLIGHTEFF[Inc Rate Exterior],MATCH(T44,CMLIGHTEFF[Eff Desc 1],0))),2),ROUND(MIN(AK44*0.5,AZ44*INDEX(CMLIGHTEFF[Inc Rate],MATCH(T44,CMLIGHTEFF[Eff Desc 1],0))),2)))))))</f>
        <v>Update Install Status</v>
      </c>
    </row>
    <row r="45" spans="2:62" ht="15.95" customHeight="1" x14ac:dyDescent="0.25">
      <c r="B45" s="1204"/>
      <c r="C45" s="824"/>
      <c r="D45" s="825"/>
      <c r="E45" s="826"/>
      <c r="F45" s="1442"/>
      <c r="G45" s="1443"/>
      <c r="H45" s="824"/>
      <c r="I45" s="825"/>
      <c r="J45" s="826"/>
      <c r="K45" s="852"/>
      <c r="L45" s="852"/>
      <c r="M45" s="852"/>
      <c r="N45" s="1070"/>
      <c r="O45" s="1070"/>
      <c r="P45" s="1066"/>
      <c r="Q45" s="1447"/>
      <c r="R45" s="1445"/>
      <c r="S45" s="1446"/>
      <c r="T45" s="1228"/>
      <c r="U45" s="852"/>
      <c r="V45" s="852"/>
      <c r="W45" s="852"/>
      <c r="X45" s="852"/>
      <c r="Y45" s="852"/>
      <c r="Z45" s="852"/>
      <c r="AA45" s="1070"/>
      <c r="AB45" s="1070"/>
      <c r="AC45" s="1066"/>
      <c r="AD45" s="1066"/>
      <c r="AE45" s="1139"/>
      <c r="AF45" s="1452"/>
      <c r="AG45" s="1466"/>
      <c r="AH45" s="857"/>
      <c r="AI45" s="857"/>
      <c r="AJ45" s="1467"/>
      <c r="AK45" s="1453"/>
      <c r="AL45" s="1454"/>
      <c r="AM45" s="1454"/>
      <c r="AN45" s="1448"/>
      <c r="AO45" s="1449"/>
      <c r="AP45" s="1449"/>
      <c r="AQ45" s="1450"/>
      <c r="AR45" s="69"/>
      <c r="AU45" s="1435"/>
      <c r="AV45" s="753"/>
      <c r="AW45" s="803"/>
      <c r="AX45" s="803"/>
      <c r="AY45" s="751"/>
      <c r="AZ45" s="803"/>
      <c r="BA45" s="1465"/>
      <c r="BB45" s="1462"/>
      <c r="BC45" s="1462"/>
      <c r="BD45" s="1462"/>
      <c r="BE45" s="1462"/>
      <c r="BF45" s="1462"/>
      <c r="BG45" s="1433"/>
      <c r="BH45" s="1367"/>
      <c r="BI45" s="1367"/>
      <c r="BJ45" s="1367"/>
    </row>
    <row r="46" spans="2:62" ht="15.95" customHeight="1" x14ac:dyDescent="0.25">
      <c r="B46" s="1204">
        <v>16</v>
      </c>
      <c r="C46" s="1468"/>
      <c r="D46" s="822"/>
      <c r="E46" s="823"/>
      <c r="F46" s="1440" t="s">
        <v>560</v>
      </c>
      <c r="G46" s="1441"/>
      <c r="H46" s="842"/>
      <c r="I46" s="822"/>
      <c r="J46" s="823"/>
      <c r="K46" s="1438"/>
      <c r="L46" s="852"/>
      <c r="M46" s="852"/>
      <c r="N46" s="1070"/>
      <c r="O46" s="1070"/>
      <c r="P46" s="1066" t="str">
        <f>IF(H46="","",INDEX(CMLIGHTBASE[Base Watt 1],MATCH(H46,CMLIGHTBASE[Base Desc 1],0)))</f>
        <v/>
      </c>
      <c r="Q46" s="1447"/>
      <c r="R46" s="1445" t="str">
        <f t="shared" ref="R46" si="96">IF(ISNUMBER(SEARCH("24/7",F46)),8760, IF(ISNUMBER(SEARCH("Dusk to Dawn", F46)),4380,""))</f>
        <v/>
      </c>
      <c r="S46" s="1446"/>
      <c r="T46" s="1228"/>
      <c r="U46" s="852"/>
      <c r="V46" s="852"/>
      <c r="W46" s="852"/>
      <c r="X46" s="1438"/>
      <c r="Y46" s="852"/>
      <c r="Z46" s="852"/>
      <c r="AA46" s="1070"/>
      <c r="AB46" s="1070"/>
      <c r="AC46" s="1066" t="str">
        <f>IF(T46="","",INDEX(CFLEFF[Eff Watt 1],MATCH(T46,CFLEFF[Eff Desc 1],0)))</f>
        <v/>
      </c>
      <c r="AD46" s="1066"/>
      <c r="AE46" s="1451"/>
      <c r="AF46" s="1452"/>
      <c r="AG46" s="1466"/>
      <c r="AH46" s="857"/>
      <c r="AI46" s="857"/>
      <c r="AJ46" s="1467"/>
      <c r="AK46" s="1453" t="str">
        <f t="shared" ref="AK46" si="97">IF(OR(C46="",F46="",K46="",N46="",P46="",R46="",X46="",AA46="",AC46="",AG46="",AI46=""),"",ROUND((AG46+AI46)*AA46,2))</f>
        <v/>
      </c>
      <c r="AL46" s="1454"/>
      <c r="AM46" s="1454"/>
      <c r="AN46" s="1448"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c r="AO46" s="1449"/>
      <c r="AP46" s="1449"/>
      <c r="AQ46" s="1450"/>
      <c r="AR46" s="69"/>
      <c r="AU46" s="1434" t="str">
        <f>IFERROR(IF(OR(C46="",H46="",K46="",N46="",P46="",R46="",T46="",X46="",AA46="",AC46="",AG46="",AI46=""),"",((1+ELOSS)*PEAKTD*(1+INDEX(ELECCB[Capacity Reserve Margin],MATCH(15,ELECCB[Year Number],0)))*((AZ46*INDEX(ELECCB[NPV AEC $/kWh],MATCH(15,ELECCB[Year Number],0)))+(AV46*INDEX(ELECCB[NPV ACC+T&amp;D $/kW],MATCH(15,ELECCB[Year Number],0))))/AK46)),0)</f>
        <v/>
      </c>
      <c r="AV46" s="752" t="str">
        <f>IF(OR(C46="",H46="",K46="",N46="",P46="",R46="",T46="",X46="",AA46="",AC46="",AG46="",AI46=""),"",IF((N46*P46)&lt;=(AA46*AC46),"0",ROUND(AZ46*INDEX(ENDUSEALL[Factor],MATCH(INDEX(CMELIGHT[End Use Category],MATCH(F46,CMELIGHT[Proj Desc 1],0)),ENDUSEALL[End Use to Coincident Peak Demand Factors],0)),4)))</f>
        <v/>
      </c>
      <c r="AW46" s="802" t="str">
        <f t="shared" ref="AW46" si="98">IF(OR(C46="",F46="",H46="",K46="",N46="",P46="",R46="",T46="",X46="",AA46="",AC46="",AG46="",AI46=""),"",IF(ISNUMBER(SEARCH("Incandescent",H46)),(0.24*P46)*R46*N46/1000,IF(ISNUMBER(SEARCH("Halogen",H46)),(0.34*P46)*R46*N46/1000,N46*P46*R46/1000)))</f>
        <v/>
      </c>
      <c r="AX46" s="802" t="str">
        <f t="shared" ref="AX46" si="99">IF(OR(C46="",F46="",H46="",K46="",N46="",P46="",R46="",T46="",X46="",AA46="",AC46="",AG46="",AI46=""),"",AA46*AC46*R46/1000)</f>
        <v/>
      </c>
      <c r="AY46" s="1463" t="str">
        <f>IF(OR(C46="",F46="",H46="",K46="",N46="",P46="",R46="",T46="",X46="",AA46="",AC46="",AG46="",AI46=""),"",CONCATENATE(INDEX(CMLIGHTEFF[Measure Number],MATCH(T46,CMLIGHTEFF[Eff Desc 1],0)),INDEX(CMLIGHTBASE[Measure Number],MATCH(H46,CMLIGHTBASE[Base Desc 1],0))))</f>
        <v/>
      </c>
      <c r="AZ46" s="802" t="str">
        <f>IF(OR(C46="",F46="",H46="",K46="",N46="",P46="",R46="",T46="",X46="",AA46="",AC46="",AG46="",AI46=""),"",ROUND(IF((N46*P46)&lt;=(AA46*AC46),"0",IF(AND(F46="Interior", M02S02F32&lt;&gt;""),INDEX(SPACEHEAT[HIF],MATCH(M02S02F32,SHEAT,0))*(AW46-AX46),IF(AND(ISNUMBER(SEARCH("24/7",F46)),M02S02F32&lt;&gt;""),(AW46-AX46),(AW46-AX46)))),0))</f>
        <v/>
      </c>
      <c r="BA46" s="1464" t="str">
        <f t="shared" ref="BA46" si="100">IF(OR(C46="",F46="",H46="",K46="",N46="",P46="",R46="",T46="",X46="",AA46="",AC46="",AG46="",AI46=""),"",IF((N46*P46)&lt;=(AA46*AC46),"0",ROUND(((N46*P46)-(AA46*AC46))/1000,3)))</f>
        <v/>
      </c>
      <c r="BB46" s="1461" t="str">
        <f>IFERROR(AK46/M02S02F35/AZ46,"")</f>
        <v/>
      </c>
      <c r="BC46" s="1461" t="str">
        <f>IFERROR(IF(OR(T46="CFL"),MEASUREELI,IF((N46*P46)&lt;=(AA46*AC46),MEASURESAVE,IF(M02S02F35="",MEASURERATE,IF(AK46/M02S02F35/AZ46&lt;1,MEASUREPAY,IF(AU46&lt;1,MEASURECB, IF(AND(ISNUMBER(SEARCH("24/7",F46)),R46&lt;8500),"Check Location and Hours",IF(AND(ISNUMBER(SEARCH("Dusk to Dawn",F46)),R46&gt;=8500,R46&lt;=8760),"Check Location and Hours",""))))))),MEASURESUBMIT)</f>
        <v>Submit for Review</v>
      </c>
      <c r="BD46" s="1461">
        <f>IF(ISNUMBER(SEARCH("24/7",H46)),AK46/(AZ46*INDEX(CMLIGHTEFF[Inc Rate Exterior],MATCH(T46,CMLIGHTEFF[Eff Desc 1],0))),0)</f>
        <v>0</v>
      </c>
      <c r="BE46" s="1461">
        <f>IFERROR(IF(ISNUMBER(SEARCH("24/7",H46)),0,AK46/(AZ46*INDEX(CMLIGHTEFF[Inc Rate],MATCH(T46,CMLIGHTEFF[Eff Desc 1],0)))),0)</f>
        <v>0</v>
      </c>
      <c r="BF46" s="1461" t="str">
        <f t="shared" ref="BF46" si="101">IF(AND(ISNUMBER(AN46),OR(AND(BD46&lt;&gt;0,BD46&lt;2),AND(BE46&lt;&gt;0,BE46&lt;2))),"50% Cost","")</f>
        <v/>
      </c>
      <c r="BG46" s="1432">
        <f>IF(M02S02F32&lt;&gt;"",INDEX(SPACEHEAT[HIF],MATCH(M02S02F32,SHEAT,0)),1)</f>
        <v>1</v>
      </c>
      <c r="BH46" s="1367">
        <f t="shared" ref="BH46" si="102">IFERROR(ROUND(BJ46*1.1,2),0)</f>
        <v>0</v>
      </c>
      <c r="BI46" s="1367" t="str">
        <f>IF(M02S02F44="","Update Install Status",IF(M02S02F44="Yes","Not Eligible if Pre-Purchased",IF(M02S02F49="Yes","Use New Load",IF(OR(C46="",F46="",H46="",K46="",N46="",P46="",R46="",T46="",X46="",AA46="",AC46="",AG46="",AI46="",AE46=""),"",IF(BC46&lt;&gt;"",BC46,ROUND(BH46*BONUSADJ,2))))))</f>
        <v>Update Install Status</v>
      </c>
      <c r="BJ46" s="1367" t="str">
        <f>IF(M02S02F44="","Update Install Status",IF(M02S02F44="Yes","Not Eligible if Pre-Purchased",IF(M02S02F49="Yes","Use New Load",IF(OR(C46="",F46="",H46="",K46="",N46="",P46="",R46="",T46="",X46="",AA46="",AC46="",AG46="",AI46="",AE46=""),"",IF(BC46&lt;&gt;"",BC46,IF(OR(F46="Exterior 24/7",F46="Garage 24/7"),ROUND(MIN(AK46*0.5,AZ46*INDEX(CMLIGHTEFF[Inc Rate Exterior],MATCH(T46,CMLIGHTEFF[Eff Desc 1],0))),2),ROUND(MIN(AK46*0.5,AZ46*INDEX(CMLIGHTEFF[Inc Rate],MATCH(T46,CMLIGHTEFF[Eff Desc 1],0))),2)))))))</f>
        <v>Update Install Status</v>
      </c>
    </row>
    <row r="47" spans="2:62" ht="15.95" customHeight="1" x14ac:dyDescent="0.25">
      <c r="B47" s="1204"/>
      <c r="C47" s="824"/>
      <c r="D47" s="825"/>
      <c r="E47" s="826"/>
      <c r="F47" s="1442"/>
      <c r="G47" s="1443"/>
      <c r="H47" s="824"/>
      <c r="I47" s="825"/>
      <c r="J47" s="826"/>
      <c r="K47" s="852"/>
      <c r="L47" s="852"/>
      <c r="M47" s="852"/>
      <c r="N47" s="1070"/>
      <c r="O47" s="1070"/>
      <c r="P47" s="1066"/>
      <c r="Q47" s="1447"/>
      <c r="R47" s="1445"/>
      <c r="S47" s="1446"/>
      <c r="T47" s="1228"/>
      <c r="U47" s="852"/>
      <c r="V47" s="852"/>
      <c r="W47" s="852"/>
      <c r="X47" s="852"/>
      <c r="Y47" s="852"/>
      <c r="Z47" s="852"/>
      <c r="AA47" s="1070"/>
      <c r="AB47" s="1070"/>
      <c r="AC47" s="1066"/>
      <c r="AD47" s="1066"/>
      <c r="AE47" s="1139"/>
      <c r="AF47" s="1452"/>
      <c r="AG47" s="1466"/>
      <c r="AH47" s="857"/>
      <c r="AI47" s="857"/>
      <c r="AJ47" s="1467"/>
      <c r="AK47" s="1453"/>
      <c r="AL47" s="1454"/>
      <c r="AM47" s="1454"/>
      <c r="AN47" s="1448"/>
      <c r="AO47" s="1449"/>
      <c r="AP47" s="1449"/>
      <c r="AQ47" s="1450"/>
      <c r="AR47" s="69"/>
      <c r="AU47" s="1435"/>
      <c r="AV47" s="753"/>
      <c r="AW47" s="803"/>
      <c r="AX47" s="803"/>
      <c r="AY47" s="751"/>
      <c r="AZ47" s="803"/>
      <c r="BA47" s="1465"/>
      <c r="BB47" s="1462"/>
      <c r="BC47" s="1462"/>
      <c r="BD47" s="1462"/>
      <c r="BE47" s="1462"/>
      <c r="BF47" s="1462"/>
      <c r="BG47" s="1433"/>
      <c r="BH47" s="1367"/>
      <c r="BI47" s="1367"/>
      <c r="BJ47" s="1367"/>
    </row>
    <row r="48" spans="2:62" ht="15.95" customHeight="1" x14ac:dyDescent="0.25">
      <c r="B48" s="873">
        <v>17</v>
      </c>
      <c r="C48" s="881"/>
      <c r="D48" s="822"/>
      <c r="E48" s="823"/>
      <c r="F48" s="1440" t="s">
        <v>560</v>
      </c>
      <c r="G48" s="1441"/>
      <c r="H48" s="842"/>
      <c r="I48" s="822"/>
      <c r="J48" s="823"/>
      <c r="K48" s="880"/>
      <c r="L48" s="852"/>
      <c r="M48" s="852"/>
      <c r="N48" s="1070"/>
      <c r="O48" s="1070"/>
      <c r="P48" s="1066" t="str">
        <f>IF(H48="","",INDEX(CMLIGHTBASE[Base Watt 1],MATCH(H48,CMLIGHTBASE[Base Desc 1],0)))</f>
        <v/>
      </c>
      <c r="Q48" s="1447"/>
      <c r="R48" s="1445" t="str">
        <f t="shared" ref="R48" si="103">IF(ISNUMBER(SEARCH("24/7",F48)),8760, IF(ISNUMBER(SEARCH("Dusk to Dawn", F48)),4380,""))</f>
        <v/>
      </c>
      <c r="S48" s="1446"/>
      <c r="T48" s="1228"/>
      <c r="U48" s="852"/>
      <c r="V48" s="852"/>
      <c r="W48" s="852"/>
      <c r="X48" s="880"/>
      <c r="Y48" s="852"/>
      <c r="Z48" s="852"/>
      <c r="AA48" s="1070"/>
      <c r="AB48" s="1070"/>
      <c r="AC48" s="1066" t="str">
        <f>IF(T48="","",INDEX(CFLEFF[Eff Watt 1],MATCH(T48,CFLEFF[Eff Desc 1],0)))</f>
        <v/>
      </c>
      <c r="AD48" s="1066"/>
      <c r="AE48" s="1451"/>
      <c r="AF48" s="1452"/>
      <c r="AG48" s="1466"/>
      <c r="AH48" s="857"/>
      <c r="AI48" s="857"/>
      <c r="AJ48" s="1467"/>
      <c r="AK48" s="1453" t="str">
        <f t="shared" ref="AK48" si="104">IF(OR(C48="",F48="",K48="",N48="",P48="",R48="",X48="",AA48="",AC48="",AG48="",AI48=""),"",ROUND((AG48+AI48)*AA48,2))</f>
        <v/>
      </c>
      <c r="AL48" s="1454"/>
      <c r="AM48" s="1454"/>
      <c r="AN48" s="1448"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c r="AO48" s="1449"/>
      <c r="AP48" s="1449"/>
      <c r="AQ48" s="1450"/>
      <c r="AU48" s="1434" t="str">
        <f>IFERROR(IF(OR(C48="",H48="",K48="",N48="",P48="",R48="",T48="",X48="",AA48="",AC48="",AG48="",AI48=""),"",((1+ELOSS)*PEAKTD*(1+INDEX(ELECCB[Capacity Reserve Margin],MATCH(15,ELECCB[Year Number],0)))*((AZ48*INDEX(ELECCB[NPV AEC $/kWh],MATCH(15,ELECCB[Year Number],0)))+(AV48*INDEX(ELECCB[NPV ACC+T&amp;D $/kW],MATCH(15,ELECCB[Year Number],0))))/AK48)),0)</f>
        <v/>
      </c>
      <c r="AV48" s="752" t="str">
        <f>IF(OR(C48="",H48="",K48="",N48="",P48="",R48="",T48="",X48="",AA48="",AC48="",AG48="",AI48=""),"",IF((N48*P48)&lt;=(AA48*AC48),"0",ROUND(AZ48*INDEX(ENDUSEALL[Factor],MATCH(INDEX(CMELIGHT[End Use Category],MATCH(F48,CMELIGHT[Proj Desc 1],0)),ENDUSEALL[End Use to Coincident Peak Demand Factors],0)),4)))</f>
        <v/>
      </c>
      <c r="AW48" s="802" t="str">
        <f t="shared" ref="AW48" si="105">IF(OR(C48="",F48="",H48="",K48="",N48="",P48="",R48="",T48="",X48="",AA48="",AC48="",AG48="",AI48=""),"",IF(ISNUMBER(SEARCH("Incandescent",H48)),(0.24*P48)*R48*N48/1000,IF(ISNUMBER(SEARCH("Halogen",H48)),(0.34*P48)*R48*N48/1000,N48*P48*R48/1000)))</f>
        <v/>
      </c>
      <c r="AX48" s="802" t="str">
        <f t="shared" ref="AX48" si="106">IF(OR(C48="",F48="",H48="",K48="",N48="",P48="",R48="",T48="",X48="",AA48="",AC48="",AG48="",AI48=""),"",AA48*AC48*R48/1000)</f>
        <v/>
      </c>
      <c r="AY48" s="1463" t="str">
        <f>IF(OR(C48="",F48="",H48="",K48="",N48="",P48="",R48="",T48="",X48="",AA48="",AC48="",AG48="",AI48=""),"",CONCATENATE(INDEX(CMLIGHTEFF[Measure Number],MATCH(T48,CMLIGHTEFF[Eff Desc 1],0)),INDEX(CMLIGHTBASE[Measure Number],MATCH(H48,CMLIGHTBASE[Base Desc 1],0))))</f>
        <v/>
      </c>
      <c r="AZ48" s="802" t="str">
        <f>IF(OR(C48="",F48="",H48="",K48="",N48="",P48="",R48="",T48="",X48="",AA48="",AC48="",AG48="",AI48=""),"",ROUND(IF((N48*P48)&lt;=(AA48*AC48),"0",IF(AND(F48="Interior", M02S02F32&lt;&gt;""),INDEX(SPACEHEAT[HIF],MATCH(M02S02F32,SHEAT,0))*(AW48-AX48),IF(AND(ISNUMBER(SEARCH("24/7",F48)),M02S02F32&lt;&gt;""),(AW48-AX48),(AW48-AX48)))),0))</f>
        <v/>
      </c>
      <c r="BA48" s="1464" t="str">
        <f t="shared" ref="BA48" si="107">IF(OR(C48="",F48="",H48="",K48="",N48="",P48="",R48="",T48="",X48="",AA48="",AC48="",AG48="",AI48=""),"",IF((N48*P48)&lt;=(AA48*AC48),"0",ROUND(((N48*P48)-(AA48*AC48))/1000,3)))</f>
        <v/>
      </c>
      <c r="BB48" s="1461" t="str">
        <f>IFERROR(AK48/M02S02F35/AZ48,"")</f>
        <v/>
      </c>
      <c r="BC48" s="1461" t="str">
        <f>IFERROR(IF(OR(T48="CFL"),MEASUREELI,IF((N48*P48)&lt;=(AA48*AC48),MEASURESAVE,IF(M02S02F35="",MEASURERATE,IF(AK48/M02S02F35/AZ48&lt;1,MEASUREPAY,IF(AU48&lt;1,MEASURECB, IF(AND(ISNUMBER(SEARCH("24/7",F48)),R48&lt;8500),"Check Location and Hours",IF(AND(ISNUMBER(SEARCH("Dusk to Dawn",F48)),R48&gt;=8500,R48&lt;=8760),"Check Location and Hours",""))))))),MEASURESUBMIT)</f>
        <v>Submit for Review</v>
      </c>
      <c r="BD48" s="1461">
        <f>IF(ISNUMBER(SEARCH("24/7",H48)),AK48/(AZ48*INDEX(CMLIGHTEFF[Inc Rate Exterior],MATCH(T48,CMLIGHTEFF[Eff Desc 1],0))),0)</f>
        <v>0</v>
      </c>
      <c r="BE48" s="1461">
        <f>IFERROR(IF(ISNUMBER(SEARCH("24/7",H48)),0,AK48/(AZ48*INDEX(CMLIGHTEFF[Inc Rate],MATCH(T48,CMLIGHTEFF[Eff Desc 1],0)))),0)</f>
        <v>0</v>
      </c>
      <c r="BF48" s="1461" t="str">
        <f t="shared" ref="BF48" si="108">IF(AND(ISNUMBER(AN48),OR(AND(BD48&lt;&gt;0,BD48&lt;2),AND(BE48&lt;&gt;0,BE48&lt;2))),"50% Cost","")</f>
        <v/>
      </c>
      <c r="BG48" s="1432">
        <f>IF(M02S02F32&lt;&gt;"",INDEX(SPACEHEAT[HIF],MATCH(M02S02F32,SHEAT,0)),1)</f>
        <v>1</v>
      </c>
      <c r="BH48" s="1367">
        <f t="shared" ref="BH48" si="109">IFERROR(ROUND(BJ48*1.1,2),0)</f>
        <v>0</v>
      </c>
      <c r="BI48" s="1367" t="str">
        <f>IF(M02S02F44="","Update Install Status",IF(M02S02F44="Yes","Not Eligible if Pre-Purchased",IF(M02S02F49="Yes","Use New Load",IF(OR(C48="",F48="",H48="",K48="",N48="",P48="",R48="",T48="",X48="",AA48="",AC48="",AG48="",AI48="",AE48=""),"",IF(BC48&lt;&gt;"",BC48,ROUND(BH48*BONUSADJ,2))))))</f>
        <v>Update Install Status</v>
      </c>
      <c r="BJ48" s="1367" t="str">
        <f>IF(M02S02F44="","Update Install Status",IF(M02S02F44="Yes","Not Eligible if Pre-Purchased",IF(M02S02F49="Yes","Use New Load",IF(OR(C48="",F48="",H48="",K48="",N48="",P48="",R48="",T48="",X48="",AA48="",AC48="",AG48="",AI48="",AE48=""),"",IF(BC48&lt;&gt;"",BC48,IF(OR(F48="Exterior 24/7",F48="Garage 24/7"),ROUND(MIN(AK48*0.5,AZ48*INDEX(CMLIGHTEFF[Inc Rate Exterior],MATCH(T48,CMLIGHTEFF[Eff Desc 1],0))),2),ROUND(MIN(AK48*0.5,AZ48*INDEX(CMLIGHTEFF[Inc Rate],MATCH(T48,CMLIGHTEFF[Eff Desc 1],0))),2)))))))</f>
        <v>Update Install Status</v>
      </c>
    </row>
    <row r="49" spans="2:62" ht="15.95" customHeight="1" x14ac:dyDescent="0.25">
      <c r="B49" s="873"/>
      <c r="C49" s="824"/>
      <c r="D49" s="825"/>
      <c r="E49" s="826"/>
      <c r="F49" s="1442"/>
      <c r="G49" s="1443"/>
      <c r="H49" s="824"/>
      <c r="I49" s="825"/>
      <c r="J49" s="826"/>
      <c r="K49" s="852"/>
      <c r="L49" s="852"/>
      <c r="M49" s="852"/>
      <c r="N49" s="1070"/>
      <c r="O49" s="1070"/>
      <c r="P49" s="1066"/>
      <c r="Q49" s="1447"/>
      <c r="R49" s="1445"/>
      <c r="S49" s="1446"/>
      <c r="T49" s="1228"/>
      <c r="U49" s="852"/>
      <c r="V49" s="852"/>
      <c r="W49" s="852"/>
      <c r="X49" s="852"/>
      <c r="Y49" s="852"/>
      <c r="Z49" s="852"/>
      <c r="AA49" s="1070"/>
      <c r="AB49" s="1070"/>
      <c r="AC49" s="1066"/>
      <c r="AD49" s="1066"/>
      <c r="AE49" s="1139"/>
      <c r="AF49" s="1452"/>
      <c r="AG49" s="1466"/>
      <c r="AH49" s="857"/>
      <c r="AI49" s="857"/>
      <c r="AJ49" s="1467"/>
      <c r="AK49" s="1453"/>
      <c r="AL49" s="1454"/>
      <c r="AM49" s="1454"/>
      <c r="AN49" s="1448"/>
      <c r="AO49" s="1449"/>
      <c r="AP49" s="1449"/>
      <c r="AQ49" s="1450"/>
      <c r="AU49" s="1435"/>
      <c r="AV49" s="753"/>
      <c r="AW49" s="803"/>
      <c r="AX49" s="803"/>
      <c r="AY49" s="751"/>
      <c r="AZ49" s="803"/>
      <c r="BA49" s="1465"/>
      <c r="BB49" s="1462"/>
      <c r="BC49" s="1462"/>
      <c r="BD49" s="1462"/>
      <c r="BE49" s="1462"/>
      <c r="BF49" s="1462"/>
      <c r="BG49" s="1433"/>
      <c r="BH49" s="1367"/>
      <c r="BI49" s="1367"/>
      <c r="BJ49" s="1367"/>
    </row>
    <row r="50" spans="2:62" ht="15.95" customHeight="1" x14ac:dyDescent="0.25">
      <c r="B50" s="873">
        <v>18</v>
      </c>
      <c r="C50" s="1468"/>
      <c r="D50" s="822"/>
      <c r="E50" s="823"/>
      <c r="F50" s="1440" t="s">
        <v>560</v>
      </c>
      <c r="G50" s="1441"/>
      <c r="H50" s="842"/>
      <c r="I50" s="822"/>
      <c r="J50" s="823"/>
      <c r="K50" s="1438"/>
      <c r="L50" s="852"/>
      <c r="M50" s="852"/>
      <c r="N50" s="1070"/>
      <c r="O50" s="1070"/>
      <c r="P50" s="1066" t="str">
        <f>IF(H50="","",INDEX(CMLIGHTBASE[Base Watt 1],MATCH(H50,CMLIGHTBASE[Base Desc 1],0)))</f>
        <v/>
      </c>
      <c r="Q50" s="1447"/>
      <c r="R50" s="1445" t="str">
        <f t="shared" ref="R50" si="110">IF(ISNUMBER(SEARCH("24/7",F50)),8760, IF(ISNUMBER(SEARCH("Dusk to Dawn", F50)),4380,""))</f>
        <v/>
      </c>
      <c r="S50" s="1446"/>
      <c r="T50" s="1228"/>
      <c r="U50" s="852"/>
      <c r="V50" s="852"/>
      <c r="W50" s="852"/>
      <c r="X50" s="1438"/>
      <c r="Y50" s="852"/>
      <c r="Z50" s="852"/>
      <c r="AA50" s="1070"/>
      <c r="AB50" s="1070"/>
      <c r="AC50" s="1066" t="str">
        <f>IF(T50="","",INDEX(CFLEFF[Eff Watt 1],MATCH(T50,CFLEFF[Eff Desc 1],0)))</f>
        <v/>
      </c>
      <c r="AD50" s="1066"/>
      <c r="AE50" s="1451"/>
      <c r="AF50" s="1452"/>
      <c r="AG50" s="1466"/>
      <c r="AH50" s="857"/>
      <c r="AI50" s="857"/>
      <c r="AJ50" s="1467"/>
      <c r="AK50" s="1453" t="str">
        <f t="shared" ref="AK50" si="111">IF(OR(C50="",F50="",K50="",N50="",P50="",R50="",X50="",AA50="",AC50="",AG50="",AI50=""),"",ROUND((AG50+AI50)*AA50,2))</f>
        <v/>
      </c>
      <c r="AL50" s="1454"/>
      <c r="AM50" s="1454"/>
      <c r="AN50" s="1448"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c r="AO50" s="1449"/>
      <c r="AP50" s="1449"/>
      <c r="AQ50" s="1450"/>
      <c r="AU50" s="1434" t="str">
        <f>IFERROR(IF(OR(C50="",H50="",K50="",N50="",P50="",R50="",T50="",X50="",AA50="",AC50="",AG50="",AI50=""),"",((1+ELOSS)*PEAKTD*(1+INDEX(ELECCB[Capacity Reserve Margin],MATCH(15,ELECCB[Year Number],0)))*((AZ50*INDEX(ELECCB[NPV AEC $/kWh],MATCH(15,ELECCB[Year Number],0)))+(AV50*INDEX(ELECCB[NPV ACC+T&amp;D $/kW],MATCH(15,ELECCB[Year Number],0))))/AK50)),0)</f>
        <v/>
      </c>
      <c r="AV50" s="752" t="str">
        <f>IF(OR(C50="",H50="",K50="",N50="",P50="",R50="",T50="",X50="",AA50="",AC50="",AG50="",AI50=""),"",IF((N50*P50)&lt;=(AA50*AC50),"0",ROUND(AZ50*INDEX(ENDUSEALL[Factor],MATCH(INDEX(CMELIGHT[End Use Category],MATCH(F50,CMELIGHT[Proj Desc 1],0)),ENDUSEALL[End Use to Coincident Peak Demand Factors],0)),4)))</f>
        <v/>
      </c>
      <c r="AW50" s="802" t="str">
        <f t="shared" ref="AW50" si="112">IF(OR(C50="",F50="",H50="",K50="",N50="",P50="",R50="",T50="",X50="",AA50="",AC50="",AG50="",AI50=""),"",IF(ISNUMBER(SEARCH("Incandescent",H50)),(0.24*P50)*R50*N50/1000,IF(ISNUMBER(SEARCH("Halogen",H50)),(0.34*P50)*R50*N50/1000,N50*P50*R50/1000)))</f>
        <v/>
      </c>
      <c r="AX50" s="802" t="str">
        <f t="shared" ref="AX50" si="113">IF(OR(C50="",F50="",H50="",K50="",N50="",P50="",R50="",T50="",X50="",AA50="",AC50="",AG50="",AI50=""),"",AA50*AC50*R50/1000)</f>
        <v/>
      </c>
      <c r="AY50" s="1463" t="str">
        <f>IF(OR(C50="",F50="",H50="",K50="",N50="",P50="",R50="",T50="",X50="",AA50="",AC50="",AG50="",AI50=""),"",CONCATENATE(INDEX(CMLIGHTEFF[Measure Number],MATCH(T50,CMLIGHTEFF[Eff Desc 1],0)),INDEX(CMLIGHTBASE[Measure Number],MATCH(H50,CMLIGHTBASE[Base Desc 1],0))))</f>
        <v/>
      </c>
      <c r="AZ50" s="802" t="str">
        <f>IF(OR(C50="",F50="",H50="",K50="",N50="",P50="",R50="",T50="",X50="",AA50="",AC50="",AG50="",AI50=""),"",ROUND(IF((N50*P50)&lt;=(AA50*AC50),"0",IF(AND(F50="Interior", M02S02F32&lt;&gt;""),INDEX(SPACEHEAT[HIF],MATCH(M02S02F32,SHEAT,0))*(AW50-AX50),IF(AND(ISNUMBER(SEARCH("24/7",F50)),M02S02F32&lt;&gt;""),(AW50-AX50),(AW50-AX50)))),0))</f>
        <v/>
      </c>
      <c r="BA50" s="1464" t="str">
        <f t="shared" ref="BA50" si="114">IF(OR(C50="",F50="",H50="",K50="",N50="",P50="",R50="",T50="",X50="",AA50="",AC50="",AG50="",AI50=""),"",IF((N50*P50)&lt;=(AA50*AC50),"0",ROUND(((N50*P50)-(AA50*AC50))/1000,3)))</f>
        <v/>
      </c>
      <c r="BB50" s="1461" t="str">
        <f>IFERROR(AK50/M02S02F35/AZ50,"")</f>
        <v/>
      </c>
      <c r="BC50" s="1461" t="str">
        <f>IFERROR(IF(OR(T50="CFL"),MEASUREELI,IF((N50*P50)&lt;=(AA50*AC50),MEASURESAVE,IF(M02S02F35="",MEASURERATE,IF(AK50/M02S02F35/AZ50&lt;1,MEASUREPAY,IF(AU50&lt;1,MEASURECB, IF(AND(ISNUMBER(SEARCH("24/7",F50)),R50&lt;8500),"Check Location and Hours",IF(AND(ISNUMBER(SEARCH("Dusk to Dawn",F50)),R50&gt;=8500,R50&lt;=8760),"Check Location and Hours",""))))))),MEASURESUBMIT)</f>
        <v>Submit for Review</v>
      </c>
      <c r="BD50" s="1461">
        <f>IF(ISNUMBER(SEARCH("24/7",H50)),AK50/(AZ50*INDEX(CMLIGHTEFF[Inc Rate Exterior],MATCH(T50,CMLIGHTEFF[Eff Desc 1],0))),0)</f>
        <v>0</v>
      </c>
      <c r="BE50" s="1461">
        <f>IFERROR(IF(ISNUMBER(SEARCH("24/7",H50)),0,AK50/(AZ50*INDEX(CMLIGHTEFF[Inc Rate],MATCH(T50,CMLIGHTEFF[Eff Desc 1],0)))),0)</f>
        <v>0</v>
      </c>
      <c r="BF50" s="1461" t="str">
        <f t="shared" ref="BF50" si="115">IF(AND(ISNUMBER(AN50),OR(AND(BD50&lt;&gt;0,BD50&lt;2),AND(BE50&lt;&gt;0,BE50&lt;2))),"50% Cost","")</f>
        <v/>
      </c>
      <c r="BG50" s="1432">
        <f>IF(M02S02F32&lt;&gt;"",INDEX(SPACEHEAT[HIF],MATCH(M02S02F32,SHEAT,0)),1)</f>
        <v>1</v>
      </c>
      <c r="BH50" s="1367">
        <f t="shared" ref="BH50" si="116">IFERROR(ROUND(BJ50*1.1,2),0)</f>
        <v>0</v>
      </c>
      <c r="BI50" s="1367" t="str">
        <f>IF(M02S02F44="","Update Install Status",IF(M02S02F44="Yes","Not Eligible if Pre-Purchased",IF(M02S02F49="Yes","Use New Load",IF(OR(C50="",F50="",H50="",K50="",N50="",P50="",R50="",T50="",X50="",AA50="",AC50="",AG50="",AI50="",AE50=""),"",IF(BC50&lt;&gt;"",BC50,ROUND(BH50*BONUSADJ,2))))))</f>
        <v>Update Install Status</v>
      </c>
      <c r="BJ50" s="1367" t="str">
        <f>IF(M02S02F44="","Update Install Status",IF(M02S02F44="Yes","Not Eligible if Pre-Purchased",IF(M02S02F49="Yes","Use New Load",IF(OR(C50="",F50="",H50="",K50="",N50="",P50="",R50="",T50="",X50="",AA50="",AC50="",AG50="",AI50="",AE50=""),"",IF(BC50&lt;&gt;"",BC50,IF(OR(F50="Exterior 24/7",F50="Garage 24/7"),ROUND(MIN(AK50*0.5,AZ50*INDEX(CMLIGHTEFF[Inc Rate Exterior],MATCH(T50,CMLIGHTEFF[Eff Desc 1],0))),2),ROUND(MIN(AK50*0.5,AZ50*INDEX(CMLIGHTEFF[Inc Rate],MATCH(T50,CMLIGHTEFF[Eff Desc 1],0))),2)))))))</f>
        <v>Update Install Status</v>
      </c>
    </row>
    <row r="51" spans="2:62" ht="15.95" customHeight="1" x14ac:dyDescent="0.25">
      <c r="B51" s="873"/>
      <c r="C51" s="824"/>
      <c r="D51" s="825"/>
      <c r="E51" s="826"/>
      <c r="F51" s="1442"/>
      <c r="G51" s="1443"/>
      <c r="H51" s="824"/>
      <c r="I51" s="825"/>
      <c r="J51" s="826"/>
      <c r="K51" s="852"/>
      <c r="L51" s="852"/>
      <c r="M51" s="852"/>
      <c r="N51" s="1070"/>
      <c r="O51" s="1070"/>
      <c r="P51" s="1066"/>
      <c r="Q51" s="1447"/>
      <c r="R51" s="1445"/>
      <c r="S51" s="1446"/>
      <c r="T51" s="1228"/>
      <c r="U51" s="852"/>
      <c r="V51" s="852"/>
      <c r="W51" s="852"/>
      <c r="X51" s="852"/>
      <c r="Y51" s="852"/>
      <c r="Z51" s="852"/>
      <c r="AA51" s="1070"/>
      <c r="AB51" s="1070"/>
      <c r="AC51" s="1066"/>
      <c r="AD51" s="1066"/>
      <c r="AE51" s="1139"/>
      <c r="AF51" s="1452"/>
      <c r="AG51" s="1466"/>
      <c r="AH51" s="857"/>
      <c r="AI51" s="857"/>
      <c r="AJ51" s="1467"/>
      <c r="AK51" s="1453"/>
      <c r="AL51" s="1454"/>
      <c r="AM51" s="1454"/>
      <c r="AN51" s="1448"/>
      <c r="AO51" s="1449"/>
      <c r="AP51" s="1449"/>
      <c r="AQ51" s="1450"/>
      <c r="AU51" s="1435"/>
      <c r="AV51" s="753"/>
      <c r="AW51" s="803"/>
      <c r="AX51" s="803"/>
      <c r="AY51" s="751"/>
      <c r="AZ51" s="803"/>
      <c r="BA51" s="1465"/>
      <c r="BB51" s="1462"/>
      <c r="BC51" s="1462"/>
      <c r="BD51" s="1462"/>
      <c r="BE51" s="1462"/>
      <c r="BF51" s="1462"/>
      <c r="BG51" s="1433"/>
      <c r="BH51" s="1367"/>
      <c r="BI51" s="1367"/>
      <c r="BJ51" s="1367"/>
    </row>
    <row r="52" spans="2:62" ht="15.95" customHeight="1" x14ac:dyDescent="0.25">
      <c r="B52" s="873">
        <v>19</v>
      </c>
      <c r="C52" s="1468"/>
      <c r="D52" s="822"/>
      <c r="E52" s="823"/>
      <c r="F52" s="1440" t="s">
        <v>560</v>
      </c>
      <c r="G52" s="1441"/>
      <c r="H52" s="842"/>
      <c r="I52" s="822"/>
      <c r="J52" s="823"/>
      <c r="K52" s="1438"/>
      <c r="L52" s="852"/>
      <c r="M52" s="852"/>
      <c r="N52" s="1070"/>
      <c r="O52" s="1070"/>
      <c r="P52" s="1066" t="str">
        <f>IF(H52="","",INDEX(CMLIGHTBASE[Base Watt 1],MATCH(H52,CMLIGHTBASE[Base Desc 1],0)))</f>
        <v/>
      </c>
      <c r="Q52" s="1447"/>
      <c r="R52" s="1445" t="str">
        <f t="shared" ref="R52" si="117">IF(ISNUMBER(SEARCH("24/7",F52)),8760, IF(ISNUMBER(SEARCH("Dusk to Dawn", F52)),4380,""))</f>
        <v/>
      </c>
      <c r="S52" s="1446"/>
      <c r="T52" s="1228"/>
      <c r="U52" s="852"/>
      <c r="V52" s="852"/>
      <c r="W52" s="852"/>
      <c r="X52" s="1438"/>
      <c r="Y52" s="852"/>
      <c r="Z52" s="852"/>
      <c r="AA52" s="1070"/>
      <c r="AB52" s="1070"/>
      <c r="AC52" s="1066" t="str">
        <f>IF(T52="","",INDEX(CFLEFF[Eff Watt 1],MATCH(T52,CFLEFF[Eff Desc 1],0)))</f>
        <v/>
      </c>
      <c r="AD52" s="1066"/>
      <c r="AE52" s="1451"/>
      <c r="AF52" s="1452"/>
      <c r="AG52" s="1466"/>
      <c r="AH52" s="857"/>
      <c r="AI52" s="857"/>
      <c r="AJ52" s="1467"/>
      <c r="AK52" s="1453" t="str">
        <f t="shared" ref="AK52" si="118">IF(OR(C52="",F52="",K52="",N52="",P52="",R52="",X52="",AA52="",AC52="",AG52="",AI52=""),"",ROUND((AG52+AI52)*AA52,2))</f>
        <v/>
      </c>
      <c r="AL52" s="1454"/>
      <c r="AM52" s="1454"/>
      <c r="AN52" s="1448"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c r="AO52" s="1449"/>
      <c r="AP52" s="1449"/>
      <c r="AQ52" s="1450"/>
      <c r="AU52" s="1434" t="str">
        <f>IFERROR(IF(OR(C52="",H52="",K52="",N52="",P52="",R52="",T52="",X52="",AA52="",AC52="",AG52="",AI52=""),"",((1+ELOSS)*PEAKTD*(1+INDEX(ELECCB[Capacity Reserve Margin],MATCH(15,ELECCB[Year Number],0)))*((AZ52*INDEX(ELECCB[NPV AEC $/kWh],MATCH(15,ELECCB[Year Number],0)))+(AV52*INDEX(ELECCB[NPV ACC+T&amp;D $/kW],MATCH(15,ELECCB[Year Number],0))))/AK52)),0)</f>
        <v/>
      </c>
      <c r="AV52" s="752" t="str">
        <f>IF(OR(C52="",H52="",K52="",N52="",P52="",R52="",T52="",X52="",AA52="",AC52="",AG52="",AI52=""),"",IF((N52*P52)&lt;=(AA52*AC52),"0",ROUND(AZ52*INDEX(ENDUSEALL[Factor],MATCH(INDEX(CMELIGHT[End Use Category],MATCH(F52,CMELIGHT[Proj Desc 1],0)),ENDUSEALL[End Use to Coincident Peak Demand Factors],0)),4)))</f>
        <v/>
      </c>
      <c r="AW52" s="802" t="str">
        <f t="shared" ref="AW52" si="119">IF(OR(C52="",F52="",H52="",K52="",N52="",P52="",R52="",T52="",X52="",AA52="",AC52="",AG52="",AI52=""),"",IF(ISNUMBER(SEARCH("Incandescent",H52)),(0.24*P52)*R52*N52/1000,IF(ISNUMBER(SEARCH("Halogen",H52)),(0.34*P52)*R52*N52/1000,N52*P52*R52/1000)))</f>
        <v/>
      </c>
      <c r="AX52" s="802" t="str">
        <f t="shared" ref="AX52" si="120">IF(OR(C52="",F52="",H52="",K52="",N52="",P52="",R52="",T52="",X52="",AA52="",AC52="",AG52="",AI52=""),"",AA52*AC52*R52/1000)</f>
        <v/>
      </c>
      <c r="AY52" s="1463" t="str">
        <f>IF(OR(C52="",F52="",H52="",K52="",N52="",P52="",R52="",T52="",X52="",AA52="",AC52="",AG52="",AI52=""),"",CONCATENATE(INDEX(CMLIGHTEFF[Measure Number],MATCH(T52,CMLIGHTEFF[Eff Desc 1],0)),INDEX(CMLIGHTBASE[Measure Number],MATCH(H52,CMLIGHTBASE[Base Desc 1],0))))</f>
        <v/>
      </c>
      <c r="AZ52" s="802" t="str">
        <f>IF(OR(C52="",F52="",H52="",K52="",N52="",P52="",R52="",T52="",X52="",AA52="",AC52="",AG52="",AI52=""),"",ROUND(IF((N52*P52)&lt;=(AA52*AC52),"0",IF(AND(F52="Interior", M02S02F32&lt;&gt;""),INDEX(SPACEHEAT[HIF],MATCH(M02S02F32,SHEAT,0))*(AW52-AX52),IF(AND(ISNUMBER(SEARCH("24/7",F52)),M02S02F32&lt;&gt;""),(AW52-AX52),(AW52-AX52)))),0))</f>
        <v/>
      </c>
      <c r="BA52" s="1464" t="str">
        <f t="shared" ref="BA52" si="121">IF(OR(C52="",F52="",H52="",K52="",N52="",P52="",R52="",T52="",X52="",AA52="",AC52="",AG52="",AI52=""),"",IF((N52*P52)&lt;=(AA52*AC52),"0",ROUND(((N52*P52)-(AA52*AC52))/1000,3)))</f>
        <v/>
      </c>
      <c r="BB52" s="1461" t="str">
        <f>IFERROR(AK52/M02S02F35/AZ52,"")</f>
        <v/>
      </c>
      <c r="BC52" s="1461" t="str">
        <f>IFERROR(IF(OR(T52="CFL"),MEASUREELI,IF((N52*P52)&lt;=(AA52*AC52),MEASURESAVE,IF(M02S02F35="",MEASURERATE,IF(AK52/M02S02F35/AZ52&lt;1,MEASUREPAY,IF(AU52&lt;1,MEASURECB, IF(AND(ISNUMBER(SEARCH("24/7",F52)),R52&lt;8500),"Check Location and Hours",IF(AND(ISNUMBER(SEARCH("Dusk to Dawn",F52)),R52&gt;=8500,R52&lt;=8760),"Check Location and Hours",""))))))),MEASURESUBMIT)</f>
        <v>Submit for Review</v>
      </c>
      <c r="BD52" s="1461">
        <f>IF(ISNUMBER(SEARCH("24/7",H52)),AK52/(AZ52*INDEX(CMLIGHTEFF[Inc Rate Exterior],MATCH(T52,CMLIGHTEFF[Eff Desc 1],0))),0)</f>
        <v>0</v>
      </c>
      <c r="BE52" s="1461">
        <f>IFERROR(IF(ISNUMBER(SEARCH("24/7",H52)),0,AK52/(AZ52*INDEX(CMLIGHTEFF[Inc Rate],MATCH(T52,CMLIGHTEFF[Eff Desc 1],0)))),0)</f>
        <v>0</v>
      </c>
      <c r="BF52" s="1461" t="str">
        <f t="shared" ref="BF52" si="122">IF(AND(ISNUMBER(AN52),OR(AND(BD52&lt;&gt;0,BD52&lt;2),AND(BE52&lt;&gt;0,BE52&lt;2))),"50% Cost","")</f>
        <v/>
      </c>
      <c r="BG52" s="1432">
        <f>IF(M02S02F32&lt;&gt;"",INDEX(SPACEHEAT[HIF],MATCH(M02S02F32,SHEAT,0)),1)</f>
        <v>1</v>
      </c>
      <c r="BH52" s="1367">
        <f t="shared" ref="BH52" si="123">IFERROR(ROUND(BJ52*1.1,2),0)</f>
        <v>0</v>
      </c>
      <c r="BI52" s="1367" t="str">
        <f>IF(M02S02F44="","Update Install Status",IF(M02S02F44="Yes","Not Eligible if Pre-Purchased",IF(M02S02F49="Yes","Use New Load",IF(OR(C52="",F52="",H52="",K52="",N52="",P52="",R52="",T52="",X52="",AA52="",AC52="",AG52="",AI52="",AE52=""),"",IF(BC52&lt;&gt;"",BC52,ROUND(BH52*BONUSADJ,2))))))</f>
        <v>Update Install Status</v>
      </c>
      <c r="BJ52" s="1367" t="str">
        <f>IF(M02S02F44="","Update Install Status",IF(M02S02F44="Yes","Not Eligible if Pre-Purchased",IF(M02S02F49="Yes","Use New Load",IF(OR(C52="",F52="",H52="",K52="",N52="",P52="",R52="",T52="",X52="",AA52="",AC52="",AG52="",AI52="",AE52=""),"",IF(BC52&lt;&gt;"",BC52,IF(OR(F52="Exterior 24/7",F52="Garage 24/7"),ROUND(MIN(AK52*0.5,AZ52*INDEX(CMLIGHTEFF[Inc Rate Exterior],MATCH(T52,CMLIGHTEFF[Eff Desc 1],0))),2),ROUND(MIN(AK52*0.5,AZ52*INDEX(CMLIGHTEFF[Inc Rate],MATCH(T52,CMLIGHTEFF[Eff Desc 1],0))),2)))))))</f>
        <v>Update Install Status</v>
      </c>
    </row>
    <row r="53" spans="2:62" ht="15.95" customHeight="1" x14ac:dyDescent="0.25">
      <c r="B53" s="873"/>
      <c r="C53" s="824"/>
      <c r="D53" s="825"/>
      <c r="E53" s="826"/>
      <c r="F53" s="1442"/>
      <c r="G53" s="1443"/>
      <c r="H53" s="824"/>
      <c r="I53" s="825"/>
      <c r="J53" s="826"/>
      <c r="K53" s="852"/>
      <c r="L53" s="852"/>
      <c r="M53" s="852"/>
      <c r="N53" s="1070"/>
      <c r="O53" s="1070"/>
      <c r="P53" s="1066"/>
      <c r="Q53" s="1447"/>
      <c r="R53" s="1445"/>
      <c r="S53" s="1446"/>
      <c r="T53" s="1228"/>
      <c r="U53" s="852"/>
      <c r="V53" s="852"/>
      <c r="W53" s="852"/>
      <c r="X53" s="852"/>
      <c r="Y53" s="852"/>
      <c r="Z53" s="852"/>
      <c r="AA53" s="1070"/>
      <c r="AB53" s="1070"/>
      <c r="AC53" s="1066"/>
      <c r="AD53" s="1066"/>
      <c r="AE53" s="1139"/>
      <c r="AF53" s="1452"/>
      <c r="AG53" s="1466"/>
      <c r="AH53" s="857"/>
      <c r="AI53" s="857"/>
      <c r="AJ53" s="1467"/>
      <c r="AK53" s="1453"/>
      <c r="AL53" s="1454"/>
      <c r="AM53" s="1454"/>
      <c r="AN53" s="1448"/>
      <c r="AO53" s="1449"/>
      <c r="AP53" s="1449"/>
      <c r="AQ53" s="1450"/>
      <c r="AU53" s="1435"/>
      <c r="AV53" s="753"/>
      <c r="AW53" s="803"/>
      <c r="AX53" s="803"/>
      <c r="AY53" s="751"/>
      <c r="AZ53" s="803"/>
      <c r="BA53" s="1465"/>
      <c r="BB53" s="1462"/>
      <c r="BC53" s="1462"/>
      <c r="BD53" s="1462"/>
      <c r="BE53" s="1462"/>
      <c r="BF53" s="1462"/>
      <c r="BG53" s="1433"/>
      <c r="BH53" s="1367"/>
      <c r="BI53" s="1367"/>
      <c r="BJ53" s="1367"/>
    </row>
    <row r="54" spans="2:62" ht="15.95" customHeight="1" x14ac:dyDescent="0.25">
      <c r="B54" s="873">
        <v>20</v>
      </c>
      <c r="C54" s="1468"/>
      <c r="D54" s="822"/>
      <c r="E54" s="823"/>
      <c r="F54" s="1440" t="s">
        <v>560</v>
      </c>
      <c r="G54" s="1441"/>
      <c r="H54" s="842"/>
      <c r="I54" s="822"/>
      <c r="J54" s="823"/>
      <c r="K54" s="1438"/>
      <c r="L54" s="852"/>
      <c r="M54" s="852"/>
      <c r="N54" s="1070"/>
      <c r="O54" s="1070"/>
      <c r="P54" s="1066" t="str">
        <f>IF(H54="","",INDEX(CMLIGHTBASE[Base Watt 1],MATCH(H54,CMLIGHTBASE[Base Desc 1],0)))</f>
        <v/>
      </c>
      <c r="Q54" s="1447"/>
      <c r="R54" s="1445" t="str">
        <f t="shared" ref="R54" si="124">IF(ISNUMBER(SEARCH("24/7",F54)),8760, IF(ISNUMBER(SEARCH("Dusk to Dawn", F54)),4380,""))</f>
        <v/>
      </c>
      <c r="S54" s="1446"/>
      <c r="T54" s="1228"/>
      <c r="U54" s="852"/>
      <c r="V54" s="852"/>
      <c r="W54" s="852"/>
      <c r="X54" s="1438"/>
      <c r="Y54" s="852"/>
      <c r="Z54" s="852"/>
      <c r="AA54" s="1070"/>
      <c r="AB54" s="1070"/>
      <c r="AC54" s="1066" t="str">
        <f>IF(T54="","",INDEX(CFLEFF[Eff Watt 1],MATCH(T54,CFLEFF[Eff Desc 1],0)))</f>
        <v/>
      </c>
      <c r="AD54" s="1066"/>
      <c r="AE54" s="1451"/>
      <c r="AF54" s="1452"/>
      <c r="AG54" s="1466"/>
      <c r="AH54" s="857"/>
      <c r="AI54" s="857"/>
      <c r="AJ54" s="1467"/>
      <c r="AK54" s="1453" t="str">
        <f t="shared" ref="AK54" si="125">IF(OR(C54="",F54="",K54="",N54="",P54="",R54="",X54="",AA54="",AC54="",AG54="",AI54=""),"",ROUND((AG54+AI54)*AA54,2))</f>
        <v/>
      </c>
      <c r="AL54" s="1454"/>
      <c r="AM54" s="1454"/>
      <c r="AN54" s="1448"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c r="AO54" s="1449"/>
      <c r="AP54" s="1449"/>
      <c r="AQ54" s="1450"/>
      <c r="AU54" s="1434" t="str">
        <f>IFERROR(IF(OR(C54="",H54="",K54="",N54="",P54="",R54="",T54="",X54="",AA54="",AC54="",AG54="",AI54=""),"",((1+ELOSS)*PEAKTD*(1+INDEX(ELECCB[Capacity Reserve Margin],MATCH(15,ELECCB[Year Number],0)))*((AZ54*INDEX(ELECCB[NPV AEC $/kWh],MATCH(15,ELECCB[Year Number],0)))+(AV54*INDEX(ELECCB[NPV ACC+T&amp;D $/kW],MATCH(15,ELECCB[Year Number],0))))/AK54)),0)</f>
        <v/>
      </c>
      <c r="AV54" s="752" t="str">
        <f>IF(OR(C54="",H54="",K54="",N54="",P54="",R54="",T54="",X54="",AA54="",AC54="",AG54="",AI54=""),"",IF((N54*P54)&lt;=(AA54*AC54),"0",ROUND(AZ54*INDEX(ENDUSEALL[Factor],MATCH(INDEX(CMELIGHT[End Use Category],MATCH(F54,CMELIGHT[Proj Desc 1],0)),ENDUSEALL[End Use to Coincident Peak Demand Factors],0)),4)))</f>
        <v/>
      </c>
      <c r="AW54" s="802" t="str">
        <f t="shared" ref="AW54" si="126">IF(OR(C54="",F54="",H54="",K54="",N54="",P54="",R54="",T54="",X54="",AA54="",AC54="",AG54="",AI54=""),"",IF(ISNUMBER(SEARCH("Incandescent",H54)),(0.24*P54)*R54*N54/1000,IF(ISNUMBER(SEARCH("Halogen",H54)),(0.34*P54)*R54*N54/1000,N54*P54*R54/1000)))</f>
        <v/>
      </c>
      <c r="AX54" s="802" t="str">
        <f t="shared" ref="AX54" si="127">IF(OR(C54="",F54="",H54="",K54="",N54="",P54="",R54="",T54="",X54="",AA54="",AC54="",AG54="",AI54=""),"",AA54*AC54*R54/1000)</f>
        <v/>
      </c>
      <c r="AY54" s="1463" t="str">
        <f>IF(OR(C54="",F54="",H54="",K54="",N54="",P54="",R54="",T54="",X54="",AA54="",AC54="",AG54="",AI54=""),"",CONCATENATE(INDEX(CMLIGHTEFF[Measure Number],MATCH(T54,CMLIGHTEFF[Eff Desc 1],0)),INDEX(CMLIGHTBASE[Measure Number],MATCH(H54,CMLIGHTBASE[Base Desc 1],0))))</f>
        <v/>
      </c>
      <c r="AZ54" s="802" t="str">
        <f>IF(OR(C54="",F54="",H54="",K54="",N54="",P54="",R54="",T54="",X54="",AA54="",AC54="",AG54="",AI54=""),"",ROUND(IF((N54*P54)&lt;=(AA54*AC54),"0",IF(AND(F54="Interior", M02S02F32&lt;&gt;""),INDEX(SPACEHEAT[HIF],MATCH(M02S02F32,SHEAT,0))*(AW54-AX54),IF(AND(ISNUMBER(SEARCH("24/7",F54)),M02S02F32&lt;&gt;""),(AW54-AX54),(AW54-AX54)))),0))</f>
        <v/>
      </c>
      <c r="BA54" s="1464" t="str">
        <f t="shared" ref="BA54" si="128">IF(OR(C54="",F54="",H54="",K54="",N54="",P54="",R54="",T54="",X54="",AA54="",AC54="",AG54="",AI54=""),"",IF((N54*P54)&lt;=(AA54*AC54),"0",ROUND(((N54*P54)-(AA54*AC54))/1000,3)))</f>
        <v/>
      </c>
      <c r="BB54" s="1461" t="str">
        <f>IFERROR(AK54/M02S02F35/AZ54,"")</f>
        <v/>
      </c>
      <c r="BC54" s="1461" t="str">
        <f>IFERROR(IF(OR(T54="CFL"),MEASUREELI,IF((N54*P54)&lt;=(AA54*AC54),MEASURESAVE,IF(M02S02F35="",MEASURERATE,IF(AK54/M02S02F35/AZ54&lt;1,MEASUREPAY,IF(AU54&lt;1,MEASURECB, IF(AND(ISNUMBER(SEARCH("24/7",F54)),R54&lt;8500),"Check Location and Hours",IF(AND(ISNUMBER(SEARCH("Dusk to Dawn",F54)),R54&gt;=8500,R54&lt;=8760),"Check Location and Hours",""))))))),MEASURESUBMIT)</f>
        <v>Submit for Review</v>
      </c>
      <c r="BD54" s="1461">
        <f>IF(ISNUMBER(SEARCH("24/7",H54)),AK54/(AZ54*INDEX(CMLIGHTEFF[Inc Rate Exterior],MATCH(T54,CMLIGHTEFF[Eff Desc 1],0))),0)</f>
        <v>0</v>
      </c>
      <c r="BE54" s="1461">
        <f>IFERROR(IF(ISNUMBER(SEARCH("24/7",H54)),0,AK54/(AZ54*INDEX(CMLIGHTEFF[Inc Rate],MATCH(T54,CMLIGHTEFF[Eff Desc 1],0)))),0)</f>
        <v>0</v>
      </c>
      <c r="BF54" s="1461" t="str">
        <f t="shared" ref="BF54" si="129">IF(AND(ISNUMBER(AN54),OR(AND(BD54&lt;&gt;0,BD54&lt;2),AND(BE54&lt;&gt;0,BE54&lt;2))),"50% Cost","")</f>
        <v/>
      </c>
      <c r="BG54" s="1432">
        <f>IF(M02S02F32&lt;&gt;"",INDEX(SPACEHEAT[HIF],MATCH(M02S02F32,SHEAT,0)),1)</f>
        <v>1</v>
      </c>
      <c r="BH54" s="1367">
        <f t="shared" ref="BH54" si="130">IFERROR(ROUND(BJ54*1.1,2),0)</f>
        <v>0</v>
      </c>
      <c r="BI54" s="1367" t="str">
        <f>IF(M02S02F44="","Update Install Status",IF(M02S02F44="Yes","Not Eligible if Pre-Purchased",IF(M02S02F49="Yes","Use New Load",IF(OR(C54="",F54="",H54="",K54="",N54="",P54="",R54="",T54="",X54="",AA54="",AC54="",AG54="",AI54="",AE54=""),"",IF(BC54&lt;&gt;"",BC54,ROUND(BH54*BONUSADJ,2))))))</f>
        <v>Update Install Status</v>
      </c>
      <c r="BJ54" s="1367" t="str">
        <f>IF(M02S02F44="","Update Install Status",IF(M02S02F44="Yes","Not Eligible if Pre-Purchased",IF(M02S02F49="Yes","Use New Load",IF(OR(C54="",F54="",H54="",K54="",N54="",P54="",R54="",T54="",X54="",AA54="",AC54="",AG54="",AI54="",AE54=""),"",IF(BC54&lt;&gt;"",BC54,IF(OR(F54="Exterior 24/7",F54="Garage 24/7"),ROUND(MIN(AK54*0.5,AZ54*INDEX(CMLIGHTEFF[Inc Rate Exterior],MATCH(T54,CMLIGHTEFF[Eff Desc 1],0))),2),ROUND(MIN(AK54*0.5,AZ54*INDEX(CMLIGHTEFF[Inc Rate],MATCH(T54,CMLIGHTEFF[Eff Desc 1],0))),2)))))))</f>
        <v>Update Install Status</v>
      </c>
    </row>
    <row r="55" spans="2:62" ht="15.95" customHeight="1" x14ac:dyDescent="0.25">
      <c r="B55" s="873"/>
      <c r="C55" s="824"/>
      <c r="D55" s="825"/>
      <c r="E55" s="826"/>
      <c r="F55" s="1442"/>
      <c r="G55" s="1443"/>
      <c r="H55" s="824"/>
      <c r="I55" s="825"/>
      <c r="J55" s="826"/>
      <c r="K55" s="852"/>
      <c r="L55" s="852"/>
      <c r="M55" s="852"/>
      <c r="N55" s="1070"/>
      <c r="O55" s="1070"/>
      <c r="P55" s="1066"/>
      <c r="Q55" s="1447"/>
      <c r="R55" s="1445"/>
      <c r="S55" s="1446"/>
      <c r="T55" s="1228"/>
      <c r="U55" s="852"/>
      <c r="V55" s="852"/>
      <c r="W55" s="852"/>
      <c r="X55" s="852"/>
      <c r="Y55" s="852"/>
      <c r="Z55" s="852"/>
      <c r="AA55" s="1070"/>
      <c r="AB55" s="1070"/>
      <c r="AC55" s="1066"/>
      <c r="AD55" s="1066"/>
      <c r="AE55" s="1139"/>
      <c r="AF55" s="1452"/>
      <c r="AG55" s="1466"/>
      <c r="AH55" s="857"/>
      <c r="AI55" s="857"/>
      <c r="AJ55" s="1467"/>
      <c r="AK55" s="1453"/>
      <c r="AL55" s="1454"/>
      <c r="AM55" s="1454"/>
      <c r="AN55" s="1448"/>
      <c r="AO55" s="1449"/>
      <c r="AP55" s="1449"/>
      <c r="AQ55" s="1450"/>
      <c r="AU55" s="1435"/>
      <c r="AV55" s="753"/>
      <c r="AW55" s="803"/>
      <c r="AX55" s="803"/>
      <c r="AY55" s="751"/>
      <c r="AZ55" s="803"/>
      <c r="BA55" s="1465"/>
      <c r="BB55" s="1462"/>
      <c r="BC55" s="1462"/>
      <c r="BD55" s="1462"/>
      <c r="BE55" s="1462"/>
      <c r="BF55" s="1462"/>
      <c r="BG55" s="1433"/>
      <c r="BH55" s="1367"/>
      <c r="BI55" s="1367"/>
      <c r="BJ55" s="1367"/>
    </row>
    <row r="56" spans="2:62" ht="15.95" customHeight="1" x14ac:dyDescent="0.25">
      <c r="B56" s="873">
        <v>21</v>
      </c>
      <c r="C56" s="1468"/>
      <c r="D56" s="822"/>
      <c r="E56" s="823"/>
      <c r="F56" s="1440" t="s">
        <v>560</v>
      </c>
      <c r="G56" s="1441"/>
      <c r="H56" s="842"/>
      <c r="I56" s="822"/>
      <c r="J56" s="823"/>
      <c r="K56" s="1438"/>
      <c r="L56" s="852"/>
      <c r="M56" s="852"/>
      <c r="N56" s="1070"/>
      <c r="O56" s="1070"/>
      <c r="P56" s="1066" t="str">
        <f>IF(H56="","",INDEX(CMLIGHTBASE[Base Watt 1],MATCH(H56,CMLIGHTBASE[Base Desc 1],0)))</f>
        <v/>
      </c>
      <c r="Q56" s="1447"/>
      <c r="R56" s="1445" t="str">
        <f t="shared" ref="R56" si="131">IF(ISNUMBER(SEARCH("24/7",F56)),8760, IF(ISNUMBER(SEARCH("Dusk to Dawn", F56)),4380,""))</f>
        <v/>
      </c>
      <c r="S56" s="1446"/>
      <c r="T56" s="1228"/>
      <c r="U56" s="852"/>
      <c r="V56" s="852"/>
      <c r="W56" s="852"/>
      <c r="X56" s="1438"/>
      <c r="Y56" s="852"/>
      <c r="Z56" s="852"/>
      <c r="AA56" s="1070"/>
      <c r="AB56" s="1070"/>
      <c r="AC56" s="1066" t="str">
        <f>IF(T56="","",INDEX(CFLEFF[Eff Watt 1],MATCH(T56,CFLEFF[Eff Desc 1],0)))</f>
        <v/>
      </c>
      <c r="AD56" s="1066"/>
      <c r="AE56" s="1451"/>
      <c r="AF56" s="1452"/>
      <c r="AG56" s="1466"/>
      <c r="AH56" s="857"/>
      <c r="AI56" s="857"/>
      <c r="AJ56" s="1467"/>
      <c r="AK56" s="1453" t="str">
        <f t="shared" ref="AK56" si="132">IF(OR(C56="",F56="",K56="",N56="",P56="",R56="",X56="",AA56="",AC56="",AG56="",AI56=""),"",ROUND((AG56+AI56)*AA56,2))</f>
        <v/>
      </c>
      <c r="AL56" s="1454"/>
      <c r="AM56" s="1454"/>
      <c r="AN56" s="1448"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c r="AO56" s="1449"/>
      <c r="AP56" s="1449"/>
      <c r="AQ56" s="1450"/>
      <c r="AU56" s="1434" t="str">
        <f>IFERROR(IF(OR(C56="",H56="",K56="",N56="",P56="",R56="",T56="",X56="",AA56="",AC56="",AG56="",AI56=""),"",((1+ELOSS)*PEAKTD*(1+INDEX(ELECCB[Capacity Reserve Margin],MATCH(15,ELECCB[Year Number],0)))*((AZ56*INDEX(ELECCB[NPV AEC $/kWh],MATCH(15,ELECCB[Year Number],0)))+(AV56*INDEX(ELECCB[NPV ACC+T&amp;D $/kW],MATCH(15,ELECCB[Year Number],0))))/AK56)),0)</f>
        <v/>
      </c>
      <c r="AV56" s="752" t="str">
        <f>IF(OR(C56="",H56="",K56="",N56="",P56="",R56="",T56="",X56="",AA56="",AC56="",AG56="",AI56=""),"",IF((N56*P56)&lt;=(AA56*AC56),"0",ROUND(AZ56*INDEX(ENDUSEALL[Factor],MATCH(INDEX(CMELIGHT[End Use Category],MATCH(F56,CMELIGHT[Proj Desc 1],0)),ENDUSEALL[End Use to Coincident Peak Demand Factors],0)),4)))</f>
        <v/>
      </c>
      <c r="AW56" s="802" t="str">
        <f t="shared" ref="AW56" si="133">IF(OR(C56="",F56="",H56="",K56="",N56="",P56="",R56="",T56="",X56="",AA56="",AC56="",AG56="",AI56=""),"",IF(ISNUMBER(SEARCH("Incandescent",H56)),(0.24*P56)*R56*N56/1000,IF(ISNUMBER(SEARCH("Halogen",H56)),(0.34*P56)*R56*N56/1000,N56*P56*R56/1000)))</f>
        <v/>
      </c>
      <c r="AX56" s="802" t="str">
        <f t="shared" ref="AX56" si="134">IF(OR(C56="",F56="",H56="",K56="",N56="",P56="",R56="",T56="",X56="",AA56="",AC56="",AG56="",AI56=""),"",AA56*AC56*R56/1000)</f>
        <v/>
      </c>
      <c r="AY56" s="1463" t="str">
        <f>IF(OR(C56="",F56="",H56="",K56="",N56="",P56="",R56="",T56="",X56="",AA56="",AC56="",AG56="",AI56=""),"",CONCATENATE(INDEX(CMLIGHTEFF[Measure Number],MATCH(T56,CMLIGHTEFF[Eff Desc 1],0)),INDEX(CMLIGHTBASE[Measure Number],MATCH(H56,CMLIGHTBASE[Base Desc 1],0))))</f>
        <v/>
      </c>
      <c r="AZ56" s="802" t="str">
        <f>IF(OR(C56="",F56="",H56="",K56="",N56="",P56="",R56="",T56="",X56="",AA56="",AC56="",AG56="",AI56=""),"",ROUND(IF((N56*P56)&lt;=(AA56*AC56),"0",IF(AND(F56="Interior", M02S02F32&lt;&gt;""),INDEX(SPACEHEAT[HIF],MATCH(M02S02F32,SHEAT,0))*(AW56-AX56),IF(AND(ISNUMBER(SEARCH("24/7",F56)),M02S02F32&lt;&gt;""),(AW56-AX56),(AW56-AX56)))),0))</f>
        <v/>
      </c>
      <c r="BA56" s="1464" t="str">
        <f t="shared" ref="BA56" si="135">IF(OR(C56="",F56="",H56="",K56="",N56="",P56="",R56="",T56="",X56="",AA56="",AC56="",AG56="",AI56=""),"",IF((N56*P56)&lt;=(AA56*AC56),"0",ROUND(((N56*P56)-(AA56*AC56))/1000,3)))</f>
        <v/>
      </c>
      <c r="BB56" s="1461" t="str">
        <f>IFERROR(AK56/M02S02F35/AZ56,"")</f>
        <v/>
      </c>
      <c r="BC56" s="1461" t="str">
        <f>IFERROR(IF(OR(T56="CFL"),MEASUREELI,IF((N56*P56)&lt;=(AA56*AC56),MEASURESAVE,IF(M02S02F35="",MEASURERATE,IF(AK56/M02S02F35/AZ56&lt;1,MEASUREPAY,IF(AU56&lt;1,MEASURECB, IF(AND(ISNUMBER(SEARCH("24/7",F56)),R56&lt;8500),"Check Location and Hours",IF(AND(ISNUMBER(SEARCH("Dusk to Dawn",F56)),R56&gt;=8500,R56&lt;=8760),"Check Location and Hours",""))))))),MEASURESUBMIT)</f>
        <v>Submit for Review</v>
      </c>
      <c r="BD56" s="1461">
        <f>IF(ISNUMBER(SEARCH("24/7",H56)),AK56/(AZ56*INDEX(CMLIGHTEFF[Inc Rate Exterior],MATCH(T56,CMLIGHTEFF[Eff Desc 1],0))),0)</f>
        <v>0</v>
      </c>
      <c r="BE56" s="1461">
        <f>IFERROR(IF(ISNUMBER(SEARCH("24/7",H56)),0,AK56/(AZ56*INDEX(CMLIGHTEFF[Inc Rate],MATCH(T56,CMLIGHTEFF[Eff Desc 1],0)))),0)</f>
        <v>0</v>
      </c>
      <c r="BF56" s="1461" t="str">
        <f t="shared" ref="BF56" si="136">IF(AND(ISNUMBER(AN56),OR(AND(BD56&lt;&gt;0,BD56&lt;2),AND(BE56&lt;&gt;0,BE56&lt;2))),"50% Cost","")</f>
        <v/>
      </c>
      <c r="BG56" s="1432">
        <f>IF(M02S02F32&lt;&gt;"",INDEX(SPACEHEAT[HIF],MATCH(M02S02F32,SHEAT,0)),1)</f>
        <v>1</v>
      </c>
      <c r="BH56" s="1367">
        <f t="shared" ref="BH56" si="137">IFERROR(ROUND(BJ56*1.1,2),0)</f>
        <v>0</v>
      </c>
      <c r="BI56" s="1367" t="str">
        <f>IF(M02S02F44="","Update Install Status",IF(M02S02F44="Yes","Not Eligible if Pre-Purchased",IF(M02S02F49="Yes","Use New Load",IF(OR(C56="",F56="",H56="",K56="",N56="",P56="",R56="",T56="",X56="",AA56="",AC56="",AG56="",AI56="",AE56=""),"",IF(BC56&lt;&gt;"",BC56,ROUND(BH56*BONUSADJ,2))))))</f>
        <v>Update Install Status</v>
      </c>
      <c r="BJ56" s="1367" t="str">
        <f>IF(M02S02F44="","Update Install Status",IF(M02S02F44="Yes","Not Eligible if Pre-Purchased",IF(M02S02F49="Yes","Use New Load",IF(OR(C56="",F56="",H56="",K56="",N56="",P56="",R56="",T56="",X56="",AA56="",AC56="",AG56="",AI56="",AE56=""),"",IF(BC56&lt;&gt;"",BC56,IF(OR(F56="Exterior 24/7",F56="Garage 24/7"),ROUND(MIN(AK56*0.5,AZ56*INDEX(CMLIGHTEFF[Inc Rate Exterior],MATCH(T56,CMLIGHTEFF[Eff Desc 1],0))),2),ROUND(MIN(AK56*0.5,AZ56*INDEX(CMLIGHTEFF[Inc Rate],MATCH(T56,CMLIGHTEFF[Eff Desc 1],0))),2)))))))</f>
        <v>Update Install Status</v>
      </c>
    </row>
    <row r="57" spans="2:62" ht="15.95" customHeight="1" x14ac:dyDescent="0.25">
      <c r="B57" s="873"/>
      <c r="C57" s="824"/>
      <c r="D57" s="825"/>
      <c r="E57" s="826"/>
      <c r="F57" s="1442"/>
      <c r="G57" s="1443"/>
      <c r="H57" s="824"/>
      <c r="I57" s="825"/>
      <c r="J57" s="826"/>
      <c r="K57" s="852"/>
      <c r="L57" s="852"/>
      <c r="M57" s="852"/>
      <c r="N57" s="1070"/>
      <c r="O57" s="1070"/>
      <c r="P57" s="1066"/>
      <c r="Q57" s="1447"/>
      <c r="R57" s="1445"/>
      <c r="S57" s="1446"/>
      <c r="T57" s="1228"/>
      <c r="U57" s="852"/>
      <c r="V57" s="852"/>
      <c r="W57" s="852"/>
      <c r="X57" s="852"/>
      <c r="Y57" s="852"/>
      <c r="Z57" s="852"/>
      <c r="AA57" s="1070"/>
      <c r="AB57" s="1070"/>
      <c r="AC57" s="1066"/>
      <c r="AD57" s="1066"/>
      <c r="AE57" s="1139"/>
      <c r="AF57" s="1452"/>
      <c r="AG57" s="1466"/>
      <c r="AH57" s="857"/>
      <c r="AI57" s="857"/>
      <c r="AJ57" s="1467"/>
      <c r="AK57" s="1453"/>
      <c r="AL57" s="1454"/>
      <c r="AM57" s="1454"/>
      <c r="AN57" s="1448"/>
      <c r="AO57" s="1449"/>
      <c r="AP57" s="1449"/>
      <c r="AQ57" s="1450"/>
      <c r="AU57" s="1435"/>
      <c r="AV57" s="753"/>
      <c r="AW57" s="803"/>
      <c r="AX57" s="803"/>
      <c r="AY57" s="751"/>
      <c r="AZ57" s="803"/>
      <c r="BA57" s="1465"/>
      <c r="BB57" s="1462"/>
      <c r="BC57" s="1462"/>
      <c r="BD57" s="1462"/>
      <c r="BE57" s="1462"/>
      <c r="BF57" s="1462"/>
      <c r="BG57" s="1433"/>
      <c r="BH57" s="1367"/>
      <c r="BI57" s="1367"/>
      <c r="BJ57" s="1367"/>
    </row>
    <row r="58" spans="2:62" ht="15.95" customHeight="1" x14ac:dyDescent="0.25">
      <c r="B58" s="873">
        <v>22</v>
      </c>
      <c r="C58" s="1468"/>
      <c r="D58" s="822"/>
      <c r="E58" s="823"/>
      <c r="F58" s="1440" t="s">
        <v>560</v>
      </c>
      <c r="G58" s="1441"/>
      <c r="H58" s="842"/>
      <c r="I58" s="822"/>
      <c r="J58" s="823"/>
      <c r="K58" s="1438"/>
      <c r="L58" s="852"/>
      <c r="M58" s="852"/>
      <c r="N58" s="1070"/>
      <c r="O58" s="1070"/>
      <c r="P58" s="1066" t="str">
        <f>IF(H58="","",INDEX(CMLIGHTBASE[Base Watt 1],MATCH(H58,CMLIGHTBASE[Base Desc 1],0)))</f>
        <v/>
      </c>
      <c r="Q58" s="1447"/>
      <c r="R58" s="1445" t="str">
        <f t="shared" ref="R58" si="138">IF(ISNUMBER(SEARCH("24/7",F58)),8760, IF(ISNUMBER(SEARCH("Dusk to Dawn", F58)),4380,""))</f>
        <v/>
      </c>
      <c r="S58" s="1446"/>
      <c r="T58" s="1228"/>
      <c r="U58" s="852"/>
      <c r="V58" s="852"/>
      <c r="W58" s="852"/>
      <c r="X58" s="1438"/>
      <c r="Y58" s="852"/>
      <c r="Z58" s="852"/>
      <c r="AA58" s="1070"/>
      <c r="AB58" s="1070"/>
      <c r="AC58" s="1066" t="str">
        <f>IF(T58="","",INDEX(CFLEFF[Eff Watt 1],MATCH(T58,CFLEFF[Eff Desc 1],0)))</f>
        <v/>
      </c>
      <c r="AD58" s="1066"/>
      <c r="AE58" s="1451"/>
      <c r="AF58" s="1452"/>
      <c r="AG58" s="1466"/>
      <c r="AH58" s="857"/>
      <c r="AI58" s="857"/>
      <c r="AJ58" s="1467"/>
      <c r="AK58" s="1453" t="str">
        <f t="shared" ref="AK58" si="139">IF(OR(C58="",F58="",K58="",N58="",P58="",R58="",X58="",AA58="",AC58="",AG58="",AI58=""),"",ROUND((AG58+AI58)*AA58,2))</f>
        <v/>
      </c>
      <c r="AL58" s="1454"/>
      <c r="AM58" s="1454"/>
      <c r="AN58" s="1448"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c r="AO58" s="1449"/>
      <c r="AP58" s="1449"/>
      <c r="AQ58" s="1450"/>
      <c r="AU58" s="1434" t="str">
        <f>IFERROR(IF(OR(C58="",H58="",K58="",N58="",P58="",R58="",T58="",X58="",AA58="",AC58="",AG58="",AI58=""),"",((1+ELOSS)*PEAKTD*(1+INDEX(ELECCB[Capacity Reserve Margin],MATCH(15,ELECCB[Year Number],0)))*((AZ58*INDEX(ELECCB[NPV AEC $/kWh],MATCH(15,ELECCB[Year Number],0)))+(AV58*INDEX(ELECCB[NPV ACC+T&amp;D $/kW],MATCH(15,ELECCB[Year Number],0))))/AK58)),0)</f>
        <v/>
      </c>
      <c r="AV58" s="752" t="str">
        <f>IF(OR(C58="",H58="",K58="",N58="",P58="",R58="",T58="",X58="",AA58="",AC58="",AG58="",AI58=""),"",IF((N58*P58)&lt;=(AA58*AC58),"0",ROUND(AZ58*INDEX(ENDUSEALL[Factor],MATCH(INDEX(CMELIGHT[End Use Category],MATCH(F58,CMELIGHT[Proj Desc 1],0)),ENDUSEALL[End Use to Coincident Peak Demand Factors],0)),4)))</f>
        <v/>
      </c>
      <c r="AW58" s="802" t="str">
        <f t="shared" ref="AW58" si="140">IF(OR(C58="",F58="",H58="",K58="",N58="",P58="",R58="",T58="",X58="",AA58="",AC58="",AG58="",AI58=""),"",IF(ISNUMBER(SEARCH("Incandescent",H58)),(0.24*P58)*R58*N58/1000,IF(ISNUMBER(SEARCH("Halogen",H58)),(0.34*P58)*R58*N58/1000,N58*P58*R58/1000)))</f>
        <v/>
      </c>
      <c r="AX58" s="802" t="str">
        <f t="shared" ref="AX58" si="141">IF(OR(C58="",F58="",H58="",K58="",N58="",P58="",R58="",T58="",X58="",AA58="",AC58="",AG58="",AI58=""),"",AA58*AC58*R58/1000)</f>
        <v/>
      </c>
      <c r="AY58" s="1463" t="str">
        <f>IF(OR(C58="",F58="",H58="",K58="",N58="",P58="",R58="",T58="",X58="",AA58="",AC58="",AG58="",AI58=""),"",CONCATENATE(INDEX(CMLIGHTEFF[Measure Number],MATCH(T58,CMLIGHTEFF[Eff Desc 1],0)),INDEX(CMLIGHTBASE[Measure Number],MATCH(H58,CMLIGHTBASE[Base Desc 1],0))))</f>
        <v/>
      </c>
      <c r="AZ58" s="802" t="str">
        <f>IF(OR(C58="",F58="",H58="",K58="",N58="",P58="",R58="",T58="",X58="",AA58="",AC58="",AG58="",AI58=""),"",ROUND(IF((N58*P58)&lt;=(AA58*AC58),"0",IF(AND(F58="Interior", M02S02F32&lt;&gt;""),INDEX(SPACEHEAT[HIF],MATCH(M02S02F32,SHEAT,0))*(AW58-AX58),IF(AND(ISNUMBER(SEARCH("24/7",F58)),M02S02F32&lt;&gt;""),(AW58-AX58),(AW58-AX58)))),0))</f>
        <v/>
      </c>
      <c r="BA58" s="1464" t="str">
        <f t="shared" ref="BA58" si="142">IF(OR(C58="",F58="",H58="",K58="",N58="",P58="",R58="",T58="",X58="",AA58="",AC58="",AG58="",AI58=""),"",IF((N58*P58)&lt;=(AA58*AC58),"0",ROUND(((N58*P58)-(AA58*AC58))/1000,3)))</f>
        <v/>
      </c>
      <c r="BB58" s="1461" t="str">
        <f>IFERROR(AK58/M02S02F35/AZ58,"")</f>
        <v/>
      </c>
      <c r="BC58" s="1461" t="str">
        <f>IFERROR(IF(OR(T58="CFL"),MEASUREELI,IF((N58*P58)&lt;=(AA58*AC58),MEASURESAVE,IF(M02S02F35="",MEASURERATE,IF(AK58/M02S02F35/AZ58&lt;1,MEASUREPAY,IF(AU58&lt;1,MEASURECB, IF(AND(ISNUMBER(SEARCH("24/7",F58)),R58&lt;8500),"Check Location and Hours",IF(AND(ISNUMBER(SEARCH("Dusk to Dawn",F58)),R58&gt;=8500,R58&lt;=8760),"Check Location and Hours",""))))))),MEASURESUBMIT)</f>
        <v>Submit for Review</v>
      </c>
      <c r="BD58" s="1461">
        <f>IF(ISNUMBER(SEARCH("24/7",H58)),AK58/(AZ58*INDEX(CMLIGHTEFF[Inc Rate Exterior],MATCH(T58,CMLIGHTEFF[Eff Desc 1],0))),0)</f>
        <v>0</v>
      </c>
      <c r="BE58" s="1461">
        <f>IFERROR(IF(ISNUMBER(SEARCH("24/7",H58)),0,AK58/(AZ58*INDEX(CMLIGHTEFF[Inc Rate],MATCH(T58,CMLIGHTEFF[Eff Desc 1],0)))),0)</f>
        <v>0</v>
      </c>
      <c r="BF58" s="1461" t="str">
        <f t="shared" ref="BF58" si="143">IF(AND(ISNUMBER(AN58),OR(AND(BD58&lt;&gt;0,BD58&lt;2),AND(BE58&lt;&gt;0,BE58&lt;2))),"50% Cost","")</f>
        <v/>
      </c>
      <c r="BG58" s="1432">
        <f>IF(M02S02F32&lt;&gt;"",INDEX(SPACEHEAT[HIF],MATCH(M02S02F32,SHEAT,0)),1)</f>
        <v>1</v>
      </c>
      <c r="BH58" s="1367">
        <f t="shared" ref="BH58" si="144">IFERROR(ROUND(BJ58*1.1,2),0)</f>
        <v>0</v>
      </c>
      <c r="BI58" s="1367" t="str">
        <f>IF(M02S02F44="","Update Install Status",IF(M02S02F44="Yes","Not Eligible if Pre-Purchased",IF(M02S02F49="Yes","Use New Load",IF(OR(C58="",F58="",H58="",K58="",N58="",P58="",R58="",T58="",X58="",AA58="",AC58="",AG58="",AI58="",AE58=""),"",IF(BC58&lt;&gt;"",BC58,ROUND(BH58*BONUSADJ,2))))))</f>
        <v>Update Install Status</v>
      </c>
      <c r="BJ58" s="1367" t="str">
        <f>IF(M02S02F44="","Update Install Status",IF(M02S02F44="Yes","Not Eligible if Pre-Purchased",IF(M02S02F49="Yes","Use New Load",IF(OR(C58="",F58="",H58="",K58="",N58="",P58="",R58="",T58="",X58="",AA58="",AC58="",AG58="",AI58="",AE58=""),"",IF(BC58&lt;&gt;"",BC58,IF(OR(F58="Exterior 24/7",F58="Garage 24/7"),ROUND(MIN(AK58*0.5,AZ58*INDEX(CMLIGHTEFF[Inc Rate Exterior],MATCH(T58,CMLIGHTEFF[Eff Desc 1],0))),2),ROUND(MIN(AK58*0.5,AZ58*INDEX(CMLIGHTEFF[Inc Rate],MATCH(T58,CMLIGHTEFF[Eff Desc 1],0))),2)))))))</f>
        <v>Update Install Status</v>
      </c>
    </row>
    <row r="59" spans="2:62" ht="15.95" customHeight="1" x14ac:dyDescent="0.25">
      <c r="B59" s="873"/>
      <c r="C59" s="824"/>
      <c r="D59" s="825"/>
      <c r="E59" s="826"/>
      <c r="F59" s="1442"/>
      <c r="G59" s="1443"/>
      <c r="H59" s="824"/>
      <c r="I59" s="825"/>
      <c r="J59" s="826"/>
      <c r="K59" s="852"/>
      <c r="L59" s="852"/>
      <c r="M59" s="852"/>
      <c r="N59" s="1070"/>
      <c r="O59" s="1070"/>
      <c r="P59" s="1066"/>
      <c r="Q59" s="1447"/>
      <c r="R59" s="1445"/>
      <c r="S59" s="1446"/>
      <c r="T59" s="1228"/>
      <c r="U59" s="852"/>
      <c r="V59" s="852"/>
      <c r="W59" s="852"/>
      <c r="X59" s="852"/>
      <c r="Y59" s="852"/>
      <c r="Z59" s="852"/>
      <c r="AA59" s="1070"/>
      <c r="AB59" s="1070"/>
      <c r="AC59" s="1066"/>
      <c r="AD59" s="1066"/>
      <c r="AE59" s="1139"/>
      <c r="AF59" s="1452"/>
      <c r="AG59" s="1466"/>
      <c r="AH59" s="857"/>
      <c r="AI59" s="857"/>
      <c r="AJ59" s="1467"/>
      <c r="AK59" s="1453"/>
      <c r="AL59" s="1454"/>
      <c r="AM59" s="1454"/>
      <c r="AN59" s="1448"/>
      <c r="AO59" s="1449"/>
      <c r="AP59" s="1449"/>
      <c r="AQ59" s="1450"/>
      <c r="AU59" s="1435"/>
      <c r="AV59" s="753"/>
      <c r="AW59" s="803"/>
      <c r="AX59" s="803"/>
      <c r="AY59" s="751"/>
      <c r="AZ59" s="803"/>
      <c r="BA59" s="1465"/>
      <c r="BB59" s="1462"/>
      <c r="BC59" s="1462"/>
      <c r="BD59" s="1462"/>
      <c r="BE59" s="1462"/>
      <c r="BF59" s="1462"/>
      <c r="BG59" s="1433"/>
      <c r="BH59" s="1367"/>
      <c r="BI59" s="1367"/>
      <c r="BJ59" s="1367"/>
    </row>
    <row r="60" spans="2:62" ht="15.95" customHeight="1" x14ac:dyDescent="0.25">
      <c r="B60" s="873">
        <v>23</v>
      </c>
      <c r="C60" s="1468"/>
      <c r="D60" s="822"/>
      <c r="E60" s="823"/>
      <c r="F60" s="1440" t="s">
        <v>560</v>
      </c>
      <c r="G60" s="1441"/>
      <c r="H60" s="842"/>
      <c r="I60" s="822"/>
      <c r="J60" s="823"/>
      <c r="K60" s="1438"/>
      <c r="L60" s="852"/>
      <c r="M60" s="852"/>
      <c r="N60" s="1070"/>
      <c r="O60" s="1070"/>
      <c r="P60" s="1066" t="str">
        <f>IF(H60="","",INDEX(CMLIGHTBASE[Base Watt 1],MATCH(H60,CMLIGHTBASE[Base Desc 1],0)))</f>
        <v/>
      </c>
      <c r="Q60" s="1447"/>
      <c r="R60" s="1445" t="str">
        <f t="shared" ref="R60" si="145">IF(ISNUMBER(SEARCH("24/7",F60)),8760, IF(ISNUMBER(SEARCH("Dusk to Dawn", F60)),4380,""))</f>
        <v/>
      </c>
      <c r="S60" s="1446"/>
      <c r="T60" s="1228"/>
      <c r="U60" s="852"/>
      <c r="V60" s="852"/>
      <c r="W60" s="852"/>
      <c r="X60" s="1438"/>
      <c r="Y60" s="852"/>
      <c r="Z60" s="852"/>
      <c r="AA60" s="1070"/>
      <c r="AB60" s="1070"/>
      <c r="AC60" s="1066" t="str">
        <f>IF(T60="","",INDEX(CFLEFF[Eff Watt 1],MATCH(T60,CFLEFF[Eff Desc 1],0)))</f>
        <v/>
      </c>
      <c r="AD60" s="1066"/>
      <c r="AE60" s="1451"/>
      <c r="AF60" s="1452"/>
      <c r="AG60" s="1466"/>
      <c r="AH60" s="857"/>
      <c r="AI60" s="857"/>
      <c r="AJ60" s="1467"/>
      <c r="AK60" s="1453" t="str">
        <f t="shared" ref="AK60" si="146">IF(OR(C60="",F60="",K60="",N60="",P60="",R60="",X60="",AA60="",AC60="",AG60="",AI60=""),"",ROUND((AG60+AI60)*AA60,2))</f>
        <v/>
      </c>
      <c r="AL60" s="1454"/>
      <c r="AM60" s="1454"/>
      <c r="AN60" s="1448"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c r="AO60" s="1449"/>
      <c r="AP60" s="1449"/>
      <c r="AQ60" s="1450"/>
      <c r="AU60" s="1434" t="str">
        <f>IFERROR(IF(OR(C60="",H60="",K60="",N60="",P60="",R60="",T60="",X60="",AA60="",AC60="",AG60="",AI60=""),"",((1+ELOSS)*PEAKTD*(1+INDEX(ELECCB[Capacity Reserve Margin],MATCH(15,ELECCB[Year Number],0)))*((AZ60*INDEX(ELECCB[NPV AEC $/kWh],MATCH(15,ELECCB[Year Number],0)))+(AV60*INDEX(ELECCB[NPV ACC+T&amp;D $/kW],MATCH(15,ELECCB[Year Number],0))))/AK60)),0)</f>
        <v/>
      </c>
      <c r="AV60" s="752" t="str">
        <f>IF(OR(C60="",H60="",K60="",N60="",P60="",R60="",T60="",X60="",AA60="",AC60="",AG60="",AI60=""),"",IF((N60*P60)&lt;=(AA60*AC60),"0",ROUND(AZ60*INDEX(ENDUSEALL[Factor],MATCH(INDEX(CMELIGHT[End Use Category],MATCH(F60,CMELIGHT[Proj Desc 1],0)),ENDUSEALL[End Use to Coincident Peak Demand Factors],0)),4)))</f>
        <v/>
      </c>
      <c r="AW60" s="802" t="str">
        <f t="shared" ref="AW60" si="147">IF(OR(C60="",F60="",H60="",K60="",N60="",P60="",R60="",T60="",X60="",AA60="",AC60="",AG60="",AI60=""),"",IF(ISNUMBER(SEARCH("Incandescent",H60)),(0.24*P60)*R60*N60/1000,IF(ISNUMBER(SEARCH("Halogen",H60)),(0.34*P60)*R60*N60/1000,N60*P60*R60/1000)))</f>
        <v/>
      </c>
      <c r="AX60" s="802" t="str">
        <f t="shared" ref="AX60" si="148">IF(OR(C60="",F60="",H60="",K60="",N60="",P60="",R60="",T60="",X60="",AA60="",AC60="",AG60="",AI60=""),"",AA60*AC60*R60/1000)</f>
        <v/>
      </c>
      <c r="AY60" s="1463" t="str">
        <f>IF(OR(C60="",F60="",H60="",K60="",N60="",P60="",R60="",T60="",X60="",AA60="",AC60="",AG60="",AI60=""),"",CONCATENATE(INDEX(CMLIGHTEFF[Measure Number],MATCH(T60,CMLIGHTEFF[Eff Desc 1],0)),INDEX(CMLIGHTBASE[Measure Number],MATCH(H60,CMLIGHTBASE[Base Desc 1],0))))</f>
        <v/>
      </c>
      <c r="AZ60" s="802" t="str">
        <f>IF(OR(C60="",F60="",H60="",K60="",N60="",P60="",R60="",T60="",X60="",AA60="",AC60="",AG60="",AI60=""),"",ROUND(IF((N60*P60)&lt;=(AA60*AC60),"0",IF(AND(F60="Interior", M02S02F32&lt;&gt;""),INDEX(SPACEHEAT[HIF],MATCH(M02S02F32,SHEAT,0))*(AW60-AX60),IF(AND(ISNUMBER(SEARCH("24/7",F60)),M02S02F32&lt;&gt;""),(AW60-AX60),(AW60-AX60)))),0))</f>
        <v/>
      </c>
      <c r="BA60" s="1464" t="str">
        <f t="shared" ref="BA60" si="149">IF(OR(C60="",F60="",H60="",K60="",N60="",P60="",R60="",T60="",X60="",AA60="",AC60="",AG60="",AI60=""),"",IF((N60*P60)&lt;=(AA60*AC60),"0",ROUND(((N60*P60)-(AA60*AC60))/1000,3)))</f>
        <v/>
      </c>
      <c r="BB60" s="1461" t="str">
        <f>IFERROR(AK60/M02S02F35/AZ60,"")</f>
        <v/>
      </c>
      <c r="BC60" s="1461" t="str">
        <f>IFERROR(IF(OR(T60="CFL"),MEASUREELI,IF((N60*P60)&lt;=(AA60*AC60),MEASURESAVE,IF(M02S02F35="",MEASURERATE,IF(AK60/M02S02F35/AZ60&lt;1,MEASUREPAY,IF(AU60&lt;1,MEASURECB, IF(AND(ISNUMBER(SEARCH("24/7",F60)),R60&lt;8500),"Check Location and Hours",IF(AND(ISNUMBER(SEARCH("Dusk to Dawn",F60)),R60&gt;=8500,R60&lt;=8760),"Check Location and Hours",""))))))),MEASURESUBMIT)</f>
        <v>Submit for Review</v>
      </c>
      <c r="BD60" s="1461">
        <f>IF(ISNUMBER(SEARCH("24/7",H60)),AK60/(AZ60*INDEX(CMLIGHTEFF[Inc Rate Exterior],MATCH(T60,CMLIGHTEFF[Eff Desc 1],0))),0)</f>
        <v>0</v>
      </c>
      <c r="BE60" s="1461">
        <f>IFERROR(IF(ISNUMBER(SEARCH("24/7",H60)),0,AK60/(AZ60*INDEX(CMLIGHTEFF[Inc Rate],MATCH(T60,CMLIGHTEFF[Eff Desc 1],0)))),0)</f>
        <v>0</v>
      </c>
      <c r="BF60" s="1461" t="str">
        <f t="shared" ref="BF60" si="150">IF(AND(ISNUMBER(AN60),OR(AND(BD60&lt;&gt;0,BD60&lt;2),AND(BE60&lt;&gt;0,BE60&lt;2))),"50% Cost","")</f>
        <v/>
      </c>
      <c r="BG60" s="1432">
        <f>IF(M02S02F32&lt;&gt;"",INDEX(SPACEHEAT[HIF],MATCH(M02S02F32,SHEAT,0)),1)</f>
        <v>1</v>
      </c>
      <c r="BH60" s="1367">
        <f t="shared" ref="BH60" si="151">IFERROR(ROUND(BJ60*1.1,2),0)</f>
        <v>0</v>
      </c>
      <c r="BI60" s="1367" t="str">
        <f>IF(M02S02F44="","Update Install Status",IF(M02S02F44="Yes","Not Eligible if Pre-Purchased",IF(M02S02F49="Yes","Use New Load",IF(OR(C60="",F60="",H60="",K60="",N60="",P60="",R60="",T60="",X60="",AA60="",AC60="",AG60="",AI60="",AE60=""),"",IF(BC60&lt;&gt;"",BC60,ROUND(BH60*BONUSADJ,2))))))</f>
        <v>Update Install Status</v>
      </c>
      <c r="BJ60" s="1367" t="str">
        <f>IF(M02S02F44="","Update Install Status",IF(M02S02F44="Yes","Not Eligible if Pre-Purchased",IF(M02S02F49="Yes","Use New Load",IF(OR(C60="",F60="",H60="",K60="",N60="",P60="",R60="",T60="",X60="",AA60="",AC60="",AG60="",AI60="",AE60=""),"",IF(BC60&lt;&gt;"",BC60,IF(OR(F60="Exterior 24/7",F60="Garage 24/7"),ROUND(MIN(AK60*0.5,AZ60*INDEX(CMLIGHTEFF[Inc Rate Exterior],MATCH(T60,CMLIGHTEFF[Eff Desc 1],0))),2),ROUND(MIN(AK60*0.5,AZ60*INDEX(CMLIGHTEFF[Inc Rate],MATCH(T60,CMLIGHTEFF[Eff Desc 1],0))),2)))))))</f>
        <v>Update Install Status</v>
      </c>
    </row>
    <row r="61" spans="2:62" ht="15.95" customHeight="1" x14ac:dyDescent="0.25">
      <c r="B61" s="873"/>
      <c r="C61" s="824"/>
      <c r="D61" s="825"/>
      <c r="E61" s="826"/>
      <c r="F61" s="1442"/>
      <c r="G61" s="1443"/>
      <c r="H61" s="824"/>
      <c r="I61" s="825"/>
      <c r="J61" s="826"/>
      <c r="K61" s="852"/>
      <c r="L61" s="852"/>
      <c r="M61" s="852"/>
      <c r="N61" s="1070"/>
      <c r="O61" s="1070"/>
      <c r="P61" s="1066"/>
      <c r="Q61" s="1447"/>
      <c r="R61" s="1445"/>
      <c r="S61" s="1446"/>
      <c r="T61" s="1228"/>
      <c r="U61" s="852"/>
      <c r="V61" s="852"/>
      <c r="W61" s="852"/>
      <c r="X61" s="852"/>
      <c r="Y61" s="852"/>
      <c r="Z61" s="852"/>
      <c r="AA61" s="1070"/>
      <c r="AB61" s="1070"/>
      <c r="AC61" s="1066"/>
      <c r="AD61" s="1066"/>
      <c r="AE61" s="1139"/>
      <c r="AF61" s="1452"/>
      <c r="AG61" s="1466"/>
      <c r="AH61" s="857"/>
      <c r="AI61" s="857"/>
      <c r="AJ61" s="1467"/>
      <c r="AK61" s="1453"/>
      <c r="AL61" s="1454"/>
      <c r="AM61" s="1454"/>
      <c r="AN61" s="1448"/>
      <c r="AO61" s="1449"/>
      <c r="AP61" s="1449"/>
      <c r="AQ61" s="1450"/>
      <c r="AU61" s="1435"/>
      <c r="AV61" s="753"/>
      <c r="AW61" s="803"/>
      <c r="AX61" s="803"/>
      <c r="AY61" s="751"/>
      <c r="AZ61" s="803"/>
      <c r="BA61" s="1465"/>
      <c r="BB61" s="1462"/>
      <c r="BC61" s="1462"/>
      <c r="BD61" s="1462"/>
      <c r="BE61" s="1462"/>
      <c r="BF61" s="1462"/>
      <c r="BG61" s="1433"/>
      <c r="BH61" s="1367"/>
      <c r="BI61" s="1367"/>
      <c r="BJ61" s="1367"/>
    </row>
    <row r="62" spans="2:62" ht="15.95" customHeight="1" x14ac:dyDescent="0.25">
      <c r="B62" s="873">
        <v>24</v>
      </c>
      <c r="C62" s="1468"/>
      <c r="D62" s="822"/>
      <c r="E62" s="823"/>
      <c r="F62" s="1440" t="s">
        <v>560</v>
      </c>
      <c r="G62" s="1441"/>
      <c r="H62" s="842"/>
      <c r="I62" s="822"/>
      <c r="J62" s="823"/>
      <c r="K62" s="1438"/>
      <c r="L62" s="852"/>
      <c r="M62" s="852"/>
      <c r="N62" s="1070"/>
      <c r="O62" s="1070"/>
      <c r="P62" s="1066" t="str">
        <f>IF(H62="","",INDEX(CMLIGHTBASE[Base Watt 1],MATCH(H62,CMLIGHTBASE[Base Desc 1],0)))</f>
        <v/>
      </c>
      <c r="Q62" s="1447"/>
      <c r="R62" s="1445" t="str">
        <f t="shared" ref="R62" si="152">IF(ISNUMBER(SEARCH("24/7",F62)),8760, IF(ISNUMBER(SEARCH("Dusk to Dawn", F62)),4380,""))</f>
        <v/>
      </c>
      <c r="S62" s="1446"/>
      <c r="T62" s="1228"/>
      <c r="U62" s="852"/>
      <c r="V62" s="852"/>
      <c r="W62" s="852"/>
      <c r="X62" s="1438"/>
      <c r="Y62" s="852"/>
      <c r="Z62" s="852"/>
      <c r="AA62" s="1070"/>
      <c r="AB62" s="1070"/>
      <c r="AC62" s="1066" t="str">
        <f>IF(T62="","",INDEX(CFLEFF[Eff Watt 1],MATCH(T62,CFLEFF[Eff Desc 1],0)))</f>
        <v/>
      </c>
      <c r="AD62" s="1066"/>
      <c r="AE62" s="1451"/>
      <c r="AF62" s="1452"/>
      <c r="AG62" s="1466"/>
      <c r="AH62" s="857"/>
      <c r="AI62" s="857"/>
      <c r="AJ62" s="1467"/>
      <c r="AK62" s="1453" t="str">
        <f t="shared" ref="AK62" si="153">IF(OR(C62="",F62="",K62="",N62="",P62="",R62="",X62="",AA62="",AC62="",AG62="",AI62=""),"",ROUND((AG62+AI62)*AA62,2))</f>
        <v/>
      </c>
      <c r="AL62" s="1454"/>
      <c r="AM62" s="1454"/>
      <c r="AN62" s="1448"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c r="AO62" s="1449"/>
      <c r="AP62" s="1449"/>
      <c r="AQ62" s="1450"/>
      <c r="AU62" s="1434" t="str">
        <f>IFERROR(IF(OR(C62="",H62="",K62="",N62="",P62="",R62="",T62="",X62="",AA62="",AC62="",AG62="",AI62=""),"",((1+ELOSS)*PEAKTD*(1+INDEX(ELECCB[Capacity Reserve Margin],MATCH(15,ELECCB[Year Number],0)))*((AZ62*INDEX(ELECCB[NPV AEC $/kWh],MATCH(15,ELECCB[Year Number],0)))+(AV62*INDEX(ELECCB[NPV ACC+T&amp;D $/kW],MATCH(15,ELECCB[Year Number],0))))/AK62)),0)</f>
        <v/>
      </c>
      <c r="AV62" s="752" t="str">
        <f>IF(OR(C62="",H62="",K62="",N62="",P62="",R62="",T62="",X62="",AA62="",AC62="",AG62="",AI62=""),"",IF((N62*P62)&lt;=(AA62*AC62),"0",ROUND(AZ62*INDEX(ENDUSEALL[Factor],MATCH(INDEX(CMELIGHT[End Use Category],MATCH(F62,CMELIGHT[Proj Desc 1],0)),ENDUSEALL[End Use to Coincident Peak Demand Factors],0)),4)))</f>
        <v/>
      </c>
      <c r="AW62" s="802" t="str">
        <f t="shared" ref="AW62" si="154">IF(OR(C62="",F62="",H62="",K62="",N62="",P62="",R62="",T62="",X62="",AA62="",AC62="",AG62="",AI62=""),"",IF(ISNUMBER(SEARCH("Incandescent",H62)),(0.24*P62)*R62*N62/1000,IF(ISNUMBER(SEARCH("Halogen",H62)),(0.34*P62)*R62*N62/1000,N62*P62*R62/1000)))</f>
        <v/>
      </c>
      <c r="AX62" s="802" t="str">
        <f t="shared" ref="AX62" si="155">IF(OR(C62="",F62="",H62="",K62="",N62="",P62="",R62="",T62="",X62="",AA62="",AC62="",AG62="",AI62=""),"",AA62*AC62*R62/1000)</f>
        <v/>
      </c>
      <c r="AY62" s="1463" t="str">
        <f>IF(OR(C62="",F62="",H62="",K62="",N62="",P62="",R62="",T62="",X62="",AA62="",AC62="",AG62="",AI62=""),"",CONCATENATE(INDEX(CMLIGHTEFF[Measure Number],MATCH(T62,CMLIGHTEFF[Eff Desc 1],0)),INDEX(CMLIGHTBASE[Measure Number],MATCH(H62,CMLIGHTBASE[Base Desc 1],0))))</f>
        <v/>
      </c>
      <c r="AZ62" s="802" t="str">
        <f>IF(OR(C62="",F62="",H62="",K62="",N62="",P62="",R62="",T62="",X62="",AA62="",AC62="",AG62="",AI62=""),"",ROUND(IF((N62*P62)&lt;=(AA62*AC62),"0",IF(AND(F62="Interior", M02S02F32&lt;&gt;""),INDEX(SPACEHEAT[HIF],MATCH(M02S02F32,SHEAT,0))*(AW62-AX62),IF(AND(ISNUMBER(SEARCH("24/7",F62)),M02S02F32&lt;&gt;""),(AW62-AX62),(AW62-AX62)))),0))</f>
        <v/>
      </c>
      <c r="BA62" s="1464" t="str">
        <f t="shared" ref="BA62" si="156">IF(OR(C62="",F62="",H62="",K62="",N62="",P62="",R62="",T62="",X62="",AA62="",AC62="",AG62="",AI62=""),"",IF((N62*P62)&lt;=(AA62*AC62),"0",ROUND(((N62*P62)-(AA62*AC62))/1000,3)))</f>
        <v/>
      </c>
      <c r="BB62" s="1461" t="str">
        <f>IFERROR(AK62/M02S02F35/AZ62,"")</f>
        <v/>
      </c>
      <c r="BC62" s="1461" t="str">
        <f>IFERROR(IF(OR(T62="CFL"),MEASUREELI,IF((N62*P62)&lt;=(AA62*AC62),MEASURESAVE,IF(M02S02F35="",MEASURERATE,IF(AK62/M02S02F35/AZ62&lt;1,MEASUREPAY,IF(AU62&lt;1,MEASURECB, IF(AND(ISNUMBER(SEARCH("24/7",F62)),R62&lt;8500),"Check Location and Hours",IF(AND(ISNUMBER(SEARCH("Dusk to Dawn",F62)),R62&gt;=8500,R62&lt;=8760),"Check Location and Hours",""))))))),MEASURESUBMIT)</f>
        <v>Submit for Review</v>
      </c>
      <c r="BD62" s="1461">
        <f>IF(ISNUMBER(SEARCH("24/7",H62)),AK62/(AZ62*INDEX(CMLIGHTEFF[Inc Rate Exterior],MATCH(T62,CMLIGHTEFF[Eff Desc 1],0))),0)</f>
        <v>0</v>
      </c>
      <c r="BE62" s="1461">
        <f>IFERROR(IF(ISNUMBER(SEARCH("24/7",H62)),0,AK62/(AZ62*INDEX(CMLIGHTEFF[Inc Rate],MATCH(T62,CMLIGHTEFF[Eff Desc 1],0)))),0)</f>
        <v>0</v>
      </c>
      <c r="BF62" s="1461" t="str">
        <f t="shared" ref="BF62" si="157">IF(AND(ISNUMBER(AN62),OR(AND(BD62&lt;&gt;0,BD62&lt;2),AND(BE62&lt;&gt;0,BE62&lt;2))),"50% Cost","")</f>
        <v/>
      </c>
      <c r="BG62" s="1432">
        <f>IF(M02S02F32&lt;&gt;"",INDEX(SPACEHEAT[HIF],MATCH(M02S02F32,SHEAT,0)),1)</f>
        <v>1</v>
      </c>
      <c r="BH62" s="1367">
        <f t="shared" ref="BH62" si="158">IFERROR(ROUND(BJ62*1.1,2),0)</f>
        <v>0</v>
      </c>
      <c r="BI62" s="1367" t="str">
        <f>IF(M02S02F44="","Update Install Status",IF(M02S02F44="Yes","Not Eligible if Pre-Purchased",IF(M02S02F49="Yes","Use New Load",IF(OR(C62="",F62="",H62="",K62="",N62="",P62="",R62="",T62="",X62="",AA62="",AC62="",AG62="",AI62="",AE62=""),"",IF(BC62&lt;&gt;"",BC62,ROUND(BH62*BONUSADJ,2))))))</f>
        <v>Update Install Status</v>
      </c>
      <c r="BJ62" s="1367" t="str">
        <f>IF(M02S02F44="","Update Install Status",IF(M02S02F44="Yes","Not Eligible if Pre-Purchased",IF(M02S02F49="Yes","Use New Load",IF(OR(C62="",F62="",H62="",K62="",N62="",P62="",R62="",T62="",X62="",AA62="",AC62="",AG62="",AI62="",AE62=""),"",IF(BC62&lt;&gt;"",BC62,IF(OR(F62="Exterior 24/7",F62="Garage 24/7"),ROUND(MIN(AK62*0.5,AZ62*INDEX(CMLIGHTEFF[Inc Rate Exterior],MATCH(T62,CMLIGHTEFF[Eff Desc 1],0))),2),ROUND(MIN(AK62*0.5,AZ62*INDEX(CMLIGHTEFF[Inc Rate],MATCH(T62,CMLIGHTEFF[Eff Desc 1],0))),2)))))))</f>
        <v>Update Install Status</v>
      </c>
    </row>
    <row r="63" spans="2:62" ht="15.95" customHeight="1" x14ac:dyDescent="0.25">
      <c r="B63" s="873"/>
      <c r="C63" s="824"/>
      <c r="D63" s="825"/>
      <c r="E63" s="826"/>
      <c r="F63" s="1442"/>
      <c r="G63" s="1443"/>
      <c r="H63" s="824"/>
      <c r="I63" s="825"/>
      <c r="J63" s="826"/>
      <c r="K63" s="852"/>
      <c r="L63" s="852"/>
      <c r="M63" s="852"/>
      <c r="N63" s="1070"/>
      <c r="O63" s="1070"/>
      <c r="P63" s="1066"/>
      <c r="Q63" s="1447"/>
      <c r="R63" s="1445"/>
      <c r="S63" s="1446"/>
      <c r="T63" s="1228"/>
      <c r="U63" s="852"/>
      <c r="V63" s="852"/>
      <c r="W63" s="852"/>
      <c r="X63" s="852"/>
      <c r="Y63" s="852"/>
      <c r="Z63" s="852"/>
      <c r="AA63" s="1070"/>
      <c r="AB63" s="1070"/>
      <c r="AC63" s="1066"/>
      <c r="AD63" s="1066"/>
      <c r="AE63" s="1139"/>
      <c r="AF63" s="1452"/>
      <c r="AG63" s="1466"/>
      <c r="AH63" s="857"/>
      <c r="AI63" s="857"/>
      <c r="AJ63" s="1467"/>
      <c r="AK63" s="1453"/>
      <c r="AL63" s="1454"/>
      <c r="AM63" s="1454"/>
      <c r="AN63" s="1448"/>
      <c r="AO63" s="1449"/>
      <c r="AP63" s="1449"/>
      <c r="AQ63" s="1450"/>
      <c r="AU63" s="1435"/>
      <c r="AV63" s="753"/>
      <c r="AW63" s="803"/>
      <c r="AX63" s="803"/>
      <c r="AY63" s="751"/>
      <c r="AZ63" s="803"/>
      <c r="BA63" s="1465"/>
      <c r="BB63" s="1462"/>
      <c r="BC63" s="1462"/>
      <c r="BD63" s="1462"/>
      <c r="BE63" s="1462"/>
      <c r="BF63" s="1462"/>
      <c r="BG63" s="1433"/>
      <c r="BH63" s="1367"/>
      <c r="BI63" s="1367"/>
      <c r="BJ63" s="1367"/>
    </row>
    <row r="64" spans="2:62" ht="15.95" customHeight="1" x14ac:dyDescent="0.25">
      <c r="B64" s="873">
        <v>25</v>
      </c>
      <c r="C64" s="1468"/>
      <c r="D64" s="822"/>
      <c r="E64" s="823"/>
      <c r="F64" s="1440" t="s">
        <v>560</v>
      </c>
      <c r="G64" s="1441"/>
      <c r="H64" s="842"/>
      <c r="I64" s="822"/>
      <c r="J64" s="823"/>
      <c r="K64" s="1438"/>
      <c r="L64" s="852"/>
      <c r="M64" s="852"/>
      <c r="N64" s="1070"/>
      <c r="O64" s="1070"/>
      <c r="P64" s="1066" t="str">
        <f>IF(H64="","",INDEX(CMLIGHTBASE[Base Watt 1],MATCH(H64,CMLIGHTBASE[Base Desc 1],0)))</f>
        <v/>
      </c>
      <c r="Q64" s="1447"/>
      <c r="R64" s="1445" t="str">
        <f t="shared" ref="R64" si="159">IF(ISNUMBER(SEARCH("24/7",F64)),8760, IF(ISNUMBER(SEARCH("Dusk to Dawn", F64)),4380,""))</f>
        <v/>
      </c>
      <c r="S64" s="1446"/>
      <c r="T64" s="1228"/>
      <c r="U64" s="852"/>
      <c r="V64" s="852"/>
      <c r="W64" s="852"/>
      <c r="X64" s="1438"/>
      <c r="Y64" s="852"/>
      <c r="Z64" s="852"/>
      <c r="AA64" s="1070"/>
      <c r="AB64" s="1070"/>
      <c r="AC64" s="1066" t="str">
        <f>IF(T64="","",INDEX(CFLEFF[Eff Watt 1],MATCH(T64,CFLEFF[Eff Desc 1],0)))</f>
        <v/>
      </c>
      <c r="AD64" s="1066"/>
      <c r="AE64" s="1451"/>
      <c r="AF64" s="1452"/>
      <c r="AG64" s="1466"/>
      <c r="AH64" s="857"/>
      <c r="AI64" s="857"/>
      <c r="AJ64" s="1467"/>
      <c r="AK64" s="1453" t="str">
        <f t="shared" ref="AK64" si="160">IF(OR(C64="",F64="",K64="",N64="",P64="",R64="",X64="",AA64="",AC64="",AG64="",AI64=""),"",ROUND((AG64+AI64)*AA64,2))</f>
        <v/>
      </c>
      <c r="AL64" s="1454"/>
      <c r="AM64" s="1454"/>
      <c r="AN64" s="1448"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c r="AO64" s="1449"/>
      <c r="AP64" s="1449"/>
      <c r="AQ64" s="1450"/>
      <c r="AU64" s="1434" t="str">
        <f>IFERROR(IF(OR(C64="",H64="",K64="",N64="",P64="",R64="",T64="",X64="",AA64="",AC64="",AG64="",AI64=""),"",((1+ELOSS)*PEAKTD*(1+INDEX(ELECCB[Capacity Reserve Margin],MATCH(15,ELECCB[Year Number],0)))*((AZ64*INDEX(ELECCB[NPV AEC $/kWh],MATCH(15,ELECCB[Year Number],0)))+(AV64*INDEX(ELECCB[NPV ACC+T&amp;D $/kW],MATCH(15,ELECCB[Year Number],0))))/AK64)),0)</f>
        <v/>
      </c>
      <c r="AV64" s="752" t="str">
        <f>IF(OR(C64="",H64="",K64="",N64="",P64="",R64="",T64="",X64="",AA64="",AC64="",AG64="",AI64=""),"",IF((N64*P64)&lt;=(AA64*AC64),"0",ROUND(AZ64*INDEX(ENDUSEALL[Factor],MATCH(INDEX(CMELIGHT[End Use Category],MATCH(F64,CMELIGHT[Proj Desc 1],0)),ENDUSEALL[End Use to Coincident Peak Demand Factors],0)),4)))</f>
        <v/>
      </c>
      <c r="AW64" s="802" t="str">
        <f t="shared" ref="AW64" si="161">IF(OR(C64="",F64="",H64="",K64="",N64="",P64="",R64="",T64="",X64="",AA64="",AC64="",AG64="",AI64=""),"",IF(ISNUMBER(SEARCH("Incandescent",H64)),(0.24*P64)*R64*N64/1000,IF(ISNUMBER(SEARCH("Halogen",H64)),(0.34*P64)*R64*N64/1000,N64*P64*R64/1000)))</f>
        <v/>
      </c>
      <c r="AX64" s="802" t="str">
        <f t="shared" ref="AX64" si="162">IF(OR(C64="",F64="",H64="",K64="",N64="",P64="",R64="",T64="",X64="",AA64="",AC64="",AG64="",AI64=""),"",AA64*AC64*R64/1000)</f>
        <v/>
      </c>
      <c r="AY64" s="1463" t="str">
        <f>IF(OR(C64="",F64="",H64="",K64="",N64="",P64="",R64="",T64="",X64="",AA64="",AC64="",AG64="",AI64=""),"",CONCATENATE(INDEX(CMLIGHTEFF[Measure Number],MATCH(T64,CMLIGHTEFF[Eff Desc 1],0)),INDEX(CMLIGHTBASE[Measure Number],MATCH(H64,CMLIGHTBASE[Base Desc 1],0))))</f>
        <v/>
      </c>
      <c r="AZ64" s="802" t="str">
        <f>IF(OR(C64="",F64="",H64="",K64="",N64="",P64="",R64="",T64="",X64="",AA64="",AC64="",AG64="",AI64=""),"",ROUND(IF((N64*P64)&lt;=(AA64*AC64),"0",IF(AND(F64="Interior", M02S02F32&lt;&gt;""),INDEX(SPACEHEAT[HIF],MATCH(M02S02F32,SHEAT,0))*(AW64-AX64),IF(AND(ISNUMBER(SEARCH("24/7",F64)),M02S02F32&lt;&gt;""),(AW64-AX64),(AW64-AX64)))),0))</f>
        <v/>
      </c>
      <c r="BA64" s="1464" t="str">
        <f t="shared" ref="BA64" si="163">IF(OR(C64="",F64="",H64="",K64="",N64="",P64="",R64="",T64="",X64="",AA64="",AC64="",AG64="",AI64=""),"",IF((N64*P64)&lt;=(AA64*AC64),"0",ROUND(((N64*P64)-(AA64*AC64))/1000,3)))</f>
        <v/>
      </c>
      <c r="BB64" s="1461" t="str">
        <f>IFERROR(AK64/M02S02F35/AZ64,"")</f>
        <v/>
      </c>
      <c r="BC64" s="1461" t="str">
        <f>IFERROR(IF(OR(T64="CFL"),MEASUREELI,IF((N64*P64)&lt;=(AA64*AC64),MEASURESAVE,IF(M02S02F35="",MEASURERATE,IF(AK64/M02S02F35/AZ64&lt;1,MEASUREPAY,IF(AU64&lt;1,MEASURECB, IF(AND(ISNUMBER(SEARCH("24/7",F64)),R64&lt;8500),"Check Location and Hours",IF(AND(ISNUMBER(SEARCH("Dusk to Dawn",F64)),R64&gt;=8500,R64&lt;=8760),"Check Location and Hours",""))))))),MEASURESUBMIT)</f>
        <v>Submit for Review</v>
      </c>
      <c r="BD64" s="1461">
        <f>IF(ISNUMBER(SEARCH("24/7",H64)),AK64/(AZ64*INDEX(CMLIGHTEFF[Inc Rate Exterior],MATCH(T64,CMLIGHTEFF[Eff Desc 1],0))),0)</f>
        <v>0</v>
      </c>
      <c r="BE64" s="1461">
        <f>IFERROR(IF(ISNUMBER(SEARCH("24/7",H64)),0,AK64/(AZ64*INDEX(CMLIGHTEFF[Inc Rate],MATCH(T64,CMLIGHTEFF[Eff Desc 1],0)))),0)</f>
        <v>0</v>
      </c>
      <c r="BF64" s="1461" t="str">
        <f t="shared" ref="BF64" si="164">IF(AND(ISNUMBER(AN64),OR(AND(BD64&lt;&gt;0,BD64&lt;2),AND(BE64&lt;&gt;0,BE64&lt;2))),"50% Cost","")</f>
        <v/>
      </c>
      <c r="BG64" s="1432">
        <f>IF(M02S02F32&lt;&gt;"",INDEX(SPACEHEAT[HIF],MATCH(M02S02F32,SHEAT,0)),1)</f>
        <v>1</v>
      </c>
      <c r="BH64" s="1367">
        <f t="shared" ref="BH64" si="165">IFERROR(ROUND(BJ64*1.1,2),0)</f>
        <v>0</v>
      </c>
      <c r="BI64" s="1367" t="str">
        <f>IF(M02S02F44="","Update Install Status",IF(M02S02F44="Yes","Not Eligible if Pre-Purchased",IF(M02S02F49="Yes","Use New Load",IF(OR(C64="",F64="",H64="",K64="",N64="",P64="",R64="",T64="",X64="",AA64="",AC64="",AG64="",AI64="",AE64=""),"",IF(BC64&lt;&gt;"",BC64,ROUND(BH64*BONUSADJ,2))))))</f>
        <v>Update Install Status</v>
      </c>
      <c r="BJ64" s="1367" t="str">
        <f>IF(M02S02F44="","Update Install Status",IF(M02S02F44="Yes","Not Eligible if Pre-Purchased",IF(M02S02F49="Yes","Use New Load",IF(OR(C64="",F64="",H64="",K64="",N64="",P64="",R64="",T64="",X64="",AA64="",AC64="",AG64="",AI64="",AE64=""),"",IF(BC64&lt;&gt;"",BC64,IF(OR(F64="Exterior 24/7",F64="Garage 24/7"),ROUND(MIN(AK64*0.5,AZ64*INDEX(CMLIGHTEFF[Inc Rate Exterior],MATCH(T64,CMLIGHTEFF[Eff Desc 1],0))),2),ROUND(MIN(AK64*0.5,AZ64*INDEX(CMLIGHTEFF[Inc Rate],MATCH(T64,CMLIGHTEFF[Eff Desc 1],0))),2)))))))</f>
        <v>Update Install Status</v>
      </c>
    </row>
    <row r="65" spans="2:62" ht="15.95" customHeight="1" x14ac:dyDescent="0.25">
      <c r="B65" s="873"/>
      <c r="C65" s="824"/>
      <c r="D65" s="825"/>
      <c r="E65" s="826"/>
      <c r="F65" s="1442"/>
      <c r="G65" s="1443"/>
      <c r="H65" s="824"/>
      <c r="I65" s="825"/>
      <c r="J65" s="826"/>
      <c r="K65" s="852"/>
      <c r="L65" s="852"/>
      <c r="M65" s="852"/>
      <c r="N65" s="1070"/>
      <c r="O65" s="1070"/>
      <c r="P65" s="1066"/>
      <c r="Q65" s="1447"/>
      <c r="R65" s="1445"/>
      <c r="S65" s="1446"/>
      <c r="T65" s="1228"/>
      <c r="U65" s="852"/>
      <c r="V65" s="852"/>
      <c r="W65" s="852"/>
      <c r="X65" s="852"/>
      <c r="Y65" s="852"/>
      <c r="Z65" s="852"/>
      <c r="AA65" s="1070"/>
      <c r="AB65" s="1070"/>
      <c r="AC65" s="1066"/>
      <c r="AD65" s="1066"/>
      <c r="AE65" s="1139"/>
      <c r="AF65" s="1452"/>
      <c r="AG65" s="1466"/>
      <c r="AH65" s="857"/>
      <c r="AI65" s="857"/>
      <c r="AJ65" s="1467"/>
      <c r="AK65" s="1453"/>
      <c r="AL65" s="1454"/>
      <c r="AM65" s="1454"/>
      <c r="AN65" s="1448"/>
      <c r="AO65" s="1449"/>
      <c r="AP65" s="1449"/>
      <c r="AQ65" s="1450"/>
      <c r="AU65" s="1435"/>
      <c r="AV65" s="753"/>
      <c r="AW65" s="803"/>
      <c r="AX65" s="803"/>
      <c r="AY65" s="751"/>
      <c r="AZ65" s="803"/>
      <c r="BA65" s="1465"/>
      <c r="BB65" s="1462"/>
      <c r="BC65" s="1462"/>
      <c r="BD65" s="1462"/>
      <c r="BE65" s="1462"/>
      <c r="BF65" s="1462"/>
      <c r="BG65" s="1433"/>
      <c r="BH65" s="1367"/>
      <c r="BI65" s="1367"/>
      <c r="BJ65" s="1367"/>
    </row>
    <row r="66" spans="2:62" ht="15.95" customHeight="1" x14ac:dyDescent="0.25">
      <c r="B66" s="873">
        <v>26</v>
      </c>
      <c r="C66" s="1468"/>
      <c r="D66" s="822"/>
      <c r="E66" s="823"/>
      <c r="F66" s="1440" t="s">
        <v>560</v>
      </c>
      <c r="G66" s="1441"/>
      <c r="H66" s="842"/>
      <c r="I66" s="822"/>
      <c r="J66" s="823"/>
      <c r="K66" s="1438"/>
      <c r="L66" s="852"/>
      <c r="M66" s="852"/>
      <c r="N66" s="1070"/>
      <c r="O66" s="1070"/>
      <c r="P66" s="1066" t="str">
        <f>IF(H66="","",INDEX(CMLIGHTBASE[Base Watt 1],MATCH(H66,CMLIGHTBASE[Base Desc 1],0)))</f>
        <v/>
      </c>
      <c r="Q66" s="1447"/>
      <c r="R66" s="1445" t="str">
        <f t="shared" ref="R66" si="166">IF(ISNUMBER(SEARCH("24/7",F66)),8760, IF(ISNUMBER(SEARCH("Dusk to Dawn", F66)),4380,""))</f>
        <v/>
      </c>
      <c r="S66" s="1446"/>
      <c r="T66" s="1228"/>
      <c r="U66" s="852"/>
      <c r="V66" s="852"/>
      <c r="W66" s="852"/>
      <c r="X66" s="1438"/>
      <c r="Y66" s="852"/>
      <c r="Z66" s="852"/>
      <c r="AA66" s="1070"/>
      <c r="AB66" s="1070"/>
      <c r="AC66" s="1066" t="str">
        <f>IF(T66="","",INDEX(CFLEFF[Eff Watt 1],MATCH(T66,CFLEFF[Eff Desc 1],0)))</f>
        <v/>
      </c>
      <c r="AD66" s="1066"/>
      <c r="AE66" s="1451"/>
      <c r="AF66" s="1452"/>
      <c r="AG66" s="1466"/>
      <c r="AH66" s="857"/>
      <c r="AI66" s="857"/>
      <c r="AJ66" s="1467"/>
      <c r="AK66" s="1453" t="str">
        <f t="shared" ref="AK66" si="167">IF(OR(C66="",F66="",K66="",N66="",P66="",R66="",X66="",AA66="",AC66="",AG66="",AI66=""),"",ROUND((AG66+AI66)*AA66,2))</f>
        <v/>
      </c>
      <c r="AL66" s="1454"/>
      <c r="AM66" s="1454"/>
      <c r="AN66" s="1448"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c r="AO66" s="1449"/>
      <c r="AP66" s="1449"/>
      <c r="AQ66" s="1450"/>
      <c r="AU66" s="1434" t="str">
        <f>IFERROR(IF(OR(C66="",H66="",K66="",N66="",P66="",R66="",T66="",X66="",AA66="",AC66="",AG66="",AI66=""),"",((1+ELOSS)*PEAKTD*(1+INDEX(ELECCB[Capacity Reserve Margin],MATCH(15,ELECCB[Year Number],0)))*((AZ66*INDEX(ELECCB[NPV AEC $/kWh],MATCH(15,ELECCB[Year Number],0)))+(AV66*INDEX(ELECCB[NPV ACC+T&amp;D $/kW],MATCH(15,ELECCB[Year Number],0))))/AK66)),0)</f>
        <v/>
      </c>
      <c r="AV66" s="752" t="str">
        <f>IF(OR(C66="",H66="",K66="",N66="",P66="",R66="",T66="",X66="",AA66="",AC66="",AG66="",AI66=""),"",IF((N66*P66)&lt;=(AA66*AC66),"0",ROUND(AZ66*INDEX(ENDUSEALL[Factor],MATCH(INDEX(CMELIGHT[End Use Category],MATCH(F66,CMELIGHT[Proj Desc 1],0)),ENDUSEALL[End Use to Coincident Peak Demand Factors],0)),4)))</f>
        <v/>
      </c>
      <c r="AW66" s="802" t="str">
        <f t="shared" ref="AW66" si="168">IF(OR(C66="",F66="",H66="",K66="",N66="",P66="",R66="",T66="",X66="",AA66="",AC66="",AG66="",AI66=""),"",IF(ISNUMBER(SEARCH("Incandescent",H66)),(0.24*P66)*R66*N66/1000,IF(ISNUMBER(SEARCH("Halogen",H66)),(0.34*P66)*R66*N66/1000,N66*P66*R66/1000)))</f>
        <v/>
      </c>
      <c r="AX66" s="802" t="str">
        <f t="shared" ref="AX66" si="169">IF(OR(C66="",F66="",H66="",K66="",N66="",P66="",R66="",T66="",X66="",AA66="",AC66="",AG66="",AI66=""),"",AA66*AC66*R66/1000)</f>
        <v/>
      </c>
      <c r="AY66" s="1463" t="str">
        <f>IF(OR(C66="",F66="",H66="",K66="",N66="",P66="",R66="",T66="",X66="",AA66="",AC66="",AG66="",AI66=""),"",CONCATENATE(INDEX(CMLIGHTEFF[Measure Number],MATCH(T66,CMLIGHTEFF[Eff Desc 1],0)),INDEX(CMLIGHTBASE[Measure Number],MATCH(H66,CMLIGHTBASE[Base Desc 1],0))))</f>
        <v/>
      </c>
      <c r="AZ66" s="802" t="str">
        <f>IF(OR(C66="",F66="",H66="",K66="",N66="",P66="",R66="",T66="",X66="",AA66="",AC66="",AG66="",AI66=""),"",ROUND(IF((N66*P66)&lt;=(AA66*AC66),"0",IF(AND(F66="Interior", M02S02F32&lt;&gt;""),INDEX(SPACEHEAT[HIF],MATCH(M02S02F32,SHEAT,0))*(AW66-AX66),IF(AND(ISNUMBER(SEARCH("24/7",F66)),M02S02F32&lt;&gt;""),(AW66-AX66),(AW66-AX66)))),0))</f>
        <v/>
      </c>
      <c r="BA66" s="1464" t="str">
        <f t="shared" ref="BA66" si="170">IF(OR(C66="",F66="",H66="",K66="",N66="",P66="",R66="",T66="",X66="",AA66="",AC66="",AG66="",AI66=""),"",IF((N66*P66)&lt;=(AA66*AC66),"0",ROUND(((N66*P66)-(AA66*AC66))/1000,3)))</f>
        <v/>
      </c>
      <c r="BB66" s="1461" t="str">
        <f>IFERROR(AK66/M02S02F35/AZ66,"")</f>
        <v/>
      </c>
      <c r="BC66" s="1461" t="str">
        <f>IFERROR(IF(OR(T66="CFL"),MEASUREELI,IF((N66*P66)&lt;=(AA66*AC66),MEASURESAVE,IF(M02S02F35="",MEASURERATE,IF(AK66/M02S02F35/AZ66&lt;1,MEASUREPAY,IF(AU66&lt;1,MEASURECB, IF(AND(ISNUMBER(SEARCH("24/7",F66)),R66&lt;8500),"Check Location and Hours",IF(AND(ISNUMBER(SEARCH("Dusk to Dawn",F66)),R66&gt;=8500,R66&lt;=8760),"Check Location and Hours",""))))))),MEASURESUBMIT)</f>
        <v>Submit for Review</v>
      </c>
      <c r="BD66" s="1461">
        <f>IF(ISNUMBER(SEARCH("24/7",H66)),AK66/(AZ66*INDEX(CMLIGHTEFF[Inc Rate Exterior],MATCH(T66,CMLIGHTEFF[Eff Desc 1],0))),0)</f>
        <v>0</v>
      </c>
      <c r="BE66" s="1461">
        <f>IFERROR(IF(ISNUMBER(SEARCH("24/7",H66)),0,AK66/(AZ66*INDEX(CMLIGHTEFF[Inc Rate],MATCH(T66,CMLIGHTEFF[Eff Desc 1],0)))),0)</f>
        <v>0</v>
      </c>
      <c r="BF66" s="1461" t="str">
        <f t="shared" ref="BF66" si="171">IF(AND(ISNUMBER(AN66),OR(AND(BD66&lt;&gt;0,BD66&lt;2),AND(BE66&lt;&gt;0,BE66&lt;2))),"50% Cost","")</f>
        <v/>
      </c>
      <c r="BG66" s="1432">
        <f>IF(M02S02F32&lt;&gt;"",INDEX(SPACEHEAT[HIF],MATCH(M02S02F32,SHEAT,0)),1)</f>
        <v>1</v>
      </c>
      <c r="BH66" s="1367">
        <f t="shared" ref="BH66" si="172">IFERROR(ROUND(BJ66*1.1,2),0)</f>
        <v>0</v>
      </c>
      <c r="BI66" s="1367" t="str">
        <f>IF(M02S02F44="","Update Install Status",IF(M02S02F44="Yes","Not Eligible if Pre-Purchased",IF(M02S02F49="Yes","Use New Load",IF(OR(C66="",F66="",H66="",K66="",N66="",P66="",R66="",T66="",X66="",AA66="",AC66="",AG66="",AI66="",AE66=""),"",IF(BC66&lt;&gt;"",BC66,ROUND(BH66*BONUSADJ,2))))))</f>
        <v>Update Install Status</v>
      </c>
      <c r="BJ66" s="1367" t="str">
        <f>IF(M02S02F44="","Update Install Status",IF(M02S02F44="Yes","Not Eligible if Pre-Purchased",IF(M02S02F49="Yes","Use New Load",IF(OR(C66="",F66="",H66="",K66="",N66="",P66="",R66="",T66="",X66="",AA66="",AC66="",AG66="",AI66="",AE66=""),"",IF(BC66&lt;&gt;"",BC66,IF(OR(F66="Exterior 24/7",F66="Garage 24/7"),ROUND(MIN(AK66*0.5,AZ66*INDEX(CMLIGHTEFF[Inc Rate Exterior],MATCH(T66,CMLIGHTEFF[Eff Desc 1],0))),2),ROUND(MIN(AK66*0.5,AZ66*INDEX(CMLIGHTEFF[Inc Rate],MATCH(T66,CMLIGHTEFF[Eff Desc 1],0))),2)))))))</f>
        <v>Update Install Status</v>
      </c>
    </row>
    <row r="67" spans="2:62" ht="15.95" customHeight="1" x14ac:dyDescent="0.25">
      <c r="B67" s="873"/>
      <c r="C67" s="824"/>
      <c r="D67" s="825"/>
      <c r="E67" s="826"/>
      <c r="F67" s="1442"/>
      <c r="G67" s="1443"/>
      <c r="H67" s="824"/>
      <c r="I67" s="825"/>
      <c r="J67" s="826"/>
      <c r="K67" s="852"/>
      <c r="L67" s="852"/>
      <c r="M67" s="852"/>
      <c r="N67" s="1070"/>
      <c r="O67" s="1070"/>
      <c r="P67" s="1066"/>
      <c r="Q67" s="1447"/>
      <c r="R67" s="1445"/>
      <c r="S67" s="1446"/>
      <c r="T67" s="1228"/>
      <c r="U67" s="852"/>
      <c r="V67" s="852"/>
      <c r="W67" s="852"/>
      <c r="X67" s="852"/>
      <c r="Y67" s="852"/>
      <c r="Z67" s="852"/>
      <c r="AA67" s="1070"/>
      <c r="AB67" s="1070"/>
      <c r="AC67" s="1066"/>
      <c r="AD67" s="1066"/>
      <c r="AE67" s="1139"/>
      <c r="AF67" s="1452"/>
      <c r="AG67" s="1466"/>
      <c r="AH67" s="857"/>
      <c r="AI67" s="857"/>
      <c r="AJ67" s="1467"/>
      <c r="AK67" s="1453"/>
      <c r="AL67" s="1454"/>
      <c r="AM67" s="1454"/>
      <c r="AN67" s="1448"/>
      <c r="AO67" s="1449"/>
      <c r="AP67" s="1449"/>
      <c r="AQ67" s="1450"/>
      <c r="AU67" s="1435"/>
      <c r="AV67" s="753"/>
      <c r="AW67" s="803"/>
      <c r="AX67" s="803"/>
      <c r="AY67" s="751"/>
      <c r="AZ67" s="803"/>
      <c r="BA67" s="1465"/>
      <c r="BB67" s="1462"/>
      <c r="BC67" s="1462"/>
      <c r="BD67" s="1462"/>
      <c r="BE67" s="1462"/>
      <c r="BF67" s="1462"/>
      <c r="BG67" s="1433"/>
      <c r="BH67" s="1367"/>
      <c r="BI67" s="1367"/>
      <c r="BJ67" s="1367"/>
    </row>
    <row r="68" spans="2:62" ht="15.95" customHeight="1" x14ac:dyDescent="0.25">
      <c r="B68" s="873">
        <v>27</v>
      </c>
      <c r="C68" s="1468"/>
      <c r="D68" s="822"/>
      <c r="E68" s="823"/>
      <c r="F68" s="1440" t="s">
        <v>560</v>
      </c>
      <c r="G68" s="1441"/>
      <c r="H68" s="842"/>
      <c r="I68" s="822"/>
      <c r="J68" s="823"/>
      <c r="K68" s="1438"/>
      <c r="L68" s="852"/>
      <c r="M68" s="852"/>
      <c r="N68" s="1070"/>
      <c r="O68" s="1070"/>
      <c r="P68" s="1066" t="str">
        <f>IF(H68="","",INDEX(CMLIGHTBASE[Base Watt 1],MATCH(H68,CMLIGHTBASE[Base Desc 1],0)))</f>
        <v/>
      </c>
      <c r="Q68" s="1447"/>
      <c r="R68" s="1445" t="str">
        <f t="shared" ref="R68" si="173">IF(ISNUMBER(SEARCH("24/7",F68)),8760, IF(ISNUMBER(SEARCH("Dusk to Dawn", F68)),4380,""))</f>
        <v/>
      </c>
      <c r="S68" s="1446"/>
      <c r="T68" s="1228"/>
      <c r="U68" s="852"/>
      <c r="V68" s="852"/>
      <c r="W68" s="852"/>
      <c r="X68" s="1438"/>
      <c r="Y68" s="852"/>
      <c r="Z68" s="852"/>
      <c r="AA68" s="1070"/>
      <c r="AB68" s="1070"/>
      <c r="AC68" s="1066" t="str">
        <f>IF(T68="","",INDEX(CFLEFF[Eff Watt 1],MATCH(T68,CFLEFF[Eff Desc 1],0)))</f>
        <v/>
      </c>
      <c r="AD68" s="1066"/>
      <c r="AE68" s="1451"/>
      <c r="AF68" s="1452"/>
      <c r="AG68" s="1466"/>
      <c r="AH68" s="857"/>
      <c r="AI68" s="857"/>
      <c r="AJ68" s="1467"/>
      <c r="AK68" s="1453" t="str">
        <f t="shared" ref="AK68" si="174">IF(OR(C68="",F68="",K68="",N68="",P68="",R68="",X68="",AA68="",AC68="",AG68="",AI68=""),"",ROUND((AG68+AI68)*AA68,2))</f>
        <v/>
      </c>
      <c r="AL68" s="1454"/>
      <c r="AM68" s="1454"/>
      <c r="AN68" s="1448"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c r="AO68" s="1449"/>
      <c r="AP68" s="1449"/>
      <c r="AQ68" s="1450"/>
      <c r="AU68" s="1434" t="str">
        <f>IFERROR(IF(OR(C68="",H68="",K68="",N68="",P68="",R68="",T68="",X68="",AA68="",AC68="",AG68="",AI68=""),"",((1+ELOSS)*PEAKTD*(1+INDEX(ELECCB[Capacity Reserve Margin],MATCH(15,ELECCB[Year Number],0)))*((AZ68*INDEX(ELECCB[NPV AEC $/kWh],MATCH(15,ELECCB[Year Number],0)))+(AV68*INDEX(ELECCB[NPV ACC+T&amp;D $/kW],MATCH(15,ELECCB[Year Number],0))))/AK68)),0)</f>
        <v/>
      </c>
      <c r="AV68" s="752" t="str">
        <f>IF(OR(C68="",H68="",K68="",N68="",P68="",R68="",T68="",X68="",AA68="",AC68="",AG68="",AI68=""),"",IF((N68*P68)&lt;=(AA68*AC68),"0",ROUND(AZ68*INDEX(ENDUSEALL[Factor],MATCH(INDEX(CMELIGHT[End Use Category],MATCH(F68,CMELIGHT[Proj Desc 1],0)),ENDUSEALL[End Use to Coincident Peak Demand Factors],0)),4)))</f>
        <v/>
      </c>
      <c r="AW68" s="802" t="str">
        <f t="shared" ref="AW68" si="175">IF(OR(C68="",F68="",H68="",K68="",N68="",P68="",R68="",T68="",X68="",AA68="",AC68="",AG68="",AI68=""),"",IF(ISNUMBER(SEARCH("Incandescent",H68)),(0.24*P68)*R68*N68/1000,IF(ISNUMBER(SEARCH("Halogen",H68)),(0.34*P68)*R68*N68/1000,N68*P68*R68/1000)))</f>
        <v/>
      </c>
      <c r="AX68" s="802" t="str">
        <f t="shared" ref="AX68" si="176">IF(OR(C68="",F68="",H68="",K68="",N68="",P68="",R68="",T68="",X68="",AA68="",AC68="",AG68="",AI68=""),"",AA68*AC68*R68/1000)</f>
        <v/>
      </c>
      <c r="AY68" s="1463" t="str">
        <f>IF(OR(C68="",F68="",H68="",K68="",N68="",P68="",R68="",T68="",X68="",AA68="",AC68="",AG68="",AI68=""),"",CONCATENATE(INDEX(CMLIGHTEFF[Measure Number],MATCH(T68,CMLIGHTEFF[Eff Desc 1],0)),INDEX(CMLIGHTBASE[Measure Number],MATCH(H68,CMLIGHTBASE[Base Desc 1],0))))</f>
        <v/>
      </c>
      <c r="AZ68" s="802" t="str">
        <f>IF(OR(C68="",F68="",H68="",K68="",N68="",P68="",R68="",T68="",X68="",AA68="",AC68="",AG68="",AI68=""),"",ROUND(IF((N68*P68)&lt;=(AA68*AC68),"0",IF(AND(F68="Interior", M02S02F32&lt;&gt;""),INDEX(SPACEHEAT[HIF],MATCH(M02S02F32,SHEAT,0))*(AW68-AX68),IF(AND(ISNUMBER(SEARCH("24/7",F68)),M02S02F32&lt;&gt;""),(AW68-AX68),(AW68-AX68)))),0))</f>
        <v/>
      </c>
      <c r="BA68" s="1464" t="str">
        <f t="shared" ref="BA68" si="177">IF(OR(C68="",F68="",H68="",K68="",N68="",P68="",R68="",T68="",X68="",AA68="",AC68="",AG68="",AI68=""),"",IF((N68*P68)&lt;=(AA68*AC68),"0",ROUND(((N68*P68)-(AA68*AC68))/1000,3)))</f>
        <v/>
      </c>
      <c r="BB68" s="1461" t="str">
        <f>IFERROR(AK68/M02S02F35/AZ68,"")</f>
        <v/>
      </c>
      <c r="BC68" s="1461" t="str">
        <f>IFERROR(IF(OR(T68="CFL"),MEASUREELI,IF((N68*P68)&lt;=(AA68*AC68),MEASURESAVE,IF(M02S02F35="",MEASURERATE,IF(AK68/M02S02F35/AZ68&lt;1,MEASUREPAY,IF(AU68&lt;1,MEASURECB, IF(AND(ISNUMBER(SEARCH("24/7",F68)),R68&lt;8500),"Check Location and Hours",IF(AND(ISNUMBER(SEARCH("Dusk to Dawn",F68)),R68&gt;=8500,R68&lt;=8760),"Check Location and Hours",""))))))),MEASURESUBMIT)</f>
        <v>Submit for Review</v>
      </c>
      <c r="BD68" s="1461">
        <f>IF(ISNUMBER(SEARCH("24/7",H68)),AK68/(AZ68*INDEX(CMLIGHTEFF[Inc Rate Exterior],MATCH(T68,CMLIGHTEFF[Eff Desc 1],0))),0)</f>
        <v>0</v>
      </c>
      <c r="BE68" s="1461">
        <f>IFERROR(IF(ISNUMBER(SEARCH("24/7",H68)),0,AK68/(AZ68*INDEX(CMLIGHTEFF[Inc Rate],MATCH(T68,CMLIGHTEFF[Eff Desc 1],0)))),0)</f>
        <v>0</v>
      </c>
      <c r="BF68" s="1461" t="str">
        <f t="shared" ref="BF68" si="178">IF(AND(ISNUMBER(AN68),OR(AND(BD68&lt;&gt;0,BD68&lt;2),AND(BE68&lt;&gt;0,BE68&lt;2))),"50% Cost","")</f>
        <v/>
      </c>
      <c r="BG68" s="1432">
        <f>IF(M02S02F32&lt;&gt;"",INDEX(SPACEHEAT[HIF],MATCH(M02S02F32,SHEAT,0)),1)</f>
        <v>1</v>
      </c>
      <c r="BH68" s="1367">
        <f t="shared" ref="BH68" si="179">IFERROR(ROUND(BJ68*1.1,2),0)</f>
        <v>0</v>
      </c>
      <c r="BI68" s="1367" t="str">
        <f>IF(M02S02F44="","Update Install Status",IF(M02S02F44="Yes","Not Eligible if Pre-Purchased",IF(M02S02F49="Yes","Use New Load",IF(OR(C68="",F68="",H68="",K68="",N68="",P68="",R68="",T68="",X68="",AA68="",AC68="",AG68="",AI68="",AE68=""),"",IF(BC68&lt;&gt;"",BC68,ROUND(BH68*BONUSADJ,2))))))</f>
        <v>Update Install Status</v>
      </c>
      <c r="BJ68" s="1367" t="str">
        <f>IF(M02S02F44="","Update Install Status",IF(M02S02F44="Yes","Not Eligible if Pre-Purchased",IF(M02S02F49="Yes","Use New Load",IF(OR(C68="",F68="",H68="",K68="",N68="",P68="",R68="",T68="",X68="",AA68="",AC68="",AG68="",AI68="",AE68=""),"",IF(BC68&lt;&gt;"",BC68,IF(OR(F68="Exterior 24/7",F68="Garage 24/7"),ROUND(MIN(AK68*0.5,AZ68*INDEX(CMLIGHTEFF[Inc Rate Exterior],MATCH(T68,CMLIGHTEFF[Eff Desc 1],0))),2),ROUND(MIN(AK68*0.5,AZ68*INDEX(CMLIGHTEFF[Inc Rate],MATCH(T68,CMLIGHTEFF[Eff Desc 1],0))),2)))))))</f>
        <v>Update Install Status</v>
      </c>
    </row>
    <row r="69" spans="2:62" ht="15.95" customHeight="1" x14ac:dyDescent="0.25">
      <c r="B69" s="873"/>
      <c r="C69" s="824"/>
      <c r="D69" s="825"/>
      <c r="E69" s="826"/>
      <c r="F69" s="1442"/>
      <c r="G69" s="1443"/>
      <c r="H69" s="824"/>
      <c r="I69" s="825"/>
      <c r="J69" s="826"/>
      <c r="K69" s="852"/>
      <c r="L69" s="852"/>
      <c r="M69" s="852"/>
      <c r="N69" s="1070"/>
      <c r="O69" s="1070"/>
      <c r="P69" s="1066"/>
      <c r="Q69" s="1447"/>
      <c r="R69" s="1445"/>
      <c r="S69" s="1446"/>
      <c r="T69" s="1228"/>
      <c r="U69" s="852"/>
      <c r="V69" s="852"/>
      <c r="W69" s="852"/>
      <c r="X69" s="852"/>
      <c r="Y69" s="852"/>
      <c r="Z69" s="852"/>
      <c r="AA69" s="1070"/>
      <c r="AB69" s="1070"/>
      <c r="AC69" s="1066"/>
      <c r="AD69" s="1066"/>
      <c r="AE69" s="1139"/>
      <c r="AF69" s="1452"/>
      <c r="AG69" s="1466"/>
      <c r="AH69" s="857"/>
      <c r="AI69" s="857"/>
      <c r="AJ69" s="1467"/>
      <c r="AK69" s="1453"/>
      <c r="AL69" s="1454"/>
      <c r="AM69" s="1454"/>
      <c r="AN69" s="1448"/>
      <c r="AO69" s="1449"/>
      <c r="AP69" s="1449"/>
      <c r="AQ69" s="1450"/>
      <c r="AU69" s="1435"/>
      <c r="AV69" s="753"/>
      <c r="AW69" s="803"/>
      <c r="AX69" s="803"/>
      <c r="AY69" s="751"/>
      <c r="AZ69" s="803"/>
      <c r="BA69" s="1465"/>
      <c r="BB69" s="1462"/>
      <c r="BC69" s="1462"/>
      <c r="BD69" s="1462"/>
      <c r="BE69" s="1462"/>
      <c r="BF69" s="1462"/>
      <c r="BG69" s="1433"/>
      <c r="BH69" s="1367"/>
      <c r="BI69" s="1367"/>
      <c r="BJ69" s="1367"/>
    </row>
    <row r="70" spans="2:62" ht="15.95" customHeight="1" x14ac:dyDescent="0.25">
      <c r="B70" s="873">
        <v>28</v>
      </c>
      <c r="C70" s="1468"/>
      <c r="D70" s="822"/>
      <c r="E70" s="823"/>
      <c r="F70" s="1440" t="s">
        <v>560</v>
      </c>
      <c r="G70" s="1441"/>
      <c r="H70" s="842"/>
      <c r="I70" s="822"/>
      <c r="J70" s="823"/>
      <c r="K70" s="1438"/>
      <c r="L70" s="852"/>
      <c r="M70" s="852"/>
      <c r="N70" s="1070"/>
      <c r="O70" s="1070"/>
      <c r="P70" s="1066" t="str">
        <f>IF(H70="","",INDEX(CMLIGHTBASE[Base Watt 1],MATCH(H70,CMLIGHTBASE[Base Desc 1],0)))</f>
        <v/>
      </c>
      <c r="Q70" s="1447"/>
      <c r="R70" s="1445" t="str">
        <f t="shared" ref="R70" si="180">IF(ISNUMBER(SEARCH("24/7",F70)),8760, IF(ISNUMBER(SEARCH("Dusk to Dawn", F70)),4380,""))</f>
        <v/>
      </c>
      <c r="S70" s="1446"/>
      <c r="T70" s="1228"/>
      <c r="U70" s="852"/>
      <c r="V70" s="852"/>
      <c r="W70" s="852"/>
      <c r="X70" s="1438"/>
      <c r="Y70" s="852"/>
      <c r="Z70" s="852"/>
      <c r="AA70" s="1070"/>
      <c r="AB70" s="1070"/>
      <c r="AC70" s="1066" t="str">
        <f>IF(T70="","",INDEX(CFLEFF[Eff Watt 1],MATCH(T70,CFLEFF[Eff Desc 1],0)))</f>
        <v/>
      </c>
      <c r="AD70" s="1066"/>
      <c r="AE70" s="1451"/>
      <c r="AF70" s="1452"/>
      <c r="AG70" s="1466"/>
      <c r="AH70" s="857"/>
      <c r="AI70" s="857"/>
      <c r="AJ70" s="1467"/>
      <c r="AK70" s="1453" t="str">
        <f t="shared" ref="AK70" si="181">IF(OR(C70="",F70="",K70="",N70="",P70="",R70="",X70="",AA70="",AC70="",AG70="",AI70=""),"",ROUND((AG70+AI70)*AA70,2))</f>
        <v/>
      </c>
      <c r="AL70" s="1454"/>
      <c r="AM70" s="1454"/>
      <c r="AN70" s="1448"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c r="AO70" s="1449"/>
      <c r="AP70" s="1449"/>
      <c r="AQ70" s="1450"/>
      <c r="AU70" s="1434" t="str">
        <f>IFERROR(IF(OR(C70="",H70="",K70="",N70="",P70="",R70="",T70="",X70="",AA70="",AC70="",AG70="",AI70=""),"",((1+ELOSS)*PEAKTD*(1+INDEX(ELECCB[Capacity Reserve Margin],MATCH(15,ELECCB[Year Number],0)))*((AZ70*INDEX(ELECCB[NPV AEC $/kWh],MATCH(15,ELECCB[Year Number],0)))+(AV70*INDEX(ELECCB[NPV ACC+T&amp;D $/kW],MATCH(15,ELECCB[Year Number],0))))/AK70)),0)</f>
        <v/>
      </c>
      <c r="AV70" s="752" t="str">
        <f>IF(OR(C70="",H70="",K70="",N70="",P70="",R70="",T70="",X70="",AA70="",AC70="",AG70="",AI70=""),"",IF((N70*P70)&lt;=(AA70*AC70),"0",ROUND(AZ70*INDEX(ENDUSEALL[Factor],MATCH(INDEX(CMELIGHT[End Use Category],MATCH(F70,CMELIGHT[Proj Desc 1],0)),ENDUSEALL[End Use to Coincident Peak Demand Factors],0)),4)))</f>
        <v/>
      </c>
      <c r="AW70" s="802" t="str">
        <f t="shared" ref="AW70" si="182">IF(OR(C70="",F70="",H70="",K70="",N70="",P70="",R70="",T70="",X70="",AA70="",AC70="",AG70="",AI70=""),"",IF(ISNUMBER(SEARCH("Incandescent",H70)),(0.24*P70)*R70*N70/1000,IF(ISNUMBER(SEARCH("Halogen",H70)),(0.34*P70)*R70*N70/1000,N70*P70*R70/1000)))</f>
        <v/>
      </c>
      <c r="AX70" s="802" t="str">
        <f t="shared" ref="AX70" si="183">IF(OR(C70="",F70="",H70="",K70="",N70="",P70="",R70="",T70="",X70="",AA70="",AC70="",AG70="",AI70=""),"",AA70*AC70*R70/1000)</f>
        <v/>
      </c>
      <c r="AY70" s="1463" t="str">
        <f>IF(OR(C70="",F70="",H70="",K70="",N70="",P70="",R70="",T70="",X70="",AA70="",AC70="",AG70="",AI70=""),"",CONCATENATE(INDEX(CMLIGHTEFF[Measure Number],MATCH(T70,CMLIGHTEFF[Eff Desc 1],0)),INDEX(CMLIGHTBASE[Measure Number],MATCH(H70,CMLIGHTBASE[Base Desc 1],0))))</f>
        <v/>
      </c>
      <c r="AZ70" s="802" t="str">
        <f>IF(OR(C70="",F70="",H70="",K70="",N70="",P70="",R70="",T70="",X70="",AA70="",AC70="",AG70="",AI70=""),"",ROUND(IF((N70*P70)&lt;=(AA70*AC70),"0",IF(AND(F70="Interior", M02S02F32&lt;&gt;""),INDEX(SPACEHEAT[HIF],MATCH(M02S02F32,SHEAT,0))*(AW70-AX70),IF(AND(ISNUMBER(SEARCH("24/7",F70)),M02S02F32&lt;&gt;""),(AW70-AX70),(AW70-AX70)))),0))</f>
        <v/>
      </c>
      <c r="BA70" s="1464" t="str">
        <f t="shared" ref="BA70" si="184">IF(OR(C70="",F70="",H70="",K70="",N70="",P70="",R70="",T70="",X70="",AA70="",AC70="",AG70="",AI70=""),"",IF((N70*P70)&lt;=(AA70*AC70),"0",ROUND(((N70*P70)-(AA70*AC70))/1000,3)))</f>
        <v/>
      </c>
      <c r="BB70" s="1461" t="str">
        <f>IFERROR(AK70/M02S02F35/AZ70,"")</f>
        <v/>
      </c>
      <c r="BC70" s="1461" t="str">
        <f>IFERROR(IF(OR(T70="CFL"),MEASUREELI,IF((N70*P70)&lt;=(AA70*AC70),MEASURESAVE,IF(M02S02F35="",MEASURERATE,IF(AK70/M02S02F35/AZ70&lt;1,MEASUREPAY,IF(AU70&lt;1,MEASURECB, IF(AND(ISNUMBER(SEARCH("24/7",F70)),R70&lt;8500),"Check Location and Hours",IF(AND(ISNUMBER(SEARCH("Dusk to Dawn",F70)),R70&gt;=8500,R70&lt;=8760),"Check Location and Hours",""))))))),MEASURESUBMIT)</f>
        <v>Submit for Review</v>
      </c>
      <c r="BD70" s="1461">
        <f>IF(ISNUMBER(SEARCH("24/7",H70)),AK70/(AZ70*INDEX(CMLIGHTEFF[Inc Rate Exterior],MATCH(T70,CMLIGHTEFF[Eff Desc 1],0))),0)</f>
        <v>0</v>
      </c>
      <c r="BE70" s="1461">
        <f>IFERROR(IF(ISNUMBER(SEARCH("24/7",H70)),0,AK70/(AZ70*INDEX(CMLIGHTEFF[Inc Rate],MATCH(T70,CMLIGHTEFF[Eff Desc 1],0)))),0)</f>
        <v>0</v>
      </c>
      <c r="BF70" s="1461" t="str">
        <f t="shared" ref="BF70" si="185">IF(AND(ISNUMBER(AN70),OR(AND(BD70&lt;&gt;0,BD70&lt;2),AND(BE70&lt;&gt;0,BE70&lt;2))),"50% Cost","")</f>
        <v/>
      </c>
      <c r="BG70" s="1432">
        <f>IF(M02S02F32&lt;&gt;"",INDEX(SPACEHEAT[HIF],MATCH(M02S02F32,SHEAT,0)),1)</f>
        <v>1</v>
      </c>
      <c r="BH70" s="1367">
        <f t="shared" ref="BH70" si="186">IFERROR(ROUND(BJ70*1.1,2),0)</f>
        <v>0</v>
      </c>
      <c r="BI70" s="1367" t="str">
        <f>IF(M02S02F44="","Update Install Status",IF(M02S02F44="Yes","Not Eligible if Pre-Purchased",IF(M02S02F49="Yes","Use New Load",IF(OR(C70="",F70="",H70="",K70="",N70="",P70="",R70="",T70="",X70="",AA70="",AC70="",AG70="",AI70="",AE70=""),"",IF(BC70&lt;&gt;"",BC70,ROUND(BH70*BONUSADJ,2))))))</f>
        <v>Update Install Status</v>
      </c>
      <c r="BJ70" s="1367" t="str">
        <f>IF(M02S02F44="","Update Install Status",IF(M02S02F44="Yes","Not Eligible if Pre-Purchased",IF(M02S02F49="Yes","Use New Load",IF(OR(C70="",F70="",H70="",K70="",N70="",P70="",R70="",T70="",X70="",AA70="",AC70="",AG70="",AI70="",AE70=""),"",IF(BC70&lt;&gt;"",BC70,IF(OR(F70="Exterior 24/7",F70="Garage 24/7"),ROUND(MIN(AK70*0.5,AZ70*INDEX(CMLIGHTEFF[Inc Rate Exterior],MATCH(T70,CMLIGHTEFF[Eff Desc 1],0))),2),ROUND(MIN(AK70*0.5,AZ70*INDEX(CMLIGHTEFF[Inc Rate],MATCH(T70,CMLIGHTEFF[Eff Desc 1],0))),2)))))))</f>
        <v>Update Install Status</v>
      </c>
    </row>
    <row r="71" spans="2:62" ht="15.95" customHeight="1" x14ac:dyDescent="0.25">
      <c r="B71" s="873"/>
      <c r="C71" s="824"/>
      <c r="D71" s="825"/>
      <c r="E71" s="826"/>
      <c r="F71" s="1442"/>
      <c r="G71" s="1443"/>
      <c r="H71" s="824"/>
      <c r="I71" s="825"/>
      <c r="J71" s="826"/>
      <c r="K71" s="852"/>
      <c r="L71" s="852"/>
      <c r="M71" s="852"/>
      <c r="N71" s="1070"/>
      <c r="O71" s="1070"/>
      <c r="P71" s="1066"/>
      <c r="Q71" s="1447"/>
      <c r="R71" s="1445"/>
      <c r="S71" s="1446"/>
      <c r="T71" s="1228"/>
      <c r="U71" s="852"/>
      <c r="V71" s="852"/>
      <c r="W71" s="852"/>
      <c r="X71" s="852"/>
      <c r="Y71" s="852"/>
      <c r="Z71" s="852"/>
      <c r="AA71" s="1070"/>
      <c r="AB71" s="1070"/>
      <c r="AC71" s="1066"/>
      <c r="AD71" s="1066"/>
      <c r="AE71" s="1139"/>
      <c r="AF71" s="1452"/>
      <c r="AG71" s="1466"/>
      <c r="AH71" s="857"/>
      <c r="AI71" s="857"/>
      <c r="AJ71" s="1467"/>
      <c r="AK71" s="1453"/>
      <c r="AL71" s="1454"/>
      <c r="AM71" s="1454"/>
      <c r="AN71" s="1448"/>
      <c r="AO71" s="1449"/>
      <c r="AP71" s="1449"/>
      <c r="AQ71" s="1450"/>
      <c r="AU71" s="1435"/>
      <c r="AV71" s="753"/>
      <c r="AW71" s="803"/>
      <c r="AX71" s="803"/>
      <c r="AY71" s="751"/>
      <c r="AZ71" s="803"/>
      <c r="BA71" s="1465"/>
      <c r="BB71" s="1462"/>
      <c r="BC71" s="1462"/>
      <c r="BD71" s="1462"/>
      <c r="BE71" s="1462"/>
      <c r="BF71" s="1462"/>
      <c r="BG71" s="1433"/>
      <c r="BH71" s="1367"/>
      <c r="BI71" s="1367"/>
      <c r="BJ71" s="1367"/>
    </row>
    <row r="72" spans="2:62" ht="15.95" customHeight="1" x14ac:dyDescent="0.25">
      <c r="B72" s="873">
        <v>29</v>
      </c>
      <c r="C72" s="1468"/>
      <c r="D72" s="822"/>
      <c r="E72" s="823"/>
      <c r="F72" s="1440" t="s">
        <v>560</v>
      </c>
      <c r="G72" s="1441"/>
      <c r="H72" s="842"/>
      <c r="I72" s="822"/>
      <c r="J72" s="823"/>
      <c r="K72" s="1438"/>
      <c r="L72" s="852"/>
      <c r="M72" s="852"/>
      <c r="N72" s="1070"/>
      <c r="O72" s="1070"/>
      <c r="P72" s="1066" t="str">
        <f>IF(H72="","",INDEX(CMLIGHTBASE[Base Watt 1],MATCH(H72,CMLIGHTBASE[Base Desc 1],0)))</f>
        <v/>
      </c>
      <c r="Q72" s="1447"/>
      <c r="R72" s="1445" t="str">
        <f t="shared" ref="R72" si="187">IF(ISNUMBER(SEARCH("24/7",F72)),8760, IF(ISNUMBER(SEARCH("Dusk to Dawn", F72)),4380,""))</f>
        <v/>
      </c>
      <c r="S72" s="1446"/>
      <c r="T72" s="1228"/>
      <c r="U72" s="852"/>
      <c r="V72" s="852"/>
      <c r="W72" s="852"/>
      <c r="X72" s="1438"/>
      <c r="Y72" s="852"/>
      <c r="Z72" s="852"/>
      <c r="AA72" s="1070"/>
      <c r="AB72" s="1070"/>
      <c r="AC72" s="1066" t="str">
        <f>IF(T72="","",INDEX(CFLEFF[Eff Watt 1],MATCH(T72,CFLEFF[Eff Desc 1],0)))</f>
        <v/>
      </c>
      <c r="AD72" s="1066"/>
      <c r="AE72" s="1451"/>
      <c r="AF72" s="1452"/>
      <c r="AG72" s="1466"/>
      <c r="AH72" s="857"/>
      <c r="AI72" s="857"/>
      <c r="AJ72" s="1467"/>
      <c r="AK72" s="1453" t="str">
        <f t="shared" ref="AK72" si="188">IF(OR(C72="",F72="",K72="",N72="",P72="",R72="",X72="",AA72="",AC72="",AG72="",AI72=""),"",ROUND((AG72+AI72)*AA72,2))</f>
        <v/>
      </c>
      <c r="AL72" s="1454"/>
      <c r="AM72" s="1454"/>
      <c r="AN72" s="1448"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c r="AO72" s="1449"/>
      <c r="AP72" s="1449"/>
      <c r="AQ72" s="1450"/>
      <c r="AU72" s="1434" t="str">
        <f>IFERROR(IF(OR(C72="",H72="",K72="",N72="",P72="",R72="",T72="",X72="",AA72="",AC72="",AG72="",AI72=""),"",((1+ELOSS)*PEAKTD*(1+INDEX(ELECCB[Capacity Reserve Margin],MATCH(15,ELECCB[Year Number],0)))*((AZ72*INDEX(ELECCB[NPV AEC $/kWh],MATCH(15,ELECCB[Year Number],0)))+(AV72*INDEX(ELECCB[NPV ACC+T&amp;D $/kW],MATCH(15,ELECCB[Year Number],0))))/AK72)),0)</f>
        <v/>
      </c>
      <c r="AV72" s="752" t="str">
        <f>IF(OR(C72="",H72="",K72="",N72="",P72="",R72="",T72="",X72="",AA72="",AC72="",AG72="",AI72=""),"",IF((N72*P72)&lt;=(AA72*AC72),"0",ROUND(AZ72*INDEX(ENDUSEALL[Factor],MATCH(INDEX(CMELIGHT[End Use Category],MATCH(F72,CMELIGHT[Proj Desc 1],0)),ENDUSEALL[End Use to Coincident Peak Demand Factors],0)),4)))</f>
        <v/>
      </c>
      <c r="AW72" s="802" t="str">
        <f t="shared" ref="AW72" si="189">IF(OR(C72="",F72="",H72="",K72="",N72="",P72="",R72="",T72="",X72="",AA72="",AC72="",AG72="",AI72=""),"",IF(ISNUMBER(SEARCH("Incandescent",H72)),(0.24*P72)*R72*N72/1000,IF(ISNUMBER(SEARCH("Halogen",H72)),(0.34*P72)*R72*N72/1000,N72*P72*R72/1000)))</f>
        <v/>
      </c>
      <c r="AX72" s="802" t="str">
        <f t="shared" ref="AX72" si="190">IF(OR(C72="",F72="",H72="",K72="",N72="",P72="",R72="",T72="",X72="",AA72="",AC72="",AG72="",AI72=""),"",AA72*AC72*R72/1000)</f>
        <v/>
      </c>
      <c r="AY72" s="1463" t="str">
        <f>IF(OR(C72="",F72="",H72="",K72="",N72="",P72="",R72="",T72="",X72="",AA72="",AC72="",AG72="",AI72=""),"",CONCATENATE(INDEX(CMLIGHTEFF[Measure Number],MATCH(T72,CMLIGHTEFF[Eff Desc 1],0)),INDEX(CMLIGHTBASE[Measure Number],MATCH(H72,CMLIGHTBASE[Base Desc 1],0))))</f>
        <v/>
      </c>
      <c r="AZ72" s="802" t="str">
        <f>IF(OR(C72="",F72="",H72="",K72="",N72="",P72="",R72="",T72="",X72="",AA72="",AC72="",AG72="",AI72=""),"",ROUND(IF((N72*P72)&lt;=(AA72*AC72),"0",IF(AND(F72="Interior", M02S02F32&lt;&gt;""),INDEX(SPACEHEAT[HIF],MATCH(M02S02F32,SHEAT,0))*(AW72-AX72),IF(AND(ISNUMBER(SEARCH("24/7",F72)),M02S02F32&lt;&gt;""),(AW72-AX72),(AW72-AX72)))),0))</f>
        <v/>
      </c>
      <c r="BA72" s="1464" t="str">
        <f t="shared" ref="BA72" si="191">IF(OR(C72="",F72="",H72="",K72="",N72="",P72="",R72="",T72="",X72="",AA72="",AC72="",AG72="",AI72=""),"",IF((N72*P72)&lt;=(AA72*AC72),"0",ROUND(((N72*P72)-(AA72*AC72))/1000,3)))</f>
        <v/>
      </c>
      <c r="BB72" s="1461" t="str">
        <f>IFERROR(AK72/M02S02F35/AZ72,"")</f>
        <v/>
      </c>
      <c r="BC72" s="1461" t="str">
        <f>IFERROR(IF(OR(T72="CFL"),MEASUREELI,IF((N72*P72)&lt;=(AA72*AC72),MEASURESAVE,IF(M02S02F35="",MEASURERATE,IF(AK72/M02S02F35/AZ72&lt;1,MEASUREPAY,IF(AU72&lt;1,MEASURECB, IF(AND(ISNUMBER(SEARCH("24/7",F72)),R72&lt;8500),"Check Location and Hours",IF(AND(ISNUMBER(SEARCH("Dusk to Dawn",F72)),R72&gt;=8500,R72&lt;=8760),"Check Location and Hours",""))))))),MEASURESUBMIT)</f>
        <v>Submit for Review</v>
      </c>
      <c r="BD72" s="1461">
        <f>IF(ISNUMBER(SEARCH("24/7",H72)),AK72/(AZ72*INDEX(CMLIGHTEFF[Inc Rate Exterior],MATCH(T72,CMLIGHTEFF[Eff Desc 1],0))),0)</f>
        <v>0</v>
      </c>
      <c r="BE72" s="1461">
        <f>IFERROR(IF(ISNUMBER(SEARCH("24/7",H72)),0,AK72/(AZ72*INDEX(CMLIGHTEFF[Inc Rate],MATCH(T72,CMLIGHTEFF[Eff Desc 1],0)))),0)</f>
        <v>0</v>
      </c>
      <c r="BF72" s="1461" t="str">
        <f t="shared" ref="BF72" si="192">IF(AND(ISNUMBER(AN72),OR(AND(BD72&lt;&gt;0,BD72&lt;2),AND(BE72&lt;&gt;0,BE72&lt;2))),"50% Cost","")</f>
        <v/>
      </c>
      <c r="BG72" s="1432">
        <f>IF(M02S02F32&lt;&gt;"",INDEX(SPACEHEAT[HIF],MATCH(M02S02F32,SHEAT,0)),1)</f>
        <v>1</v>
      </c>
      <c r="BH72" s="1367">
        <f t="shared" ref="BH72" si="193">IFERROR(ROUND(BJ72*1.1,2),0)</f>
        <v>0</v>
      </c>
      <c r="BI72" s="1367" t="str">
        <f>IF(M02S02F44="","Update Install Status",IF(M02S02F44="Yes","Not Eligible if Pre-Purchased",IF(M02S02F49="Yes","Use New Load",IF(OR(C72="",F72="",H72="",K72="",N72="",P72="",R72="",T72="",X72="",AA72="",AC72="",AG72="",AI72="",AE72=""),"",IF(BC72&lt;&gt;"",BC72,ROUND(BH72*BONUSADJ,2))))))</f>
        <v>Update Install Status</v>
      </c>
      <c r="BJ72" s="1367" t="str">
        <f>IF(M02S02F44="","Update Install Status",IF(M02S02F44="Yes","Not Eligible if Pre-Purchased",IF(M02S02F49="Yes","Use New Load",IF(OR(C72="",F72="",H72="",K72="",N72="",P72="",R72="",T72="",X72="",AA72="",AC72="",AG72="",AI72="",AE72=""),"",IF(BC72&lt;&gt;"",BC72,IF(OR(F72="Exterior 24/7",F72="Garage 24/7"),ROUND(MIN(AK72*0.5,AZ72*INDEX(CMLIGHTEFF[Inc Rate Exterior],MATCH(T72,CMLIGHTEFF[Eff Desc 1],0))),2),ROUND(MIN(AK72*0.5,AZ72*INDEX(CMLIGHTEFF[Inc Rate],MATCH(T72,CMLIGHTEFF[Eff Desc 1],0))),2)))))))</f>
        <v>Update Install Status</v>
      </c>
    </row>
    <row r="73" spans="2:62" ht="15.95" customHeight="1" x14ac:dyDescent="0.25">
      <c r="B73" s="873"/>
      <c r="C73" s="824"/>
      <c r="D73" s="825"/>
      <c r="E73" s="826"/>
      <c r="F73" s="1442"/>
      <c r="G73" s="1443"/>
      <c r="H73" s="824"/>
      <c r="I73" s="825"/>
      <c r="J73" s="826"/>
      <c r="K73" s="852"/>
      <c r="L73" s="852"/>
      <c r="M73" s="852"/>
      <c r="N73" s="1070"/>
      <c r="O73" s="1070"/>
      <c r="P73" s="1066"/>
      <c r="Q73" s="1447"/>
      <c r="R73" s="1445"/>
      <c r="S73" s="1446"/>
      <c r="T73" s="1228"/>
      <c r="U73" s="852"/>
      <c r="V73" s="852"/>
      <c r="W73" s="852"/>
      <c r="X73" s="852"/>
      <c r="Y73" s="852"/>
      <c r="Z73" s="852"/>
      <c r="AA73" s="1070"/>
      <c r="AB73" s="1070"/>
      <c r="AC73" s="1066"/>
      <c r="AD73" s="1066"/>
      <c r="AE73" s="1139"/>
      <c r="AF73" s="1452"/>
      <c r="AG73" s="1466"/>
      <c r="AH73" s="857"/>
      <c r="AI73" s="857"/>
      <c r="AJ73" s="1467"/>
      <c r="AK73" s="1453"/>
      <c r="AL73" s="1454"/>
      <c r="AM73" s="1454"/>
      <c r="AN73" s="1448"/>
      <c r="AO73" s="1449"/>
      <c r="AP73" s="1449"/>
      <c r="AQ73" s="1450"/>
      <c r="AU73" s="1435"/>
      <c r="AV73" s="753"/>
      <c r="AW73" s="803"/>
      <c r="AX73" s="803"/>
      <c r="AY73" s="751"/>
      <c r="AZ73" s="803"/>
      <c r="BA73" s="1465"/>
      <c r="BB73" s="1462"/>
      <c r="BC73" s="1462"/>
      <c r="BD73" s="1462"/>
      <c r="BE73" s="1462"/>
      <c r="BF73" s="1462"/>
      <c r="BG73" s="1433"/>
      <c r="BH73" s="1367"/>
      <c r="BI73" s="1367"/>
      <c r="BJ73" s="1367"/>
    </row>
    <row r="74" spans="2:62" ht="15.95" customHeight="1" x14ac:dyDescent="0.25">
      <c r="B74" s="873">
        <v>30</v>
      </c>
      <c r="C74" s="1468"/>
      <c r="D74" s="822"/>
      <c r="E74" s="823"/>
      <c r="F74" s="1440" t="s">
        <v>560</v>
      </c>
      <c r="G74" s="1441"/>
      <c r="H74" s="842"/>
      <c r="I74" s="822"/>
      <c r="J74" s="823"/>
      <c r="K74" s="1438"/>
      <c r="L74" s="852"/>
      <c r="M74" s="852"/>
      <c r="N74" s="1070"/>
      <c r="O74" s="1070"/>
      <c r="P74" s="1066" t="str">
        <f>IF(H74="","",INDEX(CMLIGHTBASE[Base Watt 1],MATCH(H74,CMLIGHTBASE[Base Desc 1],0)))</f>
        <v/>
      </c>
      <c r="Q74" s="1447"/>
      <c r="R74" s="1445" t="str">
        <f t="shared" ref="R74" si="194">IF(ISNUMBER(SEARCH("24/7",F74)),8760, IF(ISNUMBER(SEARCH("Dusk to Dawn", F74)),4380,""))</f>
        <v/>
      </c>
      <c r="S74" s="1446"/>
      <c r="T74" s="1228"/>
      <c r="U74" s="852"/>
      <c r="V74" s="852"/>
      <c r="W74" s="852"/>
      <c r="X74" s="1438"/>
      <c r="Y74" s="852"/>
      <c r="Z74" s="852"/>
      <c r="AA74" s="1070"/>
      <c r="AB74" s="1070"/>
      <c r="AC74" s="1066" t="str">
        <f>IF(T74="","",INDEX(CFLEFF[Eff Watt 1],MATCH(T74,CFLEFF[Eff Desc 1],0)))</f>
        <v/>
      </c>
      <c r="AD74" s="1066"/>
      <c r="AE74" s="1451"/>
      <c r="AF74" s="1452"/>
      <c r="AG74" s="1466"/>
      <c r="AH74" s="857"/>
      <c r="AI74" s="857"/>
      <c r="AJ74" s="1467"/>
      <c r="AK74" s="1453" t="str">
        <f t="shared" ref="AK74" si="195">IF(OR(C74="",F74="",K74="",N74="",P74="",R74="",X74="",AA74="",AC74="",AG74="",AI74=""),"",ROUND((AG74+AI74)*AA74,2))</f>
        <v/>
      </c>
      <c r="AL74" s="1454"/>
      <c r="AM74" s="1454"/>
      <c r="AN74" s="1448"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c r="AO74" s="1449"/>
      <c r="AP74" s="1449"/>
      <c r="AQ74" s="1450"/>
      <c r="AU74" s="1434" t="str">
        <f>IFERROR(IF(OR(C74="",H74="",K74="",N74="",P74="",R74="",T74="",X74="",AA74="",AC74="",AG74="",AI74=""),"",((1+ELOSS)*PEAKTD*(1+INDEX(ELECCB[Capacity Reserve Margin],MATCH(15,ELECCB[Year Number],0)))*((AZ74*INDEX(ELECCB[NPV AEC $/kWh],MATCH(15,ELECCB[Year Number],0)))+(AV74*INDEX(ELECCB[NPV ACC+T&amp;D $/kW],MATCH(15,ELECCB[Year Number],0))))/AK74)),0)</f>
        <v/>
      </c>
      <c r="AV74" s="752" t="str">
        <f>IF(OR(C74="",H74="",K74="",N74="",P74="",R74="",T74="",X74="",AA74="",AC74="",AG74="",AI74=""),"",IF((N74*P74)&lt;=(AA74*AC74),"0",ROUND(AZ74*INDEX(ENDUSEALL[Factor],MATCH(INDEX(CMELIGHT[End Use Category],MATCH(F74,CMELIGHT[Proj Desc 1],0)),ENDUSEALL[End Use to Coincident Peak Demand Factors],0)),4)))</f>
        <v/>
      </c>
      <c r="AW74" s="802" t="str">
        <f t="shared" ref="AW74" si="196">IF(OR(C74="",F74="",H74="",K74="",N74="",P74="",R74="",T74="",X74="",AA74="",AC74="",AG74="",AI74=""),"",IF(ISNUMBER(SEARCH("Incandescent",H74)),(0.24*P74)*R74*N74/1000,IF(ISNUMBER(SEARCH("Halogen",H74)),(0.34*P74)*R74*N74/1000,N74*P74*R74/1000)))</f>
        <v/>
      </c>
      <c r="AX74" s="802" t="str">
        <f t="shared" ref="AX74" si="197">IF(OR(C74="",F74="",H74="",K74="",N74="",P74="",R74="",T74="",X74="",AA74="",AC74="",AG74="",AI74=""),"",AA74*AC74*R74/1000)</f>
        <v/>
      </c>
      <c r="AY74" s="1463" t="str">
        <f>IF(OR(C74="",F74="",H74="",K74="",N74="",P74="",R74="",T74="",X74="",AA74="",AC74="",AG74="",AI74=""),"",CONCATENATE(INDEX(CMLIGHTEFF[Measure Number],MATCH(T74,CMLIGHTEFF[Eff Desc 1],0)),INDEX(CMLIGHTBASE[Measure Number],MATCH(H74,CMLIGHTBASE[Base Desc 1],0))))</f>
        <v/>
      </c>
      <c r="AZ74" s="802" t="str">
        <f>IF(OR(C74="",F74="",H74="",K74="",N74="",P74="",R74="",T74="",X74="",AA74="",AC74="",AG74="",AI74=""),"",ROUND(IF((N74*P74)&lt;=(AA74*AC74),"0",IF(AND(F74="Interior", M02S02F32&lt;&gt;""),INDEX(SPACEHEAT[HIF],MATCH(M02S02F32,SHEAT,0))*(AW74-AX74),IF(AND(ISNUMBER(SEARCH("24/7",F74)),M02S02F32&lt;&gt;""),(AW74-AX74),(AW74-AX74)))),0))</f>
        <v/>
      </c>
      <c r="BA74" s="1464" t="str">
        <f t="shared" ref="BA74" si="198">IF(OR(C74="",F74="",H74="",K74="",N74="",P74="",R74="",T74="",X74="",AA74="",AC74="",AG74="",AI74=""),"",IF((N74*P74)&lt;=(AA74*AC74),"0",ROUND(((N74*P74)-(AA74*AC74))/1000,3)))</f>
        <v/>
      </c>
      <c r="BB74" s="1461" t="str">
        <f>IFERROR(AK74/M02S02F35/AZ74,"")</f>
        <v/>
      </c>
      <c r="BC74" s="1461" t="str">
        <f>IFERROR(IF(OR(T74="CFL"),MEASUREELI,IF((N74*P74)&lt;=(AA74*AC74),MEASURESAVE,IF(M02S02F35="",MEASURERATE,IF(AK74/M02S02F35/AZ74&lt;1,MEASUREPAY,IF(AU74&lt;1,MEASURECB, IF(AND(ISNUMBER(SEARCH("24/7",F74)),R74&lt;8500),"Check Location and Hours",IF(AND(ISNUMBER(SEARCH("Dusk to Dawn",F74)),R74&gt;=8500,R74&lt;=8760),"Check Location and Hours",""))))))),MEASURESUBMIT)</f>
        <v>Submit for Review</v>
      </c>
      <c r="BD74" s="1461">
        <f>IF(ISNUMBER(SEARCH("24/7",H74)),AK74/(AZ74*INDEX(CMLIGHTEFF[Inc Rate Exterior],MATCH(T74,CMLIGHTEFF[Eff Desc 1],0))),0)</f>
        <v>0</v>
      </c>
      <c r="BE74" s="1461">
        <f>IFERROR(IF(ISNUMBER(SEARCH("24/7",H74)),0,AK74/(AZ74*INDEX(CMLIGHTEFF[Inc Rate],MATCH(T74,CMLIGHTEFF[Eff Desc 1],0)))),0)</f>
        <v>0</v>
      </c>
      <c r="BF74" s="1461" t="str">
        <f t="shared" ref="BF74" si="199">IF(AND(ISNUMBER(AN74),OR(AND(BD74&lt;&gt;0,BD74&lt;2),AND(BE74&lt;&gt;0,BE74&lt;2))),"50% Cost","")</f>
        <v/>
      </c>
      <c r="BG74" s="1432">
        <f>IF(M02S02F32&lt;&gt;"",INDEX(SPACEHEAT[HIF],MATCH(M02S02F32,SHEAT,0)),1)</f>
        <v>1</v>
      </c>
      <c r="BH74" s="1367">
        <f t="shared" ref="BH74" si="200">IFERROR(ROUND(BJ74*1.1,2),0)</f>
        <v>0</v>
      </c>
      <c r="BI74" s="1367" t="str">
        <f>IF(M02S02F44="","Update Install Status",IF(M02S02F44="Yes","Not Eligible if Pre-Purchased",IF(M02S02F49="Yes","Use New Load",IF(OR(C74="",F74="",H74="",K74="",N74="",P74="",R74="",T74="",X74="",AA74="",AC74="",AG74="",AI74="",AE74=""),"",IF(BC74&lt;&gt;"",BC74,ROUND(BH74*BONUSADJ,2))))))</f>
        <v>Update Install Status</v>
      </c>
      <c r="BJ74" s="1367" t="str">
        <f>IF(M02S02F44="","Update Install Status",IF(M02S02F44="Yes","Not Eligible if Pre-Purchased",IF(M02S02F49="Yes","Use New Load",IF(OR(C74="",F74="",H74="",K74="",N74="",P74="",R74="",T74="",X74="",AA74="",AC74="",AG74="",AI74="",AE74=""),"",IF(BC74&lt;&gt;"",BC74,IF(OR(F74="Exterior 24/7",F74="Garage 24/7"),ROUND(MIN(AK74*0.5,AZ74*INDEX(CMLIGHTEFF[Inc Rate Exterior],MATCH(T74,CMLIGHTEFF[Eff Desc 1],0))),2),ROUND(MIN(AK74*0.5,AZ74*INDEX(CMLIGHTEFF[Inc Rate],MATCH(T74,CMLIGHTEFF[Eff Desc 1],0))),2)))))))</f>
        <v>Update Install Status</v>
      </c>
    </row>
    <row r="75" spans="2:62" ht="15.95" customHeight="1" thickBot="1" x14ac:dyDescent="0.3">
      <c r="B75" s="873"/>
      <c r="C75" s="1470"/>
      <c r="D75" s="1471"/>
      <c r="E75" s="1472"/>
      <c r="F75" s="1442"/>
      <c r="G75" s="1443"/>
      <c r="H75" s="824"/>
      <c r="I75" s="825"/>
      <c r="J75" s="826"/>
      <c r="K75" s="1478"/>
      <c r="L75" s="1478"/>
      <c r="M75" s="1478"/>
      <c r="N75" s="1479"/>
      <c r="O75" s="1479"/>
      <c r="P75" s="1473"/>
      <c r="Q75" s="1474"/>
      <c r="R75" s="1445"/>
      <c r="S75" s="1446"/>
      <c r="T75" s="1228"/>
      <c r="U75" s="852"/>
      <c r="V75" s="852"/>
      <c r="W75" s="852"/>
      <c r="X75" s="1439"/>
      <c r="Y75" s="1439"/>
      <c r="Z75" s="1439"/>
      <c r="AA75" s="1436"/>
      <c r="AB75" s="1436"/>
      <c r="AC75" s="1066"/>
      <c r="AD75" s="1066"/>
      <c r="AE75" s="1139"/>
      <c r="AF75" s="1452"/>
      <c r="AG75" s="1212"/>
      <c r="AH75" s="1213"/>
      <c r="AI75" s="1213"/>
      <c r="AJ75" s="1216"/>
      <c r="AK75" s="1453"/>
      <c r="AL75" s="1454"/>
      <c r="AM75" s="1454"/>
      <c r="AN75" s="1475"/>
      <c r="AO75" s="1476"/>
      <c r="AP75" s="1476"/>
      <c r="AQ75" s="1477"/>
      <c r="AU75" s="1435"/>
      <c r="AV75" s="753"/>
      <c r="AW75" s="803"/>
      <c r="AX75" s="803"/>
      <c r="AY75" s="751"/>
      <c r="AZ75" s="803"/>
      <c r="BA75" s="1465"/>
      <c r="BB75" s="1462"/>
      <c r="BC75" s="1462"/>
      <c r="BD75" s="1462"/>
      <c r="BE75" s="1462"/>
      <c r="BF75" s="1462"/>
      <c r="BG75" s="1433"/>
      <c r="BH75" s="1367"/>
      <c r="BI75" s="1367"/>
      <c r="BJ75" s="1367"/>
    </row>
    <row r="76" spans="2:62" ht="15.95" customHeight="1" x14ac:dyDescent="0.25">
      <c r="B76" s="1119"/>
      <c r="C76" s="1437" t="s">
        <v>92</v>
      </c>
      <c r="D76" s="1437"/>
      <c r="E76" s="1437"/>
      <c r="F76" s="1480" t="s">
        <v>823</v>
      </c>
      <c r="G76" s="1437"/>
      <c r="H76" s="1437" t="s">
        <v>93</v>
      </c>
      <c r="I76" s="1437"/>
      <c r="J76" s="1437"/>
      <c r="K76" s="1437" t="s">
        <v>102</v>
      </c>
      <c r="L76" s="1437"/>
      <c r="M76" s="1437"/>
      <c r="N76" s="1437" t="s">
        <v>576</v>
      </c>
      <c r="O76" s="1437"/>
      <c r="P76" s="1437" t="s">
        <v>94</v>
      </c>
      <c r="Q76" s="1437"/>
      <c r="R76" s="1437" t="s">
        <v>1147</v>
      </c>
      <c r="S76" s="1437"/>
      <c r="T76" s="1437" t="s">
        <v>101</v>
      </c>
      <c r="U76" s="1437"/>
      <c r="V76" s="1437"/>
      <c r="W76" s="1437"/>
      <c r="X76" s="1437" t="s">
        <v>102</v>
      </c>
      <c r="Y76" s="1437"/>
      <c r="Z76" s="1437"/>
      <c r="AA76" s="1437" t="s">
        <v>95</v>
      </c>
      <c r="AB76" s="1437"/>
      <c r="AC76" s="1437" t="s">
        <v>94</v>
      </c>
      <c r="AD76" s="1437"/>
      <c r="AE76" s="1437" t="s">
        <v>1903</v>
      </c>
      <c r="AF76" s="1437"/>
      <c r="AG76" s="1437" t="s">
        <v>1305</v>
      </c>
      <c r="AH76" s="1437"/>
      <c r="AI76" s="1437"/>
      <c r="AJ76" s="1437"/>
      <c r="AK76" s="1437" t="s">
        <v>97</v>
      </c>
      <c r="AL76" s="1437"/>
      <c r="AM76" s="1437"/>
      <c r="AN76" s="1437" t="s">
        <v>96</v>
      </c>
      <c r="AO76" s="1437"/>
      <c r="AP76" s="1437"/>
      <c r="AQ76" s="1437"/>
      <c r="AU76" s="798" t="s">
        <v>208</v>
      </c>
      <c r="AV76" s="798" t="s">
        <v>562</v>
      </c>
      <c r="AW76" s="798" t="s">
        <v>827</v>
      </c>
      <c r="AX76" s="798" t="s">
        <v>193</v>
      </c>
      <c r="AY76" s="798" t="s">
        <v>125</v>
      </c>
      <c r="AZ76" s="798" t="s">
        <v>104</v>
      </c>
      <c r="BA76" s="798" t="s">
        <v>995</v>
      </c>
      <c r="BB76" s="798" t="s">
        <v>561</v>
      </c>
      <c r="BC76" s="798" t="s">
        <v>473</v>
      </c>
      <c r="BD76" s="798" t="s">
        <v>1353</v>
      </c>
      <c r="BE76" s="798" t="s">
        <v>1354</v>
      </c>
      <c r="BF76" s="798" t="s">
        <v>1352</v>
      </c>
      <c r="BG76" s="1053" t="s">
        <v>2251</v>
      </c>
      <c r="BH76" s="798" t="s">
        <v>2006</v>
      </c>
      <c r="BI76" s="798" t="s">
        <v>2007</v>
      </c>
      <c r="BJ76" s="1053" t="s">
        <v>2008</v>
      </c>
    </row>
    <row r="77" spans="2:62" ht="15.95" customHeight="1" x14ac:dyDescent="0.25">
      <c r="B77" s="1119"/>
      <c r="C77" s="799"/>
      <c r="D77" s="799"/>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799"/>
      <c r="AE77" s="799"/>
      <c r="AF77" s="799"/>
      <c r="AG77" s="799" t="s">
        <v>98</v>
      </c>
      <c r="AH77" s="799"/>
      <c r="AI77" s="799" t="s">
        <v>99</v>
      </c>
      <c r="AJ77" s="799"/>
      <c r="AK77" s="799"/>
      <c r="AL77" s="799"/>
      <c r="AM77" s="799"/>
      <c r="AN77" s="799"/>
      <c r="AO77" s="799"/>
      <c r="AP77" s="799"/>
      <c r="AQ77" s="799"/>
      <c r="AU77" s="799"/>
      <c r="AV77" s="799"/>
      <c r="AW77" s="799"/>
      <c r="AX77" s="799"/>
      <c r="AY77" s="799"/>
      <c r="AZ77" s="799"/>
      <c r="BA77" s="799"/>
      <c r="BB77" s="799"/>
      <c r="BC77" s="799"/>
      <c r="BD77" s="799"/>
      <c r="BE77" s="799"/>
      <c r="BF77" s="799"/>
      <c r="BG77" s="799"/>
      <c r="BH77" s="799"/>
      <c r="BI77" s="799"/>
      <c r="BJ77" s="799"/>
    </row>
    <row r="78" spans="2:62" ht="15.95" hidden="1" customHeight="1" x14ac:dyDescent="0.25">
      <c r="B78" s="873">
        <v>32</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row>
    <row r="79" spans="2:62"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62"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62"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62"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62"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62"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62"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62"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62"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62"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1434"/>
      <c r="AV200" s="750">
        <f>SUM(AV16:AV199)</f>
        <v>0</v>
      </c>
      <c r="BH200" s="804">
        <f>SUM(BH16:BH77)</f>
        <v>0</v>
      </c>
      <c r="BI200" s="804">
        <f>SUM(BI16:BI77)</f>
        <v>0</v>
      </c>
      <c r="BJ200" s="804">
        <f>SUM(BJ16:BJ77)</f>
        <v>0</v>
      </c>
    </row>
    <row r="201" spans="2:62"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1434"/>
      <c r="AV201" s="751"/>
      <c r="BH201" s="805"/>
      <c r="BI201" s="805"/>
      <c r="BJ201" s="805"/>
    </row>
    <row r="202" spans="2:6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h/aK45G5dgFc/bOkXMSkt6e2/NKu7TH4HRKfI/3++XgCMA5GBBJRCqHsiI9cOM/XLPsu/5MJlfzN6lLdEDDOtA==" saltValue="z9D2U5sROBSipvnxdo1OmQ==" spinCount="100000" sheet="1" objects="1" scenarios="1" selectLockedCells="1"/>
  <mergeCells count="1141">
    <mergeCell ref="F48:G49"/>
    <mergeCell ref="F50:G51"/>
    <mergeCell ref="F52:G53"/>
    <mergeCell ref="H42:J43"/>
    <mergeCell ref="F54:G55"/>
    <mergeCell ref="F56:G57"/>
    <mergeCell ref="F58:G59"/>
    <mergeCell ref="H56:J57"/>
    <mergeCell ref="H58:J59"/>
    <mergeCell ref="F60:G61"/>
    <mergeCell ref="H60:J61"/>
    <mergeCell ref="H54:J55"/>
    <mergeCell ref="F70:G71"/>
    <mergeCell ref="BJ64:BJ65"/>
    <mergeCell ref="BJ66:BJ67"/>
    <mergeCell ref="BJ68:BJ69"/>
    <mergeCell ref="BJ70:BJ71"/>
    <mergeCell ref="BJ48:BJ49"/>
    <mergeCell ref="BJ50:BJ51"/>
    <mergeCell ref="BJ52:BJ53"/>
    <mergeCell ref="BH50:BH51"/>
    <mergeCell ref="BI50:BI51"/>
    <mergeCell ref="BH52:BH53"/>
    <mergeCell ref="BI52:BI53"/>
    <mergeCell ref="BH54:BH55"/>
    <mergeCell ref="BI54:BI55"/>
    <mergeCell ref="BH56:BH57"/>
    <mergeCell ref="BI56:BI57"/>
    <mergeCell ref="BH58:BH59"/>
    <mergeCell ref="BI58:BI59"/>
    <mergeCell ref="BH60:BH61"/>
    <mergeCell ref="BI60:BI61"/>
    <mergeCell ref="BJ72:BJ73"/>
    <mergeCell ref="BJ74:BJ75"/>
    <mergeCell ref="BJ76:BJ77"/>
    <mergeCell ref="BJ200:BJ201"/>
    <mergeCell ref="BH68:BH69"/>
    <mergeCell ref="BI68:BI69"/>
    <mergeCell ref="BH70:BH71"/>
    <mergeCell ref="BI70:BI71"/>
    <mergeCell ref="BH72:BH73"/>
    <mergeCell ref="BI72:BI73"/>
    <mergeCell ref="BH74:BH75"/>
    <mergeCell ref="BI74:BI75"/>
    <mergeCell ref="BH76:BH77"/>
    <mergeCell ref="BI76:BI77"/>
    <mergeCell ref="BH200:BH201"/>
    <mergeCell ref="BI200:BI201"/>
    <mergeCell ref="BH64:BH65"/>
    <mergeCell ref="BI64:BI65"/>
    <mergeCell ref="BH66:BH67"/>
    <mergeCell ref="BI66:BI67"/>
    <mergeCell ref="BJ14:BJ15"/>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H62:BH63"/>
    <mergeCell ref="BI62:BI63"/>
    <mergeCell ref="BJ54:BJ55"/>
    <mergeCell ref="BJ56:BJ57"/>
    <mergeCell ref="BJ58:BJ59"/>
    <mergeCell ref="BJ60:BJ61"/>
    <mergeCell ref="BJ62:BJ63"/>
    <mergeCell ref="BH32:BH33"/>
    <mergeCell ref="BI32:BI33"/>
    <mergeCell ref="BH34:BH35"/>
    <mergeCell ref="BI34:BI35"/>
    <mergeCell ref="BH36:BH37"/>
    <mergeCell ref="BI36:BI37"/>
    <mergeCell ref="BH38:BH39"/>
    <mergeCell ref="BI38:BI39"/>
    <mergeCell ref="BH40:BH41"/>
    <mergeCell ref="BI40:BI41"/>
    <mergeCell ref="BH42:BH43"/>
    <mergeCell ref="BI42:BI43"/>
    <mergeCell ref="BH44:BH45"/>
    <mergeCell ref="BI44:BI45"/>
    <mergeCell ref="BH46:BH47"/>
    <mergeCell ref="BI46:BI47"/>
    <mergeCell ref="BH48:BH49"/>
    <mergeCell ref="BI48:BI49"/>
    <mergeCell ref="BH14:BH15"/>
    <mergeCell ref="BI14:BI15"/>
    <mergeCell ref="BH16:BH17"/>
    <mergeCell ref="BI16:BI17"/>
    <mergeCell ref="BH18:BH19"/>
    <mergeCell ref="BI18:BI19"/>
    <mergeCell ref="BH20:BH21"/>
    <mergeCell ref="BI20:BI21"/>
    <mergeCell ref="BH22:BH23"/>
    <mergeCell ref="BI22:BI23"/>
    <mergeCell ref="BH24:BH25"/>
    <mergeCell ref="BI24:BI25"/>
    <mergeCell ref="BH26:BH27"/>
    <mergeCell ref="BI26:BI27"/>
    <mergeCell ref="BH28:BH29"/>
    <mergeCell ref="BI28:BI29"/>
    <mergeCell ref="BH30:BH31"/>
    <mergeCell ref="BI30:BI31"/>
    <mergeCell ref="AV200:AV201"/>
    <mergeCell ref="Q1:R1"/>
    <mergeCell ref="U1:V1"/>
    <mergeCell ref="Y1:Z1"/>
    <mergeCell ref="M200:AG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AU200:AU201"/>
    <mergeCell ref="AC72:AD73"/>
    <mergeCell ref="AE72:AF73"/>
    <mergeCell ref="AU66:AU67"/>
    <mergeCell ref="AU60:AU61"/>
    <mergeCell ref="AU54:AU55"/>
    <mergeCell ref="AU48:AU49"/>
    <mergeCell ref="AU42:AU43"/>
    <mergeCell ref="B138:B139"/>
    <mergeCell ref="B116:B117"/>
    <mergeCell ref="B118:B119"/>
    <mergeCell ref="B120:B121"/>
    <mergeCell ref="B122:B123"/>
    <mergeCell ref="B124:B125"/>
    <mergeCell ref="B126:B127"/>
    <mergeCell ref="B154:B155"/>
    <mergeCell ref="B156:B157"/>
    <mergeCell ref="B158:B159"/>
    <mergeCell ref="B160:B161"/>
    <mergeCell ref="B162:B163"/>
    <mergeCell ref="B140:B141"/>
    <mergeCell ref="B142:B143"/>
    <mergeCell ref="B144:B145"/>
    <mergeCell ref="B146:B147"/>
    <mergeCell ref="B148:B149"/>
    <mergeCell ref="B150:B151"/>
    <mergeCell ref="B104:B105"/>
    <mergeCell ref="B106:B107"/>
    <mergeCell ref="B108:B109"/>
    <mergeCell ref="B110:B111"/>
    <mergeCell ref="B112:B113"/>
    <mergeCell ref="B114:B115"/>
    <mergeCell ref="B92:B93"/>
    <mergeCell ref="B94:B95"/>
    <mergeCell ref="B96:B97"/>
    <mergeCell ref="B98:B99"/>
    <mergeCell ref="B100:B101"/>
    <mergeCell ref="B102:B103"/>
    <mergeCell ref="B128:B129"/>
    <mergeCell ref="B130:B131"/>
    <mergeCell ref="B132:B133"/>
    <mergeCell ref="B134:B135"/>
    <mergeCell ref="B136:B137"/>
    <mergeCell ref="B90:B91"/>
    <mergeCell ref="BD76:BD77"/>
    <mergeCell ref="BE76:BE77"/>
    <mergeCell ref="BF76:BF77"/>
    <mergeCell ref="AG77:AH77"/>
    <mergeCell ref="AI77:AJ77"/>
    <mergeCell ref="B78:B79"/>
    <mergeCell ref="AX76:AX77"/>
    <mergeCell ref="AY76:AY77"/>
    <mergeCell ref="AZ76:AZ77"/>
    <mergeCell ref="BA76:BA77"/>
    <mergeCell ref="BB76:BB77"/>
    <mergeCell ref="BC76:BC77"/>
    <mergeCell ref="AG76:AJ76"/>
    <mergeCell ref="AK76:AM77"/>
    <mergeCell ref="AN76:AQ77"/>
    <mergeCell ref="AU76:AU77"/>
    <mergeCell ref="AV76:AV77"/>
    <mergeCell ref="AW76:AW77"/>
    <mergeCell ref="P76:Q77"/>
    <mergeCell ref="H76:J77"/>
    <mergeCell ref="F76:G77"/>
    <mergeCell ref="AX74:AX75"/>
    <mergeCell ref="AY74:AY75"/>
    <mergeCell ref="R76:S77"/>
    <mergeCell ref="AC76:AD77"/>
    <mergeCell ref="AE76:AF77"/>
    <mergeCell ref="BC74:BC75"/>
    <mergeCell ref="BD74:BD75"/>
    <mergeCell ref="BE74:BE75"/>
    <mergeCell ref="AE74:AF75"/>
    <mergeCell ref="B80:B81"/>
    <mergeCell ref="B82:B83"/>
    <mergeCell ref="B84:B85"/>
    <mergeCell ref="B86:B87"/>
    <mergeCell ref="B88:B89"/>
    <mergeCell ref="BA74:BA75"/>
    <mergeCell ref="BB74:BB75"/>
    <mergeCell ref="AG74:AH75"/>
    <mergeCell ref="AI74:AJ75"/>
    <mergeCell ref="AK74:AM75"/>
    <mergeCell ref="AN74:AQ75"/>
    <mergeCell ref="AU74:AU75"/>
    <mergeCell ref="AV74:AV75"/>
    <mergeCell ref="R74:S75"/>
    <mergeCell ref="AC74:AD75"/>
    <mergeCell ref="B76:B77"/>
    <mergeCell ref="C76:E77"/>
    <mergeCell ref="H74:J75"/>
    <mergeCell ref="K74:M75"/>
    <mergeCell ref="N74:O75"/>
    <mergeCell ref="T74:W75"/>
    <mergeCell ref="BC70:BC71"/>
    <mergeCell ref="AC70:AD71"/>
    <mergeCell ref="AE70:AF71"/>
    <mergeCell ref="BD70:BD71"/>
    <mergeCell ref="BC72:BC73"/>
    <mergeCell ref="BD72:BD73"/>
    <mergeCell ref="BE70:BE71"/>
    <mergeCell ref="BF70:BF71"/>
    <mergeCell ref="AZ70:AZ71"/>
    <mergeCell ref="BA70:BA71"/>
    <mergeCell ref="BB70:BB71"/>
    <mergeCell ref="BE72:BE73"/>
    <mergeCell ref="BF72:BF73"/>
    <mergeCell ref="B74:B75"/>
    <mergeCell ref="C74:E75"/>
    <mergeCell ref="P74:Q75"/>
    <mergeCell ref="AW72:AW73"/>
    <mergeCell ref="AX72:AX73"/>
    <mergeCell ref="AY72:AY73"/>
    <mergeCell ref="AZ72:AZ73"/>
    <mergeCell ref="BA72:BA73"/>
    <mergeCell ref="BB72:BB73"/>
    <mergeCell ref="AG72:AH73"/>
    <mergeCell ref="AI72:AJ73"/>
    <mergeCell ref="AK72:AM73"/>
    <mergeCell ref="AN72:AQ73"/>
    <mergeCell ref="AU72:AU73"/>
    <mergeCell ref="AV72:AV73"/>
    <mergeCell ref="R72:S73"/>
    <mergeCell ref="BF74:BF75"/>
    <mergeCell ref="AZ74:AZ75"/>
    <mergeCell ref="AW74:AW75"/>
    <mergeCell ref="B70:B71"/>
    <mergeCell ref="C70:E71"/>
    <mergeCell ref="P70:Q71"/>
    <mergeCell ref="AW68:AW69"/>
    <mergeCell ref="AX68:AX69"/>
    <mergeCell ref="AY68:AY69"/>
    <mergeCell ref="AZ68:AZ69"/>
    <mergeCell ref="BA68:BA69"/>
    <mergeCell ref="BB68:BB69"/>
    <mergeCell ref="AG68:AH69"/>
    <mergeCell ref="AI68:AJ69"/>
    <mergeCell ref="AK68:AM69"/>
    <mergeCell ref="AN68:AQ69"/>
    <mergeCell ref="AU68:AU69"/>
    <mergeCell ref="AV68:AV69"/>
    <mergeCell ref="R68:S69"/>
    <mergeCell ref="B72:B73"/>
    <mergeCell ref="C72:E73"/>
    <mergeCell ref="P72:Q73"/>
    <mergeCell ref="AW70:AW71"/>
    <mergeCell ref="AX70:AX71"/>
    <mergeCell ref="AY70:AY71"/>
    <mergeCell ref="AG70:AH71"/>
    <mergeCell ref="AI70:AJ71"/>
    <mergeCell ref="AK70:AM71"/>
    <mergeCell ref="AN70:AQ71"/>
    <mergeCell ref="AU70:AU71"/>
    <mergeCell ref="AV70:AV71"/>
    <mergeCell ref="R70:S71"/>
    <mergeCell ref="H72:J73"/>
    <mergeCell ref="K72:M73"/>
    <mergeCell ref="AC68:AD69"/>
    <mergeCell ref="AE68:AF69"/>
    <mergeCell ref="BC66:BC67"/>
    <mergeCell ref="BD66:BD67"/>
    <mergeCell ref="BE66:BE67"/>
    <mergeCell ref="BF66:BF67"/>
    <mergeCell ref="B68:B69"/>
    <mergeCell ref="C68:E69"/>
    <mergeCell ref="P68:Q69"/>
    <mergeCell ref="AW66:AW67"/>
    <mergeCell ref="AX66:AX67"/>
    <mergeCell ref="AY66:AY67"/>
    <mergeCell ref="AZ66:AZ67"/>
    <mergeCell ref="BA66:BA67"/>
    <mergeCell ref="BB66:BB67"/>
    <mergeCell ref="AG66:AH67"/>
    <mergeCell ref="AI66:AJ67"/>
    <mergeCell ref="AK66:AM67"/>
    <mergeCell ref="AN66:AQ67"/>
    <mergeCell ref="BC68:BC69"/>
    <mergeCell ref="BD68:BD69"/>
    <mergeCell ref="BE68:BE69"/>
    <mergeCell ref="BF68:BF69"/>
    <mergeCell ref="F66:G67"/>
    <mergeCell ref="F68:G69"/>
    <mergeCell ref="H68:J69"/>
    <mergeCell ref="K68:M69"/>
    <mergeCell ref="N68:O69"/>
    <mergeCell ref="AA68:AB69"/>
    <mergeCell ref="T68:W69"/>
    <mergeCell ref="H66:J67"/>
    <mergeCell ref="K66:M67"/>
    <mergeCell ref="BE64:BE65"/>
    <mergeCell ref="BF64:BF65"/>
    <mergeCell ref="B66:B67"/>
    <mergeCell ref="C66:E67"/>
    <mergeCell ref="P66:Q67"/>
    <mergeCell ref="AW64:AW65"/>
    <mergeCell ref="AX64:AX65"/>
    <mergeCell ref="AY64:AY65"/>
    <mergeCell ref="AZ64:AZ65"/>
    <mergeCell ref="BA64:BA65"/>
    <mergeCell ref="BB64:BB65"/>
    <mergeCell ref="AG64:AH65"/>
    <mergeCell ref="AI64:AJ65"/>
    <mergeCell ref="AK64:AM65"/>
    <mergeCell ref="AN64:AQ65"/>
    <mergeCell ref="AU64:AU65"/>
    <mergeCell ref="AV64:AV65"/>
    <mergeCell ref="R64:S65"/>
    <mergeCell ref="AV66:AV67"/>
    <mergeCell ref="R66:S67"/>
    <mergeCell ref="AC66:AD67"/>
    <mergeCell ref="AE66:AF67"/>
    <mergeCell ref="BC64:BC65"/>
    <mergeCell ref="AC64:AD65"/>
    <mergeCell ref="AE64:AF65"/>
    <mergeCell ref="T64:W65"/>
    <mergeCell ref="T66:W67"/>
    <mergeCell ref="X64:Z65"/>
    <mergeCell ref="X66:Z67"/>
    <mergeCell ref="AA64:AB65"/>
    <mergeCell ref="AA66:AB67"/>
    <mergeCell ref="B64:B65"/>
    <mergeCell ref="AU56:AU57"/>
    <mergeCell ref="AV56:AV57"/>
    <mergeCell ref="R56:S57"/>
    <mergeCell ref="K56:M57"/>
    <mergeCell ref="BD58:BD59"/>
    <mergeCell ref="C64:E65"/>
    <mergeCell ref="P64:Q65"/>
    <mergeCell ref="AW62:AW63"/>
    <mergeCell ref="AX62:AX63"/>
    <mergeCell ref="AY62:AY63"/>
    <mergeCell ref="AZ62:AZ63"/>
    <mergeCell ref="BA62:BA63"/>
    <mergeCell ref="BB62:BB63"/>
    <mergeCell ref="AG62:AH63"/>
    <mergeCell ref="AI62:AJ63"/>
    <mergeCell ref="AK62:AM63"/>
    <mergeCell ref="AN62:AQ63"/>
    <mergeCell ref="AU62:AU63"/>
    <mergeCell ref="AV62:AV63"/>
    <mergeCell ref="R62:S63"/>
    <mergeCell ref="BD64:BD65"/>
    <mergeCell ref="AC62:AD63"/>
    <mergeCell ref="AE62:AF63"/>
    <mergeCell ref="T62:W63"/>
    <mergeCell ref="F62:G63"/>
    <mergeCell ref="F64:G65"/>
    <mergeCell ref="H62:J63"/>
    <mergeCell ref="H64:J65"/>
    <mergeCell ref="AE60:AF61"/>
    <mergeCell ref="BC58:BC59"/>
    <mergeCell ref="AC58:AD59"/>
    <mergeCell ref="AE58:AF59"/>
    <mergeCell ref="BC60:BC61"/>
    <mergeCell ref="BD60:BD61"/>
    <mergeCell ref="BE60:BE61"/>
    <mergeCell ref="BF60:BF61"/>
    <mergeCell ref="B62:B63"/>
    <mergeCell ref="C62:E63"/>
    <mergeCell ref="P62:Q63"/>
    <mergeCell ref="AW60:AW61"/>
    <mergeCell ref="AX60:AX61"/>
    <mergeCell ref="AY60:AY61"/>
    <mergeCell ref="AZ60:AZ61"/>
    <mergeCell ref="BA60:BA61"/>
    <mergeCell ref="BB60:BB61"/>
    <mergeCell ref="AG60:AH61"/>
    <mergeCell ref="AI60:AJ61"/>
    <mergeCell ref="AK60:AM61"/>
    <mergeCell ref="AN60:AQ61"/>
    <mergeCell ref="BC62:BC63"/>
    <mergeCell ref="BD62:BD63"/>
    <mergeCell ref="BE62:BE63"/>
    <mergeCell ref="BF62:BF63"/>
    <mergeCell ref="AE56:AF57"/>
    <mergeCell ref="BC54:BC55"/>
    <mergeCell ref="BD54:BD55"/>
    <mergeCell ref="AA58:AB59"/>
    <mergeCell ref="X58:Z59"/>
    <mergeCell ref="BE58:BE59"/>
    <mergeCell ref="BF58:BF59"/>
    <mergeCell ref="B60:B61"/>
    <mergeCell ref="C60:E61"/>
    <mergeCell ref="P60:Q61"/>
    <mergeCell ref="AW58:AW59"/>
    <mergeCell ref="AX58:AX59"/>
    <mergeCell ref="AY58:AY59"/>
    <mergeCell ref="AZ58:AZ59"/>
    <mergeCell ref="BA58:BA59"/>
    <mergeCell ref="BB58:BB59"/>
    <mergeCell ref="AG58:AH59"/>
    <mergeCell ref="AI58:AJ59"/>
    <mergeCell ref="AK58:AM59"/>
    <mergeCell ref="AN58:AQ59"/>
    <mergeCell ref="AU58:AU59"/>
    <mergeCell ref="AV58:AV59"/>
    <mergeCell ref="R58:S59"/>
    <mergeCell ref="AV60:AV61"/>
    <mergeCell ref="R60:S61"/>
    <mergeCell ref="AC60:AD61"/>
    <mergeCell ref="B56:B57"/>
    <mergeCell ref="B58:B59"/>
    <mergeCell ref="C58:E59"/>
    <mergeCell ref="P58:Q59"/>
    <mergeCell ref="K60:M61"/>
    <mergeCell ref="AA60:AB61"/>
    <mergeCell ref="B52:B53"/>
    <mergeCell ref="C52:E53"/>
    <mergeCell ref="P52:Q53"/>
    <mergeCell ref="X54:Z55"/>
    <mergeCell ref="BE54:BE55"/>
    <mergeCell ref="BF54:BF55"/>
    <mergeCell ref="H52:J53"/>
    <mergeCell ref="C56:E57"/>
    <mergeCell ref="P56:Q57"/>
    <mergeCell ref="AW54:AW55"/>
    <mergeCell ref="AX54:AX55"/>
    <mergeCell ref="AY54:AY55"/>
    <mergeCell ref="AZ54:AZ55"/>
    <mergeCell ref="BA54:BA55"/>
    <mergeCell ref="BB54:BB55"/>
    <mergeCell ref="AG54:AH55"/>
    <mergeCell ref="AI54:AJ55"/>
    <mergeCell ref="AK54:AM55"/>
    <mergeCell ref="AN54:AQ55"/>
    <mergeCell ref="BC56:BC57"/>
    <mergeCell ref="BD56:BD57"/>
    <mergeCell ref="BE56:BE57"/>
    <mergeCell ref="BF56:BF57"/>
    <mergeCell ref="X56:Z57"/>
    <mergeCell ref="AW56:AW57"/>
    <mergeCell ref="AX56:AX57"/>
    <mergeCell ref="AY56:AY57"/>
    <mergeCell ref="AZ56:AZ57"/>
    <mergeCell ref="BA56:BA57"/>
    <mergeCell ref="BB56:BB57"/>
    <mergeCell ref="AG56:AH57"/>
    <mergeCell ref="AI56:AJ57"/>
    <mergeCell ref="AU50:AU51"/>
    <mergeCell ref="AV50:AV51"/>
    <mergeCell ref="R50:S51"/>
    <mergeCell ref="BD52:BD53"/>
    <mergeCell ref="AC50:AD51"/>
    <mergeCell ref="AE50:AF51"/>
    <mergeCell ref="BC48:BC49"/>
    <mergeCell ref="BD48:BD49"/>
    <mergeCell ref="X52:Z53"/>
    <mergeCell ref="BE52:BE53"/>
    <mergeCell ref="BF52:BF53"/>
    <mergeCell ref="B54:B55"/>
    <mergeCell ref="C54:E55"/>
    <mergeCell ref="P54:Q55"/>
    <mergeCell ref="AW52:AW53"/>
    <mergeCell ref="AX52:AX53"/>
    <mergeCell ref="AY52:AY53"/>
    <mergeCell ref="AZ52:AZ53"/>
    <mergeCell ref="BA52:BA53"/>
    <mergeCell ref="BB52:BB53"/>
    <mergeCell ref="AG52:AH53"/>
    <mergeCell ref="AI52:AJ53"/>
    <mergeCell ref="AK52:AM53"/>
    <mergeCell ref="AN52:AQ53"/>
    <mergeCell ref="AU52:AU53"/>
    <mergeCell ref="AV52:AV53"/>
    <mergeCell ref="R52:S53"/>
    <mergeCell ref="AV54:AV55"/>
    <mergeCell ref="R54:S55"/>
    <mergeCell ref="AC54:AD55"/>
    <mergeCell ref="AE54:AF55"/>
    <mergeCell ref="BC52:BC53"/>
    <mergeCell ref="BE48:BE49"/>
    <mergeCell ref="BF48:BF49"/>
    <mergeCell ref="B50:B51"/>
    <mergeCell ref="C50:E51"/>
    <mergeCell ref="P50:Q51"/>
    <mergeCell ref="AW48:AW49"/>
    <mergeCell ref="AX48:AX49"/>
    <mergeCell ref="AY48:AY49"/>
    <mergeCell ref="AZ48:AZ49"/>
    <mergeCell ref="BA48:BA49"/>
    <mergeCell ref="BB48:BB49"/>
    <mergeCell ref="AG48:AH49"/>
    <mergeCell ref="AI48:AJ49"/>
    <mergeCell ref="AK48:AM49"/>
    <mergeCell ref="AN48:AQ49"/>
    <mergeCell ref="BC50:BC51"/>
    <mergeCell ref="BD50:BD51"/>
    <mergeCell ref="BE50:BE51"/>
    <mergeCell ref="BF50:BF51"/>
    <mergeCell ref="H50:J51"/>
    <mergeCell ref="K50:M51"/>
    <mergeCell ref="X48:Z49"/>
    <mergeCell ref="X50:Z51"/>
    <mergeCell ref="AW50:AW51"/>
    <mergeCell ref="AX50:AX51"/>
    <mergeCell ref="AY50:AY51"/>
    <mergeCell ref="AZ50:AZ51"/>
    <mergeCell ref="BA50:BA51"/>
    <mergeCell ref="BB50:BB51"/>
    <mergeCell ref="AG50:AH51"/>
    <mergeCell ref="AI50:AJ51"/>
    <mergeCell ref="AK50:AM51"/>
    <mergeCell ref="BE46:BE47"/>
    <mergeCell ref="BF46:BF47"/>
    <mergeCell ref="B48:B49"/>
    <mergeCell ref="C48:E49"/>
    <mergeCell ref="P48:Q49"/>
    <mergeCell ref="AW46:AW47"/>
    <mergeCell ref="AX46:AX47"/>
    <mergeCell ref="AY46:AY47"/>
    <mergeCell ref="AZ46:AZ47"/>
    <mergeCell ref="BA46:BA47"/>
    <mergeCell ref="BB46:BB47"/>
    <mergeCell ref="AG46:AH47"/>
    <mergeCell ref="AI46:AJ47"/>
    <mergeCell ref="AK46:AM47"/>
    <mergeCell ref="AN46:AQ47"/>
    <mergeCell ref="AU46:AU47"/>
    <mergeCell ref="AV46:AV47"/>
    <mergeCell ref="R46:S47"/>
    <mergeCell ref="AV48:AV49"/>
    <mergeCell ref="R48:S49"/>
    <mergeCell ref="AC48:AD49"/>
    <mergeCell ref="AE48:AF49"/>
    <mergeCell ref="BC46:BC47"/>
    <mergeCell ref="AC46:AD47"/>
    <mergeCell ref="AE46:AF47"/>
    <mergeCell ref="B46:B47"/>
    <mergeCell ref="C46:E47"/>
    <mergeCell ref="P46:Q47"/>
    <mergeCell ref="H46:J47"/>
    <mergeCell ref="K46:M47"/>
    <mergeCell ref="H48:J49"/>
    <mergeCell ref="K48:M49"/>
    <mergeCell ref="AW44:AW45"/>
    <mergeCell ref="AX44:AX45"/>
    <mergeCell ref="AY44:AY45"/>
    <mergeCell ref="AZ44:AZ45"/>
    <mergeCell ref="BA44:BA45"/>
    <mergeCell ref="BB44:BB45"/>
    <mergeCell ref="AG44:AH45"/>
    <mergeCell ref="AI44:AJ45"/>
    <mergeCell ref="AK44:AM45"/>
    <mergeCell ref="AN44:AQ45"/>
    <mergeCell ref="AU44:AU45"/>
    <mergeCell ref="AV44:AV45"/>
    <mergeCell ref="R44:S45"/>
    <mergeCell ref="BD46:BD47"/>
    <mergeCell ref="AC44:AD45"/>
    <mergeCell ref="AE44:AF45"/>
    <mergeCell ref="BC42:BC43"/>
    <mergeCell ref="BD42:BD43"/>
    <mergeCell ref="X46:Z47"/>
    <mergeCell ref="AE42:AF43"/>
    <mergeCell ref="BC40:BC41"/>
    <mergeCell ref="AC40:AD41"/>
    <mergeCell ref="B40:B41"/>
    <mergeCell ref="C40:E41"/>
    <mergeCell ref="P40:Q41"/>
    <mergeCell ref="K42:M43"/>
    <mergeCell ref="N40:O41"/>
    <mergeCell ref="N42:O43"/>
    <mergeCell ref="X42:Z43"/>
    <mergeCell ref="BE42:BE43"/>
    <mergeCell ref="BF42:BF43"/>
    <mergeCell ref="B44:B45"/>
    <mergeCell ref="C44:E45"/>
    <mergeCell ref="P44:Q45"/>
    <mergeCell ref="AW42:AW43"/>
    <mergeCell ref="AX42:AX43"/>
    <mergeCell ref="AY42:AY43"/>
    <mergeCell ref="AZ42:AZ43"/>
    <mergeCell ref="BA42:BA43"/>
    <mergeCell ref="BB42:BB43"/>
    <mergeCell ref="AG42:AH43"/>
    <mergeCell ref="AI42:AJ43"/>
    <mergeCell ref="AK42:AM43"/>
    <mergeCell ref="AN42:AQ43"/>
    <mergeCell ref="BC44:BC45"/>
    <mergeCell ref="BD44:BD45"/>
    <mergeCell ref="BE44:BE45"/>
    <mergeCell ref="BF44:BF45"/>
    <mergeCell ref="H44:J45"/>
    <mergeCell ref="K44:M45"/>
    <mergeCell ref="N44:O45"/>
    <mergeCell ref="AE40:AF41"/>
    <mergeCell ref="AU38:AU39"/>
    <mergeCell ref="AV38:AV39"/>
    <mergeCell ref="R38:S39"/>
    <mergeCell ref="BD40:BD41"/>
    <mergeCell ref="AC38:AD39"/>
    <mergeCell ref="AE38:AF39"/>
    <mergeCell ref="BC36:BC37"/>
    <mergeCell ref="BD36:BD37"/>
    <mergeCell ref="X40:Z41"/>
    <mergeCell ref="AV36:AV37"/>
    <mergeCell ref="R36:S37"/>
    <mergeCell ref="AC36:AD37"/>
    <mergeCell ref="AE36:AF37"/>
    <mergeCell ref="BE40:BE41"/>
    <mergeCell ref="BF40:BF41"/>
    <mergeCell ref="B42:B43"/>
    <mergeCell ref="C42:E43"/>
    <mergeCell ref="P42:Q43"/>
    <mergeCell ref="AW40:AW41"/>
    <mergeCell ref="AX40:AX41"/>
    <mergeCell ref="AY40:AY41"/>
    <mergeCell ref="AZ40:AZ41"/>
    <mergeCell ref="BA40:BA41"/>
    <mergeCell ref="BB40:BB41"/>
    <mergeCell ref="AG40:AH41"/>
    <mergeCell ref="AI40:AJ41"/>
    <mergeCell ref="AK40:AM41"/>
    <mergeCell ref="AN40:AQ41"/>
    <mergeCell ref="AU40:AU41"/>
    <mergeCell ref="AV40:AV41"/>
    <mergeCell ref="R40:S41"/>
    <mergeCell ref="AV42:AV43"/>
    <mergeCell ref="BE36:BE37"/>
    <mergeCell ref="BF36:BF37"/>
    <mergeCell ref="B38:B39"/>
    <mergeCell ref="C38:E39"/>
    <mergeCell ref="P38:Q39"/>
    <mergeCell ref="AW36:AW37"/>
    <mergeCell ref="AX36:AX37"/>
    <mergeCell ref="AY36:AY37"/>
    <mergeCell ref="AZ36:AZ37"/>
    <mergeCell ref="BA36:BA37"/>
    <mergeCell ref="BB36:BB37"/>
    <mergeCell ref="AG36:AH37"/>
    <mergeCell ref="AI36:AJ37"/>
    <mergeCell ref="AK36:AM37"/>
    <mergeCell ref="AN36:AQ37"/>
    <mergeCell ref="BC38:BC39"/>
    <mergeCell ref="BD38:BD39"/>
    <mergeCell ref="BE38:BE39"/>
    <mergeCell ref="BF38:BF39"/>
    <mergeCell ref="AU36:AU37"/>
    <mergeCell ref="N38:O39"/>
    <mergeCell ref="X38:Z39"/>
    <mergeCell ref="AW38:AW39"/>
    <mergeCell ref="AX38:AX39"/>
    <mergeCell ref="AY38:AY39"/>
    <mergeCell ref="AZ38:AZ39"/>
    <mergeCell ref="BA38:BA39"/>
    <mergeCell ref="BB38:BB39"/>
    <mergeCell ref="AG38:AH39"/>
    <mergeCell ref="AI38:AJ39"/>
    <mergeCell ref="AK38:AM39"/>
    <mergeCell ref="AN38:AQ39"/>
    <mergeCell ref="BD34:BD35"/>
    <mergeCell ref="AC32:AD33"/>
    <mergeCell ref="AE32:AF33"/>
    <mergeCell ref="BC30:BC31"/>
    <mergeCell ref="BD30:BD31"/>
    <mergeCell ref="X34:Z35"/>
    <mergeCell ref="BE34:BE35"/>
    <mergeCell ref="BF34:BF35"/>
    <mergeCell ref="B36:B37"/>
    <mergeCell ref="C36:E37"/>
    <mergeCell ref="P36:Q37"/>
    <mergeCell ref="AW34:AW35"/>
    <mergeCell ref="AX34:AX35"/>
    <mergeCell ref="AY34:AY35"/>
    <mergeCell ref="AZ34:AZ35"/>
    <mergeCell ref="BA34:BA35"/>
    <mergeCell ref="BB34:BB35"/>
    <mergeCell ref="AG34:AH35"/>
    <mergeCell ref="AI34:AJ35"/>
    <mergeCell ref="AK34:AM35"/>
    <mergeCell ref="AN34:AQ35"/>
    <mergeCell ref="AU34:AU35"/>
    <mergeCell ref="AV34:AV35"/>
    <mergeCell ref="R34:S35"/>
    <mergeCell ref="BC34:BC35"/>
    <mergeCell ref="AC34:AD35"/>
    <mergeCell ref="AE34:AF35"/>
    <mergeCell ref="B34:B35"/>
    <mergeCell ref="C34:E35"/>
    <mergeCell ref="P34:Q35"/>
    <mergeCell ref="N34:O35"/>
    <mergeCell ref="N36:O37"/>
    <mergeCell ref="BE30:BE31"/>
    <mergeCell ref="BF30:BF31"/>
    <mergeCell ref="B32:B33"/>
    <mergeCell ref="C32:E33"/>
    <mergeCell ref="P32:Q33"/>
    <mergeCell ref="AW30:AW31"/>
    <mergeCell ref="AX30:AX31"/>
    <mergeCell ref="AY30:AY31"/>
    <mergeCell ref="AZ30:AZ31"/>
    <mergeCell ref="BA30:BA31"/>
    <mergeCell ref="BB30:BB31"/>
    <mergeCell ref="AG30:AH31"/>
    <mergeCell ref="AI30:AJ31"/>
    <mergeCell ref="AK30:AM31"/>
    <mergeCell ref="AN30:AQ31"/>
    <mergeCell ref="BC32:BC33"/>
    <mergeCell ref="BD32:BD33"/>
    <mergeCell ref="BE32:BE33"/>
    <mergeCell ref="BF32:BF33"/>
    <mergeCell ref="AU30:AU31"/>
    <mergeCell ref="B30:B31"/>
    <mergeCell ref="C30:E31"/>
    <mergeCell ref="AW32:AW33"/>
    <mergeCell ref="AX32:AX33"/>
    <mergeCell ref="AY32:AY33"/>
    <mergeCell ref="AZ32:AZ33"/>
    <mergeCell ref="BA32:BA33"/>
    <mergeCell ref="BB32:BB33"/>
    <mergeCell ref="AG32:AH33"/>
    <mergeCell ref="AI32:AJ33"/>
    <mergeCell ref="AK32:AM33"/>
    <mergeCell ref="AN32:AQ33"/>
    <mergeCell ref="B28:B29"/>
    <mergeCell ref="C28:E29"/>
    <mergeCell ref="P28:Q29"/>
    <mergeCell ref="AW26:AW27"/>
    <mergeCell ref="AX26:AX27"/>
    <mergeCell ref="AY26:AY27"/>
    <mergeCell ref="AG26:AH27"/>
    <mergeCell ref="AI26:AJ27"/>
    <mergeCell ref="AK26:AM27"/>
    <mergeCell ref="AN26:AQ27"/>
    <mergeCell ref="AU26:AU27"/>
    <mergeCell ref="AV26:AV27"/>
    <mergeCell ref="R26:S27"/>
    <mergeCell ref="F28:G29"/>
    <mergeCell ref="BD28:BD29"/>
    <mergeCell ref="BE28:BE29"/>
    <mergeCell ref="BF28:BF29"/>
    <mergeCell ref="BC28:BC29"/>
    <mergeCell ref="AC26:AD27"/>
    <mergeCell ref="AE26:AF27"/>
    <mergeCell ref="N28:O29"/>
    <mergeCell ref="X28:Z29"/>
    <mergeCell ref="AW28:AW29"/>
    <mergeCell ref="AX28:AX29"/>
    <mergeCell ref="AY28:AY29"/>
    <mergeCell ref="AZ28:AZ29"/>
    <mergeCell ref="BA28:BA29"/>
    <mergeCell ref="BB28:BB29"/>
    <mergeCell ref="AG28:AH29"/>
    <mergeCell ref="AI28:AJ29"/>
    <mergeCell ref="AK28:AM29"/>
    <mergeCell ref="AN28:AQ29"/>
    <mergeCell ref="BA26:BA27"/>
    <mergeCell ref="BB26:BB27"/>
    <mergeCell ref="AC22:AD23"/>
    <mergeCell ref="AE22:AF23"/>
    <mergeCell ref="AG22:AH23"/>
    <mergeCell ref="AI22:AJ23"/>
    <mergeCell ref="AK22:AM23"/>
    <mergeCell ref="AN22:AQ23"/>
    <mergeCell ref="BD24:BD25"/>
    <mergeCell ref="BE24:BE25"/>
    <mergeCell ref="BF24:BF25"/>
    <mergeCell ref="B26:B27"/>
    <mergeCell ref="C26:E27"/>
    <mergeCell ref="P26:Q27"/>
    <mergeCell ref="AW24:AW25"/>
    <mergeCell ref="AX24:AX25"/>
    <mergeCell ref="AY24:AY25"/>
    <mergeCell ref="AZ24:AZ25"/>
    <mergeCell ref="BA24:BA25"/>
    <mergeCell ref="BB24:BB25"/>
    <mergeCell ref="AG24:AH25"/>
    <mergeCell ref="AI24:AJ25"/>
    <mergeCell ref="AK24:AM25"/>
    <mergeCell ref="AN24:AQ25"/>
    <mergeCell ref="BC26:BC27"/>
    <mergeCell ref="BD26:BD27"/>
    <mergeCell ref="BE26:BE27"/>
    <mergeCell ref="BF26:BF27"/>
    <mergeCell ref="AZ26:AZ27"/>
    <mergeCell ref="B22:B23"/>
    <mergeCell ref="C22:E23"/>
    <mergeCell ref="F24:G25"/>
    <mergeCell ref="AX20:AX21"/>
    <mergeCell ref="AY20:AY21"/>
    <mergeCell ref="F20:G21"/>
    <mergeCell ref="F22:G23"/>
    <mergeCell ref="BD22:BD23"/>
    <mergeCell ref="BE22:BE23"/>
    <mergeCell ref="BF22:BF23"/>
    <mergeCell ref="B24:B25"/>
    <mergeCell ref="C24:E25"/>
    <mergeCell ref="P24:Q25"/>
    <mergeCell ref="AW22:AW23"/>
    <mergeCell ref="AX22:AX23"/>
    <mergeCell ref="AY22:AY23"/>
    <mergeCell ref="AZ22:AZ23"/>
    <mergeCell ref="BA22:BA23"/>
    <mergeCell ref="BB22:BB23"/>
    <mergeCell ref="AU22:AU23"/>
    <mergeCell ref="AV22:AV23"/>
    <mergeCell ref="AU24:AU25"/>
    <mergeCell ref="AV24:AV25"/>
    <mergeCell ref="R24:S25"/>
    <mergeCell ref="AC24:AD25"/>
    <mergeCell ref="BC22:BC23"/>
    <mergeCell ref="AE24:AF25"/>
    <mergeCell ref="AG20:AH21"/>
    <mergeCell ref="AI20:AJ21"/>
    <mergeCell ref="AK20:AM21"/>
    <mergeCell ref="AN20:AQ21"/>
    <mergeCell ref="H22:J23"/>
    <mergeCell ref="K22:M23"/>
    <mergeCell ref="N22:O23"/>
    <mergeCell ref="BC24:BC25"/>
    <mergeCell ref="BF18:BF19"/>
    <mergeCell ref="B20:B21"/>
    <mergeCell ref="C20:E21"/>
    <mergeCell ref="AW18:AW19"/>
    <mergeCell ref="AX18:AX19"/>
    <mergeCell ref="AY18:AY19"/>
    <mergeCell ref="AZ18:AZ19"/>
    <mergeCell ref="BA18:BA19"/>
    <mergeCell ref="BB18:BB19"/>
    <mergeCell ref="BC20:BC21"/>
    <mergeCell ref="BD20:BD21"/>
    <mergeCell ref="BE20:BE21"/>
    <mergeCell ref="BF20:BF21"/>
    <mergeCell ref="B18:B19"/>
    <mergeCell ref="C18:E19"/>
    <mergeCell ref="F18:G19"/>
    <mergeCell ref="AZ20:AZ21"/>
    <mergeCell ref="BA20:BA21"/>
    <mergeCell ref="BB20:BB21"/>
    <mergeCell ref="AU20:AU21"/>
    <mergeCell ref="AV20:AV21"/>
    <mergeCell ref="AE20:AF21"/>
    <mergeCell ref="K18:M19"/>
    <mergeCell ref="N18:O19"/>
    <mergeCell ref="P18:Q19"/>
    <mergeCell ref="R18:S19"/>
    <mergeCell ref="T18:W19"/>
    <mergeCell ref="X18:Z19"/>
    <mergeCell ref="AA18:AB19"/>
    <mergeCell ref="AC18:AD19"/>
    <mergeCell ref="H20:J21"/>
    <mergeCell ref="AW20:AW21"/>
    <mergeCell ref="BF14:BF15"/>
    <mergeCell ref="B16:B17"/>
    <mergeCell ref="C16:E17"/>
    <mergeCell ref="P16:Q17"/>
    <mergeCell ref="AY14:AY15"/>
    <mergeCell ref="AZ14:AZ15"/>
    <mergeCell ref="BA14:BA15"/>
    <mergeCell ref="BB14:BB15"/>
    <mergeCell ref="BC14:BC15"/>
    <mergeCell ref="BD14:BD15"/>
    <mergeCell ref="AU14:AU15"/>
    <mergeCell ref="AV14:AV15"/>
    <mergeCell ref="AW14:AW15"/>
    <mergeCell ref="AX14:AX15"/>
    <mergeCell ref="BD16:BD17"/>
    <mergeCell ref="BE16:BE17"/>
    <mergeCell ref="BF16:BF17"/>
    <mergeCell ref="BC16:BC17"/>
    <mergeCell ref="C14:E15"/>
    <mergeCell ref="R16:S17"/>
    <mergeCell ref="AC16:AD17"/>
    <mergeCell ref="AE16:AF17"/>
    <mergeCell ref="AW16:AW17"/>
    <mergeCell ref="AX16:AX17"/>
    <mergeCell ref="AY16:AY17"/>
    <mergeCell ref="AZ16:AZ17"/>
    <mergeCell ref="BA16:BA17"/>
    <mergeCell ref="BB16:BB17"/>
    <mergeCell ref="AG16:AH17"/>
    <mergeCell ref="AI16:AJ17"/>
    <mergeCell ref="AK16:AM17"/>
    <mergeCell ref="BE14:BE15"/>
    <mergeCell ref="BC18:BC19"/>
    <mergeCell ref="BD18:BD19"/>
    <mergeCell ref="BE18:BE19"/>
    <mergeCell ref="X14:Z15"/>
    <mergeCell ref="AA14:AB15"/>
    <mergeCell ref="H18:J19"/>
    <mergeCell ref="F16:G17"/>
    <mergeCell ref="H16:J17"/>
    <mergeCell ref="K16:M17"/>
    <mergeCell ref="N16:O17"/>
    <mergeCell ref="T16:W17"/>
    <mergeCell ref="X16:Z17"/>
    <mergeCell ref="AA16:AB17"/>
    <mergeCell ref="K14:M15"/>
    <mergeCell ref="N14:O15"/>
    <mergeCell ref="P14:Q15"/>
    <mergeCell ref="R14:S15"/>
    <mergeCell ref="T14:W15"/>
    <mergeCell ref="H14:J15"/>
    <mergeCell ref="F14:G15"/>
    <mergeCell ref="AE14:AF15"/>
    <mergeCell ref="AG15:AH15"/>
    <mergeCell ref="AG14:AJ14"/>
    <mergeCell ref="AK14:AM15"/>
    <mergeCell ref="AC14:AD15"/>
    <mergeCell ref="AN50:AQ51"/>
    <mergeCell ref="AC52:AD53"/>
    <mergeCell ref="AE52:AF53"/>
    <mergeCell ref="AK56:AM57"/>
    <mergeCell ref="AN56:AQ57"/>
    <mergeCell ref="AN14:AQ15"/>
    <mergeCell ref="N58:O59"/>
    <mergeCell ref="N24:O25"/>
    <mergeCell ref="N26:O27"/>
    <mergeCell ref="R28:S29"/>
    <mergeCell ref="R30:S31"/>
    <mergeCell ref="X26:Z27"/>
    <mergeCell ref="P22:Q23"/>
    <mergeCell ref="AU18:AU19"/>
    <mergeCell ref="AV18:AV19"/>
    <mergeCell ref="AE18:AF19"/>
    <mergeCell ref="AG18:AH19"/>
    <mergeCell ref="AI18:AJ19"/>
    <mergeCell ref="AK18:AM19"/>
    <mergeCell ref="AN18:AQ19"/>
    <mergeCell ref="AN16:AQ17"/>
    <mergeCell ref="AU16:AU17"/>
    <mergeCell ref="AV16:AV17"/>
    <mergeCell ref="AC30:AD31"/>
    <mergeCell ref="AE30:AF31"/>
    <mergeCell ref="AC28:AD29"/>
    <mergeCell ref="AE28:AF29"/>
    <mergeCell ref="X30:Z31"/>
    <mergeCell ref="AU32:AU33"/>
    <mergeCell ref="AV32:AV33"/>
    <mergeCell ref="R32:S33"/>
    <mergeCell ref="AI15:AJ15"/>
    <mergeCell ref="R11:U11"/>
    <mergeCell ref="V11:Y11"/>
    <mergeCell ref="Z11:AC11"/>
    <mergeCell ref="R12:U13"/>
    <mergeCell ref="V12:Y13"/>
    <mergeCell ref="Z12:AC13"/>
    <mergeCell ref="AH1:AK1"/>
    <mergeCell ref="AL1:AP1"/>
    <mergeCell ref="AQ1:AR1"/>
    <mergeCell ref="AH2:AK3"/>
    <mergeCell ref="AL2:AP3"/>
    <mergeCell ref="AQ2:AR3"/>
    <mergeCell ref="J11:Q13"/>
    <mergeCell ref="P30:Q31"/>
    <mergeCell ref="N30:O31"/>
    <mergeCell ref="N32:O33"/>
    <mergeCell ref="X32:Z33"/>
    <mergeCell ref="R22:S23"/>
    <mergeCell ref="T22:W23"/>
    <mergeCell ref="X22:Z23"/>
    <mergeCell ref="AA22:AB23"/>
    <mergeCell ref="K20:M21"/>
    <mergeCell ref="N20:O21"/>
    <mergeCell ref="P20:Q21"/>
    <mergeCell ref="R20:S21"/>
    <mergeCell ref="T20:W21"/>
    <mergeCell ref="X20:Z21"/>
    <mergeCell ref="AA20:AB21"/>
    <mergeCell ref="T24:W25"/>
    <mergeCell ref="AA24:AB25"/>
    <mergeCell ref="AA26:AB27"/>
    <mergeCell ref="T26:W27"/>
    <mergeCell ref="N54:O55"/>
    <mergeCell ref="N56:O57"/>
    <mergeCell ref="AA70:AB71"/>
    <mergeCell ref="T46:W47"/>
    <mergeCell ref="T48:W49"/>
    <mergeCell ref="T50:W51"/>
    <mergeCell ref="T52:W53"/>
    <mergeCell ref="T54:W55"/>
    <mergeCell ref="T56:W57"/>
    <mergeCell ref="K58:M59"/>
    <mergeCell ref="X36:Z37"/>
    <mergeCell ref="R42:S43"/>
    <mergeCell ref="AC42:AD43"/>
    <mergeCell ref="X44:Z45"/>
    <mergeCell ref="AA62:AB63"/>
    <mergeCell ref="AC20:AD21"/>
    <mergeCell ref="K52:M53"/>
    <mergeCell ref="K54:M55"/>
    <mergeCell ref="X24:Z25"/>
    <mergeCell ref="N46:O47"/>
    <mergeCell ref="N48:O49"/>
    <mergeCell ref="N50:O51"/>
    <mergeCell ref="N52:O53"/>
    <mergeCell ref="AC56:AD57"/>
    <mergeCell ref="X60:Z61"/>
    <mergeCell ref="F72:G73"/>
    <mergeCell ref="F74:G75"/>
    <mergeCell ref="H24:J25"/>
    <mergeCell ref="K24:M25"/>
    <mergeCell ref="H26:J27"/>
    <mergeCell ref="K26:M27"/>
    <mergeCell ref="H28:J29"/>
    <mergeCell ref="K28:M29"/>
    <mergeCell ref="H30:J31"/>
    <mergeCell ref="K30:M31"/>
    <mergeCell ref="H32:J33"/>
    <mergeCell ref="K32:M33"/>
    <mergeCell ref="H34:J35"/>
    <mergeCell ref="K34:M35"/>
    <mergeCell ref="H36:J37"/>
    <mergeCell ref="K36:M37"/>
    <mergeCell ref="H38:J39"/>
    <mergeCell ref="K38:M39"/>
    <mergeCell ref="H40:J41"/>
    <mergeCell ref="K40:M41"/>
    <mergeCell ref="K70:M71"/>
    <mergeCell ref="H70:J71"/>
    <mergeCell ref="F26:G27"/>
    <mergeCell ref="F30:G31"/>
    <mergeCell ref="F32:G33"/>
    <mergeCell ref="F34:G35"/>
    <mergeCell ref="F36:G37"/>
    <mergeCell ref="F38:G39"/>
    <mergeCell ref="F40:G41"/>
    <mergeCell ref="F42:G43"/>
    <mergeCell ref="F44:G45"/>
    <mergeCell ref="F46:G47"/>
    <mergeCell ref="AA72:AB73"/>
    <mergeCell ref="AA74:AB75"/>
    <mergeCell ref="K76:M77"/>
    <mergeCell ref="N76:O77"/>
    <mergeCell ref="T76:W77"/>
    <mergeCell ref="X76:Z77"/>
    <mergeCell ref="AA76:AB77"/>
    <mergeCell ref="X68:Z69"/>
    <mergeCell ref="X70:Z71"/>
    <mergeCell ref="X72:Z73"/>
    <mergeCell ref="X74:Z75"/>
    <mergeCell ref="N70:O71"/>
    <mergeCell ref="N60:O61"/>
    <mergeCell ref="N62:O63"/>
    <mergeCell ref="N64:O65"/>
    <mergeCell ref="N66:O67"/>
    <mergeCell ref="K62:M63"/>
    <mergeCell ref="K64:M65"/>
    <mergeCell ref="N72:O73"/>
    <mergeCell ref="X62:Z63"/>
    <mergeCell ref="BG74:BG75"/>
    <mergeCell ref="AA28:AB29"/>
    <mergeCell ref="AA30:AB31"/>
    <mergeCell ref="AA32:AB33"/>
    <mergeCell ref="AA34:AB35"/>
    <mergeCell ref="AA36:AB37"/>
    <mergeCell ref="AA38:AB39"/>
    <mergeCell ref="AA40:AB41"/>
    <mergeCell ref="AA42:AB43"/>
    <mergeCell ref="AA44:AB45"/>
    <mergeCell ref="AA46:AB47"/>
    <mergeCell ref="AA48:AB49"/>
    <mergeCell ref="AA50:AB51"/>
    <mergeCell ref="AA52:AB53"/>
    <mergeCell ref="AA54:AB55"/>
    <mergeCell ref="AA56:AB57"/>
    <mergeCell ref="T70:W71"/>
    <mergeCell ref="T72:W73"/>
    <mergeCell ref="T28:W29"/>
    <mergeCell ref="T30:W31"/>
    <mergeCell ref="T32:W33"/>
    <mergeCell ref="T34:W35"/>
    <mergeCell ref="T36:W37"/>
    <mergeCell ref="T38:W39"/>
    <mergeCell ref="T40:W41"/>
    <mergeCell ref="T42:W43"/>
    <mergeCell ref="T44:W45"/>
    <mergeCell ref="T58:W59"/>
    <mergeCell ref="T60:W61"/>
    <mergeCell ref="AU28:AU29"/>
    <mergeCell ref="AV28:AV29"/>
    <mergeCell ref="AV30:AV31"/>
    <mergeCell ref="O9:AF10"/>
    <mergeCell ref="BG14:BG15"/>
    <mergeCell ref="BG76:BG77"/>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s>
  <conditionalFormatting sqref="K16 N16 P16 R16 P18 R18 K20 N20 P20 R20 K22 N22 P22 R22 K24 N24 P24 R24 K26 N26 P26 R26 P28 R28 K30 N30 P30 R30 K32 N32 P32 R32 K34 N34 P34 R34 K36 N36 P36 R36 K38 N38 P38 R38 K40 N40 P40 R40 K42 N42 P42 R42 K44 N44 P44 R44 K46 N46 P46 R46 P48 R48 K50 N50 P50 R50 K52 N52 P52 R52 K54 N54 P54 R54 K56 N56 P56 R56 K58 N58 P58 R58 K60 N60 P60 R60 K62 N62 P62 R62 K64 N64 P64 R64 K66 N66 P66 R66 K68 N68 P68 R68 K70 N70 P70 R70 K72 N72 P72 R72 K74 N74 P74 R74">
    <cfRule type="expression" dxfId="337" priority="308">
      <formula>AND(ISBLANK($H16)=FALSE,OR(ISBLANK(K16)=TRUE,K16=""))</formula>
    </cfRule>
  </conditionalFormatting>
  <conditionalFormatting sqref="K18 N18">
    <cfRule type="expression" dxfId="336" priority="2">
      <formula>AND(ISBLANK($H18)=FALSE,OR(ISBLANK(K18)=TRUE,K18=""))</formula>
    </cfRule>
  </conditionalFormatting>
  <conditionalFormatting sqref="K28 N28">
    <cfRule type="expression" dxfId="335" priority="9">
      <formula>AND(ISBLANK($H28)=FALSE,OR(ISBLANK(K28)=TRUE,K28=""))</formula>
    </cfRule>
  </conditionalFormatting>
  <conditionalFormatting sqref="K48 N48">
    <cfRule type="expression" dxfId="334" priority="17">
      <formula>AND(ISBLANK($H48)=FALSE,OR(ISBLANK(K48)=TRUE,K48=""))</formula>
    </cfRule>
  </conditionalFormatting>
  <conditionalFormatting sqref="O9">
    <cfRule type="expression" dxfId="333" priority="335">
      <formula>ISNUMBER(SEARCH("Inspection",$O$9))</formula>
    </cfRule>
  </conditionalFormatting>
  <conditionalFormatting sqref="P16 P18 P20 P22 P24 P26 P28 P30 P32 P34 P36 P38 P40 P42 P44 P46 P48 P50 P52 P54 P56 P58 P60 P62 P64 P66 P68 P70 P72 P74">
    <cfRule type="expression" dxfId="332" priority="322">
      <formula>P16&lt;&gt;INDEX(CMELIGHTBASEW,MATCH(I16,CMELIGHTBASE1,0))</formula>
    </cfRule>
  </conditionalFormatting>
  <conditionalFormatting sqref="P16 R16 AC16 P18 R18 AC18 P20 R20 AC20 P22 R22 AC22 P24 R24 AC24 P26 R26 AC26 P28 R28 AC28 P30 R30 AC30 P32 R32 AC32 P34 R34 AC34 P36 R36 AC36 P38 R38 AC38 P40 R40 AC40 P42 R42 AC42 P44 R44 AC44 P46 R46 AC46 P48 R48 AC48 P50 R50 AC50 P52 R52 AC52 P54 R54 AC54 P56 R56 AC56 P58 R58 AC58 P60 R60 AC60 P62 R62 AC62 P64 R64 AC64 P66 R66 AC66 P68 R68 AC68 P70 R70 AC70 P72 R72 AC72 P74 R74 AC74">
    <cfRule type="expression" dxfId="331" priority="46">
      <formula>MOD(P16,1)&lt;&gt;0</formula>
    </cfRule>
  </conditionalFormatting>
  <conditionalFormatting sqref="R16 R18 R20 R22 R24 R26 R28 R30 R32 R34 R36 R38 R40 R42 R44 R46 R48 R50 R52 R54 R56 R58 R60 R62 R64 R66 R68 R70 R72 R74">
    <cfRule type="expression" dxfId="330" priority="312">
      <formula>R16&lt;&gt;INDEX(CMELIGHTBASEW,MATCH(J16,CMELIGHTBASE1,0))</formula>
    </cfRule>
    <cfRule type="expression" dxfId="329" priority="324">
      <formula>AND(ISNUMBER(SEARCH("24/7",F16))=TRUE,R16&lt;&gt;8760)</formula>
    </cfRule>
  </conditionalFormatting>
  <conditionalFormatting sqref="X16 AA16 AC16 AG16 AI16 AY16 AC18 AY18 X20 AA20 AC20 AG20 AI20 AY20 X22 AA22 AC22 AG22 AI22 AY22 X24 AA24 AC24 AG24 AI24 AY24 X26 AA26 AC26 AG26 AI26 AY26 AC28 AY28 X30 AA30 AC30 AG30 AI30 AY30 X32 AA32 AC32 AG32 AI32 AY32 X34 AA34 AC34 AG34 AI34 AY34 X36 AA36 AC36 AG36 AI36 AY36 X38 AA38 AC38 AG38 AI38 AY38 X40 AA40 AC40 AG40 AI40 AY40 X42 AA42 AC42 AG42 AI42 AY42 X44 AA44 AC44 AG44 AI44 AY44 X46 AA46 AC46 AG46 AI46 AY46 AC48 AY48 X50 AA50 AC50 AG50 AI50 AY50 X52 AA52 AC52 AG52 AI52 AY52 X54 AA54 AC54 AG54 AI54 AY54 X56 AA56 AC56 AG56 AI56 AY56 X58 AA58 AC58 AG58 AI58 AY58 X60 AA60 AC60 AG60 AI60 AY60 X62 AA62 AC62 AG62 AI62 AY62 X64 AA64 AC64 AG64 AI64 AY64 X66 AA66 AC66 AG66 AI66 AY66 X68 AA68 AC68 AG68 AI68 AY68 X70 AA70 AC70 AG70 AI70 AY70 X72 AA72 AC72 AG72 AI72 AY72 X74 AA74 AC74 AG74 AI74 AY74">
    <cfRule type="expression" dxfId="328" priority="325">
      <formula>AND(ISBLANK($T16)=FALSE,OR(ISBLANK(X16)=TRUE,X16=""))</formula>
    </cfRule>
  </conditionalFormatting>
  <conditionalFormatting sqref="X18 AA18 AG18 AI18">
    <cfRule type="expression" dxfId="327" priority="6">
      <formula>AND(ISBLANK($T18)=FALSE,OR(ISBLANK(X18)=TRUE,X18=""))</formula>
    </cfRule>
  </conditionalFormatting>
  <conditionalFormatting sqref="X28 AA28 AG28 AI28">
    <cfRule type="expression" dxfId="326" priority="13">
      <formula>AND(ISBLANK($T28)=FALSE,OR(ISBLANK(X28)=TRUE,X28=""))</formula>
    </cfRule>
  </conditionalFormatting>
  <conditionalFormatting sqref="X48 AA48 AG48 AI48">
    <cfRule type="expression" dxfId="325" priority="21">
      <formula>AND(ISBLANK($T48)=FALSE,OR(ISBLANK(X48)=TRUE,X48=""))</formula>
    </cfRule>
  </conditionalFormatting>
  <conditionalFormatting sqref="AC16 AC18 AC20 AC22 AC24 AC26 AC28 AC30 AC32 AC34 AC36 AC38 AC40 AC42 AC44 AC46 AC48 AC50 AC52 AC54 AC56 AC58 AC60 AC62 AC64 AC66 AC68 AC70 AC72 AC74">
    <cfRule type="expression" dxfId="324" priority="326">
      <formula>AC16&lt;&gt;INDEX(CMELIGHTEFFBASEW,MATCH(V16,CMELIGHTEFF1,0))</formula>
    </cfRule>
  </conditionalFormatting>
  <conditionalFormatting sqref="AG10:AG11">
    <cfRule type="expression" dxfId="323" priority="34">
      <formula>COUNTIF($I$16:$L$75,"Redesign*")&gt;0</formula>
    </cfRule>
  </conditionalFormatting>
  <conditionalFormatting sqref="AH2 AL2">
    <cfRule type="expression" dxfId="322" priority="24">
      <formula>PROJSTATUS=PROJSTATELI</formula>
    </cfRule>
    <cfRule type="expression" dxfId="321" priority="25">
      <formula>PROJSTATUS=PROJSTATREVIEW</formula>
    </cfRule>
    <cfRule type="expression" dxfId="320" priority="26">
      <formula>PROJSTATUS=PROJSTATPREAPPROVE</formula>
    </cfRule>
    <cfRule type="expression" dxfId="319" priority="27">
      <formula>PROJSTATUS=PROJSTATSTANDARD</formula>
    </cfRule>
    <cfRule type="expression" dxfId="318" priority="28">
      <formula>PROJSTATUS=PROJSTATEXP</formula>
    </cfRule>
  </conditionalFormatting>
  <conditionalFormatting sqref="AH9:AJ9">
    <cfRule type="expression" dxfId="317" priority="33">
      <formula>COUNTIF($I$16:$L$75,"Redesign*")&gt;0</formula>
    </cfRule>
  </conditionalFormatting>
  <conditionalFormatting sqref="AH12:AJ12">
    <cfRule type="expression" dxfId="316" priority="35">
      <formula>COUNTIF($I$16:$L$75,"Redesign*")&gt;0</formula>
    </cfRule>
  </conditionalFormatting>
  <conditionalFormatting sqref="AK10:AK11">
    <cfRule type="expression" dxfId="315" priority="32">
      <formula>COUNTIF($I$16:$L$75,"Redesign*")&gt;0</formula>
    </cfRule>
  </conditionalFormatting>
  <conditionalFormatting sqref="AN16 AN18 AN20 AN22 AN24 AN26 AN28 AN30 AN32 AN34 AN36 AN38 AN40 AN42 AN44 AN46 AN48 AN50 AN52 AN54 AN56 AN58 AN60 AN62 AN64 AN66 AN68 AN70 AN72 AN74">
    <cfRule type="expression" dxfId="314" priority="31">
      <formula>ISNUMBER(AN16)=FALSE</formula>
    </cfRule>
    <cfRule type="expression" dxfId="313" priority="48">
      <formula>BF16="50% Cost"</formula>
    </cfRule>
  </conditionalFormatting>
  <conditionalFormatting sqref="AQ2:AR3">
    <cfRule type="cellIs" dxfId="312" priority="38" operator="equal">
      <formula>1</formula>
    </cfRule>
    <cfRule type="cellIs" dxfId="311" priority="39" operator="between">
      <formula>0.51</formula>
      <formula>0.99</formula>
    </cfRule>
    <cfRule type="cellIs" dxfId="310" priority="40" operator="lessThanOrEqual">
      <formula>0.5</formula>
    </cfRule>
  </conditionalFormatting>
  <dataValidations xWindow="588" yWindow="573" count="7">
    <dataValidation type="decimal" operator="greaterThan" allowBlank="1" showInputMessage="1" showErrorMessage="1" error="Please enter a number value into the field." sqref="P16:Q75 AC16:AD75" xr:uid="{2D51D90B-FE3A-434F-815F-29214CF4F4B7}">
      <formula1>0</formula1>
    </dataValidation>
    <dataValidation type="list" allowBlank="1" showInputMessage="1" showErrorMessage="1" prompt="Choose from existing fixture type options. If the fixture is not listed, select &quot;Others&quot; at the bottom and provide a description of the fixture." sqref="H16 H74 H20 H22 H24 H26 H28 H30 H32 H34 H36 H38 H40 H42 H44 H46 H48 H50 H52 H54 H56 H58 H60 H62 H64 H66 H68 H70 H72 H18" xr:uid="{1A17E3AF-9C1E-4D58-898E-D4D72E7F821C}">
      <formula1>CMELIGHTBASE1</formula1>
    </dataValidation>
    <dataValidation allowBlank="1" showInputMessage="1" showErrorMessage="1" prompt="Enter material or labor cost per new FIXTURE._x000a__x000a_For in house installs estimate labor cost." sqref="AI72 AG22 AI22 AG16 AG20 AI20 AI74 AI16 AG24 AG26 AG28 AG30 AG32 AG34 AG36 AG38 AG40 AG42 AG44 AG46 AG48 AG50 AG52 AG54 AG56 AG58 AG60 AG62 AG64 AG66 AG68 AG70 AG72 AG74 AI24 AI26 AI28 AI30 AI32 AI34 AI36 AI38 AI40 AI42 AI44 AI46 AI48 AI50 AI52 AI54 AI56 AI58 AI60 AI62 AI64 AI66 AI68 AI70 AI18 AG18" xr:uid="{F7256082-9180-4F58-B1D7-A40C1CF61CA7}"/>
    <dataValidation type="list" allowBlank="1" showInputMessage="1" showErrorMessage="1" prompt="Choose from new fixture type options." sqref="T16:W75" xr:uid="{42169420-44AF-4872-97EC-FF0A11671B6E}">
      <formula1>CFLEFF1</formula1>
    </dataValidation>
    <dataValidation type="whole" allowBlank="1" showInputMessage="1" showErrorMessage="1" sqref="R16:S75" xr:uid="{4FBB3C10-1B2D-4DE6-A7E6-6BF4A968AA90}">
      <formula1>1</formula1>
      <formula2>8760</formula2>
    </dataValidation>
    <dataValidation type="whole" operator="greaterThan" allowBlank="1" showInputMessage="1" showErrorMessage="1" sqref="AE16:AF75" xr:uid="{CF510005-688A-431F-A443-1334ECABDF33}">
      <formula1>IF(F16="Interior",0,99000)</formula1>
    </dataValidation>
    <dataValidation type="list" allowBlank="1" showInputMessage="1" showErrorMessage="1" sqref="BG16:BG75" xr:uid="{A3FB32FE-CA65-49C4-AFC1-9C46EE1CF845}">
      <formula1>"1.0,1.07"</formula1>
    </dataValidation>
  </dataValidations>
  <hyperlinks>
    <hyperlink ref="B202" r:id="rId1" display="NIPSCO.Savings@LMCO.com" xr:uid="{6282EEBB-E124-4C88-8997-770440571BF3}"/>
  </hyperlinks>
  <pageMargins left="0.25" right="0.25" top="0.25" bottom="0.25" header="0.25" footer="0.25"/>
  <pageSetup scale="64" fitToHeight="0"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9A010-03C5-445E-A5D3-A134F7431BE4}">
  <sheetPr codeName="Sheet24"/>
  <dimension ref="A1:BL213"/>
  <sheetViews>
    <sheetView showGridLines="0" showRowColHeaders="0" zoomScale="85" zoomScaleNormal="85" workbookViewId="0">
      <selection activeCell="D22" sqref="D22:H22"/>
    </sheetView>
  </sheetViews>
  <sheetFormatPr defaultColWidth="0" defaultRowHeight="0" customHeight="1" zeroHeight="1" x14ac:dyDescent="0.25"/>
  <cols>
    <col min="1" max="45" width="4.7109375" customWidth="1"/>
    <col min="46" max="46" width="4.7109375" hidden="1" customWidth="1"/>
    <col min="47" max="71" width="9.140625" hidden="1" customWidth="1"/>
    <col min="72" max="16384" width="9.140625" hidden="1"/>
  </cols>
  <sheetData>
    <row r="1" spans="2:61"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c r="AS1" s="69"/>
      <c r="AT1" s="69"/>
      <c r="AU1" s="69"/>
      <c r="AV1" s="69"/>
      <c r="AW1" s="69"/>
      <c r="AX1" s="69"/>
      <c r="AY1" s="69"/>
      <c r="AZ1" s="69"/>
      <c r="BA1" s="69"/>
      <c r="BB1" s="69"/>
      <c r="BC1" s="69"/>
      <c r="BD1" s="69"/>
      <c r="BE1" s="69"/>
      <c r="BF1" s="69"/>
      <c r="BG1" s="69"/>
      <c r="BH1" s="69"/>
      <c r="BI1" s="69"/>
    </row>
    <row r="2" spans="2:61" ht="15.95" customHeight="1" x14ac:dyDescent="0.25">
      <c r="AH2" s="602" t="str">
        <f>INCENSTATUS</f>
        <v>---</v>
      </c>
      <c r="AI2" s="603"/>
      <c r="AJ2" s="603"/>
      <c r="AK2" s="603"/>
      <c r="AL2" s="613" t="str">
        <f ca="1">PROJSTATUS</f>
        <v>Enter Measures</v>
      </c>
      <c r="AM2" s="613"/>
      <c r="AN2" s="613"/>
      <c r="AO2" s="613"/>
      <c r="AP2" s="613"/>
      <c r="AQ2" s="608">
        <f ca="1">PROGRESSSTATUS</f>
        <v>0</v>
      </c>
      <c r="AR2" s="609"/>
      <c r="AS2" s="69"/>
      <c r="AT2" s="69"/>
      <c r="AU2" s="69"/>
      <c r="AV2" s="69"/>
      <c r="AW2" s="69"/>
      <c r="AX2" s="69"/>
      <c r="AY2" s="69"/>
      <c r="AZ2" s="69"/>
      <c r="BA2" s="69"/>
      <c r="BB2" s="69"/>
      <c r="BC2" s="69"/>
      <c r="BD2" s="69"/>
      <c r="BE2" s="69"/>
      <c r="BF2" s="69"/>
      <c r="BG2" s="69"/>
      <c r="BH2" s="69"/>
      <c r="BI2" s="69"/>
    </row>
    <row r="3" spans="2:61" ht="15.95" customHeight="1" x14ac:dyDescent="0.25">
      <c r="AH3" s="604"/>
      <c r="AI3" s="605"/>
      <c r="AJ3" s="605"/>
      <c r="AK3" s="605"/>
      <c r="AL3" s="614"/>
      <c r="AM3" s="614"/>
      <c r="AN3" s="614"/>
      <c r="AO3" s="614"/>
      <c r="AP3" s="614"/>
      <c r="AQ3" s="610"/>
      <c r="AR3" s="611"/>
      <c r="AS3" s="69"/>
      <c r="AT3" s="69"/>
      <c r="AU3" s="69"/>
      <c r="AV3" s="69"/>
      <c r="AW3" s="519"/>
      <c r="AX3" s="69"/>
      <c r="AY3" s="69"/>
      <c r="AZ3" s="69"/>
      <c r="BA3" s="69"/>
      <c r="BB3" s="69"/>
      <c r="BC3" s="69"/>
      <c r="BD3" s="69"/>
      <c r="BE3" s="69"/>
      <c r="BF3" s="69"/>
      <c r="BG3" s="69"/>
      <c r="BH3" s="69"/>
      <c r="BI3" s="69"/>
    </row>
    <row r="4" spans="2:61" ht="15.95" customHeight="1" x14ac:dyDescent="0.25">
      <c r="AS4" s="69"/>
      <c r="AT4" s="69"/>
      <c r="AU4" s="69"/>
      <c r="AV4" s="69"/>
      <c r="AW4" s="69">
        <f>IF(AND(ISNUMBER(SEARCH("CFL",H149)),ISNUMBER(SEARCH("Linear Tube",U149))),12,15)</f>
        <v>15</v>
      </c>
      <c r="AX4" s="69"/>
      <c r="AY4" s="69"/>
      <c r="AZ4" s="69"/>
      <c r="BA4" s="69"/>
      <c r="BB4" s="69"/>
      <c r="BC4" s="69"/>
      <c r="BD4" s="69"/>
      <c r="BE4" s="69"/>
      <c r="BF4" s="69"/>
    </row>
    <row r="5" spans="2:61"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c r="BD5" s="69"/>
      <c r="BE5" s="69"/>
      <c r="BF5" s="69"/>
    </row>
    <row r="6" spans="2:61"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1195</v>
      </c>
      <c r="AX6" s="69">
        <f>PROJID</f>
        <v>0</v>
      </c>
      <c r="AY6" s="69"/>
      <c r="AZ6" s="69"/>
      <c r="BA6" s="69"/>
      <c r="BB6" s="69"/>
      <c r="BC6" s="69"/>
      <c r="BD6" s="69"/>
      <c r="BE6" s="69"/>
      <c r="BF6" s="69"/>
    </row>
    <row r="7" spans="2:61"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1096</v>
      </c>
      <c r="AY7" s="121" t="s">
        <v>212</v>
      </c>
      <c r="AZ7" s="121" t="s">
        <v>1163</v>
      </c>
      <c r="BA7" s="121"/>
      <c r="BB7" s="69"/>
    </row>
    <row r="8" spans="2:61" ht="15.95" customHeight="1" x14ac:dyDescent="0.25">
      <c r="AS8" s="69"/>
      <c r="AT8" s="69"/>
      <c r="AU8" s="69"/>
      <c r="AV8" s="69"/>
      <c r="AW8" s="121" t="s">
        <v>208</v>
      </c>
      <c r="AX8" s="121" t="str">
        <f ca="1">CBPRESE</f>
        <v>NA</v>
      </c>
      <c r="AY8" s="121" t="str">
        <f ca="1">CBCUSE</f>
        <v>NA</v>
      </c>
      <c r="AZ8" s="121" t="str">
        <f ca="1">CBALL</f>
        <v>NA</v>
      </c>
      <c r="BA8" s="121"/>
      <c r="BB8" s="69"/>
    </row>
    <row r="9" spans="2:61" ht="15.95" customHeight="1" x14ac:dyDescent="0.25">
      <c r="B9" s="69"/>
      <c r="C9" s="69"/>
      <c r="D9" s="69"/>
      <c r="E9" s="69"/>
      <c r="F9" s="69"/>
      <c r="G9" s="69"/>
      <c r="H9" s="69"/>
      <c r="I9" s="69"/>
      <c r="J9" s="69"/>
      <c r="K9" s="69"/>
      <c r="L9" s="69"/>
      <c r="M9" s="69"/>
      <c r="N9" s="69"/>
      <c r="O9" s="69"/>
      <c r="P9" s="1174" t="s">
        <v>2331</v>
      </c>
      <c r="Q9" s="1174"/>
      <c r="R9" s="1174"/>
      <c r="S9" s="1174"/>
      <c r="T9" s="1174"/>
      <c r="U9" s="1174"/>
      <c r="V9" s="1174"/>
      <c r="W9" s="1174"/>
      <c r="X9" s="1174"/>
      <c r="Y9" s="1174"/>
      <c r="Z9" s="1174"/>
      <c r="AA9" s="1174"/>
      <c r="AB9" s="1174"/>
      <c r="AC9" s="1174"/>
      <c r="AD9" s="1174"/>
      <c r="AE9" s="1174"/>
      <c r="AF9" s="69"/>
      <c r="AG9" s="69"/>
      <c r="AH9" s="69"/>
      <c r="AI9" s="69"/>
      <c r="AJ9" s="69"/>
      <c r="AK9" s="69"/>
      <c r="AL9" s="69"/>
      <c r="AM9" s="69"/>
      <c r="AN9" s="69"/>
      <c r="AO9" s="69"/>
      <c r="AP9" s="69"/>
      <c r="AQ9" s="69"/>
      <c r="AR9" s="69"/>
      <c r="AS9" s="69"/>
      <c r="AT9" s="69"/>
      <c r="AU9" s="69"/>
      <c r="AV9" s="69"/>
      <c r="AW9" s="121"/>
      <c r="AX9" s="121"/>
      <c r="AY9" s="121"/>
      <c r="AZ9" s="121"/>
      <c r="BA9" s="121"/>
      <c r="BB9" s="69"/>
    </row>
    <row r="10" spans="2:61" ht="15.95" customHeight="1" x14ac:dyDescent="0.25">
      <c r="B10" s="69"/>
      <c r="C10" s="69"/>
      <c r="D10" s="69"/>
      <c r="E10" s="69"/>
      <c r="J10" s="306"/>
      <c r="K10" s="306"/>
      <c r="L10" s="306"/>
      <c r="M10" s="306"/>
      <c r="N10" s="306"/>
      <c r="O10" s="306"/>
      <c r="P10" s="1174"/>
      <c r="Q10" s="1174"/>
      <c r="R10" s="1174"/>
      <c r="S10" s="1174"/>
      <c r="T10" s="1174"/>
      <c r="U10" s="1174"/>
      <c r="V10" s="1174"/>
      <c r="W10" s="1174"/>
      <c r="X10" s="1174"/>
      <c r="Y10" s="1174"/>
      <c r="Z10" s="1174"/>
      <c r="AA10" s="1174"/>
      <c r="AB10" s="1174"/>
      <c r="AC10" s="1174"/>
      <c r="AD10" s="1174"/>
      <c r="AE10" s="1174"/>
      <c r="AF10" s="80"/>
      <c r="AG10" s="69"/>
      <c r="AH10" s="274"/>
      <c r="AI10" s="69"/>
      <c r="AJ10" s="69"/>
      <c r="AK10" s="69"/>
      <c r="AL10" s="69"/>
      <c r="AM10" s="69"/>
      <c r="AN10" s="69"/>
      <c r="AO10" s="69"/>
      <c r="AP10" s="69"/>
      <c r="AQ10" s="69"/>
      <c r="AR10" s="69"/>
      <c r="AS10" s="69"/>
      <c r="AT10" s="69"/>
      <c r="AU10" s="69"/>
      <c r="AV10" s="69"/>
      <c r="AW10" s="121" t="s">
        <v>561</v>
      </c>
      <c r="AX10" s="121" t="str">
        <f>PAYPRESE</f>
        <v>NA</v>
      </c>
      <c r="AY10" s="121" t="str">
        <f ca="1">PAYCUSE</f>
        <v>NA</v>
      </c>
      <c r="AZ10" s="121" t="str">
        <f ca="1">PAYALL</f>
        <v>NA</v>
      </c>
      <c r="BA10" s="121"/>
      <c r="BB10" s="69"/>
    </row>
    <row r="11" spans="2:61" ht="15.95" customHeight="1" x14ac:dyDescent="0.3">
      <c r="B11" s="69"/>
      <c r="C11" s="69"/>
      <c r="D11" s="69"/>
      <c r="E11" s="69"/>
      <c r="J11" s="341"/>
      <c r="K11" s="341"/>
      <c r="L11" s="341"/>
      <c r="M11" s="1633" t="str">
        <f>IF(AND(BD22="",SUM(AV16:AV19)&gt;0.5*SUM(AW16:AW19)),"The LPD incentive is being capped at cost","")</f>
        <v/>
      </c>
      <c r="N11" s="1633"/>
      <c r="O11" s="1633"/>
      <c r="P11" s="1633"/>
      <c r="Q11" s="1633"/>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S11" s="69"/>
      <c r="AT11" s="69"/>
      <c r="AU11" s="69"/>
      <c r="AV11" s="69"/>
      <c r="AW11" s="122" t="s">
        <v>1149</v>
      </c>
      <c r="AX11" s="69"/>
      <c r="AY11" s="69"/>
      <c r="AZ11" s="69"/>
      <c r="BA11" s="69"/>
      <c r="BB11" s="69"/>
    </row>
    <row r="12" spans="2:61" ht="15.95" customHeight="1" x14ac:dyDescent="0.25">
      <c r="B12" s="69"/>
      <c r="C12" s="79"/>
      <c r="D12" s="69"/>
      <c r="E12" s="69"/>
      <c r="I12" s="341"/>
      <c r="J12" s="341"/>
      <c r="K12" s="341"/>
      <c r="L12" s="341"/>
      <c r="M12" s="1633"/>
      <c r="N12" s="1633"/>
      <c r="O12" s="1633"/>
      <c r="P12" s="1633"/>
      <c r="Q12" s="1633"/>
      <c r="R12" s="1632" t="str">
        <f>IF(M02S02F44="","Update Install Status",IF(OR(OR(M02S02F49="",M02S02F49="No"),M02S02F44="Yes"),"Not Eligible",IF(BD22&lt;&gt;"",BD22,AV22)))</f>
        <v>Update Install Status</v>
      </c>
      <c r="S12" s="1632"/>
      <c r="T12" s="1632"/>
      <c r="U12" s="1632"/>
      <c r="V12" s="1630">
        <f>AW20</f>
        <v>0</v>
      </c>
      <c r="W12" s="1630"/>
      <c r="X12" s="1630"/>
      <c r="Y12" s="1630"/>
      <c r="Z12" s="1631">
        <f>BA20</f>
        <v>0</v>
      </c>
      <c r="AA12" s="1631"/>
      <c r="AB12" s="1631"/>
      <c r="AC12" s="1631"/>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61" ht="15.95" customHeight="1" x14ac:dyDescent="0.25">
      <c r="B13" s="69"/>
      <c r="C13" s="79"/>
      <c r="D13" s="69"/>
      <c r="E13" s="69"/>
      <c r="L13" s="341"/>
      <c r="M13" s="1633"/>
      <c r="N13" s="1633"/>
      <c r="O13" s="1633"/>
      <c r="P13" s="1633"/>
      <c r="Q13" s="1633"/>
      <c r="R13" s="1632"/>
      <c r="S13" s="1632"/>
      <c r="T13" s="1632"/>
      <c r="U13" s="1632"/>
      <c r="V13" s="1630"/>
      <c r="W13" s="1630"/>
      <c r="X13" s="1630"/>
      <c r="Y13" s="1630"/>
      <c r="Z13" s="1631"/>
      <c r="AA13" s="1631"/>
      <c r="AB13" s="1631"/>
      <c r="AC13" s="1631"/>
      <c r="AD13" s="105"/>
      <c r="AE13" s="105"/>
      <c r="AF13" s="105"/>
      <c r="AG13" s="105"/>
      <c r="AH13" s="69"/>
      <c r="AI13" s="69"/>
      <c r="AJ13" s="69"/>
      <c r="AK13" s="69"/>
      <c r="AL13" s="69"/>
      <c r="AM13" s="69"/>
      <c r="AN13" s="69"/>
      <c r="AO13" s="69"/>
      <c r="AP13" s="69"/>
      <c r="AQ13" s="69"/>
      <c r="AR13" s="69"/>
      <c r="AS13" s="69"/>
      <c r="AT13" s="69"/>
      <c r="AU13" s="69"/>
      <c r="AV13" s="69"/>
      <c r="AW13" s="69" cm="1">
        <f t="array" ref="AW13">SUMPRODUCT(--(LEN(I31:AG70)&gt;0))+SUMPRODUCT(--(LEN(I86:AH125)&gt;0))</f>
        <v>0</v>
      </c>
      <c r="AX13" s="69"/>
      <c r="AY13" s="69"/>
      <c r="AZ13" s="69"/>
      <c r="BA13" s="69"/>
      <c r="BB13" s="69"/>
    </row>
    <row r="14" spans="2:61" ht="15.95" customHeight="1" x14ac:dyDescent="0.25">
      <c r="P14" s="1054" t="str">
        <f>IF(AND(M02S02F44="No",OR(M02S02F49="No",M02S02F49="")),"To be eligible for these incentives, you must indicate that this is a New Construction project in the Project Information - Site Information section","Lighting Power Density measures are for new load only. Supporting documentation showing the design is suitable for the space should be submitted to qualify")</f>
        <v>Lighting Power Density measures are for new load only. Supporting documentation showing the design is suitable for the space should be submitted to qualify</v>
      </c>
      <c r="Q14" s="1054"/>
      <c r="R14" s="1054"/>
      <c r="S14" s="1054"/>
      <c r="T14" s="1054"/>
      <c r="U14" s="1054"/>
      <c r="V14" s="1054"/>
      <c r="W14" s="1054"/>
      <c r="X14" s="1054"/>
      <c r="Y14" s="1054"/>
      <c r="Z14" s="1054"/>
      <c r="AA14" s="1054"/>
      <c r="AB14" s="1054"/>
      <c r="AC14" s="1054"/>
      <c r="AD14" s="1054"/>
      <c r="AE14" s="1054"/>
      <c r="AU14" s="1514" t="s">
        <v>561</v>
      </c>
      <c r="AV14" s="745" t="s">
        <v>2314</v>
      </c>
      <c r="AW14" s="799" t="s">
        <v>191</v>
      </c>
      <c r="AX14" s="799" t="s">
        <v>192</v>
      </c>
      <c r="AY14" s="799" t="s">
        <v>207</v>
      </c>
      <c r="AZ14" s="799" t="s">
        <v>193</v>
      </c>
      <c r="BA14" s="745" t="s">
        <v>2309</v>
      </c>
      <c r="BB14" s="799" t="s">
        <v>208</v>
      </c>
      <c r="BC14" s="745" t="s">
        <v>561</v>
      </c>
      <c r="BD14" s="745" t="s">
        <v>473</v>
      </c>
    </row>
    <row r="15" spans="2:61" ht="15.95" customHeight="1" thickBot="1" x14ac:dyDescent="0.3">
      <c r="P15" s="1054"/>
      <c r="Q15" s="1054"/>
      <c r="R15" s="1054"/>
      <c r="S15" s="1054"/>
      <c r="T15" s="1054"/>
      <c r="U15" s="1054"/>
      <c r="V15" s="1054"/>
      <c r="W15" s="1054"/>
      <c r="X15" s="1054"/>
      <c r="Y15" s="1054"/>
      <c r="Z15" s="1054"/>
      <c r="AA15" s="1054"/>
      <c r="AB15" s="1054"/>
      <c r="AC15" s="1054"/>
      <c r="AD15" s="1054"/>
      <c r="AE15" s="1054"/>
      <c r="AU15" s="1515"/>
      <c r="AV15" s="746"/>
      <c r="AW15" s="746"/>
      <c r="AX15" s="746"/>
      <c r="AY15" s="746"/>
      <c r="AZ15" s="746"/>
      <c r="BA15" s="746"/>
      <c r="BB15" s="746"/>
      <c r="BC15" s="746"/>
      <c r="BD15" s="746"/>
    </row>
    <row r="16" spans="2:61" ht="15.95" customHeight="1" x14ac:dyDescent="0.25">
      <c r="P16" s="1054"/>
      <c r="Q16" s="1054"/>
      <c r="R16" s="1054"/>
      <c r="S16" s="1054"/>
      <c r="T16" s="1054"/>
      <c r="U16" s="1054"/>
      <c r="V16" s="1054"/>
      <c r="W16" s="1054"/>
      <c r="X16" s="1054"/>
      <c r="Y16" s="1054"/>
      <c r="Z16" s="1054"/>
      <c r="AA16" s="1054"/>
      <c r="AB16" s="1054"/>
      <c r="AC16" s="1054"/>
      <c r="AD16" s="1054"/>
      <c r="AE16" s="1054"/>
      <c r="AU16" s="1434"/>
      <c r="AV16" s="804" t="str">
        <f>AH26</f>
        <v>Update Install Status</v>
      </c>
      <c r="AW16" s="804">
        <f>AE22+AL22</f>
        <v>0</v>
      </c>
      <c r="AX16" s="752">
        <f>AX71</f>
        <v>0</v>
      </c>
      <c r="AY16" s="756">
        <f>AY71</f>
        <v>0</v>
      </c>
      <c r="AZ16" s="756">
        <f>AZ71</f>
        <v>0</v>
      </c>
      <c r="BA16" s="756" t="str">
        <f>AB26</f>
        <v/>
      </c>
    </row>
    <row r="17" spans="3:56" ht="15.95" customHeight="1" thickBot="1" x14ac:dyDescent="0.3">
      <c r="J17" s="247"/>
      <c r="S17" s="247"/>
      <c r="AF17" s="247"/>
      <c r="AU17" s="1435"/>
      <c r="AV17" s="805"/>
      <c r="AW17" s="805"/>
      <c r="AX17" s="753"/>
      <c r="AY17" s="757"/>
      <c r="AZ17" s="757"/>
      <c r="BA17" s="757"/>
    </row>
    <row r="18" spans="3:56" ht="15.95" customHeight="1" thickTop="1" x14ac:dyDescent="0.25">
      <c r="C18" s="569"/>
      <c r="D18" s="565"/>
      <c r="E18" s="565"/>
      <c r="F18" s="565"/>
      <c r="G18" s="565"/>
      <c r="H18" s="565"/>
      <c r="I18" s="565"/>
      <c r="J18" s="565"/>
      <c r="K18" s="565"/>
      <c r="L18" s="565"/>
      <c r="M18" s="565"/>
      <c r="N18" s="565"/>
      <c r="O18" s="565"/>
      <c r="P18" s="565"/>
      <c r="Q18" s="565"/>
      <c r="R18" s="1512" t="s">
        <v>2311</v>
      </c>
      <c r="S18" s="1512"/>
      <c r="T18" s="1512"/>
      <c r="U18" s="1512"/>
      <c r="V18" s="1512"/>
      <c r="W18" s="1512"/>
      <c r="X18" s="1512"/>
      <c r="Y18" s="1512"/>
      <c r="Z18" s="1512"/>
      <c r="AA18" s="1512"/>
      <c r="AB18" s="1512"/>
      <c r="AC18" s="1512"/>
      <c r="AD18" s="565"/>
      <c r="AE18" s="565"/>
      <c r="AF18" s="565"/>
      <c r="AG18" s="565"/>
      <c r="AH18" s="565"/>
      <c r="AI18" s="565"/>
      <c r="AJ18" s="565"/>
      <c r="AK18" s="565"/>
      <c r="AL18" s="565"/>
      <c r="AM18" s="565"/>
      <c r="AN18" s="565"/>
      <c r="AO18" s="565"/>
      <c r="AP18" s="565"/>
      <c r="AQ18" s="570"/>
      <c r="AU18" s="1434"/>
      <c r="AV18" s="804" t="str">
        <f>AH81</f>
        <v>Update Install Status</v>
      </c>
      <c r="AW18" s="804">
        <f>AW126</f>
        <v>0</v>
      </c>
      <c r="AX18" s="752">
        <f>AX126</f>
        <v>0</v>
      </c>
      <c r="AY18" s="756">
        <f>AY126</f>
        <v>0</v>
      </c>
      <c r="AZ18" s="756">
        <f>AZ126</f>
        <v>0</v>
      </c>
      <c r="BA18" s="756" t="str">
        <f>AB81</f>
        <v/>
      </c>
    </row>
    <row r="19" spans="3:56" ht="15.95" customHeight="1" x14ac:dyDescent="0.25">
      <c r="C19" s="568"/>
      <c r="D19" s="525"/>
      <c r="E19" s="525"/>
      <c r="F19" s="525"/>
      <c r="G19" s="525"/>
      <c r="H19" s="525"/>
      <c r="I19" s="525"/>
      <c r="J19" s="525"/>
      <c r="K19" s="525"/>
      <c r="L19" s="525"/>
      <c r="M19" s="525"/>
      <c r="N19" s="525"/>
      <c r="O19" s="525"/>
      <c r="P19" s="525"/>
      <c r="Q19" s="525"/>
      <c r="R19" s="1513"/>
      <c r="S19" s="1513"/>
      <c r="T19" s="1513"/>
      <c r="U19" s="1513"/>
      <c r="V19" s="1513"/>
      <c r="W19" s="1513"/>
      <c r="X19" s="1513"/>
      <c r="Y19" s="1513"/>
      <c r="Z19" s="1513"/>
      <c r="AA19" s="1513"/>
      <c r="AB19" s="1513"/>
      <c r="AC19" s="1513"/>
      <c r="AD19" s="525"/>
      <c r="AE19" s="525"/>
      <c r="AF19" s="525"/>
      <c r="AG19" s="525"/>
      <c r="AH19" s="525"/>
      <c r="AI19" s="525"/>
      <c r="AJ19" s="525"/>
      <c r="AK19" s="525"/>
      <c r="AL19" s="525"/>
      <c r="AM19" s="525"/>
      <c r="AN19" s="525"/>
      <c r="AO19" s="525"/>
      <c r="AP19" s="525"/>
      <c r="AQ19" s="567"/>
      <c r="AU19" s="1435"/>
      <c r="AV19" s="805"/>
      <c r="AW19" s="805"/>
      <c r="AX19" s="753"/>
      <c r="AY19" s="757"/>
      <c r="AZ19" s="757"/>
      <c r="BA19" s="757"/>
    </row>
    <row r="20" spans="3:56" ht="15.95" customHeight="1" x14ac:dyDescent="0.25">
      <c r="C20" s="568"/>
      <c r="D20" s="525"/>
      <c r="E20" s="525"/>
      <c r="F20" s="525"/>
      <c r="G20" s="525"/>
      <c r="H20" s="525"/>
      <c r="I20" s="525"/>
      <c r="J20" s="525"/>
      <c r="K20" s="525"/>
      <c r="L20" s="525"/>
      <c r="M20" s="525"/>
      <c r="N20" s="525"/>
      <c r="O20" s="525"/>
      <c r="P20" s="525"/>
      <c r="Q20" s="525"/>
      <c r="R20" s="525"/>
      <c r="S20" s="525"/>
      <c r="T20" s="525"/>
      <c r="U20" s="525"/>
      <c r="V20" s="525"/>
      <c r="W20" s="525"/>
      <c r="X20" s="525"/>
      <c r="Y20" s="525"/>
      <c r="Z20" s="525"/>
      <c r="AA20" s="525"/>
      <c r="AB20" s="525"/>
      <c r="AC20" s="525"/>
      <c r="AD20" s="525"/>
      <c r="AE20" s="525"/>
      <c r="AF20" s="525"/>
      <c r="AG20" s="525"/>
      <c r="AH20" s="525"/>
      <c r="AI20" s="525"/>
      <c r="AJ20" s="525"/>
      <c r="AK20" s="525"/>
      <c r="AL20" s="525"/>
      <c r="AM20" s="525"/>
      <c r="AN20" s="525"/>
      <c r="AO20" s="525"/>
      <c r="AP20" s="525"/>
      <c r="AQ20" s="567"/>
      <c r="AU20" s="1634" t="s">
        <v>2326</v>
      </c>
      <c r="AV20" s="804">
        <f t="shared" ref="AV20:BA20" si="0">SUM(AV16:AV19)</f>
        <v>0</v>
      </c>
      <c r="AW20" s="804">
        <f t="shared" si="0"/>
        <v>0</v>
      </c>
      <c r="AX20" s="752">
        <f t="shared" si="0"/>
        <v>0</v>
      </c>
      <c r="AY20" s="756">
        <f t="shared" si="0"/>
        <v>0</v>
      </c>
      <c r="AZ20" s="756">
        <f>SUM(AZ16:AZ19)</f>
        <v>0</v>
      </c>
      <c r="BA20" s="756">
        <f t="shared" si="0"/>
        <v>0</v>
      </c>
    </row>
    <row r="21" spans="3:56" ht="15.95" customHeight="1" thickBot="1" x14ac:dyDescent="0.3">
      <c r="C21" s="568"/>
      <c r="D21" s="526" t="s">
        <v>2304</v>
      </c>
      <c r="E21" s="525"/>
      <c r="F21" s="525"/>
      <c r="G21" s="525"/>
      <c r="H21" s="525"/>
      <c r="I21" s="525"/>
      <c r="J21" s="526" t="s">
        <v>295</v>
      </c>
      <c r="K21" s="525"/>
      <c r="L21" s="525"/>
      <c r="M21" s="525"/>
      <c r="N21" s="525"/>
      <c r="O21" s="525"/>
      <c r="P21" s="525"/>
      <c r="Q21" s="526" t="s">
        <v>2255</v>
      </c>
      <c r="R21" s="525"/>
      <c r="S21" s="525"/>
      <c r="T21" s="525"/>
      <c r="U21" s="525"/>
      <c r="V21" s="525"/>
      <c r="W21" s="525"/>
      <c r="X21" s="526" t="s">
        <v>82</v>
      </c>
      <c r="Y21" s="525"/>
      <c r="Z21" s="525"/>
      <c r="AA21" s="525"/>
      <c r="AB21" s="525"/>
      <c r="AC21" s="525"/>
      <c r="AD21" s="525"/>
      <c r="AE21" s="526" t="s">
        <v>1989</v>
      </c>
      <c r="AF21" s="525"/>
      <c r="AG21" s="525"/>
      <c r="AH21" s="525"/>
      <c r="AI21" s="525"/>
      <c r="AJ21" s="525"/>
      <c r="AK21" s="525"/>
      <c r="AL21" s="526" t="s">
        <v>2333</v>
      </c>
      <c r="AM21" s="525"/>
      <c r="AN21" s="525"/>
      <c r="AO21" s="525"/>
      <c r="AP21" s="525"/>
      <c r="AQ21" s="567"/>
      <c r="AU21" s="1435"/>
      <c r="AV21" s="805"/>
      <c r="AW21" s="805"/>
      <c r="AX21" s="753"/>
      <c r="AY21" s="757"/>
      <c r="AZ21" s="757"/>
      <c r="BA21" s="757"/>
    </row>
    <row r="22" spans="3:56" ht="15.95" customHeight="1" thickBot="1" x14ac:dyDescent="0.3">
      <c r="C22" s="568"/>
      <c r="D22" s="660" t="str">
        <f>IF(M02S02F50&lt;&gt;"",M02S02F50,"")</f>
        <v/>
      </c>
      <c r="E22" s="1481"/>
      <c r="F22" s="1481"/>
      <c r="G22" s="1481"/>
      <c r="H22" s="1482"/>
      <c r="I22" s="525"/>
      <c r="J22" s="660"/>
      <c r="K22" s="1481"/>
      <c r="L22" s="1481"/>
      <c r="M22" s="1481"/>
      <c r="N22" s="1481"/>
      <c r="O22" s="1482"/>
      <c r="P22" s="525"/>
      <c r="Q22" s="1559" t="str">
        <f>IF(OR(J22="",D22=""),"",INDEX(NCLPD[#Data],MATCH(J22,NCLPD[Building Area Type],0),MATCH(D22,NCLPD[#Headers],0)))</f>
        <v/>
      </c>
      <c r="R22" s="1560"/>
      <c r="S22" s="1560"/>
      <c r="T22" s="1560"/>
      <c r="U22" s="1560"/>
      <c r="V22" s="1561"/>
      <c r="W22" s="525"/>
      <c r="X22" s="1562" t="str">
        <f>IF(M02S02F30&lt;&gt;"",M02S02F30,"")</f>
        <v/>
      </c>
      <c r="Y22" s="1563"/>
      <c r="Z22" s="1563"/>
      <c r="AA22" s="1563"/>
      <c r="AB22" s="1563"/>
      <c r="AC22" s="1564"/>
      <c r="AD22" s="525"/>
      <c r="AE22" s="1483"/>
      <c r="AF22" s="1484"/>
      <c r="AG22" s="1484"/>
      <c r="AH22" s="1484"/>
      <c r="AI22" s="1484"/>
      <c r="AJ22" s="1485"/>
      <c r="AK22" s="525"/>
      <c r="AL22" s="1483"/>
      <c r="AM22" s="1484"/>
      <c r="AN22" s="1484"/>
      <c r="AO22" s="1484"/>
      <c r="AP22" s="1485"/>
      <c r="AQ22" s="567"/>
      <c r="AU22" s="1611" t="s">
        <v>2328</v>
      </c>
      <c r="AV22" s="804">
        <f>MIN(AV20,0.5*AW20)</f>
        <v>0</v>
      </c>
      <c r="AW22" s="804">
        <f>AW20</f>
        <v>0</v>
      </c>
      <c r="AX22" s="752">
        <f t="shared" ref="AX22:BA22" si="1">AX20</f>
        <v>0</v>
      </c>
      <c r="AY22" s="756">
        <f t="shared" si="1"/>
        <v>0</v>
      </c>
      <c r="AZ22" s="756">
        <f t="shared" si="1"/>
        <v>0</v>
      </c>
      <c r="BA22" s="756">
        <f t="shared" si="1"/>
        <v>0</v>
      </c>
      <c r="BB22" s="1432" t="str">
        <f>IFERROR(((1+ELOSS)*PEAKTD*(1+INDEX(ELECCB[Capacity Reserve Margin],MATCH(15,ELECCB[Year Number],0)))*((BA22*INDEX(ELECCB[NPV AEC $/kWh],MATCH(15,ELECCB[Year Number],0)))+(AX22*INDEX(ELECCB[NPV ACC+T&amp;D $/kW],MATCH(15,ELECCB[Year Number],0))))/AW22),"")</f>
        <v/>
      </c>
      <c r="BC22" s="1432" t="str">
        <f>IFERROR(AW22/M02S02F35/BA22,"")</f>
        <v/>
      </c>
      <c r="BD22" s="1511" t="str">
        <f>IFERROR(IF(AW22=0,"",IF(AZ22&lt;0,MEASURESAVE,IF(M02S02F35="",MEASURERATE,IF(AW22/M02S02F35/BA22&lt;1,MEASUREPAY,IF(BB22&lt;1,MEASURECB,""))))),MEASURESUBMIT)</f>
        <v/>
      </c>
    </row>
    <row r="23" spans="3:56" ht="15.95" customHeight="1" x14ac:dyDescent="0.25">
      <c r="C23" s="568"/>
      <c r="D23" s="525"/>
      <c r="E23" s="525"/>
      <c r="F23" s="525"/>
      <c r="G23" s="525"/>
      <c r="H23" s="525"/>
      <c r="I23" s="525"/>
      <c r="J23" s="525"/>
      <c r="K23" s="525" t="s">
        <v>2313</v>
      </c>
      <c r="L23" s="525"/>
      <c r="M23" s="525"/>
      <c r="N23" s="525"/>
      <c r="O23" s="525"/>
      <c r="P23" s="525"/>
      <c r="Q23" s="525"/>
      <c r="R23" s="525"/>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c r="AP23" s="525"/>
      <c r="AQ23" s="567"/>
      <c r="AU23" s="1612"/>
      <c r="AV23" s="805"/>
      <c r="AW23" s="805"/>
      <c r="AX23" s="753"/>
      <c r="AY23" s="757"/>
      <c r="AZ23" s="757"/>
      <c r="BA23" s="757"/>
      <c r="BB23" s="1433"/>
      <c r="BC23" s="1433"/>
      <c r="BD23" s="1511"/>
    </row>
    <row r="24" spans="3:56" ht="15.95" customHeight="1" x14ac:dyDescent="0.25">
      <c r="C24" s="568"/>
      <c r="D24" s="525"/>
      <c r="E24" s="525"/>
      <c r="F24" s="525"/>
      <c r="G24" s="525"/>
      <c r="H24" s="525"/>
      <c r="I24" s="525"/>
      <c r="J24" s="526"/>
      <c r="K24" s="526"/>
      <c r="L24" s="526"/>
      <c r="M24" s="526"/>
      <c r="N24" s="525"/>
      <c r="O24" s="525"/>
      <c r="P24" s="526"/>
      <c r="Q24" s="526"/>
      <c r="R24" s="526"/>
      <c r="S24" s="526"/>
      <c r="T24" s="525"/>
      <c r="U24" s="525"/>
      <c r="V24" s="526"/>
      <c r="W24" s="526"/>
      <c r="X24" s="526"/>
      <c r="Y24" s="526"/>
      <c r="Z24" s="526"/>
      <c r="AA24" s="525"/>
      <c r="AB24" s="525"/>
      <c r="AC24" s="526"/>
      <c r="AD24" s="526"/>
      <c r="AE24" s="526"/>
      <c r="AF24" s="526"/>
      <c r="AG24" s="525"/>
      <c r="AH24" s="1575" t="s">
        <v>2315</v>
      </c>
      <c r="AI24" s="1575"/>
      <c r="AJ24" s="1575"/>
      <c r="AK24" s="1575"/>
      <c r="AL24" s="1575"/>
      <c r="AM24" s="525"/>
      <c r="AN24" s="525"/>
      <c r="AO24" s="525"/>
      <c r="AP24" s="525"/>
      <c r="AQ24" s="567"/>
    </row>
    <row r="25" spans="3:56" ht="15.95" customHeight="1" x14ac:dyDescent="0.25">
      <c r="C25" s="568"/>
      <c r="D25" s="525"/>
      <c r="E25" s="525"/>
      <c r="F25" s="525"/>
      <c r="G25" s="525"/>
      <c r="H25" s="525"/>
      <c r="I25" s="1567" t="s">
        <v>2260</v>
      </c>
      <c r="J25" s="1567"/>
      <c r="K25" s="1567"/>
      <c r="L25" s="1567"/>
      <c r="M25" s="1567"/>
      <c r="N25" s="525"/>
      <c r="O25" s="1567" t="s">
        <v>2307</v>
      </c>
      <c r="P25" s="1567"/>
      <c r="Q25" s="1567"/>
      <c r="R25" s="1567"/>
      <c r="S25" s="1567"/>
      <c r="T25" s="525"/>
      <c r="U25" s="1567" t="s">
        <v>2308</v>
      </c>
      <c r="V25" s="1567"/>
      <c r="W25" s="1567"/>
      <c r="X25" s="1567"/>
      <c r="Y25" s="1567"/>
      <c r="Z25" s="1567"/>
      <c r="AA25" s="525"/>
      <c r="AB25" s="1567" t="s">
        <v>2309</v>
      </c>
      <c r="AC25" s="1567"/>
      <c r="AD25" s="1567"/>
      <c r="AE25" s="1567"/>
      <c r="AF25" s="1567"/>
      <c r="AG25" s="525"/>
      <c r="AH25" s="1576"/>
      <c r="AI25" s="1576"/>
      <c r="AJ25" s="1576"/>
      <c r="AK25" s="1576"/>
      <c r="AL25" s="1576"/>
      <c r="AM25" s="525"/>
      <c r="AN25" s="525"/>
      <c r="AO25" s="525"/>
      <c r="AP25" s="525"/>
      <c r="AQ25" s="567"/>
      <c r="AU25" s="247"/>
    </row>
    <row r="26" spans="3:56" ht="15.95" customHeight="1" x14ac:dyDescent="0.25">
      <c r="C26" s="568"/>
      <c r="D26" s="525"/>
      <c r="E26" s="525"/>
      <c r="F26" s="525"/>
      <c r="G26" s="525"/>
      <c r="H26" s="525"/>
      <c r="I26" s="1583" t="str">
        <f>IFERROR(IF(OR($D$22="",$J$22="",$Q$22="",$X$22=""),"",ROUND($Q$22*$X$22,0)),"")</f>
        <v/>
      </c>
      <c r="J26" s="1584"/>
      <c r="K26" s="1584"/>
      <c r="L26" s="1584"/>
      <c r="M26" s="1585"/>
      <c r="N26" s="525"/>
      <c r="O26" s="1583" t="str">
        <f>IFERROR(IF(COUNT(AH31:AL70)&gt;0,ROUND(SUM(AH31:AL70),0),""),"")</f>
        <v/>
      </c>
      <c r="P26" s="1584"/>
      <c r="Q26" s="1584"/>
      <c r="R26" s="1584"/>
      <c r="S26" s="1585"/>
      <c r="T26" s="525"/>
      <c r="U26" s="1583" t="str">
        <f>IFERROR(IF($I$26-$O$26&lt;0,"No Savings",ROUND($I$26-$O$26,0)),"")</f>
        <v/>
      </c>
      <c r="V26" s="1584"/>
      <c r="W26" s="1584"/>
      <c r="X26" s="1584"/>
      <c r="Y26" s="1584"/>
      <c r="Z26" s="1585"/>
      <c r="AA26" s="525"/>
      <c r="AB26" s="1569" t="str">
        <f>IFERROR(IF($I$26-$O$26&lt;0,"No Savings",ROUND(SUM(BA31:BA70),0)),"")</f>
        <v/>
      </c>
      <c r="AC26" s="1570"/>
      <c r="AD26" s="1570"/>
      <c r="AE26" s="1570"/>
      <c r="AF26" s="1571"/>
      <c r="AG26" s="525"/>
      <c r="AH26" s="1577" t="str">
        <f>IFERROR(IF(M02S02F44="","Update Install Status",IF(OR(OR(M02S02F49="",M02S02F49="No"),M02S02F44="Yes"),"Not Eligible",IF(M02S02F50="","Use Redesign Section to Enter Market Baseline",IF(I26-O26&lt;0,"No Incentive",ROUND(U26*LPDRATE,2))))),"")</f>
        <v>Update Install Status</v>
      </c>
      <c r="AI26" s="1578"/>
      <c r="AJ26" s="1578"/>
      <c r="AK26" s="1578"/>
      <c r="AL26" s="1579"/>
      <c r="AM26" s="525"/>
      <c r="AN26" s="525"/>
      <c r="AO26" s="525"/>
      <c r="AP26" s="525"/>
      <c r="AQ26" s="567"/>
      <c r="AU26" s="247"/>
    </row>
    <row r="27" spans="3:56" ht="15.95" customHeight="1" x14ac:dyDescent="0.25">
      <c r="C27" s="568"/>
      <c r="D27" s="525"/>
      <c r="E27" s="525"/>
      <c r="F27" s="525"/>
      <c r="G27" s="525"/>
      <c r="H27" s="525"/>
      <c r="I27" s="1586"/>
      <c r="J27" s="1587"/>
      <c r="K27" s="1587"/>
      <c r="L27" s="1587"/>
      <c r="M27" s="1588"/>
      <c r="N27" s="525"/>
      <c r="O27" s="1586"/>
      <c r="P27" s="1587"/>
      <c r="Q27" s="1587"/>
      <c r="R27" s="1587"/>
      <c r="S27" s="1588"/>
      <c r="T27" s="527"/>
      <c r="U27" s="1586"/>
      <c r="V27" s="1587"/>
      <c r="W27" s="1587"/>
      <c r="X27" s="1587"/>
      <c r="Y27" s="1587"/>
      <c r="Z27" s="1588"/>
      <c r="AA27" s="525"/>
      <c r="AB27" s="1572"/>
      <c r="AC27" s="1573"/>
      <c r="AD27" s="1573"/>
      <c r="AE27" s="1573"/>
      <c r="AF27" s="1574"/>
      <c r="AG27" s="525"/>
      <c r="AH27" s="1580"/>
      <c r="AI27" s="1581"/>
      <c r="AJ27" s="1581"/>
      <c r="AK27" s="1581"/>
      <c r="AL27" s="1582"/>
      <c r="AM27" s="525"/>
      <c r="AN27" s="525"/>
      <c r="AO27" s="525"/>
      <c r="AP27" s="525"/>
      <c r="AQ27" s="567"/>
      <c r="BA27" t="s">
        <v>2251</v>
      </c>
      <c r="BB27" s="37" t="b">
        <v>0</v>
      </c>
    </row>
    <row r="28" spans="3:56" ht="15.95" customHeight="1" thickBot="1" x14ac:dyDescent="0.3">
      <c r="C28" s="568"/>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5"/>
      <c r="AL28" s="525"/>
      <c r="AM28" s="525"/>
      <c r="AN28" s="525"/>
      <c r="AO28" s="525"/>
      <c r="AP28" s="525"/>
      <c r="AQ28" s="567"/>
      <c r="AU28" s="469" t="s">
        <v>1417</v>
      </c>
      <c r="AW28" s="253"/>
      <c r="AX28" s="253"/>
      <c r="AY28" s="253"/>
      <c r="AZ28" s="253"/>
      <c r="BA28" s="386">
        <f>IF(M02S02F32="",1,IF($BB$27=TRUE,1,INDEX(SPACEHEAT[HIF],MATCH(M02S02F32,SHEAT,0))))</f>
        <v>1</v>
      </c>
      <c r="BB28" s="253"/>
      <c r="BC28" s="253"/>
    </row>
    <row r="29" spans="3:56" ht="15.95" customHeight="1" x14ac:dyDescent="0.25">
      <c r="C29" s="568"/>
      <c r="D29" s="525"/>
      <c r="E29" s="525"/>
      <c r="F29" s="525"/>
      <c r="G29" s="525"/>
      <c r="H29" s="525"/>
      <c r="I29" s="1619" t="s">
        <v>2258</v>
      </c>
      <c r="J29" s="1618"/>
      <c r="K29" s="1618"/>
      <c r="L29" s="1618"/>
      <c r="M29" s="1618"/>
      <c r="N29" s="1618"/>
      <c r="O29" s="1616" t="s">
        <v>2374</v>
      </c>
      <c r="P29" s="1618"/>
      <c r="Q29" s="1618"/>
      <c r="R29" s="1618"/>
      <c r="S29" s="1618"/>
      <c r="T29" s="1618"/>
      <c r="U29" s="1621" t="s">
        <v>2256</v>
      </c>
      <c r="V29" s="1621"/>
      <c r="W29" s="1621"/>
      <c r="X29" s="1621"/>
      <c r="Y29" s="1616" t="s">
        <v>2257</v>
      </c>
      <c r="Z29" s="1616"/>
      <c r="AA29" s="1616"/>
      <c r="AB29" s="1618" t="s">
        <v>94</v>
      </c>
      <c r="AC29" s="1618"/>
      <c r="AD29" s="1618"/>
      <c r="AE29" s="1616" t="s">
        <v>1147</v>
      </c>
      <c r="AF29" s="1616"/>
      <c r="AG29" s="1616"/>
      <c r="AH29" s="1613" t="s">
        <v>2259</v>
      </c>
      <c r="AI29" s="1613"/>
      <c r="AJ29" s="1613"/>
      <c r="AK29" s="1613"/>
      <c r="AL29" s="1614"/>
      <c r="AM29" s="525"/>
      <c r="AN29" s="525"/>
      <c r="AO29" s="525"/>
      <c r="AP29" s="525"/>
      <c r="AQ29" s="567"/>
      <c r="AU29" s="1514" t="s">
        <v>561</v>
      </c>
      <c r="AV29" s="1526" t="s">
        <v>208</v>
      </c>
      <c r="AW29" s="1527"/>
      <c r="AX29" s="799" t="s">
        <v>192</v>
      </c>
      <c r="AY29" s="799" t="s">
        <v>207</v>
      </c>
      <c r="AZ29" s="799" t="s">
        <v>193</v>
      </c>
      <c r="BA29" s="745" t="s">
        <v>2309</v>
      </c>
      <c r="BB29" s="1514"/>
    </row>
    <row r="30" spans="3:56" ht="15.95" customHeight="1" thickBot="1" x14ac:dyDescent="0.3">
      <c r="C30" s="568"/>
      <c r="D30" s="525"/>
      <c r="E30" s="525"/>
      <c r="F30" s="525"/>
      <c r="G30" s="525"/>
      <c r="H30" s="525"/>
      <c r="I30" s="1620"/>
      <c r="J30" s="1064"/>
      <c r="K30" s="1064"/>
      <c r="L30" s="1064"/>
      <c r="M30" s="1064"/>
      <c r="N30" s="1064"/>
      <c r="O30" s="1064"/>
      <c r="P30" s="1064"/>
      <c r="Q30" s="1064"/>
      <c r="R30" s="1064"/>
      <c r="S30" s="1064"/>
      <c r="T30" s="1064"/>
      <c r="U30" s="1556"/>
      <c r="V30" s="1556"/>
      <c r="W30" s="1556"/>
      <c r="X30" s="1556"/>
      <c r="Y30" s="1617"/>
      <c r="Z30" s="1617"/>
      <c r="AA30" s="1617"/>
      <c r="AB30" s="1064"/>
      <c r="AC30" s="1064"/>
      <c r="AD30" s="1064"/>
      <c r="AE30" s="1617"/>
      <c r="AF30" s="1617"/>
      <c r="AG30" s="1617"/>
      <c r="AH30" s="1414"/>
      <c r="AI30" s="1414"/>
      <c r="AJ30" s="1414"/>
      <c r="AK30" s="1414"/>
      <c r="AL30" s="1615"/>
      <c r="AM30" s="525"/>
      <c r="AN30" s="525"/>
      <c r="AO30" s="525"/>
      <c r="AP30" s="525"/>
      <c r="AQ30" s="567"/>
      <c r="AU30" s="1515"/>
      <c r="AV30" s="1515"/>
      <c r="AW30" s="1528"/>
      <c r="AX30" s="746"/>
      <c r="AY30" s="746"/>
      <c r="AZ30" s="746"/>
      <c r="BA30" s="746"/>
      <c r="BB30" s="1515"/>
    </row>
    <row r="31" spans="3:56" ht="15.95" customHeight="1" x14ac:dyDescent="0.25">
      <c r="C31" s="568"/>
      <c r="D31" s="525"/>
      <c r="E31" s="525"/>
      <c r="F31" s="525"/>
      <c r="G31" s="525"/>
      <c r="H31" s="1594">
        <v>1</v>
      </c>
      <c r="I31" s="1635"/>
      <c r="J31" s="1058"/>
      <c r="K31" s="1058"/>
      <c r="L31" s="1058"/>
      <c r="M31" s="1058"/>
      <c r="N31" s="1058"/>
      <c r="O31" s="1538"/>
      <c r="P31" s="1538"/>
      <c r="Q31" s="1538"/>
      <c r="R31" s="1538"/>
      <c r="S31" s="1538"/>
      <c r="T31" s="1538"/>
      <c r="U31" s="1535"/>
      <c r="V31" s="1535"/>
      <c r="W31" s="1535"/>
      <c r="X31" s="1535"/>
      <c r="Y31" s="1629"/>
      <c r="Z31" s="1629"/>
      <c r="AA31" s="1629"/>
      <c r="AB31" s="1628"/>
      <c r="AC31" s="1628"/>
      <c r="AD31" s="1628"/>
      <c r="AE31" s="1625"/>
      <c r="AF31" s="1626"/>
      <c r="AG31" s="1627"/>
      <c r="AH31" s="1622" t="str">
        <f>IF(OR(I31="",O31="",U31="",Y31="",AB31="",$AE$22="",$AL$22=""),"",Y31*AB31)</f>
        <v/>
      </c>
      <c r="AI31" s="1623"/>
      <c r="AJ31" s="1623"/>
      <c r="AK31" s="1623"/>
      <c r="AL31" s="1624"/>
      <c r="AM31" s="525"/>
      <c r="AN31" s="525"/>
      <c r="AO31" s="525"/>
      <c r="AP31" s="525"/>
      <c r="AQ31" s="567"/>
      <c r="AU31" s="1434"/>
      <c r="AV31" s="1434"/>
      <c r="AW31" s="804"/>
      <c r="AX31" s="752" t="str">
        <f>IF(OR(I31="",O31="",U31="",Y31="",AB31="",AE31="",$AE$22="",$AL$22=""),"",ROUND(BA31*INDEX(ENDUSEALL[Factor],MATCH("Lighting",ENDUSEALL[End Use to Coincident Peak Demand Factors],0)),4))</f>
        <v/>
      </c>
      <c r="AY31" s="802" t="str">
        <f>IF(OR(I31="",O31="",U31="",Y31="",AB31="",AE31="",$AE$22="",$AL$22="",$Q$22=""),"",ROUND((($Q$22*$X$22)/SUM($Y$31:$AA$70))*Y31*AE31/1000,0))</f>
        <v/>
      </c>
      <c r="AZ31" s="802" t="str">
        <f>IF(OR(I31="",O31="",U31="",Y31="",AB31="",$AE$22="",$AL$22=""),"",ROUND((AB31*Y31*AE31/1000),0))</f>
        <v/>
      </c>
      <c r="BA31" s="800">
        <f>IFERROR(ROUND($BA$28*(AY31-AZ31),0),0)</f>
        <v>0</v>
      </c>
      <c r="BB31" s="808"/>
    </row>
    <row r="32" spans="3:56" ht="15.95" customHeight="1" x14ac:dyDescent="0.25">
      <c r="C32" s="568"/>
      <c r="D32" s="525"/>
      <c r="E32" s="525"/>
      <c r="F32" s="525"/>
      <c r="G32" s="525"/>
      <c r="H32" s="1594"/>
      <c r="I32" s="1589"/>
      <c r="J32" s="1062"/>
      <c r="K32" s="1062"/>
      <c r="L32" s="1062"/>
      <c r="M32" s="1062"/>
      <c r="N32" s="1062"/>
      <c r="O32" s="1533"/>
      <c r="P32" s="1533"/>
      <c r="Q32" s="1533"/>
      <c r="R32" s="1533"/>
      <c r="S32" s="1533"/>
      <c r="T32" s="1533"/>
      <c r="U32" s="1245"/>
      <c r="V32" s="1245"/>
      <c r="W32" s="1245"/>
      <c r="X32" s="1245"/>
      <c r="Y32" s="1065"/>
      <c r="Z32" s="1065"/>
      <c r="AA32" s="1065"/>
      <c r="AB32" s="1507"/>
      <c r="AC32" s="1507"/>
      <c r="AD32" s="1507"/>
      <c r="AE32" s="1605"/>
      <c r="AF32" s="1606"/>
      <c r="AG32" s="1607"/>
      <c r="AH32" s="1495"/>
      <c r="AI32" s="1496"/>
      <c r="AJ32" s="1496"/>
      <c r="AK32" s="1496"/>
      <c r="AL32" s="1497"/>
      <c r="AM32" s="525"/>
      <c r="AN32" s="525"/>
      <c r="AO32" s="525"/>
      <c r="AP32" s="525"/>
      <c r="AQ32" s="567"/>
      <c r="AU32" s="1435"/>
      <c r="AV32" s="1435"/>
      <c r="AW32" s="805"/>
      <c r="AX32" s="753"/>
      <c r="AY32" s="803"/>
      <c r="AZ32" s="803"/>
      <c r="BA32" s="801"/>
      <c r="BB32" s="797"/>
    </row>
    <row r="33" spans="3:55" ht="15.95" customHeight="1" x14ac:dyDescent="0.25">
      <c r="C33" s="568"/>
      <c r="D33" s="525"/>
      <c r="E33" s="525"/>
      <c r="F33" s="525"/>
      <c r="G33" s="525"/>
      <c r="H33" s="1594">
        <v>2</v>
      </c>
      <c r="I33" s="1589"/>
      <c r="J33" s="1062"/>
      <c r="K33" s="1062"/>
      <c r="L33" s="1062"/>
      <c r="M33" s="1062"/>
      <c r="N33" s="1062"/>
      <c r="O33" s="1538"/>
      <c r="P33" s="1538"/>
      <c r="Q33" s="1538"/>
      <c r="R33" s="1538"/>
      <c r="S33" s="1538"/>
      <c r="T33" s="1538"/>
      <c r="U33" s="1245"/>
      <c r="V33" s="1245"/>
      <c r="W33" s="1245"/>
      <c r="X33" s="1245"/>
      <c r="Y33" s="1065"/>
      <c r="Z33" s="1065"/>
      <c r="AA33" s="1065"/>
      <c r="AB33" s="1507"/>
      <c r="AC33" s="1507"/>
      <c r="AD33" s="1507"/>
      <c r="AE33" s="1508"/>
      <c r="AF33" s="1509"/>
      <c r="AG33" s="1510"/>
      <c r="AH33" s="1492" t="str">
        <f t="shared" ref="AH33" si="2">IF(OR(I33="",O33="",U33="",Y33="",AB33="",$AE$22="",$AL$22=""),"",Y33*AB33)</f>
        <v/>
      </c>
      <c r="AI33" s="1493"/>
      <c r="AJ33" s="1493"/>
      <c r="AK33" s="1493"/>
      <c r="AL33" s="1494"/>
      <c r="AM33" s="525"/>
      <c r="AN33" s="525"/>
      <c r="AO33" s="525"/>
      <c r="AP33" s="525"/>
      <c r="AQ33" s="567"/>
      <c r="AU33" s="1434"/>
      <c r="AV33" s="1434"/>
      <c r="AW33" s="804"/>
      <c r="AX33" s="752" t="str">
        <f>IF(OR(I33="",O33="",U33="",Y33="",AB33="",AE33="",$AE$22="",$AL$22=""),"",ROUND(BA33*INDEX(ENDUSEALL[Factor],MATCH("Lighting",ENDUSEALL[End Use to Coincident Peak Demand Factors],0)),4))</f>
        <v/>
      </c>
      <c r="AY33" s="802" t="str">
        <f>IF(OR(I33="",O33="",U33="",Y33="",AB33="",AE33="",$AE$22="",$AL$22="",$Q$22=""),"",ROUND((($Q$22*$X$22)/SUM($Y$31:$AA$70))*Y33*AE33/1000,0))</f>
        <v/>
      </c>
      <c r="AZ33" s="802" t="str">
        <f t="shared" ref="AZ33" si="3">IF(OR(I33="",O33="",U33="",Y33="",AB33="",$AE$22="",$AL$22=""),"",ROUND((AB33*Y33*AE33/1000),0))</f>
        <v/>
      </c>
      <c r="BA33" s="800">
        <f t="shared" ref="BA33" si="4">IFERROR(ROUND($BA$28*(AY33-AZ33),0),0)</f>
        <v>0</v>
      </c>
      <c r="BB33" s="808"/>
    </row>
    <row r="34" spans="3:55" ht="15.95" customHeight="1" x14ac:dyDescent="0.25">
      <c r="C34" s="568"/>
      <c r="D34" s="525"/>
      <c r="E34" s="525"/>
      <c r="F34" s="525"/>
      <c r="G34" s="525"/>
      <c r="H34" s="1594"/>
      <c r="I34" s="1589"/>
      <c r="J34" s="1062"/>
      <c r="K34" s="1062"/>
      <c r="L34" s="1062"/>
      <c r="M34" s="1062"/>
      <c r="N34" s="1062"/>
      <c r="O34" s="1533"/>
      <c r="P34" s="1533"/>
      <c r="Q34" s="1533"/>
      <c r="R34" s="1533"/>
      <c r="S34" s="1533"/>
      <c r="T34" s="1533"/>
      <c r="U34" s="1245"/>
      <c r="V34" s="1245"/>
      <c r="W34" s="1245"/>
      <c r="X34" s="1245"/>
      <c r="Y34" s="1065"/>
      <c r="Z34" s="1065"/>
      <c r="AA34" s="1065"/>
      <c r="AB34" s="1507"/>
      <c r="AC34" s="1507"/>
      <c r="AD34" s="1507"/>
      <c r="AE34" s="1508"/>
      <c r="AF34" s="1509"/>
      <c r="AG34" s="1510"/>
      <c r="AH34" s="1492"/>
      <c r="AI34" s="1493"/>
      <c r="AJ34" s="1493"/>
      <c r="AK34" s="1493"/>
      <c r="AL34" s="1494"/>
      <c r="AM34" s="525"/>
      <c r="AN34" s="525"/>
      <c r="AO34" s="525"/>
      <c r="AP34" s="525"/>
      <c r="AQ34" s="567"/>
      <c r="AU34" s="1435"/>
      <c r="AV34" s="1435"/>
      <c r="AW34" s="805"/>
      <c r="AX34" s="753"/>
      <c r="AY34" s="803"/>
      <c r="AZ34" s="803"/>
      <c r="BA34" s="801"/>
      <c r="BB34" s="797"/>
    </row>
    <row r="35" spans="3:55" ht="15.95" customHeight="1" x14ac:dyDescent="0.25">
      <c r="C35" s="568"/>
      <c r="D35" s="525"/>
      <c r="E35" s="525"/>
      <c r="F35" s="525"/>
      <c r="G35" s="525"/>
      <c r="H35" s="1594">
        <v>3</v>
      </c>
      <c r="I35" s="1589"/>
      <c r="J35" s="1062"/>
      <c r="K35" s="1062"/>
      <c r="L35" s="1062"/>
      <c r="M35" s="1062"/>
      <c r="N35" s="1062"/>
      <c r="O35" s="1538"/>
      <c r="P35" s="1538"/>
      <c r="Q35" s="1538"/>
      <c r="R35" s="1538"/>
      <c r="S35" s="1538"/>
      <c r="T35" s="1538"/>
      <c r="U35" s="1245"/>
      <c r="V35" s="1245"/>
      <c r="W35" s="1245"/>
      <c r="X35" s="1245"/>
      <c r="Y35" s="1065"/>
      <c r="Z35" s="1065"/>
      <c r="AA35" s="1065"/>
      <c r="AB35" s="1507"/>
      <c r="AC35" s="1507"/>
      <c r="AD35" s="1507"/>
      <c r="AE35" s="1508"/>
      <c r="AF35" s="1509"/>
      <c r="AG35" s="1510"/>
      <c r="AH35" s="1492" t="str">
        <f t="shared" ref="AH35" si="5">IF(OR(I35="",O35="",U35="",Y35="",AB35="",$AE$22="",$AL$22=""),"",Y35*AB35)</f>
        <v/>
      </c>
      <c r="AI35" s="1493"/>
      <c r="AJ35" s="1493"/>
      <c r="AK35" s="1493"/>
      <c r="AL35" s="1494"/>
      <c r="AM35" s="525"/>
      <c r="AN35" s="525"/>
      <c r="AO35" s="525"/>
      <c r="AP35" s="525"/>
      <c r="AQ35" s="567"/>
      <c r="AU35" s="1434"/>
      <c r="AV35" s="1434"/>
      <c r="AW35" s="804"/>
      <c r="AX35" s="752" t="str">
        <f>IF(OR(I35="",O35="",U35="",Y35="",AB35="",AE35="",$AE$22="",$AL$22=""),"",ROUND(BA35*INDEX(ENDUSEALL[Factor],MATCH("Lighting",ENDUSEALL[End Use to Coincident Peak Demand Factors],0)),4))</f>
        <v/>
      </c>
      <c r="AY35" s="802" t="str">
        <f t="shared" ref="AY35" si="6">IF(OR(I35="",O35="",U35="",Y35="",AB35="",AE35="",$AE$22="",$AL$22="",$Q$22=""),"",ROUND((($Q$22*$X$22)/SUM($Y$31:$AA$70))*Y35*AE35/1000,0))</f>
        <v/>
      </c>
      <c r="AZ35" s="802" t="str">
        <f t="shared" ref="AZ35" si="7">IF(OR(I35="",O35="",U35="",Y35="",AB35="",$AE$22="",$AL$22=""),"",ROUND((AB35*Y35*AE35/1000),0))</f>
        <v/>
      </c>
      <c r="BA35" s="800">
        <f t="shared" ref="BA35" si="8">IFERROR(ROUND($BA$28*(AY35-AZ35),0),0)</f>
        <v>0</v>
      </c>
      <c r="BB35" s="808"/>
    </row>
    <row r="36" spans="3:55" ht="15.95" customHeight="1" x14ac:dyDescent="0.25">
      <c r="C36" s="568"/>
      <c r="D36" s="525"/>
      <c r="E36" s="525"/>
      <c r="F36" s="525"/>
      <c r="G36" s="525"/>
      <c r="H36" s="1594"/>
      <c r="I36" s="1589"/>
      <c r="J36" s="1062"/>
      <c r="K36" s="1062"/>
      <c r="L36" s="1062"/>
      <c r="M36" s="1062"/>
      <c r="N36" s="1062"/>
      <c r="O36" s="1533"/>
      <c r="P36" s="1533"/>
      <c r="Q36" s="1533"/>
      <c r="R36" s="1533"/>
      <c r="S36" s="1533"/>
      <c r="T36" s="1533"/>
      <c r="U36" s="1245"/>
      <c r="V36" s="1245"/>
      <c r="W36" s="1245"/>
      <c r="X36" s="1245"/>
      <c r="Y36" s="1065"/>
      <c r="Z36" s="1065"/>
      <c r="AA36" s="1065"/>
      <c r="AB36" s="1507"/>
      <c r="AC36" s="1507"/>
      <c r="AD36" s="1507"/>
      <c r="AE36" s="1508"/>
      <c r="AF36" s="1509"/>
      <c r="AG36" s="1510"/>
      <c r="AH36" s="1492"/>
      <c r="AI36" s="1493"/>
      <c r="AJ36" s="1493"/>
      <c r="AK36" s="1493"/>
      <c r="AL36" s="1494"/>
      <c r="AM36" s="525"/>
      <c r="AN36" s="525"/>
      <c r="AO36" s="525"/>
      <c r="AP36" s="525"/>
      <c r="AQ36" s="567"/>
      <c r="AU36" s="1435"/>
      <c r="AV36" s="1435"/>
      <c r="AW36" s="805"/>
      <c r="AX36" s="753"/>
      <c r="AY36" s="803"/>
      <c r="AZ36" s="803"/>
      <c r="BA36" s="801"/>
      <c r="BB36" s="797"/>
    </row>
    <row r="37" spans="3:55" ht="15.95" customHeight="1" x14ac:dyDescent="0.25">
      <c r="C37" s="568"/>
      <c r="D37" s="525"/>
      <c r="E37" s="525"/>
      <c r="F37" s="525"/>
      <c r="G37" s="525"/>
      <c r="H37" s="1594">
        <v>4</v>
      </c>
      <c r="I37" s="1589"/>
      <c r="J37" s="1062"/>
      <c r="K37" s="1062"/>
      <c r="L37" s="1062"/>
      <c r="M37" s="1062"/>
      <c r="N37" s="1062"/>
      <c r="O37" s="1538"/>
      <c r="P37" s="1538"/>
      <c r="Q37" s="1538"/>
      <c r="R37" s="1538"/>
      <c r="S37" s="1538"/>
      <c r="T37" s="1538"/>
      <c r="U37" s="1245"/>
      <c r="V37" s="1245"/>
      <c r="W37" s="1245"/>
      <c r="X37" s="1245"/>
      <c r="Y37" s="1065"/>
      <c r="Z37" s="1065"/>
      <c r="AA37" s="1065"/>
      <c r="AB37" s="1507"/>
      <c r="AC37" s="1507"/>
      <c r="AD37" s="1507"/>
      <c r="AE37" s="1508"/>
      <c r="AF37" s="1509"/>
      <c r="AG37" s="1510"/>
      <c r="AH37" s="1492" t="str">
        <f t="shared" ref="AH37" si="9">IF(OR(I37="",O37="",U37="",Y37="",AB37="",$AE$22="",$AL$22=""),"",Y37*AB37)</f>
        <v/>
      </c>
      <c r="AI37" s="1493"/>
      <c r="AJ37" s="1493"/>
      <c r="AK37" s="1493"/>
      <c r="AL37" s="1494"/>
      <c r="AM37" s="525"/>
      <c r="AN37" s="525"/>
      <c r="AO37" s="525"/>
      <c r="AP37" s="525"/>
      <c r="AQ37" s="567"/>
      <c r="AU37" s="1434"/>
      <c r="AV37" s="1434"/>
      <c r="AW37" s="804"/>
      <c r="AX37" s="752" t="str">
        <f>IF(OR(I37="",O37="",U37="",Y37="",AB37="",AE37="",$AE$22="",$AL$22=""),"",ROUND(BA37*INDEX(ENDUSEALL[Factor],MATCH("Lighting",ENDUSEALL[End Use to Coincident Peak Demand Factors],0)),4))</f>
        <v/>
      </c>
      <c r="AY37" s="802" t="str">
        <f t="shared" ref="AY37" si="10">IF(OR(I37="",O37="",U37="",Y37="",AB37="",AE37="",$AE$22="",$AL$22="",$Q$22=""),"",ROUND((($Q$22*$X$22)/SUM($Y$31:$AA$70))*Y37*AE37/1000,0))</f>
        <v/>
      </c>
      <c r="AZ37" s="802" t="str">
        <f t="shared" ref="AZ37" si="11">IF(OR(I37="",O37="",U37="",Y37="",AB37="",$AE$22="",$AL$22=""),"",ROUND((AB37*Y37*AE37/1000),0))</f>
        <v/>
      </c>
      <c r="BA37" s="800">
        <f t="shared" ref="BA37" si="12">IFERROR(ROUND($BA$28*(AY37-AZ37),0),0)</f>
        <v>0</v>
      </c>
      <c r="BB37" s="808"/>
    </row>
    <row r="38" spans="3:55" ht="15.95" customHeight="1" x14ac:dyDescent="0.25">
      <c r="C38" s="568"/>
      <c r="D38" s="525"/>
      <c r="E38" s="525"/>
      <c r="F38" s="525"/>
      <c r="G38" s="525"/>
      <c r="H38" s="1594"/>
      <c r="I38" s="1589"/>
      <c r="J38" s="1062"/>
      <c r="K38" s="1062"/>
      <c r="L38" s="1062"/>
      <c r="M38" s="1062"/>
      <c r="N38" s="1062"/>
      <c r="O38" s="1533"/>
      <c r="P38" s="1533"/>
      <c r="Q38" s="1533"/>
      <c r="R38" s="1533"/>
      <c r="S38" s="1533"/>
      <c r="T38" s="1533"/>
      <c r="U38" s="1245"/>
      <c r="V38" s="1245"/>
      <c r="W38" s="1245"/>
      <c r="X38" s="1245"/>
      <c r="Y38" s="1065"/>
      <c r="Z38" s="1065"/>
      <c r="AA38" s="1065"/>
      <c r="AB38" s="1507"/>
      <c r="AC38" s="1507"/>
      <c r="AD38" s="1507"/>
      <c r="AE38" s="1508"/>
      <c r="AF38" s="1509"/>
      <c r="AG38" s="1510"/>
      <c r="AH38" s="1492"/>
      <c r="AI38" s="1493"/>
      <c r="AJ38" s="1493"/>
      <c r="AK38" s="1493"/>
      <c r="AL38" s="1494"/>
      <c r="AM38" s="525"/>
      <c r="AN38" s="525"/>
      <c r="AO38" s="525"/>
      <c r="AP38" s="525"/>
      <c r="AQ38" s="567"/>
      <c r="AU38" s="1435"/>
      <c r="AV38" s="1435"/>
      <c r="AW38" s="805"/>
      <c r="AX38" s="753"/>
      <c r="AY38" s="803"/>
      <c r="AZ38" s="803"/>
      <c r="BA38" s="801"/>
      <c r="BB38" s="797"/>
    </row>
    <row r="39" spans="3:55" ht="15.95" customHeight="1" x14ac:dyDescent="0.25">
      <c r="C39" s="568"/>
      <c r="D39" s="525"/>
      <c r="E39" s="525"/>
      <c r="F39" s="525"/>
      <c r="G39" s="525"/>
      <c r="H39" s="1594">
        <v>5</v>
      </c>
      <c r="I39" s="1589"/>
      <c r="J39" s="1062"/>
      <c r="K39" s="1062"/>
      <c r="L39" s="1062"/>
      <c r="M39" s="1062"/>
      <c r="N39" s="1062"/>
      <c r="O39" s="1538"/>
      <c r="P39" s="1538"/>
      <c r="Q39" s="1538"/>
      <c r="R39" s="1538"/>
      <c r="S39" s="1538"/>
      <c r="T39" s="1538"/>
      <c r="U39" s="1245"/>
      <c r="V39" s="1245"/>
      <c r="W39" s="1245"/>
      <c r="X39" s="1245"/>
      <c r="Y39" s="1065"/>
      <c r="Z39" s="1065"/>
      <c r="AA39" s="1065"/>
      <c r="AB39" s="1507"/>
      <c r="AC39" s="1507"/>
      <c r="AD39" s="1507"/>
      <c r="AE39" s="1508"/>
      <c r="AF39" s="1509"/>
      <c r="AG39" s="1510"/>
      <c r="AH39" s="1492" t="str">
        <f t="shared" ref="AH39" si="13">IF(OR(I39="",O39="",U39="",Y39="",AB39="",$AE$22="",$AL$22=""),"",Y39*AB39)</f>
        <v/>
      </c>
      <c r="AI39" s="1493"/>
      <c r="AJ39" s="1493"/>
      <c r="AK39" s="1493"/>
      <c r="AL39" s="1494"/>
      <c r="AM39" s="525"/>
      <c r="AN39" s="525"/>
      <c r="AO39" s="525"/>
      <c r="AP39" s="525"/>
      <c r="AQ39" s="567"/>
      <c r="AU39" s="1434"/>
      <c r="AV39" s="1434"/>
      <c r="AW39" s="804"/>
      <c r="AX39" s="752" t="str">
        <f>IF(OR(I39="",O39="",U39="",Y39="",AB39="",AE39="",$AE$22="",$AL$22=""),"",ROUND(BA39*INDEX(ENDUSEALL[Factor],MATCH("Lighting",ENDUSEALL[End Use to Coincident Peak Demand Factors],0)),4))</f>
        <v/>
      </c>
      <c r="AY39" s="802" t="str">
        <f t="shared" ref="AY39" si="14">IF(OR(I39="",O39="",U39="",Y39="",AB39="",AE39="",$AE$22="",$AL$22="",$Q$22=""),"",ROUND((($Q$22*$X$22)/SUM($Y$31:$AA$70))*Y39*AE39/1000,0))</f>
        <v/>
      </c>
      <c r="AZ39" s="802" t="str">
        <f t="shared" ref="AZ39" si="15">IF(OR(I39="",O39="",U39="",Y39="",AB39="",$AE$22="",$AL$22=""),"",ROUND((AB39*Y39*AE39/1000),0))</f>
        <v/>
      </c>
      <c r="BA39" s="800">
        <f t="shared" ref="BA39" si="16">IFERROR(ROUND($BA$28*(AY39-AZ39),0),0)</f>
        <v>0</v>
      </c>
      <c r="BB39" s="808"/>
      <c r="BC39" s="800"/>
    </row>
    <row r="40" spans="3:55" ht="15.95" customHeight="1" x14ac:dyDescent="0.25">
      <c r="C40" s="568"/>
      <c r="D40" s="525"/>
      <c r="E40" s="525"/>
      <c r="F40" s="525"/>
      <c r="G40" s="525"/>
      <c r="H40" s="1594"/>
      <c r="I40" s="1589"/>
      <c r="J40" s="1062"/>
      <c r="K40" s="1062"/>
      <c r="L40" s="1062"/>
      <c r="M40" s="1062"/>
      <c r="N40" s="1062"/>
      <c r="O40" s="1533"/>
      <c r="P40" s="1533"/>
      <c r="Q40" s="1533"/>
      <c r="R40" s="1533"/>
      <c r="S40" s="1533"/>
      <c r="T40" s="1533"/>
      <c r="U40" s="1245"/>
      <c r="V40" s="1245"/>
      <c r="W40" s="1245"/>
      <c r="X40" s="1245"/>
      <c r="Y40" s="1065"/>
      <c r="Z40" s="1065"/>
      <c r="AA40" s="1065"/>
      <c r="AB40" s="1507"/>
      <c r="AC40" s="1507"/>
      <c r="AD40" s="1507"/>
      <c r="AE40" s="1508"/>
      <c r="AF40" s="1509"/>
      <c r="AG40" s="1510"/>
      <c r="AH40" s="1492"/>
      <c r="AI40" s="1493"/>
      <c r="AJ40" s="1493"/>
      <c r="AK40" s="1493"/>
      <c r="AL40" s="1494"/>
      <c r="AM40" s="525"/>
      <c r="AN40" s="525"/>
      <c r="AO40" s="525"/>
      <c r="AP40" s="525"/>
      <c r="AQ40" s="567"/>
      <c r="AU40" s="1435"/>
      <c r="AV40" s="1435"/>
      <c r="AW40" s="805"/>
      <c r="AX40" s="753"/>
      <c r="AY40" s="803"/>
      <c r="AZ40" s="803"/>
      <c r="BA40" s="801"/>
      <c r="BB40" s="797"/>
      <c r="BC40" s="801"/>
    </row>
    <row r="41" spans="3:55" ht="15.95" customHeight="1" x14ac:dyDescent="0.25">
      <c r="C41" s="568"/>
      <c r="D41" s="525"/>
      <c r="E41" s="525"/>
      <c r="F41" s="525"/>
      <c r="G41" s="525"/>
      <c r="H41" s="1594">
        <v>6</v>
      </c>
      <c r="I41" s="1589"/>
      <c r="J41" s="1062"/>
      <c r="K41" s="1062"/>
      <c r="L41" s="1062"/>
      <c r="M41" s="1062"/>
      <c r="N41" s="1062"/>
      <c r="O41" s="1538"/>
      <c r="P41" s="1538"/>
      <c r="Q41" s="1538"/>
      <c r="R41" s="1538"/>
      <c r="S41" s="1538"/>
      <c r="T41" s="1538"/>
      <c r="U41" s="1245"/>
      <c r="V41" s="1245"/>
      <c r="W41" s="1245"/>
      <c r="X41" s="1245"/>
      <c r="Y41" s="1065"/>
      <c r="Z41" s="1065"/>
      <c r="AA41" s="1065"/>
      <c r="AB41" s="1507"/>
      <c r="AC41" s="1507"/>
      <c r="AD41" s="1507"/>
      <c r="AE41" s="1508"/>
      <c r="AF41" s="1509"/>
      <c r="AG41" s="1510"/>
      <c r="AH41" s="1492" t="str">
        <f t="shared" ref="AH41" si="17">IF(OR(I41="",O41="",U41="",Y41="",AB41="",$AE$22="",$AL$22=""),"",Y41*AB41)</f>
        <v/>
      </c>
      <c r="AI41" s="1493"/>
      <c r="AJ41" s="1493"/>
      <c r="AK41" s="1493"/>
      <c r="AL41" s="1494"/>
      <c r="AM41" s="525"/>
      <c r="AN41" s="525"/>
      <c r="AO41" s="525"/>
      <c r="AP41" s="525"/>
      <c r="AQ41" s="567"/>
      <c r="AU41" s="1434"/>
      <c r="AV41" s="1434"/>
      <c r="AW41" s="804"/>
      <c r="AX41" s="752" t="str">
        <f>IF(OR(I41="",O41="",U41="",Y41="",AB41="",AE41="",$AE$22="",$AL$22=""),"",ROUND(BA41*INDEX(ENDUSEALL[Factor],MATCH("Lighting",ENDUSEALL[End Use to Coincident Peak Demand Factors],0)),4))</f>
        <v/>
      </c>
      <c r="AY41" s="802" t="str">
        <f t="shared" ref="AY41" si="18">IF(OR(I41="",O41="",U41="",Y41="",AB41="",AE41="",$AE$22="",$AL$22="",$Q$22=""),"",ROUND((($Q$22*$X$22)/SUM($Y$31:$AA$70))*Y41*AE41/1000,0))</f>
        <v/>
      </c>
      <c r="AZ41" s="802" t="str">
        <f t="shared" ref="AZ41" si="19">IF(OR(I41="",O41="",U41="",Y41="",AB41="",$AE$22="",$AL$22=""),"",ROUND((AB41*Y41*AE41/1000),0))</f>
        <v/>
      </c>
      <c r="BA41" s="800">
        <f t="shared" ref="BA41" si="20">IFERROR(ROUND($BA$28*(AY41-AZ41),0),0)</f>
        <v>0</v>
      </c>
      <c r="BB41" s="808"/>
      <c r="BC41" s="800"/>
    </row>
    <row r="42" spans="3:55" ht="15.95" customHeight="1" x14ac:dyDescent="0.25">
      <c r="C42" s="568"/>
      <c r="D42" s="525"/>
      <c r="E42" s="525"/>
      <c r="F42" s="525"/>
      <c r="G42" s="525"/>
      <c r="H42" s="1594"/>
      <c r="I42" s="1589"/>
      <c r="J42" s="1062"/>
      <c r="K42" s="1062"/>
      <c r="L42" s="1062"/>
      <c r="M42" s="1062"/>
      <c r="N42" s="1062"/>
      <c r="O42" s="1533"/>
      <c r="P42" s="1533"/>
      <c r="Q42" s="1533"/>
      <c r="R42" s="1533"/>
      <c r="S42" s="1533"/>
      <c r="T42" s="1533"/>
      <c r="U42" s="1245"/>
      <c r="V42" s="1245"/>
      <c r="W42" s="1245"/>
      <c r="X42" s="1245"/>
      <c r="Y42" s="1065"/>
      <c r="Z42" s="1065"/>
      <c r="AA42" s="1065"/>
      <c r="AB42" s="1507"/>
      <c r="AC42" s="1507"/>
      <c r="AD42" s="1507"/>
      <c r="AE42" s="1508"/>
      <c r="AF42" s="1509"/>
      <c r="AG42" s="1510"/>
      <c r="AH42" s="1492"/>
      <c r="AI42" s="1493"/>
      <c r="AJ42" s="1493"/>
      <c r="AK42" s="1493"/>
      <c r="AL42" s="1494"/>
      <c r="AM42" s="525"/>
      <c r="AN42" s="525"/>
      <c r="AO42" s="525"/>
      <c r="AP42" s="525"/>
      <c r="AQ42" s="567"/>
      <c r="AU42" s="1435"/>
      <c r="AV42" s="1435"/>
      <c r="AW42" s="805"/>
      <c r="AX42" s="753"/>
      <c r="AY42" s="803"/>
      <c r="AZ42" s="803"/>
      <c r="BA42" s="801"/>
      <c r="BB42" s="797"/>
      <c r="BC42" s="801"/>
    </row>
    <row r="43" spans="3:55" ht="15.95" customHeight="1" x14ac:dyDescent="0.25">
      <c r="C43" s="568"/>
      <c r="D43" s="525"/>
      <c r="E43" s="525"/>
      <c r="F43" s="525"/>
      <c r="G43" s="525"/>
      <c r="H43" s="1594">
        <v>7</v>
      </c>
      <c r="I43" s="1589"/>
      <c r="J43" s="1062"/>
      <c r="K43" s="1062"/>
      <c r="L43" s="1062"/>
      <c r="M43" s="1062"/>
      <c r="N43" s="1062"/>
      <c r="O43" s="1538"/>
      <c r="P43" s="1538"/>
      <c r="Q43" s="1538"/>
      <c r="R43" s="1538"/>
      <c r="S43" s="1538"/>
      <c r="T43" s="1538"/>
      <c r="U43" s="1245"/>
      <c r="V43" s="1245"/>
      <c r="W43" s="1245"/>
      <c r="X43" s="1245"/>
      <c r="Y43" s="1065"/>
      <c r="Z43" s="1065"/>
      <c r="AA43" s="1065"/>
      <c r="AB43" s="1507"/>
      <c r="AC43" s="1507"/>
      <c r="AD43" s="1507"/>
      <c r="AE43" s="1508"/>
      <c r="AF43" s="1509"/>
      <c r="AG43" s="1510"/>
      <c r="AH43" s="1492" t="str">
        <f t="shared" ref="AH43" si="21">IF(OR(I43="",O43="",U43="",Y43="",AB43="",$AE$22="",$AL$22=""),"",Y43*AB43)</f>
        <v/>
      </c>
      <c r="AI43" s="1493"/>
      <c r="AJ43" s="1493"/>
      <c r="AK43" s="1493"/>
      <c r="AL43" s="1494"/>
      <c r="AM43" s="525"/>
      <c r="AN43" s="525"/>
      <c r="AO43" s="525"/>
      <c r="AP43" s="525"/>
      <c r="AQ43" s="567"/>
      <c r="AU43" s="1434"/>
      <c r="AV43" s="1434"/>
      <c r="AW43" s="804"/>
      <c r="AX43" s="752" t="str">
        <f>IF(OR(I43="",O43="",U43="",Y43="",AB43="",AE43="",$AE$22="",$AL$22=""),"",ROUND(BA43*INDEX(ENDUSEALL[Factor],MATCH("Lighting",ENDUSEALL[End Use to Coincident Peak Demand Factors],0)),4))</f>
        <v/>
      </c>
      <c r="AY43" s="802" t="str">
        <f t="shared" ref="AY43" si="22">IF(OR(I43="",O43="",U43="",Y43="",AB43="",AE43="",$AE$22="",$AL$22="",$Q$22=""),"",ROUND((($Q$22*$X$22)/SUM($Y$31:$AA$70))*Y43*AE43/1000,0))</f>
        <v/>
      </c>
      <c r="AZ43" s="802" t="str">
        <f t="shared" ref="AZ43" si="23">IF(OR(I43="",O43="",U43="",Y43="",AB43="",$AE$22="",$AL$22=""),"",ROUND((AB43*Y43*AE43/1000),0))</f>
        <v/>
      </c>
      <c r="BA43" s="800">
        <f t="shared" ref="BA43" si="24">IFERROR(ROUND($BA$28*(AY43-AZ43),0),0)</f>
        <v>0</v>
      </c>
      <c r="BB43" s="808"/>
      <c r="BC43" s="800"/>
    </row>
    <row r="44" spans="3:55" ht="15.95" customHeight="1" x14ac:dyDescent="0.25">
      <c r="C44" s="568"/>
      <c r="D44" s="525"/>
      <c r="E44" s="525"/>
      <c r="F44" s="525"/>
      <c r="G44" s="525"/>
      <c r="H44" s="1594"/>
      <c r="I44" s="1589"/>
      <c r="J44" s="1062"/>
      <c r="K44" s="1062"/>
      <c r="L44" s="1062"/>
      <c r="M44" s="1062"/>
      <c r="N44" s="1062"/>
      <c r="O44" s="1533"/>
      <c r="P44" s="1533"/>
      <c r="Q44" s="1533"/>
      <c r="R44" s="1533"/>
      <c r="S44" s="1533"/>
      <c r="T44" s="1533"/>
      <c r="U44" s="1245"/>
      <c r="V44" s="1245"/>
      <c r="W44" s="1245"/>
      <c r="X44" s="1245"/>
      <c r="Y44" s="1065"/>
      <c r="Z44" s="1065"/>
      <c r="AA44" s="1065"/>
      <c r="AB44" s="1507"/>
      <c r="AC44" s="1507"/>
      <c r="AD44" s="1507"/>
      <c r="AE44" s="1508"/>
      <c r="AF44" s="1509"/>
      <c r="AG44" s="1510"/>
      <c r="AH44" s="1492"/>
      <c r="AI44" s="1493"/>
      <c r="AJ44" s="1493"/>
      <c r="AK44" s="1493"/>
      <c r="AL44" s="1494"/>
      <c r="AM44" s="525"/>
      <c r="AN44" s="525"/>
      <c r="AO44" s="525"/>
      <c r="AP44" s="525"/>
      <c r="AQ44" s="567"/>
      <c r="AU44" s="1435"/>
      <c r="AV44" s="1435"/>
      <c r="AW44" s="805"/>
      <c r="AX44" s="753"/>
      <c r="AY44" s="803"/>
      <c r="AZ44" s="803"/>
      <c r="BA44" s="801"/>
      <c r="BB44" s="797"/>
      <c r="BC44" s="801"/>
    </row>
    <row r="45" spans="3:55" ht="15.95" customHeight="1" x14ac:dyDescent="0.25">
      <c r="C45" s="568"/>
      <c r="D45" s="525"/>
      <c r="E45" s="525"/>
      <c r="F45" s="525"/>
      <c r="G45" s="525"/>
      <c r="H45" s="1594">
        <v>8</v>
      </c>
      <c r="I45" s="1589"/>
      <c r="J45" s="1062"/>
      <c r="K45" s="1062"/>
      <c r="L45" s="1062"/>
      <c r="M45" s="1062"/>
      <c r="N45" s="1062"/>
      <c r="O45" s="1538"/>
      <c r="P45" s="1538"/>
      <c r="Q45" s="1538"/>
      <c r="R45" s="1538"/>
      <c r="S45" s="1538"/>
      <c r="T45" s="1538"/>
      <c r="U45" s="1245"/>
      <c r="V45" s="1245"/>
      <c r="W45" s="1245"/>
      <c r="X45" s="1245"/>
      <c r="Y45" s="1065"/>
      <c r="Z45" s="1065"/>
      <c r="AA45" s="1065"/>
      <c r="AB45" s="1507"/>
      <c r="AC45" s="1507"/>
      <c r="AD45" s="1507"/>
      <c r="AE45" s="1508"/>
      <c r="AF45" s="1509"/>
      <c r="AG45" s="1510"/>
      <c r="AH45" s="1492" t="str">
        <f t="shared" ref="AH45" si="25">IF(OR(I45="",O45="",U45="",Y45="",AB45="",$AE$22="",$AL$22=""),"",Y45*AB45)</f>
        <v/>
      </c>
      <c r="AI45" s="1493"/>
      <c r="AJ45" s="1493"/>
      <c r="AK45" s="1493"/>
      <c r="AL45" s="1494"/>
      <c r="AM45" s="525"/>
      <c r="AN45" s="525"/>
      <c r="AO45" s="525"/>
      <c r="AP45" s="525"/>
      <c r="AQ45" s="567"/>
      <c r="AU45" s="1434"/>
      <c r="AV45" s="1434"/>
      <c r="AW45" s="804"/>
      <c r="AX45" s="752" t="str">
        <f>IF(OR(I45="",O45="",U45="",Y45="",AB45="",AE45="",$AE$22="",$AL$22=""),"",ROUND(BA45*INDEX(ENDUSEALL[Factor],MATCH("Lighting",ENDUSEALL[End Use to Coincident Peak Demand Factors],0)),4))</f>
        <v/>
      </c>
      <c r="AY45" s="802" t="str">
        <f t="shared" ref="AY45" si="26">IF(OR(I45="",O45="",U45="",Y45="",AB45="",AE45="",$AE$22="",$AL$22="",$Q$22=""),"",ROUND((($Q$22*$X$22)/SUM($Y$31:$AA$70))*Y45*AE45/1000,0))</f>
        <v/>
      </c>
      <c r="AZ45" s="802" t="str">
        <f t="shared" ref="AZ45" si="27">IF(OR(I45="",O45="",U45="",Y45="",AB45="",$AE$22="",$AL$22=""),"",ROUND((AB45*Y45*AE45/1000),0))</f>
        <v/>
      </c>
      <c r="BA45" s="800">
        <f t="shared" ref="BA45" si="28">IFERROR(ROUND($BA$28*(AY45-AZ45),0),0)</f>
        <v>0</v>
      </c>
      <c r="BB45" s="808"/>
      <c r="BC45" s="800"/>
    </row>
    <row r="46" spans="3:55" ht="15.95" customHeight="1" x14ac:dyDescent="0.25">
      <c r="C46" s="568"/>
      <c r="D46" s="525"/>
      <c r="E46" s="525"/>
      <c r="F46" s="525"/>
      <c r="G46" s="525"/>
      <c r="H46" s="1594"/>
      <c r="I46" s="1589"/>
      <c r="J46" s="1062"/>
      <c r="K46" s="1062"/>
      <c r="L46" s="1062"/>
      <c r="M46" s="1062"/>
      <c r="N46" s="1062"/>
      <c r="O46" s="1533"/>
      <c r="P46" s="1533"/>
      <c r="Q46" s="1533"/>
      <c r="R46" s="1533"/>
      <c r="S46" s="1533"/>
      <c r="T46" s="1533"/>
      <c r="U46" s="1245"/>
      <c r="V46" s="1245"/>
      <c r="W46" s="1245"/>
      <c r="X46" s="1245"/>
      <c r="Y46" s="1065"/>
      <c r="Z46" s="1065"/>
      <c r="AA46" s="1065"/>
      <c r="AB46" s="1507"/>
      <c r="AC46" s="1507"/>
      <c r="AD46" s="1507"/>
      <c r="AE46" s="1508"/>
      <c r="AF46" s="1509"/>
      <c r="AG46" s="1510"/>
      <c r="AH46" s="1492"/>
      <c r="AI46" s="1493"/>
      <c r="AJ46" s="1493"/>
      <c r="AK46" s="1493"/>
      <c r="AL46" s="1494"/>
      <c r="AM46" s="525"/>
      <c r="AN46" s="525"/>
      <c r="AO46" s="525"/>
      <c r="AP46" s="525"/>
      <c r="AQ46" s="567"/>
      <c r="AU46" s="1435"/>
      <c r="AV46" s="1435"/>
      <c r="AW46" s="805"/>
      <c r="AX46" s="753"/>
      <c r="AY46" s="803"/>
      <c r="AZ46" s="803"/>
      <c r="BA46" s="801"/>
      <c r="BB46" s="797"/>
      <c r="BC46" s="801"/>
    </row>
    <row r="47" spans="3:55" ht="15.95" customHeight="1" x14ac:dyDescent="0.25">
      <c r="C47" s="568"/>
      <c r="D47" s="525"/>
      <c r="E47" s="525"/>
      <c r="F47" s="525"/>
      <c r="G47" s="525"/>
      <c r="H47" s="1594">
        <v>9</v>
      </c>
      <c r="I47" s="1589"/>
      <c r="J47" s="1062"/>
      <c r="K47" s="1062"/>
      <c r="L47" s="1062"/>
      <c r="M47" s="1062"/>
      <c r="N47" s="1062"/>
      <c r="O47" s="1538"/>
      <c r="P47" s="1538"/>
      <c r="Q47" s="1538"/>
      <c r="R47" s="1538"/>
      <c r="S47" s="1538"/>
      <c r="T47" s="1538"/>
      <c r="U47" s="1245"/>
      <c r="V47" s="1245"/>
      <c r="W47" s="1245"/>
      <c r="X47" s="1245"/>
      <c r="Y47" s="1065"/>
      <c r="Z47" s="1065"/>
      <c r="AA47" s="1065"/>
      <c r="AB47" s="1507"/>
      <c r="AC47" s="1507"/>
      <c r="AD47" s="1507"/>
      <c r="AE47" s="1508"/>
      <c r="AF47" s="1509"/>
      <c r="AG47" s="1510"/>
      <c r="AH47" s="1492" t="str">
        <f t="shared" ref="AH47" si="29">IF(OR(I47="",O47="",U47="",Y47="",AB47="",$AE$22="",$AL$22=""),"",Y47*AB47)</f>
        <v/>
      </c>
      <c r="AI47" s="1493"/>
      <c r="AJ47" s="1493"/>
      <c r="AK47" s="1493"/>
      <c r="AL47" s="1494"/>
      <c r="AM47" s="525"/>
      <c r="AN47" s="525"/>
      <c r="AO47" s="525"/>
      <c r="AP47" s="525"/>
      <c r="AQ47" s="567"/>
      <c r="AU47" s="1434"/>
      <c r="AV47" s="1434"/>
      <c r="AW47" s="804"/>
      <c r="AX47" s="752" t="str">
        <f>IF(OR(I47="",O47="",U47="",Y47="",AB47="",AE47="",$AE$22="",$AL$22=""),"",ROUND(BA47*INDEX(ENDUSEALL[Factor],MATCH("Lighting",ENDUSEALL[End Use to Coincident Peak Demand Factors],0)),4))</f>
        <v/>
      </c>
      <c r="AY47" s="802" t="str">
        <f t="shared" ref="AY47" si="30">IF(OR(I47="",O47="",U47="",Y47="",AB47="",AE47="",$AE$22="",$AL$22="",$Q$22=""),"",ROUND((($Q$22*$X$22)/SUM($Y$31:$AA$70))*Y47*AE47/1000,0))</f>
        <v/>
      </c>
      <c r="AZ47" s="802" t="str">
        <f t="shared" ref="AZ47" si="31">IF(OR(I47="",O47="",U47="",Y47="",AB47="",$AE$22="",$AL$22=""),"",ROUND((AB47*Y47*AE47/1000),0))</f>
        <v/>
      </c>
      <c r="BA47" s="800">
        <f t="shared" ref="BA47" si="32">IFERROR(ROUND($BA$28*(AY47-AZ47),0),0)</f>
        <v>0</v>
      </c>
      <c r="BB47" s="808"/>
      <c r="BC47" s="800"/>
    </row>
    <row r="48" spans="3:55" ht="15.95" customHeight="1" x14ac:dyDescent="0.25">
      <c r="C48" s="568"/>
      <c r="D48" s="525"/>
      <c r="E48" s="525"/>
      <c r="F48" s="525"/>
      <c r="G48" s="525"/>
      <c r="H48" s="1594"/>
      <c r="I48" s="1589"/>
      <c r="J48" s="1062"/>
      <c r="K48" s="1062"/>
      <c r="L48" s="1062"/>
      <c r="M48" s="1062"/>
      <c r="N48" s="1062"/>
      <c r="O48" s="1533"/>
      <c r="P48" s="1533"/>
      <c r="Q48" s="1533"/>
      <c r="R48" s="1533"/>
      <c r="S48" s="1533"/>
      <c r="T48" s="1533"/>
      <c r="U48" s="1245"/>
      <c r="V48" s="1245"/>
      <c r="W48" s="1245"/>
      <c r="X48" s="1245"/>
      <c r="Y48" s="1065"/>
      <c r="Z48" s="1065"/>
      <c r="AA48" s="1065"/>
      <c r="AB48" s="1507"/>
      <c r="AC48" s="1507"/>
      <c r="AD48" s="1507"/>
      <c r="AE48" s="1508"/>
      <c r="AF48" s="1509"/>
      <c r="AG48" s="1510"/>
      <c r="AH48" s="1492"/>
      <c r="AI48" s="1493"/>
      <c r="AJ48" s="1493"/>
      <c r="AK48" s="1493"/>
      <c r="AL48" s="1494"/>
      <c r="AM48" s="525"/>
      <c r="AN48" s="525"/>
      <c r="AO48" s="525"/>
      <c r="AP48" s="525"/>
      <c r="AQ48" s="567"/>
      <c r="AU48" s="1435"/>
      <c r="AV48" s="1435"/>
      <c r="AW48" s="805"/>
      <c r="AX48" s="753"/>
      <c r="AY48" s="803"/>
      <c r="AZ48" s="803"/>
      <c r="BA48" s="801"/>
      <c r="BB48" s="797"/>
      <c r="BC48" s="801"/>
    </row>
    <row r="49" spans="3:55" ht="15.95" customHeight="1" x14ac:dyDescent="0.25">
      <c r="C49" s="568"/>
      <c r="D49" s="525"/>
      <c r="E49" s="525"/>
      <c r="F49" s="525"/>
      <c r="G49" s="525"/>
      <c r="H49" s="1594">
        <v>10</v>
      </c>
      <c r="I49" s="1589"/>
      <c r="J49" s="1062"/>
      <c r="K49" s="1062"/>
      <c r="L49" s="1062"/>
      <c r="M49" s="1062"/>
      <c r="N49" s="1062"/>
      <c r="O49" s="1538"/>
      <c r="P49" s="1538"/>
      <c r="Q49" s="1538"/>
      <c r="R49" s="1538"/>
      <c r="S49" s="1538"/>
      <c r="T49" s="1538"/>
      <c r="U49" s="1245"/>
      <c r="V49" s="1245"/>
      <c r="W49" s="1245"/>
      <c r="X49" s="1245"/>
      <c r="Y49" s="1065"/>
      <c r="Z49" s="1065"/>
      <c r="AA49" s="1065"/>
      <c r="AB49" s="1507"/>
      <c r="AC49" s="1507"/>
      <c r="AD49" s="1507"/>
      <c r="AE49" s="1508"/>
      <c r="AF49" s="1509"/>
      <c r="AG49" s="1510"/>
      <c r="AH49" s="1492" t="str">
        <f t="shared" ref="AH49" si="33">IF(OR(I49="",O49="",U49="",Y49="",AB49="",$AE$22="",$AL$22=""),"",Y49*AB49)</f>
        <v/>
      </c>
      <c r="AI49" s="1493"/>
      <c r="AJ49" s="1493"/>
      <c r="AK49" s="1493"/>
      <c r="AL49" s="1494"/>
      <c r="AM49" s="525"/>
      <c r="AN49" s="525"/>
      <c r="AO49" s="525"/>
      <c r="AP49" s="525"/>
      <c r="AQ49" s="567"/>
      <c r="AU49" s="1434"/>
      <c r="AV49" s="1434"/>
      <c r="AW49" s="804"/>
      <c r="AX49" s="752" t="str">
        <f>IF(OR(I49="",O49="",U49="",Y49="",AB49="",AE49="",$AE$22="",$AL$22=""),"",ROUND(BA49*INDEX(ENDUSEALL[Factor],MATCH("Lighting",ENDUSEALL[End Use to Coincident Peak Demand Factors],0)),4))</f>
        <v/>
      </c>
      <c r="AY49" s="802" t="str">
        <f t="shared" ref="AY49" si="34">IF(OR(I49="",O49="",U49="",Y49="",AB49="",AE49="",$AE$22="",$AL$22="",$Q$22=""),"",ROUND((($Q$22*$X$22)/SUM($Y$31:$AA$70))*Y49*AE49/1000,0))</f>
        <v/>
      </c>
      <c r="AZ49" s="802" t="str">
        <f t="shared" ref="AZ49" si="35">IF(OR(I49="",O49="",U49="",Y49="",AB49="",$AE$22="",$AL$22=""),"",ROUND((AB49*Y49*AE49/1000),0))</f>
        <v/>
      </c>
      <c r="BA49" s="800">
        <f t="shared" ref="BA49" si="36">IFERROR(ROUND($BA$28*(AY49-AZ49),0),0)</f>
        <v>0</v>
      </c>
      <c r="BB49" s="808"/>
      <c r="BC49" s="800"/>
    </row>
    <row r="50" spans="3:55" ht="15.95" customHeight="1" x14ac:dyDescent="0.25">
      <c r="C50" s="568"/>
      <c r="D50" s="525"/>
      <c r="E50" s="525"/>
      <c r="F50" s="525"/>
      <c r="G50" s="525"/>
      <c r="H50" s="1594"/>
      <c r="I50" s="1589"/>
      <c r="J50" s="1062"/>
      <c r="K50" s="1062"/>
      <c r="L50" s="1062"/>
      <c r="M50" s="1062"/>
      <c r="N50" s="1062"/>
      <c r="O50" s="1533"/>
      <c r="P50" s="1533"/>
      <c r="Q50" s="1533"/>
      <c r="R50" s="1533"/>
      <c r="S50" s="1533"/>
      <c r="T50" s="1533"/>
      <c r="U50" s="1245"/>
      <c r="V50" s="1245"/>
      <c r="W50" s="1245"/>
      <c r="X50" s="1245"/>
      <c r="Y50" s="1065"/>
      <c r="Z50" s="1065"/>
      <c r="AA50" s="1065"/>
      <c r="AB50" s="1507"/>
      <c r="AC50" s="1507"/>
      <c r="AD50" s="1507"/>
      <c r="AE50" s="1508"/>
      <c r="AF50" s="1509"/>
      <c r="AG50" s="1510"/>
      <c r="AH50" s="1492"/>
      <c r="AI50" s="1493"/>
      <c r="AJ50" s="1493"/>
      <c r="AK50" s="1493"/>
      <c r="AL50" s="1494"/>
      <c r="AM50" s="525"/>
      <c r="AN50" s="525"/>
      <c r="AO50" s="525"/>
      <c r="AP50" s="525"/>
      <c r="AQ50" s="567"/>
      <c r="AU50" s="1435"/>
      <c r="AV50" s="1435"/>
      <c r="AW50" s="805"/>
      <c r="AX50" s="753"/>
      <c r="AY50" s="803"/>
      <c r="AZ50" s="803"/>
      <c r="BA50" s="801"/>
      <c r="BB50" s="797"/>
      <c r="BC50" s="801"/>
    </row>
    <row r="51" spans="3:55" ht="15.95" customHeight="1" x14ac:dyDescent="0.25">
      <c r="C51" s="568"/>
      <c r="D51" s="525"/>
      <c r="E51" s="525"/>
      <c r="F51" s="525"/>
      <c r="G51" s="525"/>
      <c r="H51" s="1594">
        <v>11</v>
      </c>
      <c r="I51" s="1589"/>
      <c r="J51" s="1062"/>
      <c r="K51" s="1062"/>
      <c r="L51" s="1062"/>
      <c r="M51" s="1062"/>
      <c r="N51" s="1062"/>
      <c r="O51" s="1538"/>
      <c r="P51" s="1538"/>
      <c r="Q51" s="1538"/>
      <c r="R51" s="1538"/>
      <c r="S51" s="1538"/>
      <c r="T51" s="1538"/>
      <c r="U51" s="1245"/>
      <c r="V51" s="1245"/>
      <c r="W51" s="1245"/>
      <c r="X51" s="1245"/>
      <c r="Y51" s="1065"/>
      <c r="Z51" s="1065"/>
      <c r="AA51" s="1065"/>
      <c r="AB51" s="1507"/>
      <c r="AC51" s="1507"/>
      <c r="AD51" s="1507"/>
      <c r="AE51" s="1508"/>
      <c r="AF51" s="1509"/>
      <c r="AG51" s="1510"/>
      <c r="AH51" s="1492" t="str">
        <f t="shared" ref="AH51" si="37">IF(OR(I51="",O51="",U51="",Y51="",AB51="",$AE$22="",$AL$22=""),"",Y51*AB51)</f>
        <v/>
      </c>
      <c r="AI51" s="1493"/>
      <c r="AJ51" s="1493"/>
      <c r="AK51" s="1493"/>
      <c r="AL51" s="1494"/>
      <c r="AM51" s="525"/>
      <c r="AN51" s="525"/>
      <c r="AO51" s="525"/>
      <c r="AP51" s="525"/>
      <c r="AQ51" s="567"/>
      <c r="AU51" s="1434"/>
      <c r="AV51" s="1434"/>
      <c r="AW51" s="804"/>
      <c r="AX51" s="752" t="str">
        <f>IF(OR(I51="",O51="",U51="",Y51="",AB51="",AE51="",$AE$22="",$AL$22=""),"",ROUND(BA51*INDEX(ENDUSEALL[Factor],MATCH("Lighting",ENDUSEALL[End Use to Coincident Peak Demand Factors],0)),4))</f>
        <v/>
      </c>
      <c r="AY51" s="802" t="str">
        <f t="shared" ref="AY51" si="38">IF(OR(I51="",O51="",U51="",Y51="",AB51="",AE51="",$AE$22="",$AL$22="",$Q$22=""),"",ROUND((($Q$22*$X$22)/SUM($Y$31:$AA$70))*Y51*AE51/1000,0))</f>
        <v/>
      </c>
      <c r="AZ51" s="802" t="str">
        <f t="shared" ref="AZ51" si="39">IF(OR(I51="",O51="",U51="",Y51="",AB51="",$AE$22="",$AL$22=""),"",ROUND((AB51*Y51*AE51/1000),0))</f>
        <v/>
      </c>
      <c r="BA51" s="800">
        <f t="shared" ref="BA51" si="40">IFERROR(ROUND($BA$28*(AY51-AZ51),0),0)</f>
        <v>0</v>
      </c>
      <c r="BB51" s="808"/>
      <c r="BC51" s="800"/>
    </row>
    <row r="52" spans="3:55" ht="15.95" customHeight="1" x14ac:dyDescent="0.25">
      <c r="C52" s="568"/>
      <c r="D52" s="525"/>
      <c r="E52" s="525"/>
      <c r="F52" s="525"/>
      <c r="G52" s="525"/>
      <c r="H52" s="1594"/>
      <c r="I52" s="1589"/>
      <c r="J52" s="1062"/>
      <c r="K52" s="1062"/>
      <c r="L52" s="1062"/>
      <c r="M52" s="1062"/>
      <c r="N52" s="1062"/>
      <c r="O52" s="1533"/>
      <c r="P52" s="1533"/>
      <c r="Q52" s="1533"/>
      <c r="R52" s="1533"/>
      <c r="S52" s="1533"/>
      <c r="T52" s="1533"/>
      <c r="U52" s="1245"/>
      <c r="V52" s="1245"/>
      <c r="W52" s="1245"/>
      <c r="X52" s="1245"/>
      <c r="Y52" s="1065"/>
      <c r="Z52" s="1065"/>
      <c r="AA52" s="1065"/>
      <c r="AB52" s="1507"/>
      <c r="AC52" s="1507"/>
      <c r="AD52" s="1507"/>
      <c r="AE52" s="1508"/>
      <c r="AF52" s="1509"/>
      <c r="AG52" s="1510"/>
      <c r="AH52" s="1492"/>
      <c r="AI52" s="1493"/>
      <c r="AJ52" s="1493"/>
      <c r="AK52" s="1493"/>
      <c r="AL52" s="1494"/>
      <c r="AM52" s="525"/>
      <c r="AN52" s="525"/>
      <c r="AO52" s="525"/>
      <c r="AP52" s="525"/>
      <c r="AQ52" s="567"/>
      <c r="AU52" s="1435"/>
      <c r="AV52" s="1435"/>
      <c r="AW52" s="805"/>
      <c r="AX52" s="753"/>
      <c r="AY52" s="803"/>
      <c r="AZ52" s="803"/>
      <c r="BA52" s="801"/>
      <c r="BB52" s="797"/>
      <c r="BC52" s="801"/>
    </row>
    <row r="53" spans="3:55" ht="15.95" customHeight="1" x14ac:dyDescent="0.25">
      <c r="C53" s="568"/>
      <c r="D53" s="525"/>
      <c r="E53" s="525"/>
      <c r="F53" s="525"/>
      <c r="G53" s="525"/>
      <c r="H53" s="1594">
        <v>12</v>
      </c>
      <c r="I53" s="1589"/>
      <c r="J53" s="1062"/>
      <c r="K53" s="1062"/>
      <c r="L53" s="1062"/>
      <c r="M53" s="1062"/>
      <c r="N53" s="1062"/>
      <c r="O53" s="1538"/>
      <c r="P53" s="1538"/>
      <c r="Q53" s="1538"/>
      <c r="R53" s="1538"/>
      <c r="S53" s="1538"/>
      <c r="T53" s="1538"/>
      <c r="U53" s="1245"/>
      <c r="V53" s="1245"/>
      <c r="W53" s="1245"/>
      <c r="X53" s="1245"/>
      <c r="Y53" s="1065"/>
      <c r="Z53" s="1065"/>
      <c r="AA53" s="1065"/>
      <c r="AB53" s="1507"/>
      <c r="AC53" s="1507"/>
      <c r="AD53" s="1507"/>
      <c r="AE53" s="1508"/>
      <c r="AF53" s="1509"/>
      <c r="AG53" s="1510"/>
      <c r="AH53" s="1492" t="str">
        <f t="shared" ref="AH53" si="41">IF(OR(I53="",O53="",U53="",Y53="",AB53="",$AE$22="",$AL$22=""),"",Y53*AB53)</f>
        <v/>
      </c>
      <c r="AI53" s="1493"/>
      <c r="AJ53" s="1493"/>
      <c r="AK53" s="1493"/>
      <c r="AL53" s="1494"/>
      <c r="AM53" s="525"/>
      <c r="AN53" s="525"/>
      <c r="AO53" s="525"/>
      <c r="AP53" s="525"/>
      <c r="AQ53" s="567"/>
      <c r="AU53" s="1434"/>
      <c r="AV53" s="1434"/>
      <c r="AW53" s="804"/>
      <c r="AX53" s="752" t="str">
        <f>IF(OR(I53="",O53="",U53="",Y53="",AB53="",AE53="",$AE$22="",$AL$22=""),"",ROUND(BA53*INDEX(ENDUSEALL[Factor],MATCH("Lighting",ENDUSEALL[End Use to Coincident Peak Demand Factors],0)),4))</f>
        <v/>
      </c>
      <c r="AY53" s="802" t="str">
        <f t="shared" ref="AY53" si="42">IF(OR(I53="",O53="",U53="",Y53="",AB53="",AE53="",$AE$22="",$AL$22="",$Q$22=""),"",ROUND((($Q$22*$X$22)/SUM($Y$31:$AA$70))*Y53*AE53/1000,0))</f>
        <v/>
      </c>
      <c r="AZ53" s="802" t="str">
        <f t="shared" ref="AZ53" si="43">IF(OR(I53="",O53="",U53="",Y53="",AB53="",$AE$22="",$AL$22=""),"",ROUND((AB53*Y53*AE53/1000),0))</f>
        <v/>
      </c>
      <c r="BA53" s="800">
        <f t="shared" ref="BA53" si="44">IFERROR(ROUND($BA$28*(AY53-AZ53),0),0)</f>
        <v>0</v>
      </c>
      <c r="BB53" s="808"/>
      <c r="BC53" s="800"/>
    </row>
    <row r="54" spans="3:55" ht="15.95" customHeight="1" x14ac:dyDescent="0.25">
      <c r="C54" s="568"/>
      <c r="D54" s="525"/>
      <c r="E54" s="525"/>
      <c r="F54" s="525"/>
      <c r="G54" s="525"/>
      <c r="H54" s="1594"/>
      <c r="I54" s="1589"/>
      <c r="J54" s="1062"/>
      <c r="K54" s="1062"/>
      <c r="L54" s="1062"/>
      <c r="M54" s="1062"/>
      <c r="N54" s="1062"/>
      <c r="O54" s="1533"/>
      <c r="P54" s="1533"/>
      <c r="Q54" s="1533"/>
      <c r="R54" s="1533"/>
      <c r="S54" s="1533"/>
      <c r="T54" s="1533"/>
      <c r="U54" s="1245"/>
      <c r="V54" s="1245"/>
      <c r="W54" s="1245"/>
      <c r="X54" s="1245"/>
      <c r="Y54" s="1065"/>
      <c r="Z54" s="1065"/>
      <c r="AA54" s="1065"/>
      <c r="AB54" s="1507"/>
      <c r="AC54" s="1507"/>
      <c r="AD54" s="1507"/>
      <c r="AE54" s="1508"/>
      <c r="AF54" s="1509"/>
      <c r="AG54" s="1510"/>
      <c r="AH54" s="1492"/>
      <c r="AI54" s="1493"/>
      <c r="AJ54" s="1493"/>
      <c r="AK54" s="1493"/>
      <c r="AL54" s="1494"/>
      <c r="AM54" s="525"/>
      <c r="AN54" s="525"/>
      <c r="AO54" s="525"/>
      <c r="AP54" s="525"/>
      <c r="AQ54" s="567"/>
      <c r="AU54" s="1435"/>
      <c r="AV54" s="1435"/>
      <c r="AW54" s="805"/>
      <c r="AX54" s="753"/>
      <c r="AY54" s="803"/>
      <c r="AZ54" s="803"/>
      <c r="BA54" s="801"/>
      <c r="BB54" s="797"/>
      <c r="BC54" s="801"/>
    </row>
    <row r="55" spans="3:55" ht="15.95" customHeight="1" x14ac:dyDescent="0.25">
      <c r="C55" s="568"/>
      <c r="D55" s="525"/>
      <c r="E55" s="525"/>
      <c r="F55" s="525"/>
      <c r="G55" s="525"/>
      <c r="H55" s="1594">
        <v>13</v>
      </c>
      <c r="I55" s="1589"/>
      <c r="J55" s="1062"/>
      <c r="K55" s="1062"/>
      <c r="L55" s="1062"/>
      <c r="M55" s="1062"/>
      <c r="N55" s="1062"/>
      <c r="O55" s="1538"/>
      <c r="P55" s="1538"/>
      <c r="Q55" s="1538"/>
      <c r="R55" s="1538"/>
      <c r="S55" s="1538"/>
      <c r="T55" s="1538"/>
      <c r="U55" s="1245"/>
      <c r="V55" s="1245"/>
      <c r="W55" s="1245"/>
      <c r="X55" s="1245"/>
      <c r="Y55" s="1065"/>
      <c r="Z55" s="1065"/>
      <c r="AA55" s="1065"/>
      <c r="AB55" s="1507"/>
      <c r="AC55" s="1507"/>
      <c r="AD55" s="1507"/>
      <c r="AE55" s="1508"/>
      <c r="AF55" s="1509"/>
      <c r="AG55" s="1510"/>
      <c r="AH55" s="1492" t="str">
        <f t="shared" ref="AH55" si="45">IF(OR(I55="",O55="",U55="",Y55="",AB55="",$AE$22="",$AL$22=""),"",Y55*AB55)</f>
        <v/>
      </c>
      <c r="AI55" s="1493"/>
      <c r="AJ55" s="1493"/>
      <c r="AK55" s="1493"/>
      <c r="AL55" s="1494"/>
      <c r="AM55" s="525"/>
      <c r="AN55" s="525"/>
      <c r="AO55" s="525"/>
      <c r="AP55" s="525"/>
      <c r="AQ55" s="567"/>
      <c r="AU55" s="1434"/>
      <c r="AV55" s="1434"/>
      <c r="AW55" s="804"/>
      <c r="AX55" s="752" t="str">
        <f>IF(OR(I55="",O55="",U55="",Y55="",AB55="",AE55="",$AE$22="",$AL$22=""),"",ROUND(BA55*INDEX(ENDUSEALL[Factor],MATCH("Lighting",ENDUSEALL[End Use to Coincident Peak Demand Factors],0)),4))</f>
        <v/>
      </c>
      <c r="AY55" s="802" t="str">
        <f t="shared" ref="AY55" si="46">IF(OR(I55="",O55="",U55="",Y55="",AB55="",AE55="",$AE$22="",$AL$22="",$Q$22=""),"",ROUND((($Q$22*$X$22)/SUM($Y$31:$AA$70))*Y55*AE55/1000,0))</f>
        <v/>
      </c>
      <c r="AZ55" s="802" t="str">
        <f t="shared" ref="AZ55" si="47">IF(OR(I55="",O55="",U55="",Y55="",AB55="",$AE$22="",$AL$22=""),"",ROUND((AB55*Y55*AE55/1000),0))</f>
        <v/>
      </c>
      <c r="BA55" s="800">
        <f t="shared" ref="BA55" si="48">IFERROR(ROUND($BA$28*(AY55-AZ55),0),0)</f>
        <v>0</v>
      </c>
      <c r="BB55" s="808"/>
      <c r="BC55" s="800"/>
    </row>
    <row r="56" spans="3:55" ht="15.95" customHeight="1" x14ac:dyDescent="0.25">
      <c r="C56" s="568"/>
      <c r="D56" s="525"/>
      <c r="E56" s="525"/>
      <c r="F56" s="525"/>
      <c r="G56" s="525"/>
      <c r="H56" s="1594"/>
      <c r="I56" s="1589"/>
      <c r="J56" s="1062"/>
      <c r="K56" s="1062"/>
      <c r="L56" s="1062"/>
      <c r="M56" s="1062"/>
      <c r="N56" s="1062"/>
      <c r="O56" s="1533"/>
      <c r="P56" s="1533"/>
      <c r="Q56" s="1533"/>
      <c r="R56" s="1533"/>
      <c r="S56" s="1533"/>
      <c r="T56" s="1533"/>
      <c r="U56" s="1245"/>
      <c r="V56" s="1245"/>
      <c r="W56" s="1245"/>
      <c r="X56" s="1245"/>
      <c r="Y56" s="1065"/>
      <c r="Z56" s="1065"/>
      <c r="AA56" s="1065"/>
      <c r="AB56" s="1507"/>
      <c r="AC56" s="1507"/>
      <c r="AD56" s="1507"/>
      <c r="AE56" s="1508"/>
      <c r="AF56" s="1509"/>
      <c r="AG56" s="1510"/>
      <c r="AH56" s="1492"/>
      <c r="AI56" s="1493"/>
      <c r="AJ56" s="1493"/>
      <c r="AK56" s="1493"/>
      <c r="AL56" s="1494"/>
      <c r="AM56" s="525"/>
      <c r="AN56" s="525"/>
      <c r="AO56" s="525"/>
      <c r="AP56" s="525"/>
      <c r="AQ56" s="567"/>
      <c r="AU56" s="1435"/>
      <c r="AV56" s="1435"/>
      <c r="AW56" s="805"/>
      <c r="AX56" s="753"/>
      <c r="AY56" s="803"/>
      <c r="AZ56" s="803"/>
      <c r="BA56" s="801"/>
      <c r="BB56" s="797"/>
      <c r="BC56" s="801"/>
    </row>
    <row r="57" spans="3:55" ht="15.95" customHeight="1" x14ac:dyDescent="0.25">
      <c r="C57" s="568"/>
      <c r="D57" s="525"/>
      <c r="E57" s="525"/>
      <c r="F57" s="525"/>
      <c r="G57" s="525"/>
      <c r="H57" s="1594">
        <v>14</v>
      </c>
      <c r="I57" s="1589"/>
      <c r="J57" s="1062"/>
      <c r="K57" s="1062"/>
      <c r="L57" s="1062"/>
      <c r="M57" s="1062"/>
      <c r="N57" s="1062"/>
      <c r="O57" s="1538"/>
      <c r="P57" s="1538"/>
      <c r="Q57" s="1538"/>
      <c r="R57" s="1538"/>
      <c r="S57" s="1538"/>
      <c r="T57" s="1538"/>
      <c r="U57" s="1245"/>
      <c r="V57" s="1245"/>
      <c r="W57" s="1245"/>
      <c r="X57" s="1245"/>
      <c r="Y57" s="1065"/>
      <c r="Z57" s="1065"/>
      <c r="AA57" s="1065"/>
      <c r="AB57" s="1507"/>
      <c r="AC57" s="1507"/>
      <c r="AD57" s="1507"/>
      <c r="AE57" s="1508"/>
      <c r="AF57" s="1509"/>
      <c r="AG57" s="1510"/>
      <c r="AH57" s="1492" t="str">
        <f t="shared" ref="AH57" si="49">IF(OR(I57="",O57="",U57="",Y57="",AB57="",$AE$22="",$AL$22=""),"",Y57*AB57)</f>
        <v/>
      </c>
      <c r="AI57" s="1493"/>
      <c r="AJ57" s="1493"/>
      <c r="AK57" s="1493"/>
      <c r="AL57" s="1494"/>
      <c r="AM57" s="525"/>
      <c r="AN57" s="525"/>
      <c r="AO57" s="525"/>
      <c r="AP57" s="525"/>
      <c r="AQ57" s="567"/>
      <c r="AU57" s="1434"/>
      <c r="AV57" s="1434"/>
      <c r="AW57" s="804"/>
      <c r="AX57" s="752" t="str">
        <f>IF(OR(I57="",O57="",U57="",Y57="",AB57="",AE57="",$AE$22="",$AL$22=""),"",ROUND(BA57*INDEX(ENDUSEALL[Factor],MATCH("Lighting",ENDUSEALL[End Use to Coincident Peak Demand Factors],0)),4))</f>
        <v/>
      </c>
      <c r="AY57" s="802" t="str">
        <f t="shared" ref="AY57" si="50">IF(OR(I57="",O57="",U57="",Y57="",AB57="",AE57="",$AE$22="",$AL$22="",$Q$22=""),"",ROUND((($Q$22*$X$22)/SUM($Y$31:$AA$70))*Y57*AE57/1000,0))</f>
        <v/>
      </c>
      <c r="AZ57" s="802" t="str">
        <f t="shared" ref="AZ57" si="51">IF(OR(I57="",O57="",U57="",Y57="",AB57="",$AE$22="",$AL$22=""),"",ROUND((AB57*Y57*AE57/1000),0))</f>
        <v/>
      </c>
      <c r="BA57" s="800">
        <f t="shared" ref="BA57" si="52">IFERROR(ROUND($BA$28*(AY57-AZ57),0),0)</f>
        <v>0</v>
      </c>
      <c r="BB57" s="808"/>
      <c r="BC57" s="800"/>
    </row>
    <row r="58" spans="3:55" ht="15.95" customHeight="1" x14ac:dyDescent="0.25">
      <c r="C58" s="568"/>
      <c r="D58" s="525"/>
      <c r="E58" s="525"/>
      <c r="F58" s="525"/>
      <c r="G58" s="525"/>
      <c r="H58" s="1594"/>
      <c r="I58" s="1589"/>
      <c r="J58" s="1062"/>
      <c r="K58" s="1062"/>
      <c r="L58" s="1062"/>
      <c r="M58" s="1062"/>
      <c r="N58" s="1062"/>
      <c r="O58" s="1533"/>
      <c r="P58" s="1533"/>
      <c r="Q58" s="1533"/>
      <c r="R58" s="1533"/>
      <c r="S58" s="1533"/>
      <c r="T58" s="1533"/>
      <c r="U58" s="1245"/>
      <c r="V58" s="1245"/>
      <c r="W58" s="1245"/>
      <c r="X58" s="1245"/>
      <c r="Y58" s="1065"/>
      <c r="Z58" s="1065"/>
      <c r="AA58" s="1065"/>
      <c r="AB58" s="1507"/>
      <c r="AC58" s="1507"/>
      <c r="AD58" s="1507"/>
      <c r="AE58" s="1508"/>
      <c r="AF58" s="1509"/>
      <c r="AG58" s="1510"/>
      <c r="AH58" s="1492"/>
      <c r="AI58" s="1493"/>
      <c r="AJ58" s="1493"/>
      <c r="AK58" s="1493"/>
      <c r="AL58" s="1494"/>
      <c r="AM58" s="525"/>
      <c r="AN58" s="525"/>
      <c r="AO58" s="525"/>
      <c r="AP58" s="525"/>
      <c r="AQ58" s="567"/>
      <c r="AU58" s="1435"/>
      <c r="AV58" s="1435"/>
      <c r="AW58" s="805"/>
      <c r="AX58" s="753"/>
      <c r="AY58" s="803"/>
      <c r="AZ58" s="803"/>
      <c r="BA58" s="801"/>
      <c r="BB58" s="797"/>
      <c r="BC58" s="801"/>
    </row>
    <row r="59" spans="3:55" ht="15.95" customHeight="1" x14ac:dyDescent="0.25">
      <c r="C59" s="568"/>
      <c r="D59" s="525"/>
      <c r="E59" s="525"/>
      <c r="F59" s="525"/>
      <c r="G59" s="525"/>
      <c r="H59" s="1594">
        <v>15</v>
      </c>
      <c r="I59" s="1589"/>
      <c r="J59" s="1062"/>
      <c r="K59" s="1062"/>
      <c r="L59" s="1062"/>
      <c r="M59" s="1062"/>
      <c r="N59" s="1062"/>
      <c r="O59" s="1538"/>
      <c r="P59" s="1538"/>
      <c r="Q59" s="1538"/>
      <c r="R59" s="1538"/>
      <c r="S59" s="1538"/>
      <c r="T59" s="1538"/>
      <c r="U59" s="1245"/>
      <c r="V59" s="1245"/>
      <c r="W59" s="1245"/>
      <c r="X59" s="1245"/>
      <c r="Y59" s="1065"/>
      <c r="Z59" s="1065"/>
      <c r="AA59" s="1065"/>
      <c r="AB59" s="1507"/>
      <c r="AC59" s="1507"/>
      <c r="AD59" s="1507"/>
      <c r="AE59" s="1508"/>
      <c r="AF59" s="1509"/>
      <c r="AG59" s="1510"/>
      <c r="AH59" s="1492" t="str">
        <f t="shared" ref="AH59" si="53">IF(OR(I59="",O59="",U59="",Y59="",AB59="",$AE$22="",$AL$22=""),"",Y59*AB59)</f>
        <v/>
      </c>
      <c r="AI59" s="1493"/>
      <c r="AJ59" s="1493"/>
      <c r="AK59" s="1493"/>
      <c r="AL59" s="1494"/>
      <c r="AM59" s="525"/>
      <c r="AN59" s="525"/>
      <c r="AO59" s="525"/>
      <c r="AP59" s="525"/>
      <c r="AQ59" s="567"/>
      <c r="AU59" s="1434"/>
      <c r="AV59" s="1434"/>
      <c r="AW59" s="804"/>
      <c r="AX59" s="752" t="str">
        <f>IF(OR(I59="",O59="",U59="",Y59="",AB59="",AE59="",$AE$22="",$AL$22=""),"",ROUND(BA59*INDEX(ENDUSEALL[Factor],MATCH("Lighting",ENDUSEALL[End Use to Coincident Peak Demand Factors],0)),4))</f>
        <v/>
      </c>
      <c r="AY59" s="802" t="str">
        <f t="shared" ref="AY59" si="54">IF(OR(I59="",O59="",U59="",Y59="",AB59="",AE59="",$AE$22="",$AL$22="",$Q$22=""),"",ROUND((($Q$22*$X$22)/SUM($Y$31:$AA$70))*Y59*AE59/1000,0))</f>
        <v/>
      </c>
      <c r="AZ59" s="802" t="str">
        <f t="shared" ref="AZ59" si="55">IF(OR(I59="",O59="",U59="",Y59="",AB59="",$AE$22="",$AL$22=""),"",ROUND((AB59*Y59*AE59/1000),0))</f>
        <v/>
      </c>
      <c r="BA59" s="800">
        <f t="shared" ref="BA59" si="56">IFERROR(ROUND($BA$28*(AY59-AZ59),0),0)</f>
        <v>0</v>
      </c>
      <c r="BB59" s="808"/>
      <c r="BC59" s="800"/>
    </row>
    <row r="60" spans="3:55" ht="15.95" customHeight="1" x14ac:dyDescent="0.25">
      <c r="C60" s="568"/>
      <c r="D60" s="525"/>
      <c r="E60" s="525"/>
      <c r="F60" s="525"/>
      <c r="G60" s="525"/>
      <c r="H60" s="1594"/>
      <c r="I60" s="1589"/>
      <c r="J60" s="1062"/>
      <c r="K60" s="1062"/>
      <c r="L60" s="1062"/>
      <c r="M60" s="1062"/>
      <c r="N60" s="1062"/>
      <c r="O60" s="1533"/>
      <c r="P60" s="1533"/>
      <c r="Q60" s="1533"/>
      <c r="R60" s="1533"/>
      <c r="S60" s="1533"/>
      <c r="T60" s="1533"/>
      <c r="U60" s="1245"/>
      <c r="V60" s="1245"/>
      <c r="W60" s="1245"/>
      <c r="X60" s="1245"/>
      <c r="Y60" s="1065"/>
      <c r="Z60" s="1065"/>
      <c r="AA60" s="1065"/>
      <c r="AB60" s="1507"/>
      <c r="AC60" s="1507"/>
      <c r="AD60" s="1507"/>
      <c r="AE60" s="1508"/>
      <c r="AF60" s="1509"/>
      <c r="AG60" s="1510"/>
      <c r="AH60" s="1492"/>
      <c r="AI60" s="1493"/>
      <c r="AJ60" s="1493"/>
      <c r="AK60" s="1493"/>
      <c r="AL60" s="1494"/>
      <c r="AM60" s="525"/>
      <c r="AN60" s="525"/>
      <c r="AO60" s="525"/>
      <c r="AP60" s="525"/>
      <c r="AQ60" s="567"/>
      <c r="AU60" s="1435"/>
      <c r="AV60" s="1435"/>
      <c r="AW60" s="805"/>
      <c r="AX60" s="753"/>
      <c r="AY60" s="803"/>
      <c r="AZ60" s="803"/>
      <c r="BA60" s="801"/>
      <c r="BB60" s="797"/>
      <c r="BC60" s="801"/>
    </row>
    <row r="61" spans="3:55" ht="15.95" customHeight="1" x14ac:dyDescent="0.25">
      <c r="C61" s="568"/>
      <c r="D61" s="525"/>
      <c r="E61" s="525"/>
      <c r="F61" s="525"/>
      <c r="G61" s="525"/>
      <c r="H61" s="1594">
        <v>16</v>
      </c>
      <c r="I61" s="1589"/>
      <c r="J61" s="1062"/>
      <c r="K61" s="1062"/>
      <c r="L61" s="1062"/>
      <c r="M61" s="1062"/>
      <c r="N61" s="1062"/>
      <c r="O61" s="1538"/>
      <c r="P61" s="1538"/>
      <c r="Q61" s="1538"/>
      <c r="R61" s="1538"/>
      <c r="S61" s="1538"/>
      <c r="T61" s="1538"/>
      <c r="U61" s="1245"/>
      <c r="V61" s="1245"/>
      <c r="W61" s="1245"/>
      <c r="X61" s="1245"/>
      <c r="Y61" s="1065"/>
      <c r="Z61" s="1065"/>
      <c r="AA61" s="1065"/>
      <c r="AB61" s="1507"/>
      <c r="AC61" s="1507"/>
      <c r="AD61" s="1507"/>
      <c r="AE61" s="1508"/>
      <c r="AF61" s="1509"/>
      <c r="AG61" s="1510"/>
      <c r="AH61" s="1492" t="str">
        <f t="shared" ref="AH61" si="57">IF(OR(I61="",O61="",U61="",Y61="",AB61="",$AE$22="",$AL$22=""),"",Y61*AB61)</f>
        <v/>
      </c>
      <c r="AI61" s="1493"/>
      <c r="AJ61" s="1493"/>
      <c r="AK61" s="1493"/>
      <c r="AL61" s="1494"/>
      <c r="AM61" s="525"/>
      <c r="AN61" s="525"/>
      <c r="AO61" s="525"/>
      <c r="AP61" s="525"/>
      <c r="AQ61" s="567"/>
      <c r="AU61" s="1434"/>
      <c r="AV61" s="1434"/>
      <c r="AW61" s="804"/>
      <c r="AX61" s="752" t="str">
        <f>IF(OR(I61="",O61="",U61="",Y61="",AB61="",AE61="",$AE$22="",$AL$22=""),"",ROUND(BA61*INDEX(ENDUSEALL[Factor],MATCH("Lighting",ENDUSEALL[End Use to Coincident Peak Demand Factors],0)),4))</f>
        <v/>
      </c>
      <c r="AY61" s="802" t="str">
        <f t="shared" ref="AY61" si="58">IF(OR(I61="",O61="",U61="",Y61="",AB61="",AE61="",$AE$22="",$AL$22="",$Q$22=""),"",ROUND((($Q$22*$X$22)/SUM($Y$31:$AA$70))*Y61*AE61/1000,0))</f>
        <v/>
      </c>
      <c r="AZ61" s="802" t="str">
        <f t="shared" ref="AZ61" si="59">IF(OR(I61="",O61="",U61="",Y61="",AB61="",$AE$22="",$AL$22=""),"",ROUND((AB61*Y61*AE61/1000),0))</f>
        <v/>
      </c>
      <c r="BA61" s="800">
        <f t="shared" ref="BA61" si="60">IFERROR(ROUND($BA$28*(AY61-AZ61),0),0)</f>
        <v>0</v>
      </c>
      <c r="BB61" s="808"/>
      <c r="BC61" s="800"/>
    </row>
    <row r="62" spans="3:55" ht="15.95" customHeight="1" x14ac:dyDescent="0.25">
      <c r="C62" s="568"/>
      <c r="D62" s="525"/>
      <c r="E62" s="525"/>
      <c r="F62" s="525"/>
      <c r="G62" s="525"/>
      <c r="H62" s="1594"/>
      <c r="I62" s="1589"/>
      <c r="J62" s="1062"/>
      <c r="K62" s="1062"/>
      <c r="L62" s="1062"/>
      <c r="M62" s="1062"/>
      <c r="N62" s="1062"/>
      <c r="O62" s="1533"/>
      <c r="P62" s="1533"/>
      <c r="Q62" s="1533"/>
      <c r="R62" s="1533"/>
      <c r="S62" s="1533"/>
      <c r="T62" s="1533"/>
      <c r="U62" s="1245"/>
      <c r="V62" s="1245"/>
      <c r="W62" s="1245"/>
      <c r="X62" s="1245"/>
      <c r="Y62" s="1065"/>
      <c r="Z62" s="1065"/>
      <c r="AA62" s="1065"/>
      <c r="AB62" s="1507"/>
      <c r="AC62" s="1507"/>
      <c r="AD62" s="1507"/>
      <c r="AE62" s="1508"/>
      <c r="AF62" s="1509"/>
      <c r="AG62" s="1510"/>
      <c r="AH62" s="1492"/>
      <c r="AI62" s="1493"/>
      <c r="AJ62" s="1493"/>
      <c r="AK62" s="1493"/>
      <c r="AL62" s="1494"/>
      <c r="AM62" s="525"/>
      <c r="AN62" s="525"/>
      <c r="AO62" s="525"/>
      <c r="AP62" s="525"/>
      <c r="AQ62" s="567"/>
      <c r="AU62" s="1435"/>
      <c r="AV62" s="1435"/>
      <c r="AW62" s="805"/>
      <c r="AX62" s="753"/>
      <c r="AY62" s="803"/>
      <c r="AZ62" s="803"/>
      <c r="BA62" s="801"/>
      <c r="BB62" s="797"/>
      <c r="BC62" s="801"/>
    </row>
    <row r="63" spans="3:55" ht="15.95" customHeight="1" x14ac:dyDescent="0.25">
      <c r="C63" s="568"/>
      <c r="D63" s="525"/>
      <c r="E63" s="525"/>
      <c r="F63" s="525"/>
      <c r="G63" s="525"/>
      <c r="H63" s="1594">
        <v>17</v>
      </c>
      <c r="I63" s="1589"/>
      <c r="J63" s="1062"/>
      <c r="K63" s="1062"/>
      <c r="L63" s="1062"/>
      <c r="M63" s="1062"/>
      <c r="N63" s="1062"/>
      <c r="O63" s="1538"/>
      <c r="P63" s="1538"/>
      <c r="Q63" s="1538"/>
      <c r="R63" s="1538"/>
      <c r="S63" s="1538"/>
      <c r="T63" s="1538"/>
      <c r="U63" s="1245"/>
      <c r="V63" s="1245"/>
      <c r="W63" s="1245"/>
      <c r="X63" s="1245"/>
      <c r="Y63" s="1065"/>
      <c r="Z63" s="1065"/>
      <c r="AA63" s="1065"/>
      <c r="AB63" s="1507"/>
      <c r="AC63" s="1507"/>
      <c r="AD63" s="1507"/>
      <c r="AE63" s="1508"/>
      <c r="AF63" s="1509"/>
      <c r="AG63" s="1510"/>
      <c r="AH63" s="1492" t="str">
        <f t="shared" ref="AH63" si="61">IF(OR(I63="",O63="",U63="",Y63="",AB63="",$AE$22="",$AL$22=""),"",Y63*AB63)</f>
        <v/>
      </c>
      <c r="AI63" s="1493"/>
      <c r="AJ63" s="1493"/>
      <c r="AK63" s="1493"/>
      <c r="AL63" s="1494"/>
      <c r="AM63" s="525"/>
      <c r="AN63" s="525"/>
      <c r="AO63" s="525"/>
      <c r="AP63" s="525"/>
      <c r="AQ63" s="567"/>
      <c r="AU63" s="1434"/>
      <c r="AV63" s="1434"/>
      <c r="AW63" s="804"/>
      <c r="AX63" s="752" t="str">
        <f>IF(OR(I63="",O63="",U63="",Y63="",AB63="",AE63="",$AE$22="",$AL$22=""),"",ROUND(BA63*INDEX(ENDUSEALL[Factor],MATCH("Lighting",ENDUSEALL[End Use to Coincident Peak Demand Factors],0)),4))</f>
        <v/>
      </c>
      <c r="AY63" s="802" t="str">
        <f t="shared" ref="AY63" si="62">IF(OR(I63="",O63="",U63="",Y63="",AB63="",AE63="",$AE$22="",$AL$22="",$Q$22=""),"",ROUND((($Q$22*$X$22)/SUM($Y$31:$AA$70))*Y63*AE63/1000,0))</f>
        <v/>
      </c>
      <c r="AZ63" s="802" t="str">
        <f t="shared" ref="AZ63" si="63">IF(OR(I63="",O63="",U63="",Y63="",AB63="",$AE$22="",$AL$22=""),"",ROUND((AB63*Y63*AE63/1000),0))</f>
        <v/>
      </c>
      <c r="BA63" s="800">
        <f t="shared" ref="BA63" si="64">IFERROR(ROUND($BA$28*(AY63-AZ63),0),0)</f>
        <v>0</v>
      </c>
      <c r="BB63" s="808"/>
      <c r="BC63" s="800"/>
    </row>
    <row r="64" spans="3:55" ht="15.95" customHeight="1" x14ac:dyDescent="0.25">
      <c r="C64" s="568"/>
      <c r="D64" s="525"/>
      <c r="E64" s="525"/>
      <c r="F64" s="525"/>
      <c r="G64" s="525"/>
      <c r="H64" s="1594"/>
      <c r="I64" s="1589"/>
      <c r="J64" s="1062"/>
      <c r="K64" s="1062"/>
      <c r="L64" s="1062"/>
      <c r="M64" s="1062"/>
      <c r="N64" s="1062"/>
      <c r="O64" s="1533"/>
      <c r="P64" s="1533"/>
      <c r="Q64" s="1533"/>
      <c r="R64" s="1533"/>
      <c r="S64" s="1533"/>
      <c r="T64" s="1533"/>
      <c r="U64" s="1245"/>
      <c r="V64" s="1245"/>
      <c r="W64" s="1245"/>
      <c r="X64" s="1245"/>
      <c r="Y64" s="1065"/>
      <c r="Z64" s="1065"/>
      <c r="AA64" s="1065"/>
      <c r="AB64" s="1507"/>
      <c r="AC64" s="1507"/>
      <c r="AD64" s="1507"/>
      <c r="AE64" s="1508"/>
      <c r="AF64" s="1509"/>
      <c r="AG64" s="1510"/>
      <c r="AH64" s="1492"/>
      <c r="AI64" s="1493"/>
      <c r="AJ64" s="1493"/>
      <c r="AK64" s="1493"/>
      <c r="AL64" s="1494"/>
      <c r="AM64" s="525"/>
      <c r="AN64" s="525"/>
      <c r="AO64" s="525"/>
      <c r="AP64" s="525"/>
      <c r="AQ64" s="567"/>
      <c r="AU64" s="1435"/>
      <c r="AV64" s="1435"/>
      <c r="AW64" s="805"/>
      <c r="AX64" s="753"/>
      <c r="AY64" s="803"/>
      <c r="AZ64" s="803"/>
      <c r="BA64" s="801"/>
      <c r="BB64" s="797"/>
      <c r="BC64" s="801"/>
    </row>
    <row r="65" spans="3:55" ht="15.95" customHeight="1" x14ac:dyDescent="0.25">
      <c r="C65" s="568"/>
      <c r="D65" s="525"/>
      <c r="E65" s="525"/>
      <c r="F65" s="525"/>
      <c r="G65" s="525"/>
      <c r="H65" s="1594">
        <v>18</v>
      </c>
      <c r="I65" s="1589"/>
      <c r="J65" s="1062"/>
      <c r="K65" s="1062"/>
      <c r="L65" s="1062"/>
      <c r="M65" s="1062"/>
      <c r="N65" s="1062"/>
      <c r="O65" s="1538"/>
      <c r="P65" s="1538"/>
      <c r="Q65" s="1538"/>
      <c r="R65" s="1538"/>
      <c r="S65" s="1538"/>
      <c r="T65" s="1538"/>
      <c r="U65" s="1245"/>
      <c r="V65" s="1245"/>
      <c r="W65" s="1245"/>
      <c r="X65" s="1245"/>
      <c r="Y65" s="1065"/>
      <c r="Z65" s="1065"/>
      <c r="AA65" s="1065"/>
      <c r="AB65" s="1507"/>
      <c r="AC65" s="1507"/>
      <c r="AD65" s="1507"/>
      <c r="AE65" s="1508"/>
      <c r="AF65" s="1509"/>
      <c r="AG65" s="1510"/>
      <c r="AH65" s="1492" t="str">
        <f t="shared" ref="AH65" si="65">IF(OR(I65="",O65="",U65="",Y65="",AB65="",$AE$22="",$AL$22=""),"",Y65*AB65)</f>
        <v/>
      </c>
      <c r="AI65" s="1493"/>
      <c r="AJ65" s="1493"/>
      <c r="AK65" s="1493"/>
      <c r="AL65" s="1494"/>
      <c r="AM65" s="525"/>
      <c r="AN65" s="525"/>
      <c r="AO65" s="525"/>
      <c r="AP65" s="525"/>
      <c r="AQ65" s="567"/>
      <c r="AU65" s="1434"/>
      <c r="AV65" s="1434"/>
      <c r="AW65" s="804"/>
      <c r="AX65" s="752" t="str">
        <f>IF(OR(I65="",O65="",U65="",Y65="",AB65="",AE65="",$AE$22="",$AL$22=""),"",ROUND(BA65*INDEX(ENDUSEALL[Factor],MATCH("Lighting",ENDUSEALL[End Use to Coincident Peak Demand Factors],0)),4))</f>
        <v/>
      </c>
      <c r="AY65" s="802" t="str">
        <f t="shared" ref="AY65" si="66">IF(OR(I65="",O65="",U65="",Y65="",AB65="",AE65="",$AE$22="",$AL$22="",$Q$22=""),"",ROUND((($Q$22*$X$22)/SUM($Y$31:$AA$70))*Y65*AE65/1000,0))</f>
        <v/>
      </c>
      <c r="AZ65" s="802" t="str">
        <f t="shared" ref="AZ65" si="67">IF(OR(I65="",O65="",U65="",Y65="",AB65="",$AE$22="",$AL$22=""),"",ROUND((AB65*Y65*AE65/1000),0))</f>
        <v/>
      </c>
      <c r="BA65" s="800">
        <f t="shared" ref="BA65" si="68">IFERROR(ROUND($BA$28*(AY65-AZ65),0),0)</f>
        <v>0</v>
      </c>
      <c r="BB65" s="808"/>
      <c r="BC65" s="800"/>
    </row>
    <row r="66" spans="3:55" ht="15.95" customHeight="1" x14ac:dyDescent="0.25">
      <c r="C66" s="568"/>
      <c r="D66" s="525"/>
      <c r="E66" s="525"/>
      <c r="F66" s="525"/>
      <c r="G66" s="525"/>
      <c r="H66" s="1594"/>
      <c r="I66" s="1589"/>
      <c r="J66" s="1062"/>
      <c r="K66" s="1062"/>
      <c r="L66" s="1062"/>
      <c r="M66" s="1062"/>
      <c r="N66" s="1062"/>
      <c r="O66" s="1533"/>
      <c r="P66" s="1533"/>
      <c r="Q66" s="1533"/>
      <c r="R66" s="1533"/>
      <c r="S66" s="1533"/>
      <c r="T66" s="1533"/>
      <c r="U66" s="1245"/>
      <c r="V66" s="1245"/>
      <c r="W66" s="1245"/>
      <c r="X66" s="1245"/>
      <c r="Y66" s="1065"/>
      <c r="Z66" s="1065"/>
      <c r="AA66" s="1065"/>
      <c r="AB66" s="1507"/>
      <c r="AC66" s="1507"/>
      <c r="AD66" s="1507"/>
      <c r="AE66" s="1508"/>
      <c r="AF66" s="1509"/>
      <c r="AG66" s="1510"/>
      <c r="AH66" s="1492"/>
      <c r="AI66" s="1493"/>
      <c r="AJ66" s="1493"/>
      <c r="AK66" s="1493"/>
      <c r="AL66" s="1494"/>
      <c r="AM66" s="525"/>
      <c r="AN66" s="525"/>
      <c r="AO66" s="525"/>
      <c r="AP66" s="525"/>
      <c r="AQ66" s="567"/>
      <c r="AU66" s="1435"/>
      <c r="AV66" s="1435"/>
      <c r="AW66" s="805"/>
      <c r="AX66" s="753"/>
      <c r="AY66" s="803"/>
      <c r="AZ66" s="803"/>
      <c r="BA66" s="801"/>
      <c r="BB66" s="797"/>
      <c r="BC66" s="801"/>
    </row>
    <row r="67" spans="3:55" ht="15.95" customHeight="1" x14ac:dyDescent="0.25">
      <c r="C67" s="568"/>
      <c r="D67" s="525"/>
      <c r="E67" s="525"/>
      <c r="F67" s="525"/>
      <c r="G67" s="525"/>
      <c r="H67" s="1594">
        <v>19</v>
      </c>
      <c r="I67" s="1589"/>
      <c r="J67" s="1062"/>
      <c r="K67" s="1062"/>
      <c r="L67" s="1062"/>
      <c r="M67" s="1062"/>
      <c r="N67" s="1062"/>
      <c r="O67" s="1538"/>
      <c r="P67" s="1538"/>
      <c r="Q67" s="1538"/>
      <c r="R67" s="1538"/>
      <c r="S67" s="1538"/>
      <c r="T67" s="1538"/>
      <c r="U67" s="1245"/>
      <c r="V67" s="1245"/>
      <c r="W67" s="1245"/>
      <c r="X67" s="1245"/>
      <c r="Y67" s="1065"/>
      <c r="Z67" s="1065"/>
      <c r="AA67" s="1065"/>
      <c r="AB67" s="1507"/>
      <c r="AC67" s="1507"/>
      <c r="AD67" s="1507"/>
      <c r="AE67" s="1605"/>
      <c r="AF67" s="1606"/>
      <c r="AG67" s="1607"/>
      <c r="AH67" s="1495" t="str">
        <f t="shared" ref="AH67" si="69">IF(OR(I67="",O67="",U67="",Y67="",AB67="",$AE$22="",$AL$22=""),"",Y67*AB67)</f>
        <v/>
      </c>
      <c r="AI67" s="1496"/>
      <c r="AJ67" s="1496"/>
      <c r="AK67" s="1496"/>
      <c r="AL67" s="1497"/>
      <c r="AM67" s="525"/>
      <c r="AN67" s="525"/>
      <c r="AO67" s="525"/>
      <c r="AP67" s="525"/>
      <c r="AQ67" s="567"/>
      <c r="AU67" s="1434"/>
      <c r="AV67" s="1434"/>
      <c r="AW67" s="804"/>
      <c r="AX67" s="752" t="str">
        <f>IF(OR(I67="",O67="",U67="",Y67="",AB67="",AE67="",$AE$22="",$AL$22=""),"",ROUND(BA67*INDEX(ENDUSEALL[Factor],MATCH("Lighting",ENDUSEALL[End Use to Coincident Peak Demand Factors],0)),4))</f>
        <v/>
      </c>
      <c r="AY67" s="802" t="str">
        <f t="shared" ref="AY67" si="70">IF(OR(I67="",O67="",U67="",Y67="",AB67="",AE67="",$AE$22="",$AL$22="",$Q$22=""),"",ROUND((($Q$22*$X$22)/SUM($Y$31:$AA$70))*Y67*AE67/1000,0))</f>
        <v/>
      </c>
      <c r="AZ67" s="802" t="str">
        <f t="shared" ref="AZ67" si="71">IF(OR(I67="",O67="",U67="",Y67="",AB67="",$AE$22="",$AL$22=""),"",ROUND((AB67*Y67*AE67/1000),0))</f>
        <v/>
      </c>
      <c r="BA67" s="800">
        <f t="shared" ref="BA67" si="72">IFERROR(ROUND($BA$28*(AY67-AZ67),0),0)</f>
        <v>0</v>
      </c>
      <c r="BB67" s="808"/>
      <c r="BC67" s="800"/>
    </row>
    <row r="68" spans="3:55" ht="15.95" customHeight="1" x14ac:dyDescent="0.25">
      <c r="C68" s="568"/>
      <c r="D68" s="525"/>
      <c r="E68" s="525"/>
      <c r="F68" s="525"/>
      <c r="G68" s="525"/>
      <c r="H68" s="1594"/>
      <c r="I68" s="1589"/>
      <c r="J68" s="1062"/>
      <c r="K68" s="1062"/>
      <c r="L68" s="1062"/>
      <c r="M68" s="1062"/>
      <c r="N68" s="1062"/>
      <c r="O68" s="1533"/>
      <c r="P68" s="1533"/>
      <c r="Q68" s="1533"/>
      <c r="R68" s="1533"/>
      <c r="S68" s="1533"/>
      <c r="T68" s="1533"/>
      <c r="U68" s="1245"/>
      <c r="V68" s="1245"/>
      <c r="W68" s="1245"/>
      <c r="X68" s="1245"/>
      <c r="Y68" s="1065"/>
      <c r="Z68" s="1065"/>
      <c r="AA68" s="1065"/>
      <c r="AB68" s="1507"/>
      <c r="AC68" s="1507"/>
      <c r="AD68" s="1507"/>
      <c r="AE68" s="1608"/>
      <c r="AF68" s="1609"/>
      <c r="AG68" s="1610"/>
      <c r="AH68" s="1498"/>
      <c r="AI68" s="1499"/>
      <c r="AJ68" s="1499"/>
      <c r="AK68" s="1499"/>
      <c r="AL68" s="1500"/>
      <c r="AM68" s="525"/>
      <c r="AN68" s="525"/>
      <c r="AO68" s="525"/>
      <c r="AP68" s="525"/>
      <c r="AQ68" s="567"/>
      <c r="AU68" s="1435"/>
      <c r="AV68" s="1435"/>
      <c r="AW68" s="805"/>
      <c r="AX68" s="753"/>
      <c r="AY68" s="803"/>
      <c r="AZ68" s="803"/>
      <c r="BA68" s="801"/>
      <c r="BB68" s="797"/>
      <c r="BC68" s="801"/>
    </row>
    <row r="69" spans="3:55" ht="15.95" customHeight="1" x14ac:dyDescent="0.25">
      <c r="C69" s="568"/>
      <c r="D69" s="525"/>
      <c r="E69" s="525"/>
      <c r="F69" s="525"/>
      <c r="G69" s="525"/>
      <c r="H69" s="1594">
        <v>20</v>
      </c>
      <c r="I69" s="1589"/>
      <c r="J69" s="1062"/>
      <c r="K69" s="1062"/>
      <c r="L69" s="1062"/>
      <c r="M69" s="1062"/>
      <c r="N69" s="1062"/>
      <c r="O69" s="1533"/>
      <c r="P69" s="1533"/>
      <c r="Q69" s="1533"/>
      <c r="R69" s="1533"/>
      <c r="S69" s="1533"/>
      <c r="T69" s="1533"/>
      <c r="U69" s="1245"/>
      <c r="V69" s="1245"/>
      <c r="W69" s="1245"/>
      <c r="X69" s="1245"/>
      <c r="Y69" s="1065"/>
      <c r="Z69" s="1065"/>
      <c r="AA69" s="1065"/>
      <c r="AB69" s="1507"/>
      <c r="AC69" s="1507"/>
      <c r="AD69" s="1507"/>
      <c r="AE69" s="1486"/>
      <c r="AF69" s="1487"/>
      <c r="AG69" s="1488"/>
      <c r="AH69" s="1501" t="str">
        <f t="shared" ref="AH69" si="73">IF(OR(I69="",O69="",U69="",Y69="",AB69="",$AE$22="",$AL$22=""),"",Y69*AB69)</f>
        <v/>
      </c>
      <c r="AI69" s="1502"/>
      <c r="AJ69" s="1502"/>
      <c r="AK69" s="1502"/>
      <c r="AL69" s="1503"/>
      <c r="AM69" s="525"/>
      <c r="AN69" s="525"/>
      <c r="AO69" s="525"/>
      <c r="AP69" s="525"/>
      <c r="AQ69" s="567"/>
      <c r="AU69" s="1434"/>
      <c r="AV69" s="1434"/>
      <c r="AW69" s="804"/>
      <c r="AX69" s="752" t="str">
        <f>IF(OR(I69="",O69="",U69="",Y69="",AB69="",AE69="",$AE$22="",$AL$22=""),"",ROUND(BA69*INDEX(ENDUSEALL[Factor],MATCH("Lighting",ENDUSEALL[End Use to Coincident Peak Demand Factors],0)),4))</f>
        <v/>
      </c>
      <c r="AY69" s="802" t="str">
        <f t="shared" ref="AY69" si="74">IF(OR(I69="",O69="",U69="",Y69="",AB69="",AE69="",$AE$22="",$AL$22="",$Q$22=""),"",ROUND((($Q$22*$X$22)/SUM($Y$31:$AA$70))*Y69*AE69/1000,0))</f>
        <v/>
      </c>
      <c r="AZ69" s="802" t="str">
        <f t="shared" ref="AZ69" si="75">IF(OR(I69="",O69="",U69="",Y69="",AB69="",$AE$22="",$AL$22=""),"",ROUND((AB69*Y69*AE69/1000),0))</f>
        <v/>
      </c>
      <c r="BA69" s="800">
        <f t="shared" ref="BA69" si="76">IFERROR(ROUND($BA$28*(AY69-AZ69),0),0)</f>
        <v>0</v>
      </c>
      <c r="BB69" s="808"/>
      <c r="BC69" s="800"/>
    </row>
    <row r="70" spans="3:55" ht="15.95" customHeight="1" thickBot="1" x14ac:dyDescent="0.3">
      <c r="C70" s="568"/>
      <c r="D70" s="525"/>
      <c r="E70" s="525"/>
      <c r="F70" s="525"/>
      <c r="G70" s="525"/>
      <c r="H70" s="1594"/>
      <c r="I70" s="1590"/>
      <c r="J70" s="1591"/>
      <c r="K70" s="1591"/>
      <c r="L70" s="1591"/>
      <c r="M70" s="1591"/>
      <c r="N70" s="1591"/>
      <c r="O70" s="1592"/>
      <c r="P70" s="1592"/>
      <c r="Q70" s="1592"/>
      <c r="R70" s="1592"/>
      <c r="S70" s="1592"/>
      <c r="T70" s="1592"/>
      <c r="U70" s="1593"/>
      <c r="V70" s="1593"/>
      <c r="W70" s="1593"/>
      <c r="X70" s="1593"/>
      <c r="Y70" s="1595"/>
      <c r="Z70" s="1595"/>
      <c r="AA70" s="1595"/>
      <c r="AB70" s="1596"/>
      <c r="AC70" s="1596"/>
      <c r="AD70" s="1596"/>
      <c r="AE70" s="1489"/>
      <c r="AF70" s="1490"/>
      <c r="AG70" s="1491"/>
      <c r="AH70" s="1504"/>
      <c r="AI70" s="1505"/>
      <c r="AJ70" s="1505"/>
      <c r="AK70" s="1505"/>
      <c r="AL70" s="1506"/>
      <c r="AM70" s="525"/>
      <c r="AN70" s="525"/>
      <c r="AO70" s="525"/>
      <c r="AP70" s="525"/>
      <c r="AQ70" s="567"/>
      <c r="AU70" s="1435"/>
      <c r="AV70" s="1435"/>
      <c r="AW70" s="805"/>
      <c r="AX70" s="753"/>
      <c r="AY70" s="803"/>
      <c r="AZ70" s="803"/>
      <c r="BA70" s="801"/>
      <c r="BB70" s="797"/>
      <c r="BC70" s="801"/>
    </row>
    <row r="71" spans="3:55" ht="15.95" customHeight="1" thickBot="1" x14ac:dyDescent="0.3">
      <c r="C71" s="571"/>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72"/>
      <c r="AU71" s="1516"/>
      <c r="AV71" s="1516"/>
      <c r="AW71" s="1518">
        <f>SUM(AW31:AW70)</f>
        <v>0</v>
      </c>
      <c r="AX71" s="1520">
        <f>SUM(AX31:AX70)</f>
        <v>0</v>
      </c>
      <c r="AY71" s="1522">
        <f>SUM(AY31:AY70)</f>
        <v>0</v>
      </c>
      <c r="AZ71" s="1522">
        <f>SUM(AZ31:AZ70)</f>
        <v>0</v>
      </c>
      <c r="BA71" s="1524">
        <f>SUM(BA31:BA70)</f>
        <v>0</v>
      </c>
      <c r="BB71" s="1522"/>
      <c r="BC71" s="1524"/>
    </row>
    <row r="72" spans="3:55" ht="15.95" customHeight="1" thickTop="1" thickBot="1" x14ac:dyDescent="0.3">
      <c r="AU72" s="1517"/>
      <c r="AV72" s="1517"/>
      <c r="AW72" s="1519"/>
      <c r="AX72" s="1521"/>
      <c r="AY72" s="1523"/>
      <c r="AZ72" s="1523"/>
      <c r="BA72" s="1525"/>
      <c r="BB72" s="1523"/>
      <c r="BC72" s="1525"/>
    </row>
    <row r="73" spans="3:55" ht="15.95" customHeight="1" thickTop="1" x14ac:dyDescent="0.25">
      <c r="C73" s="528"/>
      <c r="D73" s="529"/>
      <c r="E73" s="529"/>
      <c r="F73" s="529"/>
      <c r="G73" s="529"/>
      <c r="H73" s="529"/>
      <c r="I73" s="529"/>
      <c r="J73" s="529"/>
      <c r="K73" s="529"/>
      <c r="L73" s="529"/>
      <c r="M73" s="529"/>
      <c r="N73" s="529"/>
      <c r="O73" s="529"/>
      <c r="P73" s="529"/>
      <c r="Q73" s="529"/>
      <c r="R73" s="1557" t="s">
        <v>2312</v>
      </c>
      <c r="S73" s="1557"/>
      <c r="T73" s="1557"/>
      <c r="U73" s="1557"/>
      <c r="V73" s="1557"/>
      <c r="W73" s="1557"/>
      <c r="X73" s="1557"/>
      <c r="Y73" s="1557"/>
      <c r="Z73" s="1557"/>
      <c r="AA73" s="1557"/>
      <c r="AB73" s="1557"/>
      <c r="AC73" s="1557"/>
      <c r="AD73" s="529"/>
      <c r="AE73" s="529"/>
      <c r="AF73" s="529"/>
      <c r="AG73" s="529"/>
      <c r="AH73" s="529"/>
      <c r="AI73" s="529"/>
      <c r="AJ73" s="529"/>
      <c r="AK73" s="529"/>
      <c r="AL73" s="529"/>
      <c r="AM73" s="529"/>
      <c r="AN73" s="529"/>
      <c r="AO73" s="529"/>
      <c r="AP73" s="529"/>
      <c r="AQ73" s="535"/>
    </row>
    <row r="74" spans="3:55" ht="15.95" customHeight="1" x14ac:dyDescent="0.25">
      <c r="C74" s="530"/>
      <c r="D74" s="531"/>
      <c r="E74" s="531"/>
      <c r="F74" s="531"/>
      <c r="G74" s="531"/>
      <c r="H74" s="531"/>
      <c r="I74" s="531"/>
      <c r="J74" s="531"/>
      <c r="K74" s="531"/>
      <c r="L74" s="531"/>
      <c r="M74" s="531"/>
      <c r="N74" s="531"/>
      <c r="O74" s="531"/>
      <c r="P74" s="531"/>
      <c r="Q74" s="531"/>
      <c r="R74" s="1558"/>
      <c r="S74" s="1558"/>
      <c r="T74" s="1558"/>
      <c r="U74" s="1558"/>
      <c r="V74" s="1558"/>
      <c r="W74" s="1558"/>
      <c r="X74" s="1558"/>
      <c r="Y74" s="1558"/>
      <c r="Z74" s="1558"/>
      <c r="AA74" s="1558"/>
      <c r="AB74" s="1558"/>
      <c r="AC74" s="1558"/>
      <c r="AD74" s="531"/>
      <c r="AE74" s="531"/>
      <c r="AF74" s="531"/>
      <c r="AG74" s="531"/>
      <c r="AH74" s="531"/>
      <c r="AI74" s="531"/>
      <c r="AJ74" s="531"/>
      <c r="AK74" s="531"/>
      <c r="AL74" s="531"/>
      <c r="AM74" s="531"/>
      <c r="AN74" s="531" t="s">
        <v>2337</v>
      </c>
      <c r="AO74" s="531"/>
      <c r="AP74" s="531"/>
      <c r="AQ74" s="536"/>
    </row>
    <row r="75" spans="3:55" ht="15.95" customHeight="1" x14ac:dyDescent="0.25">
      <c r="C75" s="530"/>
      <c r="D75" s="531"/>
      <c r="E75" s="531"/>
      <c r="F75" s="531"/>
      <c r="G75" s="531"/>
      <c r="H75" s="531"/>
      <c r="I75" s="531"/>
      <c r="J75" s="531"/>
      <c r="K75" s="531"/>
      <c r="L75" s="531"/>
      <c r="M75" s="531"/>
      <c r="N75" s="531"/>
      <c r="O75" s="531"/>
      <c r="P75" s="531"/>
      <c r="Q75" s="531"/>
      <c r="R75" s="531"/>
      <c r="S75" s="531"/>
      <c r="T75" s="531"/>
      <c r="U75" s="531"/>
      <c r="V75" s="531"/>
      <c r="W75" s="531"/>
      <c r="X75" s="531"/>
      <c r="Y75" s="531"/>
      <c r="Z75" s="531"/>
      <c r="AA75" s="531"/>
      <c r="AB75" s="531"/>
      <c r="AC75" s="531"/>
      <c r="AD75" s="531"/>
      <c r="AE75" s="531"/>
      <c r="AF75" s="531"/>
      <c r="AG75" s="531"/>
      <c r="AH75" s="531"/>
      <c r="AI75" s="531"/>
      <c r="AJ75" s="531"/>
      <c r="AK75" s="531"/>
      <c r="AL75" s="531"/>
      <c r="AM75" s="531"/>
      <c r="AN75" s="531"/>
      <c r="AO75" s="531"/>
      <c r="AP75" s="531"/>
      <c r="AQ75" s="536"/>
    </row>
    <row r="76" spans="3:55" ht="15.95" customHeight="1" thickBot="1" x14ac:dyDescent="0.3">
      <c r="C76" s="530"/>
      <c r="D76" s="537" t="s">
        <v>2304</v>
      </c>
      <c r="E76" s="531"/>
      <c r="F76" s="531"/>
      <c r="G76" s="531"/>
      <c r="H76" s="531"/>
      <c r="I76" s="531"/>
      <c r="J76" s="537" t="s">
        <v>295</v>
      </c>
      <c r="K76" s="531"/>
      <c r="L76" s="531"/>
      <c r="M76" s="531"/>
      <c r="N76" s="531"/>
      <c r="O76" s="531"/>
      <c r="P76" s="531"/>
      <c r="Q76" s="537" t="s">
        <v>2255</v>
      </c>
      <c r="R76" s="531"/>
      <c r="S76" s="531"/>
      <c r="T76" s="531"/>
      <c r="U76" s="531"/>
      <c r="V76" s="531"/>
      <c r="W76" s="531"/>
      <c r="X76" s="537" t="s">
        <v>82</v>
      </c>
      <c r="Y76" s="531"/>
      <c r="Z76" s="531"/>
      <c r="AA76" s="531"/>
      <c r="AB76" s="531"/>
      <c r="AC76" s="531"/>
      <c r="AD76" s="531"/>
      <c r="AE76" s="537" t="s">
        <v>1989</v>
      </c>
      <c r="AF76" s="531"/>
      <c r="AG76" s="531"/>
      <c r="AH76" s="531"/>
      <c r="AI76" s="531"/>
      <c r="AJ76" s="531"/>
      <c r="AK76" s="531"/>
      <c r="AL76" s="537" t="s">
        <v>2333</v>
      </c>
      <c r="AM76" s="531"/>
      <c r="AN76" s="531"/>
      <c r="AO76" s="531"/>
      <c r="AP76" s="531"/>
      <c r="AQ76" s="536"/>
    </row>
    <row r="77" spans="3:55" ht="15.95" customHeight="1" thickBot="1" x14ac:dyDescent="0.3">
      <c r="C77" s="530"/>
      <c r="D77" s="660"/>
      <c r="E77" s="1481"/>
      <c r="F77" s="1481"/>
      <c r="G77" s="1481"/>
      <c r="H77" s="1482"/>
      <c r="I77" s="573"/>
      <c r="J77" s="660"/>
      <c r="K77" s="1481"/>
      <c r="L77" s="1481"/>
      <c r="M77" s="1481"/>
      <c r="N77" s="1481"/>
      <c r="O77" s="1482"/>
      <c r="P77" s="531"/>
      <c r="Q77" s="1559" t="str">
        <f>IF(OR(J77="",D77=""),"",INDEX(NCLPD[#Data],MATCH(J77,NCLPD[Building Area Type],0),MATCH(D77,NCLPD[#Headers],0)))</f>
        <v/>
      </c>
      <c r="R77" s="1560"/>
      <c r="S77" s="1560"/>
      <c r="T77" s="1560"/>
      <c r="U77" s="1560"/>
      <c r="V77" s="1561"/>
      <c r="W77" s="531"/>
      <c r="X77" s="1562"/>
      <c r="Y77" s="1563"/>
      <c r="Z77" s="1563"/>
      <c r="AA77" s="1563"/>
      <c r="AB77" s="1563"/>
      <c r="AC77" s="1564"/>
      <c r="AD77" s="531"/>
      <c r="AE77" s="1483"/>
      <c r="AF77" s="1484"/>
      <c r="AG77" s="1484"/>
      <c r="AH77" s="1484"/>
      <c r="AI77" s="1484"/>
      <c r="AJ77" s="1485"/>
      <c r="AK77" s="531"/>
      <c r="AL77" s="1483"/>
      <c r="AM77" s="1484"/>
      <c r="AN77" s="1484"/>
      <c r="AO77" s="1484"/>
      <c r="AP77" s="1485"/>
      <c r="AQ77" s="536"/>
    </row>
    <row r="78" spans="3:55" ht="15.95" customHeight="1" x14ac:dyDescent="0.25">
      <c r="C78" s="530"/>
      <c r="D78" s="531"/>
      <c r="E78" s="531"/>
      <c r="F78" s="531"/>
      <c r="G78" s="531"/>
      <c r="H78" s="531"/>
      <c r="I78" s="531"/>
      <c r="J78" s="531"/>
      <c r="K78" s="531"/>
      <c r="L78" s="531"/>
      <c r="M78" s="531"/>
      <c r="N78" s="531"/>
      <c r="O78" s="531"/>
      <c r="P78" s="531"/>
      <c r="Q78" s="531"/>
      <c r="R78" s="531" t="s">
        <v>2313</v>
      </c>
      <c r="S78" s="531"/>
      <c r="T78" s="531"/>
      <c r="U78" s="531"/>
      <c r="V78" s="531"/>
      <c r="W78" s="531"/>
      <c r="X78" s="531"/>
      <c r="Y78" s="531"/>
      <c r="Z78" s="531"/>
      <c r="AA78" s="531"/>
      <c r="AB78" s="531"/>
      <c r="AC78" s="531"/>
      <c r="AD78" s="531"/>
      <c r="AE78" s="531"/>
      <c r="AF78" s="531"/>
      <c r="AG78" s="531"/>
      <c r="AH78" s="531"/>
      <c r="AI78" s="531"/>
      <c r="AJ78" s="531"/>
      <c r="AK78" s="531"/>
      <c r="AL78" s="531"/>
      <c r="AM78" s="531"/>
      <c r="AN78" s="531"/>
      <c r="AO78" s="531"/>
      <c r="AP78" s="531"/>
      <c r="AQ78" s="536"/>
    </row>
    <row r="79" spans="3:55" ht="15.95" customHeight="1" x14ac:dyDescent="0.25">
      <c r="C79" s="530"/>
      <c r="D79" s="531"/>
      <c r="E79" s="531"/>
      <c r="F79" s="531"/>
      <c r="G79" s="531"/>
      <c r="H79" s="531"/>
      <c r="I79" s="531"/>
      <c r="J79" s="537"/>
      <c r="K79" s="537"/>
      <c r="L79" s="537"/>
      <c r="M79" s="537"/>
      <c r="N79" s="531"/>
      <c r="O79" s="531"/>
      <c r="P79" s="537"/>
      <c r="Q79" s="537"/>
      <c r="R79" s="537"/>
      <c r="S79" s="537"/>
      <c r="T79" s="531"/>
      <c r="U79" s="531"/>
      <c r="V79" s="537"/>
      <c r="W79" s="537"/>
      <c r="X79" s="537"/>
      <c r="Y79" s="537"/>
      <c r="Z79" s="537"/>
      <c r="AA79" s="531"/>
      <c r="AB79" s="531"/>
      <c r="AC79" s="537"/>
      <c r="AD79" s="537"/>
      <c r="AE79" s="537"/>
      <c r="AF79" s="537"/>
      <c r="AG79" s="531"/>
      <c r="AH79" s="1565" t="s">
        <v>2315</v>
      </c>
      <c r="AI79" s="1565"/>
      <c r="AJ79" s="1565"/>
      <c r="AK79" s="1565"/>
      <c r="AL79" s="1565"/>
      <c r="AM79" s="531"/>
      <c r="AN79" s="531"/>
      <c r="AO79" s="531"/>
      <c r="AP79" s="531"/>
      <c r="AQ79" s="536"/>
    </row>
    <row r="80" spans="3:55" ht="15.95" customHeight="1" x14ac:dyDescent="0.25">
      <c r="C80" s="530"/>
      <c r="D80" s="531"/>
      <c r="E80" s="531"/>
      <c r="F80" s="531"/>
      <c r="G80" s="531"/>
      <c r="H80" s="531"/>
      <c r="I80" s="1568" t="s">
        <v>2260</v>
      </c>
      <c r="J80" s="1568"/>
      <c r="K80" s="1568"/>
      <c r="L80" s="1568"/>
      <c r="M80" s="1568"/>
      <c r="N80" s="531"/>
      <c r="O80" s="1568" t="s">
        <v>2307</v>
      </c>
      <c r="P80" s="1568"/>
      <c r="Q80" s="1568"/>
      <c r="R80" s="1568"/>
      <c r="S80" s="1568"/>
      <c r="T80" s="531"/>
      <c r="U80" s="1568" t="s">
        <v>2308</v>
      </c>
      <c r="V80" s="1568"/>
      <c r="W80" s="1568"/>
      <c r="X80" s="1568"/>
      <c r="Y80" s="1568"/>
      <c r="Z80" s="1568"/>
      <c r="AA80" s="531"/>
      <c r="AB80" s="1568" t="s">
        <v>2309</v>
      </c>
      <c r="AC80" s="1568"/>
      <c r="AD80" s="1568"/>
      <c r="AE80" s="1568"/>
      <c r="AF80" s="1568"/>
      <c r="AG80" s="531"/>
      <c r="AH80" s="1566"/>
      <c r="AI80" s="1566"/>
      <c r="AJ80" s="1566"/>
      <c r="AK80" s="1566"/>
      <c r="AL80" s="1566"/>
      <c r="AM80" s="531"/>
      <c r="AN80" s="531"/>
      <c r="AO80" s="531"/>
      <c r="AP80" s="531"/>
      <c r="AQ80" s="536"/>
    </row>
    <row r="81" spans="3:55" ht="15.95" customHeight="1" x14ac:dyDescent="0.25">
      <c r="C81" s="530"/>
      <c r="D81" s="531"/>
      <c r="E81" s="531"/>
      <c r="F81" s="531"/>
      <c r="G81" s="531"/>
      <c r="H81" s="531"/>
      <c r="I81" s="1599" t="str">
        <f>IFERROR(IF(OR($D$77="",$J$77="",$Q$77="",$X$77=""),"",ROUND($Q$77*$X$77,0)),"")</f>
        <v/>
      </c>
      <c r="J81" s="1600"/>
      <c r="K81" s="1600"/>
      <c r="L81" s="1600"/>
      <c r="M81" s="1601"/>
      <c r="N81" s="531"/>
      <c r="O81" s="1599" t="str">
        <f>IFERROR(IF(COUNT(AH86:AL125)&gt;0,ROUND(SUM(AH86:AL125),0),""),"")</f>
        <v/>
      </c>
      <c r="P81" s="1600"/>
      <c r="Q81" s="1600"/>
      <c r="R81" s="1600"/>
      <c r="S81" s="1601"/>
      <c r="T81" s="531"/>
      <c r="U81" s="1583" t="str">
        <f>IFERROR(IF($I$81-$O$81&lt;0,"No Savings",ROUND($I$81-$O$81,0)),"")</f>
        <v/>
      </c>
      <c r="V81" s="1584"/>
      <c r="W81" s="1584"/>
      <c r="X81" s="1584"/>
      <c r="Y81" s="1584"/>
      <c r="Z81" s="1585"/>
      <c r="AA81" s="531"/>
      <c r="AB81" s="1569" t="str">
        <f>IFERROR(IF($I$81-$O$81&lt;0,"No Savings",ROUND(SUM(BA86:BA125),0)),"")</f>
        <v/>
      </c>
      <c r="AC81" s="1570"/>
      <c r="AD81" s="1570"/>
      <c r="AE81" s="1570"/>
      <c r="AF81" s="1571"/>
      <c r="AG81" s="531"/>
      <c r="AH81" s="1577" t="str">
        <f>IFERROR(IF(M02S02F44="","Update Install Status",IF(OR(OR(M02S02F49="",M02S02F49="No"),M02S02F44="Yes"),"Not Eligible",IF(M02S02F50="","Use Redesign Section to Enter Market Baseline",IF(I81-O81&lt;0,"No Incentive",ROUND(U81*LPDRATE,2))))),"")</f>
        <v>Update Install Status</v>
      </c>
      <c r="AI81" s="1578"/>
      <c r="AJ81" s="1578"/>
      <c r="AK81" s="1578"/>
      <c r="AL81" s="1579"/>
      <c r="AM81" s="531"/>
      <c r="AN81" s="531"/>
      <c r="AO81" s="531"/>
      <c r="AP81" s="531"/>
      <c r="AQ81" s="536"/>
    </row>
    <row r="82" spans="3:55" ht="15.95" customHeight="1" x14ac:dyDescent="0.25">
      <c r="C82" s="530"/>
      <c r="D82" s="531"/>
      <c r="E82" s="531"/>
      <c r="F82" s="531"/>
      <c r="G82" s="531"/>
      <c r="H82" s="531"/>
      <c r="I82" s="1602"/>
      <c r="J82" s="1603"/>
      <c r="K82" s="1603"/>
      <c r="L82" s="1603"/>
      <c r="M82" s="1604"/>
      <c r="N82" s="531"/>
      <c r="O82" s="1602"/>
      <c r="P82" s="1603"/>
      <c r="Q82" s="1603"/>
      <c r="R82" s="1603"/>
      <c r="S82" s="1604"/>
      <c r="T82" s="538"/>
      <c r="U82" s="1586"/>
      <c r="V82" s="1587"/>
      <c r="W82" s="1587"/>
      <c r="X82" s="1587"/>
      <c r="Y82" s="1587"/>
      <c r="Z82" s="1588"/>
      <c r="AA82" s="531"/>
      <c r="AB82" s="1572"/>
      <c r="AC82" s="1573"/>
      <c r="AD82" s="1573"/>
      <c r="AE82" s="1573"/>
      <c r="AF82" s="1574"/>
      <c r="AG82" s="531"/>
      <c r="AH82" s="1580"/>
      <c r="AI82" s="1581"/>
      <c r="AJ82" s="1581"/>
      <c r="AK82" s="1581"/>
      <c r="AL82" s="1582"/>
      <c r="AM82" s="531"/>
      <c r="AN82" s="531"/>
      <c r="AO82" s="531"/>
      <c r="AP82" s="531"/>
      <c r="AQ82" s="536"/>
      <c r="BA82" t="s">
        <v>2251</v>
      </c>
      <c r="BB82" s="37" t="b">
        <v>0</v>
      </c>
    </row>
    <row r="83" spans="3:55" ht="15.95" customHeight="1" thickBot="1" x14ac:dyDescent="0.3">
      <c r="C83" s="530"/>
      <c r="D83" s="531"/>
      <c r="E83" s="531"/>
      <c r="F83" s="531"/>
      <c r="G83" s="531"/>
      <c r="H83" s="531"/>
      <c r="I83" s="531"/>
      <c r="J83" s="531"/>
      <c r="K83" s="531"/>
      <c r="L83" s="531"/>
      <c r="M83" s="531"/>
      <c r="N83" s="531"/>
      <c r="O83" s="531"/>
      <c r="P83" s="531"/>
      <c r="Q83" s="531"/>
      <c r="R83" s="531"/>
      <c r="S83" s="531"/>
      <c r="T83" s="531"/>
      <c r="U83" s="531"/>
      <c r="V83" s="531"/>
      <c r="W83" s="531"/>
      <c r="X83" s="531"/>
      <c r="Y83" s="531"/>
      <c r="Z83" s="531"/>
      <c r="AA83" s="531"/>
      <c r="AB83" s="531"/>
      <c r="AC83" s="531"/>
      <c r="AD83" s="531"/>
      <c r="AE83" s="531"/>
      <c r="AF83" s="531"/>
      <c r="AG83" s="531"/>
      <c r="AH83" s="531"/>
      <c r="AI83" s="531"/>
      <c r="AJ83" s="531"/>
      <c r="AK83" s="531"/>
      <c r="AL83" s="531"/>
      <c r="AM83" s="531"/>
      <c r="AN83" s="531"/>
      <c r="AO83" s="531"/>
      <c r="AP83" s="531"/>
      <c r="AQ83" s="536"/>
      <c r="AU83" s="469" t="s">
        <v>1417</v>
      </c>
      <c r="AV83" s="69"/>
      <c r="AW83" s="253"/>
      <c r="AX83" s="253"/>
      <c r="AY83" s="253"/>
      <c r="AZ83" s="253"/>
      <c r="BA83" s="386">
        <f>IF(M02S02F32="",1,IF($BB$82=TRUE,1,INDEX(SPACEHEAT[HIF],MATCH(M02S02F32,SHEAT,0))))</f>
        <v>1</v>
      </c>
      <c r="BB83" s="253"/>
      <c r="BC83" s="253"/>
    </row>
    <row r="84" spans="3:55" ht="15.95" customHeight="1" x14ac:dyDescent="0.25">
      <c r="C84" s="530"/>
      <c r="D84" s="531"/>
      <c r="E84" s="531"/>
      <c r="F84" s="531"/>
      <c r="G84" s="531"/>
      <c r="H84" s="531"/>
      <c r="I84" s="1597" t="s">
        <v>2258</v>
      </c>
      <c r="J84" s="1554"/>
      <c r="K84" s="1554"/>
      <c r="L84" s="1554"/>
      <c r="M84" s="1554"/>
      <c r="N84" s="1554"/>
      <c r="O84" s="1553" t="s">
        <v>2374</v>
      </c>
      <c r="P84" s="1554"/>
      <c r="Q84" s="1554"/>
      <c r="R84" s="1554"/>
      <c r="S84" s="1554"/>
      <c r="T84" s="1554"/>
      <c r="U84" s="1555" t="s">
        <v>2256</v>
      </c>
      <c r="V84" s="1555"/>
      <c r="W84" s="1555"/>
      <c r="X84" s="1555"/>
      <c r="Y84" s="1555" t="s">
        <v>2257</v>
      </c>
      <c r="Z84" s="1555"/>
      <c r="AA84" s="1555"/>
      <c r="AB84" s="1555" t="s">
        <v>94</v>
      </c>
      <c r="AC84" s="1555"/>
      <c r="AD84" s="1555"/>
      <c r="AE84" s="1553" t="s">
        <v>1147</v>
      </c>
      <c r="AF84" s="1553"/>
      <c r="AG84" s="1553"/>
      <c r="AH84" s="1636" t="s">
        <v>2259</v>
      </c>
      <c r="AI84" s="1636"/>
      <c r="AJ84" s="1636"/>
      <c r="AK84" s="1636"/>
      <c r="AL84" s="1637"/>
      <c r="AM84" s="531"/>
      <c r="AN84" s="531"/>
      <c r="AO84" s="531"/>
      <c r="AP84" s="531"/>
      <c r="AQ84" s="536"/>
      <c r="AU84" s="1514" t="s">
        <v>561</v>
      </c>
      <c r="AV84" s="1526" t="s">
        <v>208</v>
      </c>
      <c r="AW84" s="1527"/>
      <c r="AX84" s="799" t="s">
        <v>192</v>
      </c>
      <c r="AY84" s="799" t="s">
        <v>207</v>
      </c>
      <c r="AZ84" s="799" t="s">
        <v>193</v>
      </c>
      <c r="BA84" s="745" t="s">
        <v>2309</v>
      </c>
      <c r="BB84" s="1514"/>
    </row>
    <row r="85" spans="3:55" ht="15.95" customHeight="1" thickBot="1" x14ac:dyDescent="0.3">
      <c r="C85" s="530"/>
      <c r="D85" s="531"/>
      <c r="E85" s="531"/>
      <c r="F85" s="531"/>
      <c r="G85" s="531"/>
      <c r="H85" s="531"/>
      <c r="I85" s="1598"/>
      <c r="J85" s="1064"/>
      <c r="K85" s="1064"/>
      <c r="L85" s="1064"/>
      <c r="M85" s="1064"/>
      <c r="N85" s="1064"/>
      <c r="O85" s="1064"/>
      <c r="P85" s="1064"/>
      <c r="Q85" s="1064"/>
      <c r="R85" s="1064"/>
      <c r="S85" s="1064"/>
      <c r="T85" s="1064"/>
      <c r="U85" s="1556"/>
      <c r="V85" s="1556"/>
      <c r="W85" s="1556"/>
      <c r="X85" s="1556"/>
      <c r="Y85" s="1556"/>
      <c r="Z85" s="1556"/>
      <c r="AA85" s="1556"/>
      <c r="AB85" s="1556"/>
      <c r="AC85" s="1556"/>
      <c r="AD85" s="1556"/>
      <c r="AE85" s="1617"/>
      <c r="AF85" s="1617"/>
      <c r="AG85" s="1617"/>
      <c r="AH85" s="1414"/>
      <c r="AI85" s="1414"/>
      <c r="AJ85" s="1414"/>
      <c r="AK85" s="1414"/>
      <c r="AL85" s="1638"/>
      <c r="AM85" s="531"/>
      <c r="AN85" s="531"/>
      <c r="AO85" s="531"/>
      <c r="AP85" s="531"/>
      <c r="AQ85" s="536"/>
      <c r="AU85" s="1515"/>
      <c r="AV85" s="1515"/>
      <c r="AW85" s="1528"/>
      <c r="AX85" s="746"/>
      <c r="AY85" s="746"/>
      <c r="AZ85" s="746"/>
      <c r="BA85" s="746"/>
      <c r="BB85" s="1515"/>
    </row>
    <row r="86" spans="3:55" ht="15.95" customHeight="1" x14ac:dyDescent="0.25">
      <c r="C86" s="530"/>
      <c r="D86" s="531"/>
      <c r="E86" s="531"/>
      <c r="F86" s="531"/>
      <c r="G86" s="531"/>
      <c r="H86" s="1529">
        <v>1</v>
      </c>
      <c r="I86" s="1551"/>
      <c r="J86" s="1552"/>
      <c r="K86" s="1552"/>
      <c r="L86" s="1552"/>
      <c r="M86" s="1552"/>
      <c r="N86" s="1552"/>
      <c r="O86" s="1538"/>
      <c r="P86" s="1538"/>
      <c r="Q86" s="1538"/>
      <c r="R86" s="1538"/>
      <c r="S86" s="1538"/>
      <c r="T86" s="1538"/>
      <c r="U86" s="1350"/>
      <c r="V86" s="1350"/>
      <c r="W86" s="1350"/>
      <c r="X86" s="1350"/>
      <c r="Y86" s="1076"/>
      <c r="Z86" s="1648"/>
      <c r="AA86" s="1077"/>
      <c r="AB86" s="1645"/>
      <c r="AC86" s="1646"/>
      <c r="AD86" s="1647"/>
      <c r="AE86" s="1642"/>
      <c r="AF86" s="1643"/>
      <c r="AG86" s="1644"/>
      <c r="AH86" s="1639" t="str">
        <f>IF(OR(I86="",O86="",U86="",Y86="",AB86="",$AE$77="",$AL$77=""),"",Y86*AB86)</f>
        <v/>
      </c>
      <c r="AI86" s="1640"/>
      <c r="AJ86" s="1640"/>
      <c r="AK86" s="1640"/>
      <c r="AL86" s="1641"/>
      <c r="AM86" s="531"/>
      <c r="AN86" s="531"/>
      <c r="AO86" s="531"/>
      <c r="AP86" s="531"/>
      <c r="AQ86" s="536"/>
      <c r="AU86" s="1434"/>
      <c r="AV86" s="1434"/>
      <c r="AW86" s="804"/>
      <c r="AX86" s="752" t="str">
        <f>IF(OR(I86="",O86="",U86="",Y86="",AB86="",AE86="",$AE$77="",$AL$77=""),"",ROUND(BA86*INDEX(ENDUSEALL[Factor],MATCH("Lighting",ENDUSEALL[End Use to Coincident Peak Demand Factors],0)),4))</f>
        <v/>
      </c>
      <c r="AY86" s="802" t="str">
        <f>IF(OR(I86="",O86="",U86="",Y86="",AB86="",AE86="",$AE$77="",$AL$77="",$Q$77=""),"",ROUND((($Q$77*$X$77)/SUM($Y$86:$AA$125))*Y86*AE86/1000,0))</f>
        <v/>
      </c>
      <c r="AZ86" s="802" t="str">
        <f>IF(OR(I86="",O86="",U86="",Y86="",AB86="",AE86="",$AE$77="",$AL$77=""),"",ROUND((AB86*Y86*AE86/1000),0))</f>
        <v/>
      </c>
      <c r="BA86" s="800">
        <f>IFERROR(ROUND($BA$83*(AY86-AZ86),0),0)</f>
        <v>0</v>
      </c>
      <c r="BB86" s="808"/>
    </row>
    <row r="87" spans="3:55" ht="15.95" customHeight="1" x14ac:dyDescent="0.25">
      <c r="C87" s="530"/>
      <c r="D87" s="531"/>
      <c r="E87" s="531"/>
      <c r="F87" s="531"/>
      <c r="G87" s="531"/>
      <c r="H87" s="1529"/>
      <c r="I87" s="1530"/>
      <c r="J87" s="1062"/>
      <c r="K87" s="1062"/>
      <c r="L87" s="1062"/>
      <c r="M87" s="1062"/>
      <c r="N87" s="1062"/>
      <c r="O87" s="1533"/>
      <c r="P87" s="1533"/>
      <c r="Q87" s="1533"/>
      <c r="R87" s="1533"/>
      <c r="S87" s="1533"/>
      <c r="T87" s="1533"/>
      <c r="U87" s="1245"/>
      <c r="V87" s="1245"/>
      <c r="W87" s="1245"/>
      <c r="X87" s="1245"/>
      <c r="Y87" s="1078"/>
      <c r="Z87" s="1545"/>
      <c r="AA87" s="1079"/>
      <c r="AB87" s="1155"/>
      <c r="AC87" s="1550"/>
      <c r="AD87" s="1156"/>
      <c r="AE87" s="1508"/>
      <c r="AF87" s="1509"/>
      <c r="AG87" s="1510"/>
      <c r="AH87" s="1492"/>
      <c r="AI87" s="1493"/>
      <c r="AJ87" s="1493"/>
      <c r="AK87" s="1493"/>
      <c r="AL87" s="1546"/>
      <c r="AM87" s="531"/>
      <c r="AN87" s="531"/>
      <c r="AO87" s="531"/>
      <c r="AP87" s="531"/>
      <c r="AQ87" s="536"/>
      <c r="AU87" s="1435"/>
      <c r="AV87" s="1435"/>
      <c r="AW87" s="805"/>
      <c r="AX87" s="753"/>
      <c r="AY87" s="803"/>
      <c r="AZ87" s="803"/>
      <c r="BA87" s="801"/>
      <c r="BB87" s="797"/>
    </row>
    <row r="88" spans="3:55" ht="15.95" customHeight="1" x14ac:dyDescent="0.25">
      <c r="C88" s="530"/>
      <c r="D88" s="531"/>
      <c r="E88" s="531"/>
      <c r="F88" s="531"/>
      <c r="G88" s="531"/>
      <c r="H88" s="1529">
        <v>2</v>
      </c>
      <c r="I88" s="1537"/>
      <c r="J88" s="1058"/>
      <c r="K88" s="1058"/>
      <c r="L88" s="1058"/>
      <c r="M88" s="1058"/>
      <c r="N88" s="1058"/>
      <c r="O88" s="1538"/>
      <c r="P88" s="1538"/>
      <c r="Q88" s="1538"/>
      <c r="R88" s="1538"/>
      <c r="S88" s="1538"/>
      <c r="T88" s="1538"/>
      <c r="U88" s="1535"/>
      <c r="V88" s="1535"/>
      <c r="W88" s="1535"/>
      <c r="X88" s="1535"/>
      <c r="Y88" s="1539"/>
      <c r="Z88" s="1540"/>
      <c r="AA88" s="1541"/>
      <c r="AB88" s="1547"/>
      <c r="AC88" s="1548"/>
      <c r="AD88" s="1549"/>
      <c r="AE88" s="1508"/>
      <c r="AF88" s="1509"/>
      <c r="AG88" s="1510"/>
      <c r="AH88" s="1492" t="str">
        <f t="shared" ref="AH88" si="77">IF(OR(I88="",O88="",U88="",Y88="",AB88="",$AE$77="",$AL$77=""),"",Y88*AB88)</f>
        <v/>
      </c>
      <c r="AI88" s="1493"/>
      <c r="AJ88" s="1493"/>
      <c r="AK88" s="1493"/>
      <c r="AL88" s="1546"/>
      <c r="AM88" s="531"/>
      <c r="AN88" s="531"/>
      <c r="AO88" s="531"/>
      <c r="AP88" s="531"/>
      <c r="AQ88" s="536"/>
      <c r="AU88" s="1434"/>
      <c r="AV88" s="1434"/>
      <c r="AW88" s="804"/>
      <c r="AX88" s="752" t="str">
        <f>IF(OR(I88="",O88="",U88="",Y88="",AB88="",AE88="",$AE$77="",$AL$77=""),"",ROUND(BA88*INDEX(ENDUSEALL[Factor],MATCH("Lighting",ENDUSEALL[End Use to Coincident Peak Demand Factors],0)),4))</f>
        <v/>
      </c>
      <c r="AY88" s="802" t="str">
        <f t="shared" ref="AY88" si="78">IF(OR(I88="",O88="",U88="",Y88="",AB88="",AE88="",$AE$77="",$AL$77="",$Q$77=""),"",ROUND((($Q$77*$X$77)/SUM($Y$86:$AA$125))*Y88*AE88/1000,0))</f>
        <v/>
      </c>
      <c r="AZ88" s="802" t="str">
        <f t="shared" ref="AZ88" si="79">IF(OR(I88="",O88="",U88="",Y88="",AB88="",AE88="",$AE$77="",$AL$77=""),"",ROUND((AB88*Y88*AE88/1000),0))</f>
        <v/>
      </c>
      <c r="BA88" s="800">
        <f t="shared" ref="BA88" si="80">IFERROR(ROUND($BA$83*(AY88-AZ88),0),0)</f>
        <v>0</v>
      </c>
      <c r="BB88" s="808"/>
    </row>
    <row r="89" spans="3:55" ht="15.95" customHeight="1" x14ac:dyDescent="0.25">
      <c r="C89" s="530"/>
      <c r="D89" s="531"/>
      <c r="E89" s="531"/>
      <c r="F89" s="531"/>
      <c r="G89" s="531"/>
      <c r="H89" s="1529"/>
      <c r="I89" s="1530"/>
      <c r="J89" s="1062"/>
      <c r="K89" s="1062"/>
      <c r="L89" s="1062"/>
      <c r="M89" s="1062"/>
      <c r="N89" s="1062"/>
      <c r="O89" s="1533"/>
      <c r="P89" s="1533"/>
      <c r="Q89" s="1533"/>
      <c r="R89" s="1533"/>
      <c r="S89" s="1533"/>
      <c r="T89" s="1533"/>
      <c r="U89" s="1245"/>
      <c r="V89" s="1245"/>
      <c r="W89" s="1245"/>
      <c r="X89" s="1245"/>
      <c r="Y89" s="1078"/>
      <c r="Z89" s="1545"/>
      <c r="AA89" s="1079"/>
      <c r="AB89" s="1155"/>
      <c r="AC89" s="1550"/>
      <c r="AD89" s="1156"/>
      <c r="AE89" s="1508"/>
      <c r="AF89" s="1509"/>
      <c r="AG89" s="1510"/>
      <c r="AH89" s="1492"/>
      <c r="AI89" s="1493"/>
      <c r="AJ89" s="1493"/>
      <c r="AK89" s="1493"/>
      <c r="AL89" s="1546"/>
      <c r="AM89" s="531"/>
      <c r="AN89" s="531"/>
      <c r="AO89" s="531"/>
      <c r="AP89" s="531"/>
      <c r="AQ89" s="536"/>
      <c r="AU89" s="1435"/>
      <c r="AV89" s="1435"/>
      <c r="AW89" s="805"/>
      <c r="AX89" s="753"/>
      <c r="AY89" s="803"/>
      <c r="AZ89" s="803"/>
      <c r="BA89" s="801"/>
      <c r="BB89" s="797"/>
    </row>
    <row r="90" spans="3:55" ht="15.95" customHeight="1" x14ac:dyDescent="0.25">
      <c r="C90" s="530"/>
      <c r="D90" s="531"/>
      <c r="E90" s="531"/>
      <c r="F90" s="531"/>
      <c r="G90" s="531"/>
      <c r="H90" s="1529">
        <v>3</v>
      </c>
      <c r="I90" s="1537"/>
      <c r="J90" s="1058"/>
      <c r="K90" s="1058"/>
      <c r="L90" s="1058"/>
      <c r="M90" s="1058"/>
      <c r="N90" s="1058"/>
      <c r="O90" s="1538"/>
      <c r="P90" s="1538"/>
      <c r="Q90" s="1538"/>
      <c r="R90" s="1538"/>
      <c r="S90" s="1538"/>
      <c r="T90" s="1538"/>
      <c r="U90" s="1535"/>
      <c r="V90" s="1535"/>
      <c r="W90" s="1535"/>
      <c r="X90" s="1535"/>
      <c r="Y90" s="1539"/>
      <c r="Z90" s="1540"/>
      <c r="AA90" s="1541"/>
      <c r="AB90" s="1547"/>
      <c r="AC90" s="1548"/>
      <c r="AD90" s="1549"/>
      <c r="AE90" s="1508"/>
      <c r="AF90" s="1509"/>
      <c r="AG90" s="1510"/>
      <c r="AH90" s="1492" t="str">
        <f t="shared" ref="AH90" si="81">IF(OR(I90="",O90="",U90="",Y90="",AB90="",$AE$77="",$AL$77=""),"",Y90*AB90)</f>
        <v/>
      </c>
      <c r="AI90" s="1493"/>
      <c r="AJ90" s="1493"/>
      <c r="AK90" s="1493"/>
      <c r="AL90" s="1546"/>
      <c r="AM90" s="531"/>
      <c r="AN90" s="531"/>
      <c r="AO90" s="531"/>
      <c r="AP90" s="531"/>
      <c r="AQ90" s="536"/>
      <c r="AU90" s="1434"/>
      <c r="AV90" s="1434"/>
      <c r="AW90" s="804"/>
      <c r="AX90" s="752" t="str">
        <f>IF(OR(I90="",O90="",U90="",Y90="",AB90="",AE90="",$AE$77="",$AL$77=""),"",ROUND(BA90*INDEX(ENDUSEALL[Factor],MATCH("Lighting",ENDUSEALL[End Use to Coincident Peak Demand Factors],0)),4))</f>
        <v/>
      </c>
      <c r="AY90" s="802" t="str">
        <f t="shared" ref="AY90" si="82">IF(OR(I90="",O90="",U90="",Y90="",AB90="",AE90="",$AE$77="",$AL$77="",$Q$77=""),"",ROUND((($Q$77*$X$77)/SUM($Y$86:$AA$125))*Y90*AE90/1000,0))</f>
        <v/>
      </c>
      <c r="AZ90" s="802" t="str">
        <f t="shared" ref="AZ90" si="83">IF(OR(I90="",O90="",U90="",Y90="",AB90="",AE90="",$AE$77="",$AL$77=""),"",ROUND((AB90*Y90*AE90/1000),0))</f>
        <v/>
      </c>
      <c r="BA90" s="800">
        <f t="shared" ref="BA90" si="84">IFERROR(ROUND($BA$83*(AY90-AZ90),0),0)</f>
        <v>0</v>
      </c>
      <c r="BB90" s="808"/>
    </row>
    <row r="91" spans="3:55" ht="15.95" customHeight="1" x14ac:dyDescent="0.25">
      <c r="C91" s="530"/>
      <c r="D91" s="531"/>
      <c r="E91" s="531"/>
      <c r="F91" s="531"/>
      <c r="G91" s="531"/>
      <c r="H91" s="1529"/>
      <c r="I91" s="1530"/>
      <c r="J91" s="1062"/>
      <c r="K91" s="1062"/>
      <c r="L91" s="1062"/>
      <c r="M91" s="1062"/>
      <c r="N91" s="1062"/>
      <c r="O91" s="1533"/>
      <c r="P91" s="1533"/>
      <c r="Q91" s="1533"/>
      <c r="R91" s="1533"/>
      <c r="S91" s="1533"/>
      <c r="T91" s="1533"/>
      <c r="U91" s="1245"/>
      <c r="V91" s="1245"/>
      <c r="W91" s="1245"/>
      <c r="X91" s="1245"/>
      <c r="Y91" s="1078"/>
      <c r="Z91" s="1545"/>
      <c r="AA91" s="1079"/>
      <c r="AB91" s="1155"/>
      <c r="AC91" s="1550"/>
      <c r="AD91" s="1156"/>
      <c r="AE91" s="1508"/>
      <c r="AF91" s="1509"/>
      <c r="AG91" s="1510"/>
      <c r="AH91" s="1492"/>
      <c r="AI91" s="1493"/>
      <c r="AJ91" s="1493"/>
      <c r="AK91" s="1493"/>
      <c r="AL91" s="1546"/>
      <c r="AM91" s="531"/>
      <c r="AN91" s="531"/>
      <c r="AO91" s="531"/>
      <c r="AP91" s="531"/>
      <c r="AQ91" s="536"/>
      <c r="AU91" s="1435"/>
      <c r="AV91" s="1435"/>
      <c r="AW91" s="805"/>
      <c r="AX91" s="753"/>
      <c r="AY91" s="803"/>
      <c r="AZ91" s="803"/>
      <c r="BA91" s="801"/>
      <c r="BB91" s="797"/>
    </row>
    <row r="92" spans="3:55" ht="15.95" customHeight="1" x14ac:dyDescent="0.25">
      <c r="C92" s="530"/>
      <c r="D92" s="531"/>
      <c r="E92" s="531"/>
      <c r="F92" s="531"/>
      <c r="G92" s="531"/>
      <c r="H92" s="1529">
        <v>4</v>
      </c>
      <c r="I92" s="1537"/>
      <c r="J92" s="1058"/>
      <c r="K92" s="1058"/>
      <c r="L92" s="1058"/>
      <c r="M92" s="1058"/>
      <c r="N92" s="1058"/>
      <c r="O92" s="1538"/>
      <c r="P92" s="1538"/>
      <c r="Q92" s="1538"/>
      <c r="R92" s="1538"/>
      <c r="S92" s="1538"/>
      <c r="T92" s="1538"/>
      <c r="U92" s="1535"/>
      <c r="V92" s="1535"/>
      <c r="W92" s="1535"/>
      <c r="X92" s="1535"/>
      <c r="Y92" s="1539"/>
      <c r="Z92" s="1540"/>
      <c r="AA92" s="1541"/>
      <c r="AB92" s="1547"/>
      <c r="AC92" s="1548"/>
      <c r="AD92" s="1549"/>
      <c r="AE92" s="1508"/>
      <c r="AF92" s="1509"/>
      <c r="AG92" s="1510"/>
      <c r="AH92" s="1492" t="str">
        <f t="shared" ref="AH92" si="85">IF(OR(I92="",O92="",U92="",Y92="",AB92="",$AE$77="",$AL$77=""),"",Y92*AB92)</f>
        <v/>
      </c>
      <c r="AI92" s="1493"/>
      <c r="AJ92" s="1493"/>
      <c r="AK92" s="1493"/>
      <c r="AL92" s="1546"/>
      <c r="AM92" s="531"/>
      <c r="AN92" s="531"/>
      <c r="AO92" s="531"/>
      <c r="AP92" s="531"/>
      <c r="AQ92" s="536"/>
      <c r="AU92" s="1434"/>
      <c r="AV92" s="1434"/>
      <c r="AW92" s="804"/>
      <c r="AX92" s="752" t="str">
        <f>IF(OR(I92="",O92="",U92="",Y92="",AB92="",AE92="",$AE$77="",$AL$77=""),"",ROUND(BA92*INDEX(ENDUSEALL[Factor],MATCH("Lighting",ENDUSEALL[End Use to Coincident Peak Demand Factors],0)),4))</f>
        <v/>
      </c>
      <c r="AY92" s="802" t="str">
        <f t="shared" ref="AY92" si="86">IF(OR(I92="",O92="",U92="",Y92="",AB92="",AE92="",$AE$77="",$AL$77="",$Q$77=""),"",ROUND((($Q$77*$X$77)/SUM($Y$86:$AA$125))*Y92*AE92/1000,0))</f>
        <v/>
      </c>
      <c r="AZ92" s="802" t="str">
        <f t="shared" ref="AZ92" si="87">IF(OR(I92="",O92="",U92="",Y92="",AB92="",AE92="",$AE$77="",$AL$77=""),"",ROUND((AB92*Y92*AE92/1000),0))</f>
        <v/>
      </c>
      <c r="BA92" s="800">
        <f t="shared" ref="BA92" si="88">IFERROR(ROUND($BA$83*(AY92-AZ92),0),0)</f>
        <v>0</v>
      </c>
      <c r="BB92" s="808"/>
    </row>
    <row r="93" spans="3:55" ht="15.95" customHeight="1" x14ac:dyDescent="0.25">
      <c r="C93" s="530"/>
      <c r="D93" s="531"/>
      <c r="E93" s="531"/>
      <c r="F93" s="531"/>
      <c r="G93" s="531"/>
      <c r="H93" s="1529"/>
      <c r="I93" s="1530"/>
      <c r="J93" s="1062"/>
      <c r="K93" s="1062"/>
      <c r="L93" s="1062"/>
      <c r="M93" s="1062"/>
      <c r="N93" s="1062"/>
      <c r="O93" s="1533"/>
      <c r="P93" s="1533"/>
      <c r="Q93" s="1533"/>
      <c r="R93" s="1533"/>
      <c r="S93" s="1533"/>
      <c r="T93" s="1533"/>
      <c r="U93" s="1245"/>
      <c r="V93" s="1245"/>
      <c r="W93" s="1245"/>
      <c r="X93" s="1245"/>
      <c r="Y93" s="1078"/>
      <c r="Z93" s="1545"/>
      <c r="AA93" s="1079"/>
      <c r="AB93" s="1155"/>
      <c r="AC93" s="1550"/>
      <c r="AD93" s="1156"/>
      <c r="AE93" s="1508"/>
      <c r="AF93" s="1509"/>
      <c r="AG93" s="1510"/>
      <c r="AH93" s="1492"/>
      <c r="AI93" s="1493"/>
      <c r="AJ93" s="1493"/>
      <c r="AK93" s="1493"/>
      <c r="AL93" s="1546"/>
      <c r="AM93" s="531"/>
      <c r="AN93" s="531"/>
      <c r="AO93" s="531"/>
      <c r="AP93" s="531"/>
      <c r="AQ93" s="536"/>
      <c r="AU93" s="1435"/>
      <c r="AV93" s="1435"/>
      <c r="AW93" s="805"/>
      <c r="AX93" s="753"/>
      <c r="AY93" s="803"/>
      <c r="AZ93" s="803"/>
      <c r="BA93" s="801"/>
      <c r="BB93" s="797"/>
    </row>
    <row r="94" spans="3:55" ht="15.95" customHeight="1" x14ac:dyDescent="0.25">
      <c r="C94" s="530"/>
      <c r="D94" s="531"/>
      <c r="E94" s="531"/>
      <c r="F94" s="531"/>
      <c r="G94" s="531"/>
      <c r="H94" s="1529">
        <v>5</v>
      </c>
      <c r="I94" s="1537"/>
      <c r="J94" s="1058"/>
      <c r="K94" s="1058"/>
      <c r="L94" s="1058"/>
      <c r="M94" s="1058"/>
      <c r="N94" s="1058"/>
      <c r="O94" s="1538"/>
      <c r="P94" s="1538"/>
      <c r="Q94" s="1538"/>
      <c r="R94" s="1538"/>
      <c r="S94" s="1538"/>
      <c r="T94" s="1538"/>
      <c r="U94" s="1535"/>
      <c r="V94" s="1535"/>
      <c r="W94" s="1535"/>
      <c r="X94" s="1535"/>
      <c r="Y94" s="1539"/>
      <c r="Z94" s="1540"/>
      <c r="AA94" s="1541"/>
      <c r="AB94" s="1547"/>
      <c r="AC94" s="1548"/>
      <c r="AD94" s="1549"/>
      <c r="AE94" s="1508"/>
      <c r="AF94" s="1509"/>
      <c r="AG94" s="1510"/>
      <c r="AH94" s="1492" t="str">
        <f t="shared" ref="AH94" si="89">IF(OR(I94="",O94="",U94="",Y94="",AB94="",$AE$77="",$AL$77=""),"",Y94*AB94)</f>
        <v/>
      </c>
      <c r="AI94" s="1493"/>
      <c r="AJ94" s="1493"/>
      <c r="AK94" s="1493"/>
      <c r="AL94" s="1546"/>
      <c r="AM94" s="531"/>
      <c r="AN94" s="531"/>
      <c r="AO94" s="531"/>
      <c r="AP94" s="531"/>
      <c r="AQ94" s="536"/>
      <c r="AU94" s="1434"/>
      <c r="AV94" s="1434"/>
      <c r="AW94" s="804"/>
      <c r="AX94" s="752" t="str">
        <f>IF(OR(I94="",O94="",U94="",Y94="",AB94="",AE94="",$AE$77="",$AL$77=""),"",ROUND(BA94*INDEX(ENDUSEALL[Factor],MATCH("Lighting",ENDUSEALL[End Use to Coincident Peak Demand Factors],0)),4))</f>
        <v/>
      </c>
      <c r="AY94" s="802" t="str">
        <f t="shared" ref="AY94" si="90">IF(OR(I94="",O94="",U94="",Y94="",AB94="",AE94="",$AE$77="",$AL$77="",$Q$77=""),"",ROUND((($Q$77*$X$77)/SUM($Y$86:$AA$125))*Y94*AE94/1000,0))</f>
        <v/>
      </c>
      <c r="AZ94" s="802" t="str">
        <f t="shared" ref="AZ94" si="91">IF(OR(I94="",O94="",U94="",Y94="",AB94="",AE94="",$AE$77="",$AL$77=""),"",ROUND((AB94*Y94*AE94/1000),0))</f>
        <v/>
      </c>
      <c r="BA94" s="800">
        <f t="shared" ref="BA94" si="92">IFERROR(ROUND($BA$83*(AY94-AZ94),0),0)</f>
        <v>0</v>
      </c>
      <c r="BB94" s="808"/>
    </row>
    <row r="95" spans="3:55" ht="15.95" customHeight="1" x14ac:dyDescent="0.25">
      <c r="C95" s="530"/>
      <c r="D95" s="531"/>
      <c r="E95" s="531"/>
      <c r="F95" s="531"/>
      <c r="G95" s="531"/>
      <c r="H95" s="1529"/>
      <c r="I95" s="1530"/>
      <c r="J95" s="1062"/>
      <c r="K95" s="1062"/>
      <c r="L95" s="1062"/>
      <c r="M95" s="1062"/>
      <c r="N95" s="1062"/>
      <c r="O95" s="1533"/>
      <c r="P95" s="1533"/>
      <c r="Q95" s="1533"/>
      <c r="R95" s="1533"/>
      <c r="S95" s="1533"/>
      <c r="T95" s="1533"/>
      <c r="U95" s="1245"/>
      <c r="V95" s="1245"/>
      <c r="W95" s="1245"/>
      <c r="X95" s="1245"/>
      <c r="Y95" s="1078"/>
      <c r="Z95" s="1545"/>
      <c r="AA95" s="1079"/>
      <c r="AB95" s="1155"/>
      <c r="AC95" s="1550"/>
      <c r="AD95" s="1156"/>
      <c r="AE95" s="1508"/>
      <c r="AF95" s="1509"/>
      <c r="AG95" s="1510"/>
      <c r="AH95" s="1492"/>
      <c r="AI95" s="1493"/>
      <c r="AJ95" s="1493"/>
      <c r="AK95" s="1493"/>
      <c r="AL95" s="1546"/>
      <c r="AM95" s="531"/>
      <c r="AN95" s="531"/>
      <c r="AO95" s="531"/>
      <c r="AP95" s="531"/>
      <c r="AQ95" s="536"/>
      <c r="AU95" s="1435"/>
      <c r="AV95" s="1435"/>
      <c r="AW95" s="805"/>
      <c r="AX95" s="753"/>
      <c r="AY95" s="803"/>
      <c r="AZ95" s="803"/>
      <c r="BA95" s="801"/>
      <c r="BB95" s="797"/>
    </row>
    <row r="96" spans="3:55" ht="15.95" customHeight="1" x14ac:dyDescent="0.25">
      <c r="C96" s="530"/>
      <c r="D96" s="531"/>
      <c r="E96" s="531"/>
      <c r="F96" s="531"/>
      <c r="G96" s="531"/>
      <c r="H96" s="1529">
        <v>6</v>
      </c>
      <c r="I96" s="1537"/>
      <c r="J96" s="1058"/>
      <c r="K96" s="1058"/>
      <c r="L96" s="1058"/>
      <c r="M96" s="1058"/>
      <c r="N96" s="1058"/>
      <c r="O96" s="1538"/>
      <c r="P96" s="1538"/>
      <c r="Q96" s="1538"/>
      <c r="R96" s="1538"/>
      <c r="S96" s="1538"/>
      <c r="T96" s="1538"/>
      <c r="U96" s="1535"/>
      <c r="V96" s="1535"/>
      <c r="W96" s="1535"/>
      <c r="X96" s="1535"/>
      <c r="Y96" s="1539"/>
      <c r="Z96" s="1540"/>
      <c r="AA96" s="1541"/>
      <c r="AB96" s="1547"/>
      <c r="AC96" s="1548"/>
      <c r="AD96" s="1549"/>
      <c r="AE96" s="1508"/>
      <c r="AF96" s="1509"/>
      <c r="AG96" s="1510"/>
      <c r="AH96" s="1492" t="str">
        <f t="shared" ref="AH96" si="93">IF(OR(I96="",O96="",U96="",Y96="",AB96="",$AE$77="",$AL$77=""),"",Y96*AB96)</f>
        <v/>
      </c>
      <c r="AI96" s="1493"/>
      <c r="AJ96" s="1493"/>
      <c r="AK96" s="1493"/>
      <c r="AL96" s="1546"/>
      <c r="AM96" s="531"/>
      <c r="AN96" s="531"/>
      <c r="AO96" s="531"/>
      <c r="AP96" s="531"/>
      <c r="AQ96" s="536"/>
      <c r="AU96" s="1434"/>
      <c r="AV96" s="1434"/>
      <c r="AW96" s="804"/>
      <c r="AX96" s="752" t="str">
        <f>IF(OR(I96="",O96="",U96="",Y96="",AB96="",AE96="",$AE$77="",$AL$77=""),"",ROUND(BA96*INDEX(ENDUSEALL[Factor],MATCH("Lighting",ENDUSEALL[End Use to Coincident Peak Demand Factors],0)),4))</f>
        <v/>
      </c>
      <c r="AY96" s="802" t="str">
        <f t="shared" ref="AY96" si="94">IF(OR(I96="",O96="",U96="",Y96="",AB96="",AE96="",$AE$77="",$AL$77="",$Q$77=""),"",ROUND((($Q$77*$X$77)/SUM($Y$86:$AA$125))*Y96*AE96/1000,0))</f>
        <v/>
      </c>
      <c r="AZ96" s="802" t="str">
        <f t="shared" ref="AZ96" si="95">IF(OR(I96="",O96="",U96="",Y96="",AB96="",AE96="",$AE$77="",$AL$77=""),"",ROUND((AB96*Y96*AE96/1000),0))</f>
        <v/>
      </c>
      <c r="BA96" s="800">
        <f t="shared" ref="BA96" si="96">IFERROR(ROUND($BA$83*(AY96-AZ96),0),0)</f>
        <v>0</v>
      </c>
      <c r="BB96" s="808"/>
    </row>
    <row r="97" spans="3:54" ht="15.95" customHeight="1" x14ac:dyDescent="0.25">
      <c r="C97" s="530"/>
      <c r="D97" s="531"/>
      <c r="E97" s="531"/>
      <c r="F97" s="531"/>
      <c r="G97" s="531"/>
      <c r="H97" s="1529"/>
      <c r="I97" s="1530"/>
      <c r="J97" s="1062"/>
      <c r="K97" s="1062"/>
      <c r="L97" s="1062"/>
      <c r="M97" s="1062"/>
      <c r="N97" s="1062"/>
      <c r="O97" s="1533"/>
      <c r="P97" s="1533"/>
      <c r="Q97" s="1533"/>
      <c r="R97" s="1533"/>
      <c r="S97" s="1533"/>
      <c r="T97" s="1533"/>
      <c r="U97" s="1245"/>
      <c r="V97" s="1245"/>
      <c r="W97" s="1245"/>
      <c r="X97" s="1245"/>
      <c r="Y97" s="1078"/>
      <c r="Z97" s="1545"/>
      <c r="AA97" s="1079"/>
      <c r="AB97" s="1155"/>
      <c r="AC97" s="1550"/>
      <c r="AD97" s="1156"/>
      <c r="AE97" s="1508"/>
      <c r="AF97" s="1509"/>
      <c r="AG97" s="1510"/>
      <c r="AH97" s="1492"/>
      <c r="AI97" s="1493"/>
      <c r="AJ97" s="1493"/>
      <c r="AK97" s="1493"/>
      <c r="AL97" s="1546"/>
      <c r="AM97" s="531"/>
      <c r="AN97" s="531"/>
      <c r="AO97" s="531"/>
      <c r="AP97" s="531"/>
      <c r="AQ97" s="536"/>
      <c r="AU97" s="1435"/>
      <c r="AV97" s="1435"/>
      <c r="AW97" s="805"/>
      <c r="AX97" s="753"/>
      <c r="AY97" s="803"/>
      <c r="AZ97" s="803"/>
      <c r="BA97" s="801"/>
      <c r="BB97" s="797"/>
    </row>
    <row r="98" spans="3:54" ht="15.95" customHeight="1" x14ac:dyDescent="0.25">
      <c r="C98" s="530"/>
      <c r="D98" s="531"/>
      <c r="E98" s="531"/>
      <c r="F98" s="531"/>
      <c r="G98" s="531"/>
      <c r="H98" s="1529">
        <v>7</v>
      </c>
      <c r="I98" s="1537"/>
      <c r="J98" s="1058"/>
      <c r="K98" s="1058"/>
      <c r="L98" s="1058"/>
      <c r="M98" s="1058"/>
      <c r="N98" s="1058"/>
      <c r="O98" s="1538"/>
      <c r="P98" s="1538"/>
      <c r="Q98" s="1538"/>
      <c r="R98" s="1538"/>
      <c r="S98" s="1538"/>
      <c r="T98" s="1538"/>
      <c r="U98" s="1535"/>
      <c r="V98" s="1535"/>
      <c r="W98" s="1535"/>
      <c r="X98" s="1535"/>
      <c r="Y98" s="1539"/>
      <c r="Z98" s="1540"/>
      <c r="AA98" s="1541"/>
      <c r="AB98" s="1547"/>
      <c r="AC98" s="1548"/>
      <c r="AD98" s="1549"/>
      <c r="AE98" s="1508"/>
      <c r="AF98" s="1509"/>
      <c r="AG98" s="1510"/>
      <c r="AH98" s="1492" t="str">
        <f t="shared" ref="AH98" si="97">IF(OR(I98="",O98="",U98="",Y98="",AB98="",$AE$77="",$AL$77=""),"",Y98*AB98)</f>
        <v/>
      </c>
      <c r="AI98" s="1493"/>
      <c r="AJ98" s="1493"/>
      <c r="AK98" s="1493"/>
      <c r="AL98" s="1546"/>
      <c r="AM98" s="531"/>
      <c r="AN98" s="531"/>
      <c r="AO98" s="531"/>
      <c r="AP98" s="531"/>
      <c r="AQ98" s="536"/>
      <c r="AU98" s="1434"/>
      <c r="AV98" s="1434"/>
      <c r="AW98" s="804"/>
      <c r="AX98" s="752" t="str">
        <f>IF(OR(I98="",O98="",U98="",Y98="",AB98="",AE98="",$AE$77="",$AL$77=""),"",ROUND(BA98*INDEX(ENDUSEALL[Factor],MATCH("Lighting",ENDUSEALL[End Use to Coincident Peak Demand Factors],0)),4))</f>
        <v/>
      </c>
      <c r="AY98" s="802" t="str">
        <f t="shared" ref="AY98" si="98">IF(OR(I98="",O98="",U98="",Y98="",AB98="",AE98="",$AE$77="",$AL$77="",$Q$77=""),"",ROUND((($Q$77*$X$77)/SUM($Y$86:$AA$125))*Y98*AE98/1000,0))</f>
        <v/>
      </c>
      <c r="AZ98" s="802" t="str">
        <f t="shared" ref="AZ98" si="99">IF(OR(I98="",O98="",U98="",Y98="",AB98="",AE98="",$AE$77="",$AL$77=""),"",ROUND((AB98*Y98*AE98/1000),0))</f>
        <v/>
      </c>
      <c r="BA98" s="800">
        <f t="shared" ref="BA98" si="100">IFERROR(ROUND($BA$83*(AY98-AZ98),0),0)</f>
        <v>0</v>
      </c>
      <c r="BB98" s="808"/>
    </row>
    <row r="99" spans="3:54" ht="15.95" customHeight="1" x14ac:dyDescent="0.25">
      <c r="C99" s="530"/>
      <c r="D99" s="531"/>
      <c r="E99" s="531"/>
      <c r="F99" s="531"/>
      <c r="G99" s="531"/>
      <c r="H99" s="1529"/>
      <c r="I99" s="1530"/>
      <c r="J99" s="1062"/>
      <c r="K99" s="1062"/>
      <c r="L99" s="1062"/>
      <c r="M99" s="1062"/>
      <c r="N99" s="1062"/>
      <c r="O99" s="1533"/>
      <c r="P99" s="1533"/>
      <c r="Q99" s="1533"/>
      <c r="R99" s="1533"/>
      <c r="S99" s="1533"/>
      <c r="T99" s="1533"/>
      <c r="U99" s="1245"/>
      <c r="V99" s="1245"/>
      <c r="W99" s="1245"/>
      <c r="X99" s="1245"/>
      <c r="Y99" s="1078"/>
      <c r="Z99" s="1545"/>
      <c r="AA99" s="1079"/>
      <c r="AB99" s="1155"/>
      <c r="AC99" s="1550"/>
      <c r="AD99" s="1156"/>
      <c r="AE99" s="1508"/>
      <c r="AF99" s="1509"/>
      <c r="AG99" s="1510"/>
      <c r="AH99" s="1492"/>
      <c r="AI99" s="1493"/>
      <c r="AJ99" s="1493"/>
      <c r="AK99" s="1493"/>
      <c r="AL99" s="1546"/>
      <c r="AM99" s="531"/>
      <c r="AN99" s="531"/>
      <c r="AO99" s="531"/>
      <c r="AP99" s="531"/>
      <c r="AQ99" s="536"/>
      <c r="AU99" s="1435"/>
      <c r="AV99" s="1435"/>
      <c r="AW99" s="805"/>
      <c r="AX99" s="753"/>
      <c r="AY99" s="803"/>
      <c r="AZ99" s="803"/>
      <c r="BA99" s="801"/>
      <c r="BB99" s="797"/>
    </row>
    <row r="100" spans="3:54" ht="15.95" customHeight="1" x14ac:dyDescent="0.25">
      <c r="C100" s="530"/>
      <c r="D100" s="531"/>
      <c r="E100" s="531"/>
      <c r="F100" s="531"/>
      <c r="G100" s="531"/>
      <c r="H100" s="1529">
        <v>8</v>
      </c>
      <c r="I100" s="1537"/>
      <c r="J100" s="1058"/>
      <c r="K100" s="1058"/>
      <c r="L100" s="1058"/>
      <c r="M100" s="1058"/>
      <c r="N100" s="1058"/>
      <c r="O100" s="1538"/>
      <c r="P100" s="1538"/>
      <c r="Q100" s="1538"/>
      <c r="R100" s="1538"/>
      <c r="S100" s="1538"/>
      <c r="T100" s="1538"/>
      <c r="U100" s="1535"/>
      <c r="V100" s="1535"/>
      <c r="W100" s="1535"/>
      <c r="X100" s="1535"/>
      <c r="Y100" s="1539"/>
      <c r="Z100" s="1540"/>
      <c r="AA100" s="1541"/>
      <c r="AB100" s="1547"/>
      <c r="AC100" s="1548"/>
      <c r="AD100" s="1549"/>
      <c r="AE100" s="1508"/>
      <c r="AF100" s="1509"/>
      <c r="AG100" s="1510"/>
      <c r="AH100" s="1492" t="str">
        <f t="shared" ref="AH100" si="101">IF(OR(I100="",O100="",U100="",Y100="",AB100="",$AE$77="",$AL$77=""),"",Y100*AB100)</f>
        <v/>
      </c>
      <c r="AI100" s="1493"/>
      <c r="AJ100" s="1493"/>
      <c r="AK100" s="1493"/>
      <c r="AL100" s="1546"/>
      <c r="AM100" s="531"/>
      <c r="AN100" s="531"/>
      <c r="AO100" s="531"/>
      <c r="AP100" s="531"/>
      <c r="AQ100" s="536"/>
      <c r="AU100" s="1434"/>
      <c r="AV100" s="1434"/>
      <c r="AW100" s="804"/>
      <c r="AX100" s="752" t="str">
        <f>IF(OR(I100="",O100="",U100="",Y100="",AB100="",AE100="",$AE$77="",$AL$77=""),"",ROUND(BA100*INDEX(ENDUSEALL[Factor],MATCH("Lighting",ENDUSEALL[End Use to Coincident Peak Demand Factors],0)),4))</f>
        <v/>
      </c>
      <c r="AY100" s="802" t="str">
        <f t="shared" ref="AY100" si="102">IF(OR(I100="",O100="",U100="",Y100="",AB100="",AE100="",$AE$77="",$AL$77="",$Q$77=""),"",ROUND((($Q$77*$X$77)/SUM($Y$86:$AA$125))*Y100*AE100/1000,0))</f>
        <v/>
      </c>
      <c r="AZ100" s="802" t="str">
        <f t="shared" ref="AZ100" si="103">IF(OR(I100="",O100="",U100="",Y100="",AB100="",AE100="",$AE$77="",$AL$77=""),"",ROUND((AB100*Y100*AE100/1000),0))</f>
        <v/>
      </c>
      <c r="BA100" s="800">
        <f t="shared" ref="BA100" si="104">IFERROR(ROUND($BA$83*(AY100-AZ100),0),0)</f>
        <v>0</v>
      </c>
      <c r="BB100" s="808"/>
    </row>
    <row r="101" spans="3:54" ht="15.95" customHeight="1" x14ac:dyDescent="0.25">
      <c r="C101" s="530"/>
      <c r="D101" s="531"/>
      <c r="E101" s="531"/>
      <c r="F101" s="531"/>
      <c r="G101" s="531"/>
      <c r="H101" s="1529"/>
      <c r="I101" s="1530"/>
      <c r="J101" s="1062"/>
      <c r="K101" s="1062"/>
      <c r="L101" s="1062"/>
      <c r="M101" s="1062"/>
      <c r="N101" s="1062"/>
      <c r="O101" s="1533"/>
      <c r="P101" s="1533"/>
      <c r="Q101" s="1533"/>
      <c r="R101" s="1533"/>
      <c r="S101" s="1533"/>
      <c r="T101" s="1533"/>
      <c r="U101" s="1245"/>
      <c r="V101" s="1245"/>
      <c r="W101" s="1245"/>
      <c r="X101" s="1245"/>
      <c r="Y101" s="1078"/>
      <c r="Z101" s="1545"/>
      <c r="AA101" s="1079"/>
      <c r="AB101" s="1155"/>
      <c r="AC101" s="1550"/>
      <c r="AD101" s="1156"/>
      <c r="AE101" s="1508"/>
      <c r="AF101" s="1509"/>
      <c r="AG101" s="1510"/>
      <c r="AH101" s="1492"/>
      <c r="AI101" s="1493"/>
      <c r="AJ101" s="1493"/>
      <c r="AK101" s="1493"/>
      <c r="AL101" s="1546"/>
      <c r="AM101" s="531"/>
      <c r="AN101" s="531"/>
      <c r="AO101" s="531"/>
      <c r="AP101" s="531"/>
      <c r="AQ101" s="536"/>
      <c r="AU101" s="1435"/>
      <c r="AV101" s="1435"/>
      <c r="AW101" s="805"/>
      <c r="AX101" s="753"/>
      <c r="AY101" s="803"/>
      <c r="AZ101" s="803"/>
      <c r="BA101" s="801"/>
      <c r="BB101" s="797"/>
    </row>
    <row r="102" spans="3:54" ht="15.95" customHeight="1" x14ac:dyDescent="0.25">
      <c r="C102" s="530"/>
      <c r="D102" s="531"/>
      <c r="E102" s="531"/>
      <c r="F102" s="531"/>
      <c r="G102" s="531"/>
      <c r="H102" s="1529">
        <v>9</v>
      </c>
      <c r="I102" s="1537"/>
      <c r="J102" s="1058"/>
      <c r="K102" s="1058"/>
      <c r="L102" s="1058"/>
      <c r="M102" s="1058"/>
      <c r="N102" s="1058"/>
      <c r="O102" s="1538"/>
      <c r="P102" s="1538"/>
      <c r="Q102" s="1538"/>
      <c r="R102" s="1538"/>
      <c r="S102" s="1538"/>
      <c r="T102" s="1538"/>
      <c r="U102" s="1535"/>
      <c r="V102" s="1535"/>
      <c r="W102" s="1535"/>
      <c r="X102" s="1535"/>
      <c r="Y102" s="1539"/>
      <c r="Z102" s="1540"/>
      <c r="AA102" s="1541"/>
      <c r="AB102" s="1547"/>
      <c r="AC102" s="1548"/>
      <c r="AD102" s="1549"/>
      <c r="AE102" s="1508"/>
      <c r="AF102" s="1509"/>
      <c r="AG102" s="1510"/>
      <c r="AH102" s="1492" t="str">
        <f t="shared" ref="AH102" si="105">IF(OR(I102="",O102="",U102="",Y102="",AB102="",$AE$77="",$AL$77=""),"",Y102*AB102)</f>
        <v/>
      </c>
      <c r="AI102" s="1493"/>
      <c r="AJ102" s="1493"/>
      <c r="AK102" s="1493"/>
      <c r="AL102" s="1546"/>
      <c r="AM102" s="531"/>
      <c r="AN102" s="531"/>
      <c r="AO102" s="531"/>
      <c r="AP102" s="531"/>
      <c r="AQ102" s="536"/>
      <c r="AU102" s="1434"/>
      <c r="AV102" s="1434"/>
      <c r="AW102" s="804"/>
      <c r="AX102" s="752" t="str">
        <f>IF(OR(I102="",O102="",U102="",Y102="",AB102="",AE102="",$AE$77="",$AL$77=""),"",ROUND(BA102*INDEX(ENDUSEALL[Factor],MATCH("Lighting",ENDUSEALL[End Use to Coincident Peak Demand Factors],0)),4))</f>
        <v/>
      </c>
      <c r="AY102" s="802" t="str">
        <f t="shared" ref="AY102" si="106">IF(OR(I102="",O102="",U102="",Y102="",AB102="",AE102="",$AE$77="",$AL$77="",$Q$77=""),"",ROUND((($Q$77*$X$77)/SUM($Y$86:$AA$125))*Y102*AE102/1000,0))</f>
        <v/>
      </c>
      <c r="AZ102" s="802" t="str">
        <f t="shared" ref="AZ102" si="107">IF(OR(I102="",O102="",U102="",Y102="",AB102="",AE102="",$AE$77="",$AL$77=""),"",ROUND((AB102*Y102*AE102/1000),0))</f>
        <v/>
      </c>
      <c r="BA102" s="800">
        <f t="shared" ref="BA102" si="108">IFERROR(ROUND($BA$83*(AY102-AZ102),0),0)</f>
        <v>0</v>
      </c>
      <c r="BB102" s="808"/>
    </row>
    <row r="103" spans="3:54" ht="15.95" customHeight="1" x14ac:dyDescent="0.25">
      <c r="C103" s="530"/>
      <c r="D103" s="531"/>
      <c r="E103" s="531"/>
      <c r="F103" s="531"/>
      <c r="G103" s="531"/>
      <c r="H103" s="1529"/>
      <c r="I103" s="1530"/>
      <c r="J103" s="1062"/>
      <c r="K103" s="1062"/>
      <c r="L103" s="1062"/>
      <c r="M103" s="1062"/>
      <c r="N103" s="1062"/>
      <c r="O103" s="1533"/>
      <c r="P103" s="1533"/>
      <c r="Q103" s="1533"/>
      <c r="R103" s="1533"/>
      <c r="S103" s="1533"/>
      <c r="T103" s="1533"/>
      <c r="U103" s="1245"/>
      <c r="V103" s="1245"/>
      <c r="W103" s="1245"/>
      <c r="X103" s="1245"/>
      <c r="Y103" s="1078"/>
      <c r="Z103" s="1545"/>
      <c r="AA103" s="1079"/>
      <c r="AB103" s="1155"/>
      <c r="AC103" s="1550"/>
      <c r="AD103" s="1156"/>
      <c r="AE103" s="1508"/>
      <c r="AF103" s="1509"/>
      <c r="AG103" s="1510"/>
      <c r="AH103" s="1492"/>
      <c r="AI103" s="1493"/>
      <c r="AJ103" s="1493"/>
      <c r="AK103" s="1493"/>
      <c r="AL103" s="1546"/>
      <c r="AM103" s="531"/>
      <c r="AN103" s="531"/>
      <c r="AO103" s="531"/>
      <c r="AP103" s="531"/>
      <c r="AQ103" s="536"/>
      <c r="AU103" s="1435"/>
      <c r="AV103" s="1435"/>
      <c r="AW103" s="805"/>
      <c r="AX103" s="753"/>
      <c r="AY103" s="803"/>
      <c r="AZ103" s="803"/>
      <c r="BA103" s="801"/>
      <c r="BB103" s="797"/>
    </row>
    <row r="104" spans="3:54" ht="15.95" customHeight="1" x14ac:dyDescent="0.25">
      <c r="C104" s="530"/>
      <c r="D104" s="531"/>
      <c r="E104" s="531"/>
      <c r="F104" s="531"/>
      <c r="G104" s="531"/>
      <c r="H104" s="1529">
        <v>10</v>
      </c>
      <c r="I104" s="1537"/>
      <c r="J104" s="1058"/>
      <c r="K104" s="1058"/>
      <c r="L104" s="1058"/>
      <c r="M104" s="1058"/>
      <c r="N104" s="1058"/>
      <c r="O104" s="1538"/>
      <c r="P104" s="1538"/>
      <c r="Q104" s="1538"/>
      <c r="R104" s="1538"/>
      <c r="S104" s="1538"/>
      <c r="T104" s="1538"/>
      <c r="U104" s="1535"/>
      <c r="V104" s="1535"/>
      <c r="W104" s="1535"/>
      <c r="X104" s="1535"/>
      <c r="Y104" s="1539"/>
      <c r="Z104" s="1540"/>
      <c r="AA104" s="1541"/>
      <c r="AB104" s="1547"/>
      <c r="AC104" s="1548"/>
      <c r="AD104" s="1549"/>
      <c r="AE104" s="1508"/>
      <c r="AF104" s="1509"/>
      <c r="AG104" s="1510"/>
      <c r="AH104" s="1492" t="str">
        <f t="shared" ref="AH104" si="109">IF(OR(I104="",O104="",U104="",Y104="",AB104="",$AE$77="",$AL$77=""),"",Y104*AB104)</f>
        <v/>
      </c>
      <c r="AI104" s="1493"/>
      <c r="AJ104" s="1493"/>
      <c r="AK104" s="1493"/>
      <c r="AL104" s="1546"/>
      <c r="AM104" s="531"/>
      <c r="AN104" s="531"/>
      <c r="AO104" s="531"/>
      <c r="AP104" s="531"/>
      <c r="AQ104" s="536"/>
      <c r="AU104" s="1434"/>
      <c r="AV104" s="1434"/>
      <c r="AW104" s="804"/>
      <c r="AX104" s="752" t="str">
        <f>IF(OR(I104="",O104="",U104="",Y104="",AB104="",AE104="",$AE$77="",$AL$77=""),"",ROUND(BA104*INDEX(ENDUSEALL[Factor],MATCH("Lighting",ENDUSEALL[End Use to Coincident Peak Demand Factors],0)),4))</f>
        <v/>
      </c>
      <c r="AY104" s="802" t="str">
        <f t="shared" ref="AY104" si="110">IF(OR(I104="",O104="",U104="",Y104="",AB104="",AE104="",$AE$77="",$AL$77="",$Q$77=""),"",ROUND((($Q$77*$X$77)/SUM($Y$86:$AA$125))*Y104*AE104/1000,0))</f>
        <v/>
      </c>
      <c r="AZ104" s="802" t="str">
        <f t="shared" ref="AZ104" si="111">IF(OR(I104="",O104="",U104="",Y104="",AB104="",AE104="",$AE$77="",$AL$77=""),"",ROUND((AB104*Y104*AE104/1000),0))</f>
        <v/>
      </c>
      <c r="BA104" s="800">
        <f t="shared" ref="BA104" si="112">IFERROR(ROUND($BA$83*(AY104-AZ104),0),0)</f>
        <v>0</v>
      </c>
      <c r="BB104" s="808"/>
    </row>
    <row r="105" spans="3:54" ht="15.95" customHeight="1" x14ac:dyDescent="0.25">
      <c r="C105" s="530"/>
      <c r="D105" s="531"/>
      <c r="E105" s="531"/>
      <c r="F105" s="531"/>
      <c r="G105" s="531"/>
      <c r="H105" s="1529"/>
      <c r="I105" s="1530"/>
      <c r="J105" s="1062"/>
      <c r="K105" s="1062"/>
      <c r="L105" s="1062"/>
      <c r="M105" s="1062"/>
      <c r="N105" s="1062"/>
      <c r="O105" s="1533"/>
      <c r="P105" s="1533"/>
      <c r="Q105" s="1533"/>
      <c r="R105" s="1533"/>
      <c r="S105" s="1533"/>
      <c r="T105" s="1533"/>
      <c r="U105" s="1245"/>
      <c r="V105" s="1245"/>
      <c r="W105" s="1245"/>
      <c r="X105" s="1245"/>
      <c r="Y105" s="1078"/>
      <c r="Z105" s="1545"/>
      <c r="AA105" s="1079"/>
      <c r="AB105" s="1155"/>
      <c r="AC105" s="1550"/>
      <c r="AD105" s="1156"/>
      <c r="AE105" s="1508"/>
      <c r="AF105" s="1509"/>
      <c r="AG105" s="1510"/>
      <c r="AH105" s="1492"/>
      <c r="AI105" s="1493"/>
      <c r="AJ105" s="1493"/>
      <c r="AK105" s="1493"/>
      <c r="AL105" s="1546"/>
      <c r="AM105" s="531"/>
      <c r="AN105" s="531"/>
      <c r="AO105" s="531"/>
      <c r="AP105" s="531"/>
      <c r="AQ105" s="536"/>
      <c r="AU105" s="1435"/>
      <c r="AV105" s="1435"/>
      <c r="AW105" s="805"/>
      <c r="AX105" s="753"/>
      <c r="AY105" s="803"/>
      <c r="AZ105" s="803"/>
      <c r="BA105" s="801"/>
      <c r="BB105" s="797"/>
    </row>
    <row r="106" spans="3:54" ht="15.95" customHeight="1" x14ac:dyDescent="0.25">
      <c r="C106" s="530"/>
      <c r="D106" s="531"/>
      <c r="E106" s="531"/>
      <c r="F106" s="531"/>
      <c r="G106" s="531"/>
      <c r="H106" s="1529">
        <v>11</v>
      </c>
      <c r="I106" s="1537"/>
      <c r="J106" s="1058"/>
      <c r="K106" s="1058"/>
      <c r="L106" s="1058"/>
      <c r="M106" s="1058"/>
      <c r="N106" s="1058"/>
      <c r="O106" s="1538"/>
      <c r="P106" s="1538"/>
      <c r="Q106" s="1538"/>
      <c r="R106" s="1538"/>
      <c r="S106" s="1538"/>
      <c r="T106" s="1538"/>
      <c r="U106" s="1535"/>
      <c r="V106" s="1535"/>
      <c r="W106" s="1535"/>
      <c r="X106" s="1535"/>
      <c r="Y106" s="1539"/>
      <c r="Z106" s="1540"/>
      <c r="AA106" s="1541"/>
      <c r="AB106" s="1547"/>
      <c r="AC106" s="1548"/>
      <c r="AD106" s="1549"/>
      <c r="AE106" s="1508"/>
      <c r="AF106" s="1509"/>
      <c r="AG106" s="1510"/>
      <c r="AH106" s="1492" t="str">
        <f t="shared" ref="AH106" si="113">IF(OR(I106="",O106="",U106="",Y106="",AB106="",$AE$77="",$AL$77=""),"",Y106*AB106)</f>
        <v/>
      </c>
      <c r="AI106" s="1493"/>
      <c r="AJ106" s="1493"/>
      <c r="AK106" s="1493"/>
      <c r="AL106" s="1546"/>
      <c r="AM106" s="531"/>
      <c r="AN106" s="531"/>
      <c r="AO106" s="531"/>
      <c r="AP106" s="531"/>
      <c r="AQ106" s="536"/>
      <c r="AU106" s="1434"/>
      <c r="AV106" s="1434"/>
      <c r="AW106" s="804"/>
      <c r="AX106" s="752" t="str">
        <f>IF(OR(I106="",O106="",U106="",Y106="",AB106="",AE106="",$AE$77="",$AL$77=""),"",ROUND(BA106*INDEX(ENDUSEALL[Factor],MATCH("Lighting",ENDUSEALL[End Use to Coincident Peak Demand Factors],0)),4))</f>
        <v/>
      </c>
      <c r="AY106" s="802" t="str">
        <f t="shared" ref="AY106" si="114">IF(OR(I106="",O106="",U106="",Y106="",AB106="",AE106="",$AE$77="",$AL$77="",$Q$77=""),"",ROUND((($Q$77*$X$77)/SUM($Y$86:$AA$125))*Y106*AE106/1000,0))</f>
        <v/>
      </c>
      <c r="AZ106" s="802" t="str">
        <f t="shared" ref="AZ106" si="115">IF(OR(I106="",O106="",U106="",Y106="",AB106="",AE106="",$AE$77="",$AL$77=""),"",ROUND((AB106*Y106*AE106/1000),0))</f>
        <v/>
      </c>
      <c r="BA106" s="800">
        <f t="shared" ref="BA106" si="116">IFERROR(ROUND($BA$83*(AY106-AZ106),0),0)</f>
        <v>0</v>
      </c>
      <c r="BB106" s="808"/>
    </row>
    <row r="107" spans="3:54" ht="15.95" customHeight="1" x14ac:dyDescent="0.25">
      <c r="C107" s="530"/>
      <c r="D107" s="531"/>
      <c r="E107" s="531"/>
      <c r="F107" s="531"/>
      <c r="G107" s="531"/>
      <c r="H107" s="1529"/>
      <c r="I107" s="1530"/>
      <c r="J107" s="1062"/>
      <c r="K107" s="1062"/>
      <c r="L107" s="1062"/>
      <c r="M107" s="1062"/>
      <c r="N107" s="1062"/>
      <c r="O107" s="1533"/>
      <c r="P107" s="1533"/>
      <c r="Q107" s="1533"/>
      <c r="R107" s="1533"/>
      <c r="S107" s="1533"/>
      <c r="T107" s="1533"/>
      <c r="U107" s="1245"/>
      <c r="V107" s="1245"/>
      <c r="W107" s="1245"/>
      <c r="X107" s="1245"/>
      <c r="Y107" s="1078"/>
      <c r="Z107" s="1545"/>
      <c r="AA107" s="1079"/>
      <c r="AB107" s="1155"/>
      <c r="AC107" s="1550"/>
      <c r="AD107" s="1156"/>
      <c r="AE107" s="1508"/>
      <c r="AF107" s="1509"/>
      <c r="AG107" s="1510"/>
      <c r="AH107" s="1492"/>
      <c r="AI107" s="1493"/>
      <c r="AJ107" s="1493"/>
      <c r="AK107" s="1493"/>
      <c r="AL107" s="1546"/>
      <c r="AM107" s="531"/>
      <c r="AN107" s="531"/>
      <c r="AO107" s="531"/>
      <c r="AP107" s="531"/>
      <c r="AQ107" s="536"/>
      <c r="AU107" s="1435"/>
      <c r="AV107" s="1435"/>
      <c r="AW107" s="805"/>
      <c r="AX107" s="753"/>
      <c r="AY107" s="803"/>
      <c r="AZ107" s="803"/>
      <c r="BA107" s="801"/>
      <c r="BB107" s="797"/>
    </row>
    <row r="108" spans="3:54" ht="15.95" customHeight="1" x14ac:dyDescent="0.25">
      <c r="C108" s="530"/>
      <c r="D108" s="531"/>
      <c r="E108" s="531"/>
      <c r="F108" s="531"/>
      <c r="G108" s="531"/>
      <c r="H108" s="1529">
        <v>12</v>
      </c>
      <c r="I108" s="1537"/>
      <c r="J108" s="1058"/>
      <c r="K108" s="1058"/>
      <c r="L108" s="1058"/>
      <c r="M108" s="1058"/>
      <c r="N108" s="1058"/>
      <c r="O108" s="1538"/>
      <c r="P108" s="1538"/>
      <c r="Q108" s="1538"/>
      <c r="R108" s="1538"/>
      <c r="S108" s="1538"/>
      <c r="T108" s="1538"/>
      <c r="U108" s="1535"/>
      <c r="V108" s="1535"/>
      <c r="W108" s="1535"/>
      <c r="X108" s="1535"/>
      <c r="Y108" s="1539"/>
      <c r="Z108" s="1540"/>
      <c r="AA108" s="1541"/>
      <c r="AB108" s="1547"/>
      <c r="AC108" s="1548"/>
      <c r="AD108" s="1549"/>
      <c r="AE108" s="1508"/>
      <c r="AF108" s="1509"/>
      <c r="AG108" s="1510"/>
      <c r="AH108" s="1492" t="str">
        <f t="shared" ref="AH108" si="117">IF(OR(I108="",O108="",U108="",Y108="",AB108="",$AE$77="",$AL$77=""),"",Y108*AB108)</f>
        <v/>
      </c>
      <c r="AI108" s="1493"/>
      <c r="AJ108" s="1493"/>
      <c r="AK108" s="1493"/>
      <c r="AL108" s="1546"/>
      <c r="AM108" s="531"/>
      <c r="AN108" s="531"/>
      <c r="AO108" s="531"/>
      <c r="AP108" s="531"/>
      <c r="AQ108" s="536"/>
      <c r="AU108" s="1434"/>
      <c r="AV108" s="1434"/>
      <c r="AW108" s="804"/>
      <c r="AX108" s="752" t="str">
        <f>IF(OR(I108="",O108="",U108="",Y108="",AB108="",AE108="",$AE$77="",$AL$77=""),"",ROUND(BA108*INDEX(ENDUSEALL[Factor],MATCH("Lighting",ENDUSEALL[End Use to Coincident Peak Demand Factors],0)),4))</f>
        <v/>
      </c>
      <c r="AY108" s="802" t="str">
        <f t="shared" ref="AY108" si="118">IF(OR(I108="",O108="",U108="",Y108="",AB108="",AE108="",$AE$77="",$AL$77="",$Q$77=""),"",ROUND((($Q$77*$X$77)/SUM($Y$86:$AA$125))*Y108*AE108/1000,0))</f>
        <v/>
      </c>
      <c r="AZ108" s="802" t="str">
        <f t="shared" ref="AZ108" si="119">IF(OR(I108="",O108="",U108="",Y108="",AB108="",AE108="",$AE$77="",$AL$77=""),"",ROUND((AB108*Y108*AE108/1000),0))</f>
        <v/>
      </c>
      <c r="BA108" s="800">
        <f t="shared" ref="BA108" si="120">IFERROR(ROUND($BA$83*(AY108-AZ108),0),0)</f>
        <v>0</v>
      </c>
      <c r="BB108" s="808"/>
    </row>
    <row r="109" spans="3:54" ht="15.95" customHeight="1" x14ac:dyDescent="0.25">
      <c r="C109" s="530"/>
      <c r="D109" s="531"/>
      <c r="E109" s="531"/>
      <c r="F109" s="531"/>
      <c r="G109" s="531"/>
      <c r="H109" s="1529"/>
      <c r="I109" s="1530"/>
      <c r="J109" s="1062"/>
      <c r="K109" s="1062"/>
      <c r="L109" s="1062"/>
      <c r="M109" s="1062"/>
      <c r="N109" s="1062"/>
      <c r="O109" s="1533"/>
      <c r="P109" s="1533"/>
      <c r="Q109" s="1533"/>
      <c r="R109" s="1533"/>
      <c r="S109" s="1533"/>
      <c r="T109" s="1533"/>
      <c r="U109" s="1245"/>
      <c r="V109" s="1245"/>
      <c r="W109" s="1245"/>
      <c r="X109" s="1245"/>
      <c r="Y109" s="1078"/>
      <c r="Z109" s="1545"/>
      <c r="AA109" s="1079"/>
      <c r="AB109" s="1155"/>
      <c r="AC109" s="1550"/>
      <c r="AD109" s="1156"/>
      <c r="AE109" s="1508"/>
      <c r="AF109" s="1509"/>
      <c r="AG109" s="1510"/>
      <c r="AH109" s="1492"/>
      <c r="AI109" s="1493"/>
      <c r="AJ109" s="1493"/>
      <c r="AK109" s="1493"/>
      <c r="AL109" s="1546"/>
      <c r="AM109" s="531"/>
      <c r="AN109" s="531"/>
      <c r="AO109" s="531"/>
      <c r="AP109" s="531"/>
      <c r="AQ109" s="536"/>
      <c r="AU109" s="1435"/>
      <c r="AV109" s="1435"/>
      <c r="AW109" s="805"/>
      <c r="AX109" s="753"/>
      <c r="AY109" s="803"/>
      <c r="AZ109" s="803"/>
      <c r="BA109" s="801"/>
      <c r="BB109" s="797"/>
    </row>
    <row r="110" spans="3:54" ht="15.95" customHeight="1" x14ac:dyDescent="0.25">
      <c r="C110" s="530"/>
      <c r="D110" s="531"/>
      <c r="E110" s="531"/>
      <c r="F110" s="531"/>
      <c r="G110" s="531"/>
      <c r="H110" s="1529">
        <v>13</v>
      </c>
      <c r="I110" s="1537"/>
      <c r="J110" s="1058"/>
      <c r="K110" s="1058"/>
      <c r="L110" s="1058"/>
      <c r="M110" s="1058"/>
      <c r="N110" s="1058"/>
      <c r="O110" s="1538"/>
      <c r="P110" s="1538"/>
      <c r="Q110" s="1538"/>
      <c r="R110" s="1538"/>
      <c r="S110" s="1538"/>
      <c r="T110" s="1538"/>
      <c r="U110" s="1535"/>
      <c r="V110" s="1535"/>
      <c r="W110" s="1535"/>
      <c r="X110" s="1535"/>
      <c r="Y110" s="1539"/>
      <c r="Z110" s="1540"/>
      <c r="AA110" s="1541"/>
      <c r="AB110" s="1547"/>
      <c r="AC110" s="1548"/>
      <c r="AD110" s="1549"/>
      <c r="AE110" s="1508"/>
      <c r="AF110" s="1509"/>
      <c r="AG110" s="1510"/>
      <c r="AH110" s="1492" t="str">
        <f t="shared" ref="AH110" si="121">IF(OR(I110="",O110="",U110="",Y110="",AB110="",$AE$77="",$AL$77=""),"",Y110*AB110)</f>
        <v/>
      </c>
      <c r="AI110" s="1493"/>
      <c r="AJ110" s="1493"/>
      <c r="AK110" s="1493"/>
      <c r="AL110" s="1546"/>
      <c r="AM110" s="531"/>
      <c r="AN110" s="531"/>
      <c r="AO110" s="531"/>
      <c r="AP110" s="531"/>
      <c r="AQ110" s="536"/>
      <c r="AU110" s="1434"/>
      <c r="AV110" s="1434"/>
      <c r="AW110" s="804"/>
      <c r="AX110" s="752" t="str">
        <f>IF(OR(I110="",O110="",U110="",Y110="",AB110="",AE110="",$AE$77="",$AL$77=""),"",ROUND(BA110*INDEX(ENDUSEALL[Factor],MATCH("Lighting",ENDUSEALL[End Use to Coincident Peak Demand Factors],0)),4))</f>
        <v/>
      </c>
      <c r="AY110" s="802" t="str">
        <f t="shared" ref="AY110" si="122">IF(OR(I110="",O110="",U110="",Y110="",AB110="",AE110="",$AE$77="",$AL$77="",$Q$77=""),"",ROUND((($Q$77*$X$77)/SUM($Y$86:$AA$125))*Y110*AE110/1000,0))</f>
        <v/>
      </c>
      <c r="AZ110" s="802" t="str">
        <f t="shared" ref="AZ110" si="123">IF(OR(I110="",O110="",U110="",Y110="",AB110="",AE110="",$AE$77="",$AL$77=""),"",ROUND((AB110*Y110*AE110/1000),0))</f>
        <v/>
      </c>
      <c r="BA110" s="800">
        <f t="shared" ref="BA110" si="124">IFERROR(ROUND($BA$83*(AY110-AZ110),0),0)</f>
        <v>0</v>
      </c>
      <c r="BB110" s="808"/>
    </row>
    <row r="111" spans="3:54" ht="15.95" customHeight="1" x14ac:dyDescent="0.25">
      <c r="C111" s="530"/>
      <c r="D111" s="531"/>
      <c r="E111" s="531"/>
      <c r="F111" s="531"/>
      <c r="G111" s="531"/>
      <c r="H111" s="1529"/>
      <c r="I111" s="1530"/>
      <c r="J111" s="1062"/>
      <c r="K111" s="1062"/>
      <c r="L111" s="1062"/>
      <c r="M111" s="1062"/>
      <c r="N111" s="1062"/>
      <c r="O111" s="1533"/>
      <c r="P111" s="1533"/>
      <c r="Q111" s="1533"/>
      <c r="R111" s="1533"/>
      <c r="S111" s="1533"/>
      <c r="T111" s="1533"/>
      <c r="U111" s="1245"/>
      <c r="V111" s="1245"/>
      <c r="W111" s="1245"/>
      <c r="X111" s="1245"/>
      <c r="Y111" s="1078"/>
      <c r="Z111" s="1545"/>
      <c r="AA111" s="1079"/>
      <c r="AB111" s="1155"/>
      <c r="AC111" s="1550"/>
      <c r="AD111" s="1156"/>
      <c r="AE111" s="1508"/>
      <c r="AF111" s="1509"/>
      <c r="AG111" s="1510"/>
      <c r="AH111" s="1492"/>
      <c r="AI111" s="1493"/>
      <c r="AJ111" s="1493"/>
      <c r="AK111" s="1493"/>
      <c r="AL111" s="1546"/>
      <c r="AM111" s="531"/>
      <c r="AN111" s="531"/>
      <c r="AO111" s="531"/>
      <c r="AP111" s="531"/>
      <c r="AQ111" s="536"/>
      <c r="AU111" s="1435"/>
      <c r="AV111" s="1435"/>
      <c r="AW111" s="805"/>
      <c r="AX111" s="753"/>
      <c r="AY111" s="803"/>
      <c r="AZ111" s="803"/>
      <c r="BA111" s="801"/>
      <c r="BB111" s="797"/>
    </row>
    <row r="112" spans="3:54" ht="15.95" customHeight="1" x14ac:dyDescent="0.25">
      <c r="C112" s="530"/>
      <c r="D112" s="531"/>
      <c r="E112" s="531"/>
      <c r="F112" s="531"/>
      <c r="G112" s="531"/>
      <c r="H112" s="1529">
        <v>14</v>
      </c>
      <c r="I112" s="1537"/>
      <c r="J112" s="1058"/>
      <c r="K112" s="1058"/>
      <c r="L112" s="1058"/>
      <c r="M112" s="1058"/>
      <c r="N112" s="1058"/>
      <c r="O112" s="1538"/>
      <c r="P112" s="1538"/>
      <c r="Q112" s="1538"/>
      <c r="R112" s="1538"/>
      <c r="S112" s="1538"/>
      <c r="T112" s="1538"/>
      <c r="U112" s="1535"/>
      <c r="V112" s="1535"/>
      <c r="W112" s="1535"/>
      <c r="X112" s="1535"/>
      <c r="Y112" s="1539"/>
      <c r="Z112" s="1540"/>
      <c r="AA112" s="1541"/>
      <c r="AB112" s="1547"/>
      <c r="AC112" s="1548"/>
      <c r="AD112" s="1549"/>
      <c r="AE112" s="1508"/>
      <c r="AF112" s="1509"/>
      <c r="AG112" s="1510"/>
      <c r="AH112" s="1492" t="str">
        <f t="shared" ref="AH112" si="125">IF(OR(I112="",O112="",U112="",Y112="",AB112="",$AE$77="",$AL$77=""),"",Y112*AB112)</f>
        <v/>
      </c>
      <c r="AI112" s="1493"/>
      <c r="AJ112" s="1493"/>
      <c r="AK112" s="1493"/>
      <c r="AL112" s="1546"/>
      <c r="AM112" s="531"/>
      <c r="AN112" s="531"/>
      <c r="AO112" s="531"/>
      <c r="AP112" s="531"/>
      <c r="AQ112" s="536"/>
      <c r="AU112" s="1434"/>
      <c r="AV112" s="1434"/>
      <c r="AW112" s="804"/>
      <c r="AX112" s="752" t="str">
        <f>IF(OR(I112="",O112="",U112="",Y112="",AB112="",AE112="",$AE$77="",$AL$77=""),"",ROUND(BA112*INDEX(ENDUSEALL[Factor],MATCH("Lighting",ENDUSEALL[End Use to Coincident Peak Demand Factors],0)),4))</f>
        <v/>
      </c>
      <c r="AY112" s="802" t="str">
        <f t="shared" ref="AY112" si="126">IF(OR(I112="",O112="",U112="",Y112="",AB112="",AE112="",$AE$77="",$AL$77="",$Q$77=""),"",ROUND((($Q$77*$X$77)/SUM($Y$86:$AA$125))*Y112*AE112/1000,0))</f>
        <v/>
      </c>
      <c r="AZ112" s="802" t="str">
        <f t="shared" ref="AZ112" si="127">IF(OR(I112="",O112="",U112="",Y112="",AB112="",AE112="",$AE$77="",$AL$77=""),"",ROUND((AB112*Y112*AE112/1000),0))</f>
        <v/>
      </c>
      <c r="BA112" s="800">
        <f t="shared" ref="BA112" si="128">IFERROR(ROUND($BA$83*(AY112-AZ112),0),0)</f>
        <v>0</v>
      </c>
      <c r="BB112" s="808"/>
    </row>
    <row r="113" spans="3:54" ht="15.95" customHeight="1" x14ac:dyDescent="0.25">
      <c r="C113" s="530"/>
      <c r="D113" s="531"/>
      <c r="E113" s="531"/>
      <c r="F113" s="531"/>
      <c r="G113" s="531"/>
      <c r="H113" s="1529"/>
      <c r="I113" s="1530"/>
      <c r="J113" s="1062"/>
      <c r="K113" s="1062"/>
      <c r="L113" s="1062"/>
      <c r="M113" s="1062"/>
      <c r="N113" s="1062"/>
      <c r="O113" s="1533"/>
      <c r="P113" s="1533"/>
      <c r="Q113" s="1533"/>
      <c r="R113" s="1533"/>
      <c r="S113" s="1533"/>
      <c r="T113" s="1533"/>
      <c r="U113" s="1245"/>
      <c r="V113" s="1245"/>
      <c r="W113" s="1245"/>
      <c r="X113" s="1245"/>
      <c r="Y113" s="1078"/>
      <c r="Z113" s="1545"/>
      <c r="AA113" s="1079"/>
      <c r="AB113" s="1155"/>
      <c r="AC113" s="1550"/>
      <c r="AD113" s="1156"/>
      <c r="AE113" s="1508"/>
      <c r="AF113" s="1509"/>
      <c r="AG113" s="1510"/>
      <c r="AH113" s="1492"/>
      <c r="AI113" s="1493"/>
      <c r="AJ113" s="1493"/>
      <c r="AK113" s="1493"/>
      <c r="AL113" s="1546"/>
      <c r="AM113" s="531"/>
      <c r="AN113" s="531"/>
      <c r="AO113" s="531"/>
      <c r="AP113" s="531"/>
      <c r="AQ113" s="536"/>
      <c r="AU113" s="1435"/>
      <c r="AV113" s="1435"/>
      <c r="AW113" s="805"/>
      <c r="AX113" s="753"/>
      <c r="AY113" s="803"/>
      <c r="AZ113" s="803"/>
      <c r="BA113" s="801"/>
      <c r="BB113" s="797"/>
    </row>
    <row r="114" spans="3:54" ht="15.95" customHeight="1" x14ac:dyDescent="0.25">
      <c r="C114" s="530"/>
      <c r="D114" s="531"/>
      <c r="E114" s="531"/>
      <c r="F114" s="531"/>
      <c r="G114" s="531"/>
      <c r="H114" s="1529">
        <v>15</v>
      </c>
      <c r="I114" s="1537"/>
      <c r="J114" s="1058"/>
      <c r="K114" s="1058"/>
      <c r="L114" s="1058"/>
      <c r="M114" s="1058"/>
      <c r="N114" s="1058"/>
      <c r="O114" s="1538"/>
      <c r="P114" s="1538"/>
      <c r="Q114" s="1538"/>
      <c r="R114" s="1538"/>
      <c r="S114" s="1538"/>
      <c r="T114" s="1538"/>
      <c r="U114" s="1535"/>
      <c r="V114" s="1535"/>
      <c r="W114" s="1535"/>
      <c r="X114" s="1535"/>
      <c r="Y114" s="1539"/>
      <c r="Z114" s="1540"/>
      <c r="AA114" s="1541"/>
      <c r="AB114" s="1547"/>
      <c r="AC114" s="1548"/>
      <c r="AD114" s="1549"/>
      <c r="AE114" s="1508"/>
      <c r="AF114" s="1509"/>
      <c r="AG114" s="1510"/>
      <c r="AH114" s="1492" t="str">
        <f t="shared" ref="AH114" si="129">IF(OR(I114="",O114="",U114="",Y114="",AB114="",$AE$77="",$AL$77=""),"",Y114*AB114)</f>
        <v/>
      </c>
      <c r="AI114" s="1493"/>
      <c r="AJ114" s="1493"/>
      <c r="AK114" s="1493"/>
      <c r="AL114" s="1546"/>
      <c r="AM114" s="531"/>
      <c r="AN114" s="531"/>
      <c r="AO114" s="531"/>
      <c r="AP114" s="531"/>
      <c r="AQ114" s="536"/>
      <c r="AU114" s="1434"/>
      <c r="AV114" s="1434"/>
      <c r="AW114" s="804"/>
      <c r="AX114" s="752" t="str">
        <f>IF(OR(I114="",O114="",U114="",Y114="",AB114="",AE114="",$AE$77="",$AL$77=""),"",ROUND(BA114*INDEX(ENDUSEALL[Factor],MATCH("Lighting",ENDUSEALL[End Use to Coincident Peak Demand Factors],0)),4))</f>
        <v/>
      </c>
      <c r="AY114" s="802" t="str">
        <f t="shared" ref="AY114" si="130">IF(OR(I114="",O114="",U114="",Y114="",AB114="",AE114="",$AE$77="",$AL$77="",$Q$77=""),"",ROUND((($Q$77*$X$77)/SUM($Y$86:$AA$125))*Y114*AE114/1000,0))</f>
        <v/>
      </c>
      <c r="AZ114" s="802" t="str">
        <f t="shared" ref="AZ114" si="131">IF(OR(I114="",O114="",U114="",Y114="",AB114="",AE114="",$AE$77="",$AL$77=""),"",ROUND((AB114*Y114*AE114/1000),0))</f>
        <v/>
      </c>
      <c r="BA114" s="800">
        <f t="shared" ref="BA114" si="132">IFERROR(ROUND($BA$83*(AY114-AZ114),0),0)</f>
        <v>0</v>
      </c>
      <c r="BB114" s="808"/>
    </row>
    <row r="115" spans="3:54" ht="15.95" customHeight="1" x14ac:dyDescent="0.25">
      <c r="C115" s="530"/>
      <c r="D115" s="531"/>
      <c r="E115" s="531"/>
      <c r="F115" s="531"/>
      <c r="G115" s="531"/>
      <c r="H115" s="1529"/>
      <c r="I115" s="1530"/>
      <c r="J115" s="1062"/>
      <c r="K115" s="1062"/>
      <c r="L115" s="1062"/>
      <c r="M115" s="1062"/>
      <c r="N115" s="1062"/>
      <c r="O115" s="1533"/>
      <c r="P115" s="1533"/>
      <c r="Q115" s="1533"/>
      <c r="R115" s="1533"/>
      <c r="S115" s="1533"/>
      <c r="T115" s="1533"/>
      <c r="U115" s="1245"/>
      <c r="V115" s="1245"/>
      <c r="W115" s="1245"/>
      <c r="X115" s="1245"/>
      <c r="Y115" s="1078"/>
      <c r="Z115" s="1545"/>
      <c r="AA115" s="1079"/>
      <c r="AB115" s="1155"/>
      <c r="AC115" s="1550"/>
      <c r="AD115" s="1156"/>
      <c r="AE115" s="1508"/>
      <c r="AF115" s="1509"/>
      <c r="AG115" s="1510"/>
      <c r="AH115" s="1492"/>
      <c r="AI115" s="1493"/>
      <c r="AJ115" s="1493"/>
      <c r="AK115" s="1493"/>
      <c r="AL115" s="1546"/>
      <c r="AM115" s="531"/>
      <c r="AN115" s="531"/>
      <c r="AO115" s="531"/>
      <c r="AP115" s="531"/>
      <c r="AQ115" s="536"/>
      <c r="AU115" s="1435"/>
      <c r="AV115" s="1435"/>
      <c r="AW115" s="805"/>
      <c r="AX115" s="753"/>
      <c r="AY115" s="803"/>
      <c r="AZ115" s="803"/>
      <c r="BA115" s="801"/>
      <c r="BB115" s="797"/>
    </row>
    <row r="116" spans="3:54" ht="15.95" customHeight="1" x14ac:dyDescent="0.25">
      <c r="C116" s="530"/>
      <c r="D116" s="531"/>
      <c r="E116" s="531"/>
      <c r="F116" s="531"/>
      <c r="G116" s="531"/>
      <c r="H116" s="1529">
        <v>16</v>
      </c>
      <c r="I116" s="1537"/>
      <c r="J116" s="1058"/>
      <c r="K116" s="1058"/>
      <c r="L116" s="1058"/>
      <c r="M116" s="1058"/>
      <c r="N116" s="1058"/>
      <c r="O116" s="1538"/>
      <c r="P116" s="1538"/>
      <c r="Q116" s="1538"/>
      <c r="R116" s="1538"/>
      <c r="S116" s="1538"/>
      <c r="T116" s="1538"/>
      <c r="U116" s="1535"/>
      <c r="V116" s="1535"/>
      <c r="W116" s="1535"/>
      <c r="X116" s="1535"/>
      <c r="Y116" s="1539"/>
      <c r="Z116" s="1540"/>
      <c r="AA116" s="1541"/>
      <c r="AB116" s="1547"/>
      <c r="AC116" s="1548"/>
      <c r="AD116" s="1549"/>
      <c r="AE116" s="1508"/>
      <c r="AF116" s="1509"/>
      <c r="AG116" s="1510"/>
      <c r="AH116" s="1492" t="str">
        <f t="shared" ref="AH116" si="133">IF(OR(I116="",O116="",U116="",Y116="",AB116="",$AE$77="",$AL$77=""),"",Y116*AB116)</f>
        <v/>
      </c>
      <c r="AI116" s="1493"/>
      <c r="AJ116" s="1493"/>
      <c r="AK116" s="1493"/>
      <c r="AL116" s="1546"/>
      <c r="AM116" s="531"/>
      <c r="AN116" s="531"/>
      <c r="AO116" s="531"/>
      <c r="AP116" s="531"/>
      <c r="AQ116" s="536"/>
      <c r="AU116" s="1434"/>
      <c r="AV116" s="1434"/>
      <c r="AW116" s="804"/>
      <c r="AX116" s="752" t="str">
        <f>IF(OR(I116="",O116="",U116="",Y116="",AB116="",AE116="",$AE$77="",$AL$77=""),"",ROUND(BA116*INDEX(ENDUSEALL[Factor],MATCH("Lighting",ENDUSEALL[End Use to Coincident Peak Demand Factors],0)),4))</f>
        <v/>
      </c>
      <c r="AY116" s="802" t="str">
        <f t="shared" ref="AY116" si="134">IF(OR(I116="",O116="",U116="",Y116="",AB116="",AE116="",$AE$77="",$AL$77="",$Q$77=""),"",ROUND((($Q$77*$X$77)/SUM($Y$86:$AA$125))*Y116*AE116/1000,0))</f>
        <v/>
      </c>
      <c r="AZ116" s="802" t="str">
        <f t="shared" ref="AZ116" si="135">IF(OR(I116="",O116="",U116="",Y116="",AB116="",AE116="",$AE$77="",$AL$77=""),"",ROUND((AB116*Y116*AE116/1000),0))</f>
        <v/>
      </c>
      <c r="BA116" s="800">
        <f t="shared" ref="BA116" si="136">IFERROR(ROUND($BA$83*(AY116-AZ116),0),0)</f>
        <v>0</v>
      </c>
      <c r="BB116" s="808"/>
    </row>
    <row r="117" spans="3:54" ht="15.95" customHeight="1" x14ac:dyDescent="0.25">
      <c r="C117" s="530"/>
      <c r="D117" s="531"/>
      <c r="E117" s="531"/>
      <c r="F117" s="531"/>
      <c r="G117" s="531"/>
      <c r="H117" s="1529"/>
      <c r="I117" s="1530"/>
      <c r="J117" s="1062"/>
      <c r="K117" s="1062"/>
      <c r="L117" s="1062"/>
      <c r="M117" s="1062"/>
      <c r="N117" s="1062"/>
      <c r="O117" s="1533"/>
      <c r="P117" s="1533"/>
      <c r="Q117" s="1533"/>
      <c r="R117" s="1533"/>
      <c r="S117" s="1533"/>
      <c r="T117" s="1533"/>
      <c r="U117" s="1245"/>
      <c r="V117" s="1245"/>
      <c r="W117" s="1245"/>
      <c r="X117" s="1245"/>
      <c r="Y117" s="1078"/>
      <c r="Z117" s="1545"/>
      <c r="AA117" s="1079"/>
      <c r="AB117" s="1155"/>
      <c r="AC117" s="1550"/>
      <c r="AD117" s="1156"/>
      <c r="AE117" s="1508"/>
      <c r="AF117" s="1509"/>
      <c r="AG117" s="1510"/>
      <c r="AH117" s="1492"/>
      <c r="AI117" s="1493"/>
      <c r="AJ117" s="1493"/>
      <c r="AK117" s="1493"/>
      <c r="AL117" s="1546"/>
      <c r="AM117" s="531"/>
      <c r="AN117" s="531"/>
      <c r="AO117" s="531"/>
      <c r="AP117" s="531"/>
      <c r="AQ117" s="536"/>
      <c r="AU117" s="1435"/>
      <c r="AV117" s="1435"/>
      <c r="AW117" s="805"/>
      <c r="AX117" s="753"/>
      <c r="AY117" s="803"/>
      <c r="AZ117" s="803"/>
      <c r="BA117" s="801"/>
      <c r="BB117" s="797"/>
    </row>
    <row r="118" spans="3:54" ht="15.95" customHeight="1" x14ac:dyDescent="0.25">
      <c r="C118" s="530"/>
      <c r="D118" s="531"/>
      <c r="E118" s="531"/>
      <c r="F118" s="531"/>
      <c r="G118" s="531"/>
      <c r="H118" s="1529">
        <v>17</v>
      </c>
      <c r="I118" s="1537"/>
      <c r="J118" s="1058"/>
      <c r="K118" s="1058"/>
      <c r="L118" s="1058"/>
      <c r="M118" s="1058"/>
      <c r="N118" s="1058"/>
      <c r="O118" s="1538"/>
      <c r="P118" s="1538"/>
      <c r="Q118" s="1538"/>
      <c r="R118" s="1538"/>
      <c r="S118" s="1538"/>
      <c r="T118" s="1538"/>
      <c r="U118" s="1535"/>
      <c r="V118" s="1535"/>
      <c r="W118" s="1535"/>
      <c r="X118" s="1535"/>
      <c r="Y118" s="1539"/>
      <c r="Z118" s="1540"/>
      <c r="AA118" s="1541"/>
      <c r="AB118" s="1547"/>
      <c r="AC118" s="1548"/>
      <c r="AD118" s="1549"/>
      <c r="AE118" s="1508"/>
      <c r="AF118" s="1509"/>
      <c r="AG118" s="1510"/>
      <c r="AH118" s="1492" t="str">
        <f t="shared" ref="AH118" si="137">IF(OR(I118="",O118="",U118="",Y118="",AB118="",$AE$77="",$AL$77=""),"",Y118*AB118)</f>
        <v/>
      </c>
      <c r="AI118" s="1493"/>
      <c r="AJ118" s="1493"/>
      <c r="AK118" s="1493"/>
      <c r="AL118" s="1546"/>
      <c r="AM118" s="531"/>
      <c r="AN118" s="531"/>
      <c r="AO118" s="531"/>
      <c r="AP118" s="531"/>
      <c r="AQ118" s="536"/>
      <c r="AU118" s="1434"/>
      <c r="AV118" s="1434"/>
      <c r="AW118" s="804"/>
      <c r="AX118" s="752" t="str">
        <f>IF(OR(I118="",O118="",U118="",Y118="",AB118="",AE118="",$AE$77="",$AL$77=""),"",ROUND(BA118*INDEX(ENDUSEALL[Factor],MATCH("Lighting",ENDUSEALL[End Use to Coincident Peak Demand Factors],0)),4))</f>
        <v/>
      </c>
      <c r="AY118" s="802" t="str">
        <f t="shared" ref="AY118" si="138">IF(OR(I118="",O118="",U118="",Y118="",AB118="",AE118="",$AE$77="",$AL$77="",$Q$77=""),"",ROUND((($Q$77*$X$77)/SUM($Y$86:$AA$125))*Y118*AE118/1000,0))</f>
        <v/>
      </c>
      <c r="AZ118" s="802" t="str">
        <f t="shared" ref="AZ118" si="139">IF(OR(I118="",O118="",U118="",Y118="",AB118="",AE118="",$AE$77="",$AL$77=""),"",ROUND((AB118*Y118*AE118/1000),0))</f>
        <v/>
      </c>
      <c r="BA118" s="800">
        <f t="shared" ref="BA118" si="140">IFERROR(ROUND($BA$83*(AY118-AZ118),0),0)</f>
        <v>0</v>
      </c>
      <c r="BB118" s="808"/>
    </row>
    <row r="119" spans="3:54" ht="15.95" customHeight="1" x14ac:dyDescent="0.25">
      <c r="C119" s="530"/>
      <c r="D119" s="531"/>
      <c r="E119" s="531"/>
      <c r="F119" s="531"/>
      <c r="G119" s="531"/>
      <c r="H119" s="1529"/>
      <c r="I119" s="1530"/>
      <c r="J119" s="1062"/>
      <c r="K119" s="1062"/>
      <c r="L119" s="1062"/>
      <c r="M119" s="1062"/>
      <c r="N119" s="1062"/>
      <c r="O119" s="1533"/>
      <c r="P119" s="1533"/>
      <c r="Q119" s="1533"/>
      <c r="R119" s="1533"/>
      <c r="S119" s="1533"/>
      <c r="T119" s="1533"/>
      <c r="U119" s="1245"/>
      <c r="V119" s="1245"/>
      <c r="W119" s="1245"/>
      <c r="X119" s="1245"/>
      <c r="Y119" s="1078"/>
      <c r="Z119" s="1545"/>
      <c r="AA119" s="1079"/>
      <c r="AB119" s="1155"/>
      <c r="AC119" s="1550"/>
      <c r="AD119" s="1156"/>
      <c r="AE119" s="1508"/>
      <c r="AF119" s="1509"/>
      <c r="AG119" s="1510"/>
      <c r="AH119" s="1492"/>
      <c r="AI119" s="1493"/>
      <c r="AJ119" s="1493"/>
      <c r="AK119" s="1493"/>
      <c r="AL119" s="1546"/>
      <c r="AM119" s="531"/>
      <c r="AN119" s="531"/>
      <c r="AO119" s="531"/>
      <c r="AP119" s="531"/>
      <c r="AQ119" s="536"/>
      <c r="AU119" s="1435"/>
      <c r="AV119" s="1435"/>
      <c r="AW119" s="805"/>
      <c r="AX119" s="753"/>
      <c r="AY119" s="803"/>
      <c r="AZ119" s="803"/>
      <c r="BA119" s="801"/>
      <c r="BB119" s="797"/>
    </row>
    <row r="120" spans="3:54" ht="15.95" customHeight="1" x14ac:dyDescent="0.25">
      <c r="C120" s="530"/>
      <c r="D120" s="531"/>
      <c r="E120" s="531"/>
      <c r="F120" s="531"/>
      <c r="G120" s="531"/>
      <c r="H120" s="1529">
        <v>18</v>
      </c>
      <c r="I120" s="1537"/>
      <c r="J120" s="1058"/>
      <c r="K120" s="1058"/>
      <c r="L120" s="1058"/>
      <c r="M120" s="1058"/>
      <c r="N120" s="1058"/>
      <c r="O120" s="1538"/>
      <c r="P120" s="1538"/>
      <c r="Q120" s="1538"/>
      <c r="R120" s="1538"/>
      <c r="S120" s="1538"/>
      <c r="T120" s="1538"/>
      <c r="U120" s="1535"/>
      <c r="V120" s="1535"/>
      <c r="W120" s="1535"/>
      <c r="X120" s="1535"/>
      <c r="Y120" s="1539"/>
      <c r="Z120" s="1540"/>
      <c r="AA120" s="1541"/>
      <c r="AB120" s="1547"/>
      <c r="AC120" s="1548"/>
      <c r="AD120" s="1549"/>
      <c r="AE120" s="1508"/>
      <c r="AF120" s="1509"/>
      <c r="AG120" s="1510"/>
      <c r="AH120" s="1492" t="str">
        <f t="shared" ref="AH120" si="141">IF(OR(I120="",O120="",U120="",Y120="",AB120="",$AE$77="",$AL$77=""),"",Y120*AB120)</f>
        <v/>
      </c>
      <c r="AI120" s="1493"/>
      <c r="AJ120" s="1493"/>
      <c r="AK120" s="1493"/>
      <c r="AL120" s="1546"/>
      <c r="AM120" s="531"/>
      <c r="AN120" s="531"/>
      <c r="AO120" s="531"/>
      <c r="AP120" s="531"/>
      <c r="AQ120" s="536"/>
      <c r="AU120" s="1434"/>
      <c r="AV120" s="1434"/>
      <c r="AW120" s="804"/>
      <c r="AX120" s="752" t="str">
        <f>IF(OR(I120="",O120="",U120="",Y120="",AB120="",AE120="",$AE$77="",$AL$77=""),"",ROUND(BA120*INDEX(ENDUSEALL[Factor],MATCH("Lighting",ENDUSEALL[End Use to Coincident Peak Demand Factors],0)),4))</f>
        <v/>
      </c>
      <c r="AY120" s="802" t="str">
        <f t="shared" ref="AY120" si="142">IF(OR(I120="",O120="",U120="",Y120="",AB120="",AE120="",$AE$77="",$AL$77="",$Q$77=""),"",ROUND((($Q$77*$X$77)/SUM($Y$86:$AA$125))*Y120*AE120/1000,0))</f>
        <v/>
      </c>
      <c r="AZ120" s="802" t="str">
        <f t="shared" ref="AZ120" si="143">IF(OR(I120="",O120="",U120="",Y120="",AB120="",AE120="",$AE$77="",$AL$77=""),"",ROUND((AB120*Y120*AE120/1000),0))</f>
        <v/>
      </c>
      <c r="BA120" s="800">
        <f t="shared" ref="BA120" si="144">IFERROR(ROUND($BA$83*(AY120-AZ120),0),0)</f>
        <v>0</v>
      </c>
      <c r="BB120" s="808"/>
    </row>
    <row r="121" spans="3:54" ht="15.95" customHeight="1" x14ac:dyDescent="0.25">
      <c r="C121" s="530"/>
      <c r="D121" s="531"/>
      <c r="E121" s="531"/>
      <c r="F121" s="531"/>
      <c r="G121" s="531"/>
      <c r="H121" s="1529"/>
      <c r="I121" s="1530"/>
      <c r="J121" s="1062"/>
      <c r="K121" s="1062"/>
      <c r="L121" s="1062"/>
      <c r="M121" s="1062"/>
      <c r="N121" s="1062"/>
      <c r="O121" s="1533"/>
      <c r="P121" s="1533"/>
      <c r="Q121" s="1533"/>
      <c r="R121" s="1533"/>
      <c r="S121" s="1533"/>
      <c r="T121" s="1533"/>
      <c r="U121" s="1245"/>
      <c r="V121" s="1245"/>
      <c r="W121" s="1245"/>
      <c r="X121" s="1245"/>
      <c r="Y121" s="1078"/>
      <c r="Z121" s="1545"/>
      <c r="AA121" s="1079"/>
      <c r="AB121" s="1155"/>
      <c r="AC121" s="1550"/>
      <c r="AD121" s="1156"/>
      <c r="AE121" s="1508"/>
      <c r="AF121" s="1509"/>
      <c r="AG121" s="1510"/>
      <c r="AH121" s="1492"/>
      <c r="AI121" s="1493"/>
      <c r="AJ121" s="1493"/>
      <c r="AK121" s="1493"/>
      <c r="AL121" s="1546"/>
      <c r="AM121" s="531"/>
      <c r="AN121" s="531"/>
      <c r="AO121" s="531"/>
      <c r="AP121" s="531"/>
      <c r="AQ121" s="536"/>
      <c r="AU121" s="1435"/>
      <c r="AV121" s="1435"/>
      <c r="AW121" s="805"/>
      <c r="AX121" s="753"/>
      <c r="AY121" s="803"/>
      <c r="AZ121" s="803"/>
      <c r="BA121" s="801"/>
      <c r="BB121" s="797"/>
    </row>
    <row r="122" spans="3:54" ht="15.95" customHeight="1" x14ac:dyDescent="0.25">
      <c r="C122" s="530"/>
      <c r="D122" s="531"/>
      <c r="E122" s="531"/>
      <c r="F122" s="531"/>
      <c r="G122" s="531"/>
      <c r="H122" s="1529">
        <v>19</v>
      </c>
      <c r="I122" s="1537"/>
      <c r="J122" s="1058"/>
      <c r="K122" s="1058"/>
      <c r="L122" s="1058"/>
      <c r="M122" s="1058"/>
      <c r="N122" s="1058"/>
      <c r="O122" s="1538"/>
      <c r="P122" s="1538"/>
      <c r="Q122" s="1538"/>
      <c r="R122" s="1538"/>
      <c r="S122" s="1538"/>
      <c r="T122" s="1538"/>
      <c r="U122" s="1535"/>
      <c r="V122" s="1535"/>
      <c r="W122" s="1535"/>
      <c r="X122" s="1535"/>
      <c r="Y122" s="1539"/>
      <c r="Z122" s="1540"/>
      <c r="AA122" s="1541"/>
      <c r="AB122" s="1547"/>
      <c r="AC122" s="1548"/>
      <c r="AD122" s="1549"/>
      <c r="AE122" s="1508"/>
      <c r="AF122" s="1509"/>
      <c r="AG122" s="1510"/>
      <c r="AH122" s="1492" t="str">
        <f t="shared" ref="AH122" si="145">IF(OR(I122="",O122="",U122="",Y122="",AB122="",$AE$77="",$AL$77=""),"",Y122*AB122)</f>
        <v/>
      </c>
      <c r="AI122" s="1493"/>
      <c r="AJ122" s="1493"/>
      <c r="AK122" s="1493"/>
      <c r="AL122" s="1546"/>
      <c r="AM122" s="531"/>
      <c r="AN122" s="531"/>
      <c r="AO122" s="531"/>
      <c r="AP122" s="531"/>
      <c r="AQ122" s="536"/>
      <c r="AU122" s="1434"/>
      <c r="AV122" s="1434"/>
      <c r="AW122" s="804"/>
      <c r="AX122" s="752" t="str">
        <f>IF(OR(I122="",O122="",U122="",Y122="",AB122="",AE122="",$AE$77="",$AL$77=""),"",ROUND(BA122*INDEX(ENDUSEALL[Factor],MATCH("Lighting",ENDUSEALL[End Use to Coincident Peak Demand Factors],0)),4))</f>
        <v/>
      </c>
      <c r="AY122" s="802" t="str">
        <f t="shared" ref="AY122" si="146">IF(OR(I122="",O122="",U122="",Y122="",AB122="",AE122="",$AE$77="",$AL$77="",$Q$77=""),"",ROUND((($Q$77*$X$77)/SUM($Y$86:$AA$125))*Y122*AE122/1000,0))</f>
        <v/>
      </c>
      <c r="AZ122" s="802" t="str">
        <f t="shared" ref="AZ122" si="147">IF(OR(I122="",O122="",U122="",Y122="",AB122="",AE122="",$AE$77="",$AL$77=""),"",ROUND((AB122*Y122*AE122/1000),0))</f>
        <v/>
      </c>
      <c r="BA122" s="800">
        <f t="shared" ref="BA122" si="148">IFERROR(ROUND($BA$83*(AY122-AZ122),0),0)</f>
        <v>0</v>
      </c>
      <c r="BB122" s="808"/>
    </row>
    <row r="123" spans="3:54" ht="15.95" customHeight="1" x14ac:dyDescent="0.25">
      <c r="C123" s="530"/>
      <c r="D123" s="531"/>
      <c r="E123" s="531"/>
      <c r="F123" s="531"/>
      <c r="G123" s="531"/>
      <c r="H123" s="1529"/>
      <c r="I123" s="1530"/>
      <c r="J123" s="1062"/>
      <c r="K123" s="1062"/>
      <c r="L123" s="1062"/>
      <c r="M123" s="1062"/>
      <c r="N123" s="1062"/>
      <c r="O123" s="1533"/>
      <c r="P123" s="1533"/>
      <c r="Q123" s="1533"/>
      <c r="R123" s="1533"/>
      <c r="S123" s="1533"/>
      <c r="T123" s="1533"/>
      <c r="U123" s="1245"/>
      <c r="V123" s="1245"/>
      <c r="W123" s="1245"/>
      <c r="X123" s="1245"/>
      <c r="Y123" s="1078"/>
      <c r="Z123" s="1545"/>
      <c r="AA123" s="1079"/>
      <c r="AB123" s="1155"/>
      <c r="AC123" s="1550"/>
      <c r="AD123" s="1156"/>
      <c r="AE123" s="1508"/>
      <c r="AF123" s="1509"/>
      <c r="AG123" s="1510"/>
      <c r="AH123" s="1492"/>
      <c r="AI123" s="1493"/>
      <c r="AJ123" s="1493"/>
      <c r="AK123" s="1493"/>
      <c r="AL123" s="1546"/>
      <c r="AM123" s="531"/>
      <c r="AN123" s="531"/>
      <c r="AO123" s="531"/>
      <c r="AP123" s="531"/>
      <c r="AQ123" s="536"/>
      <c r="AU123" s="1435"/>
      <c r="AV123" s="1435"/>
      <c r="AW123" s="805"/>
      <c r="AX123" s="753"/>
      <c r="AY123" s="803"/>
      <c r="AZ123" s="803"/>
      <c r="BA123" s="801"/>
      <c r="BB123" s="797"/>
    </row>
    <row r="124" spans="3:54" ht="15.95" customHeight="1" x14ac:dyDescent="0.25">
      <c r="C124" s="530"/>
      <c r="D124" s="531"/>
      <c r="E124" s="531"/>
      <c r="F124" s="531"/>
      <c r="G124" s="531"/>
      <c r="H124" s="1529">
        <v>20</v>
      </c>
      <c r="I124" s="1530"/>
      <c r="J124" s="1062"/>
      <c r="K124" s="1062"/>
      <c r="L124" s="1062"/>
      <c r="M124" s="1062"/>
      <c r="N124" s="1062"/>
      <c r="O124" s="1533"/>
      <c r="P124" s="1533"/>
      <c r="Q124" s="1533"/>
      <c r="R124" s="1533"/>
      <c r="S124" s="1533"/>
      <c r="T124" s="1533"/>
      <c r="U124" s="1535"/>
      <c r="V124" s="1535"/>
      <c r="W124" s="1535"/>
      <c r="X124" s="1535"/>
      <c r="Y124" s="1539"/>
      <c r="Z124" s="1540"/>
      <c r="AA124" s="1541"/>
      <c r="AB124" s="1547"/>
      <c r="AC124" s="1548"/>
      <c r="AD124" s="1549"/>
      <c r="AE124" s="1508"/>
      <c r="AF124" s="1509"/>
      <c r="AG124" s="1510"/>
      <c r="AH124" s="1492" t="str">
        <f t="shared" ref="AH124" si="149">IF(OR(I124="",O124="",U124="",Y124="",AB124="",$AE$77="",$AL$77=""),"",Y124*AB124)</f>
        <v/>
      </c>
      <c r="AI124" s="1493"/>
      <c r="AJ124" s="1493"/>
      <c r="AK124" s="1493"/>
      <c r="AL124" s="1546"/>
      <c r="AM124" s="531"/>
      <c r="AN124" s="531"/>
      <c r="AO124" s="531"/>
      <c r="AP124" s="531"/>
      <c r="AQ124" s="536"/>
      <c r="AU124" s="1434"/>
      <c r="AV124" s="1434"/>
      <c r="AW124" s="804"/>
      <c r="AX124" s="752" t="str">
        <f>IF(OR(I124="",O124="",U124="",Y124="",AB124="",AE124="",$AE$77="",$AL$77=""),"",ROUND(BA124*INDEX(ENDUSEALL[Factor],MATCH("Lighting",ENDUSEALL[End Use to Coincident Peak Demand Factors],0)),4))</f>
        <v/>
      </c>
      <c r="AY124" s="802" t="str">
        <f t="shared" ref="AY124" si="150">IF(OR(I124="",O124="",U124="",Y124="",AB124="",AE124="",$AE$77="",$AL$77="",$Q$77=""),"",ROUND((($Q$77*$X$77)/SUM($Y$86:$AA$125))*Y124*AE124/1000,0))</f>
        <v/>
      </c>
      <c r="AZ124" s="802" t="str">
        <f t="shared" ref="AZ124" si="151">IF(OR(I124="",O124="",U124="",Y124="",AB124="",AE124="",$AE$77="",$AL$77=""),"",ROUND((AB124*Y124*AE124/1000),0))</f>
        <v/>
      </c>
      <c r="BA124" s="800">
        <f t="shared" ref="BA124" si="152">IFERROR(ROUND($BA$83*(AY124-AZ124),0),0)</f>
        <v>0</v>
      </c>
      <c r="BB124" s="808"/>
    </row>
    <row r="125" spans="3:54" ht="15.95" customHeight="1" thickBot="1" x14ac:dyDescent="0.3">
      <c r="C125" s="530"/>
      <c r="D125" s="531"/>
      <c r="E125" s="531"/>
      <c r="F125" s="531"/>
      <c r="G125" s="531"/>
      <c r="H125" s="1529"/>
      <c r="I125" s="1531"/>
      <c r="J125" s="1532"/>
      <c r="K125" s="1532"/>
      <c r="L125" s="1532"/>
      <c r="M125" s="1532"/>
      <c r="N125" s="1532"/>
      <c r="O125" s="1534"/>
      <c r="P125" s="1534"/>
      <c r="Q125" s="1534"/>
      <c r="R125" s="1534"/>
      <c r="S125" s="1534"/>
      <c r="T125" s="1534"/>
      <c r="U125" s="1536"/>
      <c r="V125" s="1536"/>
      <c r="W125" s="1536"/>
      <c r="X125" s="1536"/>
      <c r="Y125" s="1542"/>
      <c r="Z125" s="1543"/>
      <c r="AA125" s="1544"/>
      <c r="AB125" s="1652"/>
      <c r="AC125" s="1653"/>
      <c r="AD125" s="1654"/>
      <c r="AE125" s="1655"/>
      <c r="AF125" s="1656"/>
      <c r="AG125" s="1657"/>
      <c r="AH125" s="1649"/>
      <c r="AI125" s="1650"/>
      <c r="AJ125" s="1650"/>
      <c r="AK125" s="1650"/>
      <c r="AL125" s="1651"/>
      <c r="AM125" s="531"/>
      <c r="AN125" s="531"/>
      <c r="AO125" s="531"/>
      <c r="AP125" s="531"/>
      <c r="AQ125" s="536"/>
      <c r="AU125" s="1435"/>
      <c r="AV125" s="1435"/>
      <c r="AW125" s="805"/>
      <c r="AX125" s="753"/>
      <c r="AY125" s="803"/>
      <c r="AZ125" s="803"/>
      <c r="BA125" s="801"/>
      <c r="BB125" s="797"/>
    </row>
    <row r="126" spans="3:54" ht="15.95" customHeight="1" thickBot="1" x14ac:dyDescent="0.3">
      <c r="C126" s="532"/>
      <c r="D126" s="533"/>
      <c r="E126" s="533"/>
      <c r="F126" s="533"/>
      <c r="G126" s="533"/>
      <c r="H126" s="533"/>
      <c r="I126" s="533"/>
      <c r="J126" s="533"/>
      <c r="K126" s="533"/>
      <c r="L126" s="533"/>
      <c r="M126" s="533"/>
      <c r="N126" s="533"/>
      <c r="O126" s="533"/>
      <c r="P126" s="533"/>
      <c r="Q126" s="533"/>
      <c r="R126" s="533"/>
      <c r="S126" s="533"/>
      <c r="T126" s="533"/>
      <c r="U126" s="533"/>
      <c r="V126" s="533"/>
      <c r="W126" s="533"/>
      <c r="X126" s="533"/>
      <c r="Y126" s="533"/>
      <c r="Z126" s="533"/>
      <c r="AA126" s="533"/>
      <c r="AB126" s="533"/>
      <c r="AC126" s="533"/>
      <c r="AD126" s="533"/>
      <c r="AE126" s="533"/>
      <c r="AF126" s="533"/>
      <c r="AG126" s="533"/>
      <c r="AH126" s="533"/>
      <c r="AI126" s="533"/>
      <c r="AJ126" s="533"/>
      <c r="AK126" s="533"/>
      <c r="AL126" s="533"/>
      <c r="AM126" s="533"/>
      <c r="AN126" s="533"/>
      <c r="AO126" s="533"/>
      <c r="AP126" s="533"/>
      <c r="AQ126" s="534"/>
      <c r="AU126" s="1516"/>
      <c r="AV126" s="1516"/>
      <c r="AW126" s="1518">
        <f>AE77+AL77</f>
        <v>0</v>
      </c>
      <c r="AX126" s="1520">
        <f t="shared" ref="AX126:BB126" si="153">SUM(AX86:AX125)</f>
        <v>0</v>
      </c>
      <c r="AY126" s="1522">
        <f>SUM(AY86:AY125)</f>
        <v>0</v>
      </c>
      <c r="AZ126" s="1522">
        <f t="shared" si="153"/>
        <v>0</v>
      </c>
      <c r="BA126" s="1524">
        <f>SUM(BA86:BA125)</f>
        <v>0</v>
      </c>
      <c r="BB126" s="1516">
        <f t="shared" si="153"/>
        <v>0</v>
      </c>
    </row>
    <row r="127" spans="3:54" ht="15.95" customHeight="1" thickTop="1" x14ac:dyDescent="0.25">
      <c r="AU127" s="1517"/>
      <c r="AV127" s="1517"/>
      <c r="AW127" s="1519"/>
      <c r="AX127" s="1521"/>
      <c r="AY127" s="1523"/>
      <c r="AZ127" s="1523"/>
      <c r="BA127" s="1525"/>
      <c r="BB127" s="1517"/>
    </row>
    <row r="128" spans="3:54" ht="15.95" hidden="1" customHeight="1" x14ac:dyDescent="0.25"/>
    <row r="129" spans="50:50" ht="15.95" hidden="1" customHeight="1" x14ac:dyDescent="0.25"/>
    <row r="130" spans="50:50" ht="15.95" hidden="1" customHeight="1" x14ac:dyDescent="0.25"/>
    <row r="131" spans="50:50" ht="15.95" hidden="1" customHeight="1" x14ac:dyDescent="0.25"/>
    <row r="132" spans="50:50" ht="15.95" hidden="1" customHeight="1" x14ac:dyDescent="0.25"/>
    <row r="133" spans="50:50" ht="15.95" hidden="1" customHeight="1" x14ac:dyDescent="0.25"/>
    <row r="134" spans="50:50" ht="15.95" hidden="1" customHeight="1" x14ac:dyDescent="0.25"/>
    <row r="135" spans="50:50" ht="15.95" hidden="1" customHeight="1" x14ac:dyDescent="0.25"/>
    <row r="136" spans="50:50" ht="15.95" hidden="1" customHeight="1" x14ac:dyDescent="0.25"/>
    <row r="137" spans="50:50" ht="15.95" hidden="1" customHeight="1" x14ac:dyDescent="0.25"/>
    <row r="138" spans="50:50" ht="15.95" hidden="1" customHeight="1" x14ac:dyDescent="0.25"/>
    <row r="139" spans="50:50" ht="15.95" hidden="1" customHeight="1" x14ac:dyDescent="0.25">
      <c r="AX139" s="247"/>
    </row>
    <row r="140" spans="50:50" ht="15.95" hidden="1" customHeight="1" x14ac:dyDescent="0.25">
      <c r="AX140" s="247"/>
    </row>
    <row r="141" spans="50:50" ht="15.95" hidden="1" customHeight="1" x14ac:dyDescent="0.25">
      <c r="AX141" s="247"/>
    </row>
    <row r="142" spans="50:50" ht="15.95" hidden="1" customHeight="1" x14ac:dyDescent="0.25">
      <c r="AX142" s="247"/>
    </row>
    <row r="143" spans="50:50" ht="15.95" hidden="1" customHeight="1" x14ac:dyDescent="0.25">
      <c r="AX143" s="247"/>
    </row>
    <row r="144" spans="50:50" ht="15.95" hidden="1" customHeight="1" x14ac:dyDescent="0.25">
      <c r="AX144" s="247"/>
    </row>
    <row r="145" spans="45:64" ht="15.95" hidden="1" customHeight="1" x14ac:dyDescent="0.25">
      <c r="AX145" s="247" t="str">
        <f>IF(OR(C168="",I168="",K168="",G168="",M168="",Q168="",U168="",W168="",Y168="",AB168="",AF168="",AH168=""),"",ROUND(AJ168*INDEX(ENDUSEALL[Factor],MATCH(INDEX(EXTLED[End Use],MATCH(BC168,EXTLED[Measure Validator],0)),ENDUSEALL[End Use to Coincident Peak Demand Factors],0)),4))</f>
        <v/>
      </c>
    </row>
    <row r="146" spans="45:64" ht="15.95" hidden="1" customHeight="1" x14ac:dyDescent="0.25"/>
    <row r="147" spans="45:64" ht="15.95" hidden="1" customHeight="1" x14ac:dyDescent="0.25"/>
    <row r="148" spans="45:64" ht="15.95" hidden="1" customHeight="1" x14ac:dyDescent="0.25">
      <c r="AS148" s="69"/>
      <c r="AT148" s="69"/>
      <c r="BL148" s="69"/>
    </row>
    <row r="149" spans="45:64" ht="15.95" hidden="1" customHeight="1" x14ac:dyDescent="0.25">
      <c r="AS149" s="69"/>
      <c r="AT149" s="69"/>
    </row>
    <row r="150" spans="45:64" ht="15.95" hidden="1" customHeight="1" x14ac:dyDescent="0.25">
      <c r="AS150" s="69"/>
      <c r="AT150" s="69"/>
    </row>
    <row r="151" spans="45:64" ht="15.95" hidden="1" customHeight="1" x14ac:dyDescent="0.25">
      <c r="AS151" s="69"/>
      <c r="AT151" s="69"/>
    </row>
    <row r="152" spans="45:64" ht="15.95" hidden="1" customHeight="1" x14ac:dyDescent="0.25">
      <c r="AS152" s="69"/>
      <c r="AT152" s="69"/>
    </row>
    <row r="153" spans="45:64" ht="15.95" hidden="1" customHeight="1" x14ac:dyDescent="0.25">
      <c r="AS153" s="69"/>
      <c r="AT153" s="69"/>
    </row>
    <row r="154" spans="45:64" ht="15.95" hidden="1" customHeight="1" x14ac:dyDescent="0.25">
      <c r="AS154" s="69"/>
      <c r="AT154" s="69"/>
    </row>
    <row r="155" spans="45:64" ht="15.95" hidden="1" customHeight="1" x14ac:dyDescent="0.25">
      <c r="AS155" s="69"/>
      <c r="AT155" s="69"/>
    </row>
    <row r="156" spans="45:64" ht="15.95" hidden="1" customHeight="1" x14ac:dyDescent="0.25">
      <c r="AS156" s="69"/>
      <c r="AT156" s="69"/>
    </row>
    <row r="157" spans="45:64" ht="15.95" hidden="1" customHeight="1" x14ac:dyDescent="0.25">
      <c r="AS157" s="69"/>
      <c r="AT157" s="69"/>
    </row>
    <row r="158" spans="45:64" ht="15.95" hidden="1" customHeight="1" x14ac:dyDescent="0.25">
      <c r="AS158" s="69"/>
      <c r="AT158" s="69"/>
    </row>
    <row r="159" spans="45:64" ht="15.95" hidden="1" customHeight="1" x14ac:dyDescent="0.25">
      <c r="AS159" s="69"/>
      <c r="AT159" s="69"/>
    </row>
    <row r="160" spans="45:64" ht="15.95" hidden="1" customHeight="1" x14ac:dyDescent="0.25"/>
    <row r="161" spans="48:55" ht="15.95" hidden="1" customHeight="1" x14ac:dyDescent="0.25">
      <c r="AV161" s="508"/>
      <c r="AW161" s="509"/>
      <c r="AX161" s="510"/>
      <c r="AY161" s="511"/>
      <c r="AZ161" s="511"/>
      <c r="BA161" s="511"/>
      <c r="BB161" s="511"/>
      <c r="BC161" s="512"/>
    </row>
    <row r="162" spans="48:55" ht="15.95" hidden="1" customHeight="1" x14ac:dyDescent="0.25">
      <c r="AV162" s="508"/>
      <c r="AW162" s="509"/>
      <c r="AX162" s="514"/>
      <c r="AY162" s="511"/>
      <c r="AZ162" s="511"/>
      <c r="BA162" s="511"/>
      <c r="BB162" s="511"/>
      <c r="BC162" s="512"/>
    </row>
    <row r="163" spans="48:55" ht="15.95" hidden="1" customHeight="1" x14ac:dyDescent="0.25"/>
    <row r="164" spans="48:55" ht="15.95" hidden="1" customHeight="1" x14ac:dyDescent="0.25"/>
    <row r="165" spans="48:55" ht="15.95" hidden="1" customHeight="1" x14ac:dyDescent="0.25"/>
    <row r="166" spans="48:55" ht="15.95" hidden="1" customHeight="1" x14ac:dyDescent="0.25"/>
    <row r="167" spans="48:55" ht="15.95" hidden="1" customHeight="1" x14ac:dyDescent="0.25"/>
    <row r="168" spans="48:55" ht="15.95" hidden="1" customHeight="1" x14ac:dyDescent="0.25"/>
    <row r="169" spans="48:55" ht="15.95" hidden="1" customHeight="1" x14ac:dyDescent="0.25"/>
    <row r="170" spans="48:55" ht="15.95" hidden="1" customHeight="1" x14ac:dyDescent="0.25"/>
    <row r="171" spans="48:55" ht="15.95" hidden="1" customHeight="1" x14ac:dyDescent="0.25"/>
    <row r="172" spans="48:55" ht="15.95" hidden="1" customHeight="1" x14ac:dyDescent="0.25"/>
    <row r="173" spans="48:55" ht="15.95" hidden="1" customHeight="1" x14ac:dyDescent="0.25"/>
    <row r="174" spans="48:55" ht="15.95" hidden="1" customHeight="1" x14ac:dyDescent="0.25"/>
    <row r="175" spans="48:55" ht="15.95" hidden="1" customHeight="1" x14ac:dyDescent="0.25"/>
    <row r="176" spans="48:55" ht="15.95" hidden="1" customHeight="1" x14ac:dyDescent="0.25"/>
    <row r="177" spans="45:46" ht="15.95" hidden="1" customHeight="1" x14ac:dyDescent="0.25"/>
    <row r="178" spans="45:46" ht="15.95" hidden="1" customHeight="1" x14ac:dyDescent="0.25"/>
    <row r="179" spans="45:46" ht="15.95" hidden="1" customHeight="1" x14ac:dyDescent="0.25"/>
    <row r="180" spans="45:46" ht="15.95" hidden="1" customHeight="1" x14ac:dyDescent="0.25"/>
    <row r="181" spans="45:46" ht="15.95" hidden="1" customHeight="1" x14ac:dyDescent="0.25"/>
    <row r="182" spans="45:46" ht="15.95" hidden="1" customHeight="1" x14ac:dyDescent="0.25">
      <c r="AS182" s="69"/>
      <c r="AT182" s="69"/>
    </row>
    <row r="183" spans="45:46" ht="15.95" hidden="1" customHeight="1" x14ac:dyDescent="0.25">
      <c r="AS183" s="69"/>
      <c r="AT183" s="69"/>
    </row>
    <row r="184" spans="45:46" ht="15.95" hidden="1" customHeight="1" x14ac:dyDescent="0.25">
      <c r="AS184" s="69"/>
      <c r="AT184" s="69"/>
    </row>
    <row r="185" spans="45:46" ht="15.95" hidden="1" customHeight="1" x14ac:dyDescent="0.25">
      <c r="AS185" s="69"/>
      <c r="AT185" s="69"/>
    </row>
    <row r="186" spans="45:46" ht="15.95" hidden="1" customHeight="1" x14ac:dyDescent="0.25">
      <c r="AS186" s="69"/>
      <c r="AT186" s="69"/>
    </row>
    <row r="187" spans="45:46" ht="15.95" hidden="1" customHeight="1" x14ac:dyDescent="0.25">
      <c r="AS187" s="69"/>
      <c r="AT187" s="69"/>
    </row>
    <row r="188" spans="45:46" ht="15.95" hidden="1" customHeight="1" x14ac:dyDescent="0.25">
      <c r="AS188" s="69"/>
      <c r="AT188" s="69"/>
    </row>
    <row r="189" spans="45:46" ht="15.95" hidden="1" customHeight="1" x14ac:dyDescent="0.25">
      <c r="AS189" s="69"/>
      <c r="AT189" s="69"/>
    </row>
    <row r="190" spans="45:46" ht="15.95" hidden="1" customHeight="1" x14ac:dyDescent="0.25">
      <c r="AS190" s="69"/>
      <c r="AT190" s="69"/>
    </row>
    <row r="191" spans="45:46" ht="15.95" hidden="1" customHeight="1" x14ac:dyDescent="0.25">
      <c r="AS191" s="69"/>
      <c r="AT191" s="69"/>
    </row>
    <row r="192" spans="45:46" ht="15.95" hidden="1" customHeight="1" x14ac:dyDescent="0.25">
      <c r="AS192" s="69"/>
      <c r="AT192" s="69"/>
    </row>
    <row r="193" spans="2:61" ht="15.95" hidden="1" customHeight="1" x14ac:dyDescent="0.25">
      <c r="AS193" s="69"/>
      <c r="AT193" s="69"/>
    </row>
    <row r="194" spans="2:61" ht="15.95" hidden="1" customHeight="1" x14ac:dyDescent="0.25">
      <c r="AS194" s="69"/>
      <c r="AT194" s="69"/>
    </row>
    <row r="195" spans="2:61" ht="15.95" hidden="1" customHeight="1" x14ac:dyDescent="0.25">
      <c r="AS195" s="69"/>
      <c r="AT195" s="69"/>
    </row>
    <row r="196" spans="2:61" ht="15.95" hidden="1" customHeight="1" x14ac:dyDescent="0.25">
      <c r="AS196" s="69"/>
      <c r="AT196" s="69"/>
    </row>
    <row r="197" spans="2:61" ht="15.95" hidden="1" customHeight="1" x14ac:dyDescent="0.25">
      <c r="B197" s="1119"/>
      <c r="AS197" s="69"/>
      <c r="AT197" s="69"/>
    </row>
    <row r="198" spans="2:61" ht="15.95" hidden="1" customHeight="1" x14ac:dyDescent="0.25">
      <c r="B198" s="1119"/>
      <c r="AS198" s="69"/>
      <c r="AT198" s="69"/>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row>
    <row r="200" spans="2:61"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S200" s="69"/>
    </row>
    <row r="201" spans="2:61"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S201" s="69"/>
    </row>
    <row r="202" spans="2:61"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c r="AU202" s="69"/>
      <c r="AV202" s="69"/>
      <c r="AW202" s="69"/>
      <c r="AX202" s="69"/>
      <c r="AY202" s="69"/>
      <c r="AZ202" s="69"/>
      <c r="BA202" s="69"/>
      <c r="BB202" s="69"/>
      <c r="BC202" s="69"/>
      <c r="BD202" s="69"/>
      <c r="BE202" s="69"/>
      <c r="BF202" s="69"/>
      <c r="BG202" s="69"/>
      <c r="BH202" s="69"/>
      <c r="BI202" s="69"/>
    </row>
    <row r="203" spans="2:61" ht="15.95" hidden="1" customHeight="1" x14ac:dyDescent="0.25"/>
    <row r="204" spans="2:61" ht="15.95" hidden="1" customHeight="1" x14ac:dyDescent="0.25"/>
    <row r="205" spans="2:61" ht="15.95" hidden="1" customHeight="1" x14ac:dyDescent="0.25"/>
    <row r="206" spans="2:61" ht="15.95" hidden="1" customHeight="1" x14ac:dyDescent="0.25"/>
    <row r="207" spans="2:61" ht="15.95" hidden="1" customHeight="1" x14ac:dyDescent="0.25"/>
    <row r="208" spans="2:61" ht="15.95" hidden="1" customHeight="1" x14ac:dyDescent="0.25"/>
    <row r="209" ht="15.95" hidden="1" customHeight="1" x14ac:dyDescent="0.25"/>
    <row r="210" ht="15.95" hidden="1" customHeight="1" x14ac:dyDescent="0.25"/>
    <row r="211" ht="15.95" hidden="1" customHeight="1" x14ac:dyDescent="0.25"/>
    <row r="212" ht="15.95" hidden="1" customHeight="1" x14ac:dyDescent="0.25"/>
    <row r="213" ht="15.95" hidden="1" customHeight="1" x14ac:dyDescent="0.25"/>
  </sheetData>
  <sheetProtection algorithmName="SHA-512" hashValue="F9d8LaA7Ja/qie3DhPi+Hd9aRr4M1ad3XNniZos3LgdPCHHjGYg8zK9tVbqPXfrJ+vmOrpR7smVKUupS2JX+0Q==" saltValue="fpqhIVCi3bK6eBk+ZjN/XA==" spinCount="100000" sheet="1" objects="1" scenarios="1" selectLockedCells="1"/>
  <dataConsolidate/>
  <mergeCells count="798">
    <mergeCell ref="AE98:AG99"/>
    <mergeCell ref="AB104:AD105"/>
    <mergeCell ref="AE104:AG105"/>
    <mergeCell ref="AE90:AG91"/>
    <mergeCell ref="AB92:AD93"/>
    <mergeCell ref="AE92:AG93"/>
    <mergeCell ref="AB94:AD95"/>
    <mergeCell ref="AE94:AG95"/>
    <mergeCell ref="AB96:AD97"/>
    <mergeCell ref="AE96:AG97"/>
    <mergeCell ref="AH108:AL109"/>
    <mergeCell ref="AH90:AL91"/>
    <mergeCell ref="AH92:AL93"/>
    <mergeCell ref="AH94:AL95"/>
    <mergeCell ref="AH96:AL97"/>
    <mergeCell ref="AH98:AL99"/>
    <mergeCell ref="AH100:AL101"/>
    <mergeCell ref="AH102:AL103"/>
    <mergeCell ref="AH104:AL105"/>
    <mergeCell ref="AH106:AL107"/>
    <mergeCell ref="AB122:AD123"/>
    <mergeCell ref="AE122:AG123"/>
    <mergeCell ref="AH112:AL113"/>
    <mergeCell ref="AH114:AL115"/>
    <mergeCell ref="AH116:AL117"/>
    <mergeCell ref="AH118:AL119"/>
    <mergeCell ref="AH120:AL121"/>
    <mergeCell ref="AH122:AL123"/>
    <mergeCell ref="AH124:AL125"/>
    <mergeCell ref="AB124:AD125"/>
    <mergeCell ref="AE124:AG125"/>
    <mergeCell ref="AB118:AD119"/>
    <mergeCell ref="AE118:AG119"/>
    <mergeCell ref="AB106:AD107"/>
    <mergeCell ref="AE106:AG107"/>
    <mergeCell ref="AB100:AD101"/>
    <mergeCell ref="AE100:AG101"/>
    <mergeCell ref="AB102:AD103"/>
    <mergeCell ref="AE102:AG103"/>
    <mergeCell ref="Y102:AA103"/>
    <mergeCell ref="Y104:AA105"/>
    <mergeCell ref="Y120:AA121"/>
    <mergeCell ref="AB120:AD121"/>
    <mergeCell ref="AE120:AG121"/>
    <mergeCell ref="AH84:AL85"/>
    <mergeCell ref="AH86:AL87"/>
    <mergeCell ref="AE84:AG85"/>
    <mergeCell ref="AE86:AG87"/>
    <mergeCell ref="AB84:AD85"/>
    <mergeCell ref="AB86:AD87"/>
    <mergeCell ref="Y84:AA85"/>
    <mergeCell ref="Y86:AA87"/>
    <mergeCell ref="Y88:AA89"/>
    <mergeCell ref="AB88:AD89"/>
    <mergeCell ref="AE88:AG89"/>
    <mergeCell ref="AH88:AL89"/>
    <mergeCell ref="AU33:AU34"/>
    <mergeCell ref="V12:Y13"/>
    <mergeCell ref="Z12:AC13"/>
    <mergeCell ref="AH2:AK3"/>
    <mergeCell ref="AL2:AP3"/>
    <mergeCell ref="AQ2:AR3"/>
    <mergeCell ref="R11:U11"/>
    <mergeCell ref="V11:Y11"/>
    <mergeCell ref="Z11:AC11"/>
    <mergeCell ref="R12:U13"/>
    <mergeCell ref="AU18:AU19"/>
    <mergeCell ref="P9:AE10"/>
    <mergeCell ref="Y33:AA34"/>
    <mergeCell ref="AB33:AD34"/>
    <mergeCell ref="AE33:AG34"/>
    <mergeCell ref="M11:Q13"/>
    <mergeCell ref="AU20:AU21"/>
    <mergeCell ref="I31:N32"/>
    <mergeCell ref="I33:N34"/>
    <mergeCell ref="O33:T34"/>
    <mergeCell ref="U33:X34"/>
    <mergeCell ref="Q1:R1"/>
    <mergeCell ref="U1:V1"/>
    <mergeCell ref="Y1:Z1"/>
    <mergeCell ref="AH1:AK1"/>
    <mergeCell ref="AL1:AP1"/>
    <mergeCell ref="AQ1:AR1"/>
    <mergeCell ref="AU29:AU30"/>
    <mergeCell ref="AU31:AU32"/>
    <mergeCell ref="AZ29:AZ30"/>
    <mergeCell ref="O31:T32"/>
    <mergeCell ref="U31:X32"/>
    <mergeCell ref="Y29:AA30"/>
    <mergeCell ref="AH31:AL32"/>
    <mergeCell ref="AE31:AG32"/>
    <mergeCell ref="AB31:AD32"/>
    <mergeCell ref="Y31:AA32"/>
    <mergeCell ref="AV20:AV21"/>
    <mergeCell ref="AW20:AW21"/>
    <mergeCell ref="AX20:AX21"/>
    <mergeCell ref="AY20:AY21"/>
    <mergeCell ref="AZ20:AZ21"/>
    <mergeCell ref="AW14:AW15"/>
    <mergeCell ref="AX14:AX15"/>
    <mergeCell ref="AY14:AY15"/>
    <mergeCell ref="BB29:BB30"/>
    <mergeCell ref="BA29:BA30"/>
    <mergeCell ref="AW29:AW30"/>
    <mergeCell ref="AX29:AX30"/>
    <mergeCell ref="AY29:AY30"/>
    <mergeCell ref="AV29:AV30"/>
    <mergeCell ref="J22:O22"/>
    <mergeCell ref="X22:AC22"/>
    <mergeCell ref="Q22:V22"/>
    <mergeCell ref="AU22:AU23"/>
    <mergeCell ref="AV22:AV23"/>
    <mergeCell ref="AW22:AW23"/>
    <mergeCell ref="AX22:AX23"/>
    <mergeCell ref="AY22:AY23"/>
    <mergeCell ref="AZ22:AZ23"/>
    <mergeCell ref="BA22:BA23"/>
    <mergeCell ref="AH29:AL30"/>
    <mergeCell ref="AE29:AG30"/>
    <mergeCell ref="AB29:AD30"/>
    <mergeCell ref="U26:Z27"/>
    <mergeCell ref="O26:S27"/>
    <mergeCell ref="I29:N30"/>
    <mergeCell ref="O29:T30"/>
    <mergeCell ref="U29:X30"/>
    <mergeCell ref="BB33:BB34"/>
    <mergeCell ref="AV33:AV34"/>
    <mergeCell ref="AX31:AX32"/>
    <mergeCell ref="AY31:AY32"/>
    <mergeCell ref="AZ31:AZ32"/>
    <mergeCell ref="BB31:BB32"/>
    <mergeCell ref="BA31:BA32"/>
    <mergeCell ref="AV31:AV32"/>
    <mergeCell ref="BA45:BA46"/>
    <mergeCell ref="BB45:BB46"/>
    <mergeCell ref="AW31:AW32"/>
    <mergeCell ref="AW33:AW34"/>
    <mergeCell ref="AX33:AX34"/>
    <mergeCell ref="AY33:AY34"/>
    <mergeCell ref="AW35:AW36"/>
    <mergeCell ref="BB43:BB44"/>
    <mergeCell ref="AZ43:AZ44"/>
    <mergeCell ref="BA43:BA44"/>
    <mergeCell ref="AZ33:AZ34"/>
    <mergeCell ref="BA33:BA34"/>
    <mergeCell ref="AZ37:AZ38"/>
    <mergeCell ref="BA37:BA38"/>
    <mergeCell ref="BB37:BB38"/>
    <mergeCell ref="AX35:AX36"/>
    <mergeCell ref="BC45:BC46"/>
    <mergeCell ref="AV49:AV50"/>
    <mergeCell ref="AW49:AW50"/>
    <mergeCell ref="AX49:AX50"/>
    <mergeCell ref="AY49:AY50"/>
    <mergeCell ref="AZ49:AZ50"/>
    <mergeCell ref="BA49:BA50"/>
    <mergeCell ref="BB49:BB50"/>
    <mergeCell ref="BC49:BC50"/>
    <mergeCell ref="AZ47:AZ48"/>
    <mergeCell ref="BA47:BA48"/>
    <mergeCell ref="BB47:BB48"/>
    <mergeCell ref="BC47:BC48"/>
    <mergeCell ref="AZ45:AZ46"/>
    <mergeCell ref="AU61:AU62"/>
    <mergeCell ref="AU65:AU66"/>
    <mergeCell ref="AU69:AU70"/>
    <mergeCell ref="I81:M82"/>
    <mergeCell ref="O81:S82"/>
    <mergeCell ref="U81:Z82"/>
    <mergeCell ref="AB81:AF82"/>
    <mergeCell ref="AH81:AL82"/>
    <mergeCell ref="I47:N48"/>
    <mergeCell ref="O47:T48"/>
    <mergeCell ref="U47:X48"/>
    <mergeCell ref="AE63:AG64"/>
    <mergeCell ref="AE65:AG66"/>
    <mergeCell ref="AE67:AG68"/>
    <mergeCell ref="O59:T60"/>
    <mergeCell ref="U59:X60"/>
    <mergeCell ref="Y59:AA60"/>
    <mergeCell ref="AB59:AD60"/>
    <mergeCell ref="AB51:AD52"/>
    <mergeCell ref="AE51:AG52"/>
    <mergeCell ref="Y53:AA54"/>
    <mergeCell ref="AB53:AD54"/>
    <mergeCell ref="AE53:AG54"/>
    <mergeCell ref="Y55:AA56"/>
    <mergeCell ref="AU37:AU38"/>
    <mergeCell ref="AU39:AU40"/>
    <mergeCell ref="I39:N40"/>
    <mergeCell ref="O39:T40"/>
    <mergeCell ref="U39:X40"/>
    <mergeCell ref="AU35:AU36"/>
    <mergeCell ref="AU49:AU50"/>
    <mergeCell ref="AU53:AU54"/>
    <mergeCell ref="AU57:AU58"/>
    <mergeCell ref="O51:T52"/>
    <mergeCell ref="U51:X52"/>
    <mergeCell ref="O57:T58"/>
    <mergeCell ref="U57:X58"/>
    <mergeCell ref="Y57:AA58"/>
    <mergeCell ref="AB57:AD58"/>
    <mergeCell ref="AE57:AG58"/>
    <mergeCell ref="U53:X54"/>
    <mergeCell ref="O45:T46"/>
    <mergeCell ref="U45:X46"/>
    <mergeCell ref="O49:T50"/>
    <mergeCell ref="U49:X50"/>
    <mergeCell ref="Y37:AA38"/>
    <mergeCell ref="AU51:AU52"/>
    <mergeCell ref="O53:T54"/>
    <mergeCell ref="AY35:AY36"/>
    <mergeCell ref="AZ35:AZ36"/>
    <mergeCell ref="BA35:BA36"/>
    <mergeCell ref="BB35:BB36"/>
    <mergeCell ref="AV37:AV38"/>
    <mergeCell ref="AW37:AW38"/>
    <mergeCell ref="BC39:BC40"/>
    <mergeCell ref="AV35:AV36"/>
    <mergeCell ref="B197:B198"/>
    <mergeCell ref="BB41:BB42"/>
    <mergeCell ref="BC41:BC42"/>
    <mergeCell ref="BB39:BB40"/>
    <mergeCell ref="I37:N38"/>
    <mergeCell ref="AX37:AX38"/>
    <mergeCell ref="AY37:AY38"/>
    <mergeCell ref="AB37:AD38"/>
    <mergeCell ref="AE37:AG38"/>
    <mergeCell ref="I35:N36"/>
    <mergeCell ref="Y35:AA36"/>
    <mergeCell ref="AB35:AD36"/>
    <mergeCell ref="AE35:AG36"/>
    <mergeCell ref="O55:T56"/>
    <mergeCell ref="U55:X56"/>
    <mergeCell ref="I51:N52"/>
    <mergeCell ref="M200:AG201"/>
    <mergeCell ref="AV39:AV40"/>
    <mergeCell ref="AW39:AW40"/>
    <mergeCell ref="AX39:AX40"/>
    <mergeCell ref="AY39:AY40"/>
    <mergeCell ref="AZ39:AZ40"/>
    <mergeCell ref="BA39:BA40"/>
    <mergeCell ref="AZ41:AZ42"/>
    <mergeCell ref="BA41:BA42"/>
    <mergeCell ref="AU45:AU46"/>
    <mergeCell ref="AV45:AV46"/>
    <mergeCell ref="AW45:AW46"/>
    <mergeCell ref="AX45:AX46"/>
    <mergeCell ref="AY45:AY46"/>
    <mergeCell ref="I84:N85"/>
    <mergeCell ref="AE59:AG60"/>
    <mergeCell ref="I63:N64"/>
    <mergeCell ref="O63:T64"/>
    <mergeCell ref="U63:X64"/>
    <mergeCell ref="Y61:AA62"/>
    <mergeCell ref="AB61:AD62"/>
    <mergeCell ref="AE61:AG62"/>
    <mergeCell ref="I45:N46"/>
    <mergeCell ref="I55:N56"/>
    <mergeCell ref="H31:H32"/>
    <mergeCell ref="H33:H34"/>
    <mergeCell ref="H35:H36"/>
    <mergeCell ref="H37:H38"/>
    <mergeCell ref="H39:H40"/>
    <mergeCell ref="H41:H42"/>
    <mergeCell ref="H43:H44"/>
    <mergeCell ref="H45:H46"/>
    <mergeCell ref="H47:H48"/>
    <mergeCell ref="H49:H50"/>
    <mergeCell ref="H51:H52"/>
    <mergeCell ref="H53:H54"/>
    <mergeCell ref="H55:H56"/>
    <mergeCell ref="H57:H58"/>
    <mergeCell ref="H59:H60"/>
    <mergeCell ref="H61:H62"/>
    <mergeCell ref="I61:N62"/>
    <mergeCell ref="I53:N54"/>
    <mergeCell ref="I57:N58"/>
    <mergeCell ref="I49:N50"/>
    <mergeCell ref="I59:N60"/>
    <mergeCell ref="H69:H70"/>
    <mergeCell ref="H63:H64"/>
    <mergeCell ref="H65:H66"/>
    <mergeCell ref="I67:N68"/>
    <mergeCell ref="O67:T68"/>
    <mergeCell ref="U67:X68"/>
    <mergeCell ref="Y63:AA64"/>
    <mergeCell ref="AB63:AD64"/>
    <mergeCell ref="Y65:AA66"/>
    <mergeCell ref="AB65:AD66"/>
    <mergeCell ref="Y67:AA68"/>
    <mergeCell ref="AB67:AD68"/>
    <mergeCell ref="Y69:AA70"/>
    <mergeCell ref="AB69:AD70"/>
    <mergeCell ref="H67:H68"/>
    <mergeCell ref="I65:N66"/>
    <mergeCell ref="O65:T66"/>
    <mergeCell ref="U65:X66"/>
    <mergeCell ref="O37:T38"/>
    <mergeCell ref="U37:X38"/>
    <mergeCell ref="I41:N42"/>
    <mergeCell ref="O41:T42"/>
    <mergeCell ref="U41:X42"/>
    <mergeCell ref="I43:N44"/>
    <mergeCell ref="O43:T44"/>
    <mergeCell ref="U43:X44"/>
    <mergeCell ref="O35:T36"/>
    <mergeCell ref="U35:X36"/>
    <mergeCell ref="AV53:AV54"/>
    <mergeCell ref="AW53:AW54"/>
    <mergeCell ref="AX53:AX54"/>
    <mergeCell ref="AY53:AY54"/>
    <mergeCell ref="AZ53:AZ54"/>
    <mergeCell ref="BA53:BA54"/>
    <mergeCell ref="BB53:BB54"/>
    <mergeCell ref="BC53:BC54"/>
    <mergeCell ref="AU41:AU42"/>
    <mergeCell ref="AV41:AV42"/>
    <mergeCell ref="AW41:AW42"/>
    <mergeCell ref="AX41:AX42"/>
    <mergeCell ref="AY41:AY42"/>
    <mergeCell ref="AU47:AU48"/>
    <mergeCell ref="AV47:AV48"/>
    <mergeCell ref="AW47:AW48"/>
    <mergeCell ref="AX47:AX48"/>
    <mergeCell ref="AY47:AY48"/>
    <mergeCell ref="AU43:AU44"/>
    <mergeCell ref="AV43:AV44"/>
    <mergeCell ref="AW43:AW44"/>
    <mergeCell ref="AX43:AX44"/>
    <mergeCell ref="AY43:AY44"/>
    <mergeCell ref="BC43:BC44"/>
    <mergeCell ref="AV51:AV52"/>
    <mergeCell ref="AW51:AW52"/>
    <mergeCell ref="AX51:AX52"/>
    <mergeCell ref="AY51:AY52"/>
    <mergeCell ref="AZ51:AZ52"/>
    <mergeCell ref="BA51:BA52"/>
    <mergeCell ref="BB51:BB52"/>
    <mergeCell ref="BC51:BC52"/>
    <mergeCell ref="AU59:AU60"/>
    <mergeCell ref="AV59:AV60"/>
    <mergeCell ref="AW59:AW60"/>
    <mergeCell ref="AX59:AX60"/>
    <mergeCell ref="AY59:AY60"/>
    <mergeCell ref="AZ59:AZ60"/>
    <mergeCell ref="BA59:BA60"/>
    <mergeCell ref="BB59:BB60"/>
    <mergeCell ref="BC59:BC60"/>
    <mergeCell ref="AV57:AV58"/>
    <mergeCell ref="AW57:AW58"/>
    <mergeCell ref="AX57:AX58"/>
    <mergeCell ref="AY57:AY58"/>
    <mergeCell ref="AZ57:AZ58"/>
    <mergeCell ref="BA57:BA58"/>
    <mergeCell ref="BB57:BB58"/>
    <mergeCell ref="BC57:BC58"/>
    <mergeCell ref="AU55:AU56"/>
    <mergeCell ref="AV55:AV56"/>
    <mergeCell ref="AW55:AW56"/>
    <mergeCell ref="AX55:AX56"/>
    <mergeCell ref="AY55:AY56"/>
    <mergeCell ref="AZ55:AZ56"/>
    <mergeCell ref="BA55:BA56"/>
    <mergeCell ref="BC55:BC56"/>
    <mergeCell ref="BB55:BB56"/>
    <mergeCell ref="BB65:BB66"/>
    <mergeCell ref="BC65:BC66"/>
    <mergeCell ref="AU63:AU64"/>
    <mergeCell ref="AV63:AV64"/>
    <mergeCell ref="AW63:AW64"/>
    <mergeCell ref="AX63:AX64"/>
    <mergeCell ref="AY63:AY64"/>
    <mergeCell ref="AZ63:AZ64"/>
    <mergeCell ref="BA63:BA64"/>
    <mergeCell ref="BB63:BB64"/>
    <mergeCell ref="BC63:BC64"/>
    <mergeCell ref="BA65:BA66"/>
    <mergeCell ref="BB69:BB70"/>
    <mergeCell ref="BC69:BC70"/>
    <mergeCell ref="AU67:AU68"/>
    <mergeCell ref="AV67:AV68"/>
    <mergeCell ref="AV61:AV62"/>
    <mergeCell ref="AW61:AW62"/>
    <mergeCell ref="AX61:AX62"/>
    <mergeCell ref="AY61:AY62"/>
    <mergeCell ref="AZ61:AZ62"/>
    <mergeCell ref="BA61:BA62"/>
    <mergeCell ref="BB61:BB62"/>
    <mergeCell ref="BC61:BC62"/>
    <mergeCell ref="AW67:AW68"/>
    <mergeCell ref="AX67:AX68"/>
    <mergeCell ref="AY67:AY68"/>
    <mergeCell ref="AZ67:AZ68"/>
    <mergeCell ref="BA67:BA68"/>
    <mergeCell ref="BB67:BB68"/>
    <mergeCell ref="BC67:BC68"/>
    <mergeCell ref="AV65:AV66"/>
    <mergeCell ref="AW65:AW66"/>
    <mergeCell ref="AX65:AX66"/>
    <mergeCell ref="AY65:AY66"/>
    <mergeCell ref="AZ65:AZ66"/>
    <mergeCell ref="O84:T85"/>
    <mergeCell ref="U84:X85"/>
    <mergeCell ref="R73:AC74"/>
    <mergeCell ref="J77:O77"/>
    <mergeCell ref="Q77:V77"/>
    <mergeCell ref="X77:AC77"/>
    <mergeCell ref="AH79:AL80"/>
    <mergeCell ref="AB25:AF25"/>
    <mergeCell ref="U25:Z25"/>
    <mergeCell ref="O25:S25"/>
    <mergeCell ref="I25:M25"/>
    <mergeCell ref="I80:M80"/>
    <mergeCell ref="O80:S80"/>
    <mergeCell ref="U80:Z80"/>
    <mergeCell ref="AB80:AF80"/>
    <mergeCell ref="AB26:AF27"/>
    <mergeCell ref="AH24:AL25"/>
    <mergeCell ref="AH26:AL27"/>
    <mergeCell ref="I26:M27"/>
    <mergeCell ref="I69:N70"/>
    <mergeCell ref="O69:T70"/>
    <mergeCell ref="U69:X70"/>
    <mergeCell ref="O61:T62"/>
    <mergeCell ref="U61:X62"/>
    <mergeCell ref="H88:H89"/>
    <mergeCell ref="I88:N89"/>
    <mergeCell ref="O88:T89"/>
    <mergeCell ref="U88:X89"/>
    <mergeCell ref="H86:H87"/>
    <mergeCell ref="I86:N87"/>
    <mergeCell ref="O86:T87"/>
    <mergeCell ref="U86:X87"/>
    <mergeCell ref="H92:H93"/>
    <mergeCell ref="I92:N93"/>
    <mergeCell ref="O92:T93"/>
    <mergeCell ref="U92:X93"/>
    <mergeCell ref="H90:H91"/>
    <mergeCell ref="I90:N91"/>
    <mergeCell ref="O90:T91"/>
    <mergeCell ref="U90:X91"/>
    <mergeCell ref="H98:H99"/>
    <mergeCell ref="I98:N99"/>
    <mergeCell ref="O98:T99"/>
    <mergeCell ref="U98:X99"/>
    <mergeCell ref="Y100:AA101"/>
    <mergeCell ref="Y90:AA91"/>
    <mergeCell ref="AB90:AD91"/>
    <mergeCell ref="Y98:AA99"/>
    <mergeCell ref="AB98:AD99"/>
    <mergeCell ref="H100:H101"/>
    <mergeCell ref="I100:N101"/>
    <mergeCell ref="O100:T101"/>
    <mergeCell ref="U100:X101"/>
    <mergeCell ref="Y92:AA93"/>
    <mergeCell ref="H96:H97"/>
    <mergeCell ref="I96:N97"/>
    <mergeCell ref="O96:T97"/>
    <mergeCell ref="U96:X97"/>
    <mergeCell ref="H94:H95"/>
    <mergeCell ref="I94:N95"/>
    <mergeCell ref="O94:T95"/>
    <mergeCell ref="U94:X95"/>
    <mergeCell ref="Y94:AA95"/>
    <mergeCell ref="Y96:AA97"/>
    <mergeCell ref="H102:H103"/>
    <mergeCell ref="I102:N103"/>
    <mergeCell ref="O102:T103"/>
    <mergeCell ref="U102:X103"/>
    <mergeCell ref="Y108:AA109"/>
    <mergeCell ref="AB108:AD109"/>
    <mergeCell ref="AE108:AG109"/>
    <mergeCell ref="AB112:AD113"/>
    <mergeCell ref="AE112:AG113"/>
    <mergeCell ref="H108:H109"/>
    <mergeCell ref="I108:N109"/>
    <mergeCell ref="O108:T109"/>
    <mergeCell ref="U108:X109"/>
    <mergeCell ref="H106:H107"/>
    <mergeCell ref="I106:N107"/>
    <mergeCell ref="O106:T107"/>
    <mergeCell ref="U106:X107"/>
    <mergeCell ref="H104:H105"/>
    <mergeCell ref="I104:N105"/>
    <mergeCell ref="O104:T105"/>
    <mergeCell ref="U104:X105"/>
    <mergeCell ref="AB110:AD111"/>
    <mergeCell ref="AE110:AG111"/>
    <mergeCell ref="Y106:AA107"/>
    <mergeCell ref="AH110:AL111"/>
    <mergeCell ref="H116:H117"/>
    <mergeCell ref="I116:N117"/>
    <mergeCell ref="O116:T117"/>
    <mergeCell ref="U116:X117"/>
    <mergeCell ref="H114:H115"/>
    <mergeCell ref="I114:N115"/>
    <mergeCell ref="O114:T115"/>
    <mergeCell ref="U114:X115"/>
    <mergeCell ref="Y114:AA115"/>
    <mergeCell ref="AB114:AD115"/>
    <mergeCell ref="AE114:AG115"/>
    <mergeCell ref="Y116:AA117"/>
    <mergeCell ref="H112:H113"/>
    <mergeCell ref="I112:N113"/>
    <mergeCell ref="O112:T113"/>
    <mergeCell ref="U112:X113"/>
    <mergeCell ref="H110:H111"/>
    <mergeCell ref="I110:N111"/>
    <mergeCell ref="O110:T111"/>
    <mergeCell ref="U110:X111"/>
    <mergeCell ref="Y112:AA113"/>
    <mergeCell ref="AB116:AD117"/>
    <mergeCell ref="AE116:AG117"/>
    <mergeCell ref="H120:H121"/>
    <mergeCell ref="I120:N121"/>
    <mergeCell ref="O120:T121"/>
    <mergeCell ref="U120:X121"/>
    <mergeCell ref="H118:H119"/>
    <mergeCell ref="I118:N119"/>
    <mergeCell ref="O118:T119"/>
    <mergeCell ref="U118:X119"/>
    <mergeCell ref="Y110:AA111"/>
    <mergeCell ref="Y118:AA119"/>
    <mergeCell ref="H124:H125"/>
    <mergeCell ref="I124:N125"/>
    <mergeCell ref="O124:T125"/>
    <mergeCell ref="U124:X125"/>
    <mergeCell ref="H122:H123"/>
    <mergeCell ref="I122:N123"/>
    <mergeCell ref="O122:T123"/>
    <mergeCell ref="U122:X123"/>
    <mergeCell ref="Y124:AA125"/>
    <mergeCell ref="Y122:AA123"/>
    <mergeCell ref="BA96:BA97"/>
    <mergeCell ref="BB96:BB97"/>
    <mergeCell ref="AU98:AU99"/>
    <mergeCell ref="AV98:AV99"/>
    <mergeCell ref="AW98:AW99"/>
    <mergeCell ref="AX98:AX99"/>
    <mergeCell ref="AY98:AY99"/>
    <mergeCell ref="AZ98:AZ99"/>
    <mergeCell ref="BA98:BA99"/>
    <mergeCell ref="BB98:BB99"/>
    <mergeCell ref="AU96:AU97"/>
    <mergeCell ref="AV96:AV97"/>
    <mergeCell ref="AW96:AW97"/>
    <mergeCell ref="AX96:AX97"/>
    <mergeCell ref="AY96:AY97"/>
    <mergeCell ref="AZ96:AZ97"/>
    <mergeCell ref="BA88:BA89"/>
    <mergeCell ref="BB88:BB89"/>
    <mergeCell ref="AU90:AU91"/>
    <mergeCell ref="AV90:AV91"/>
    <mergeCell ref="AW90:AW91"/>
    <mergeCell ref="AX90:AX91"/>
    <mergeCell ref="AY90:AY91"/>
    <mergeCell ref="AZ90:AZ91"/>
    <mergeCell ref="BA90:BA91"/>
    <mergeCell ref="BB90:BB91"/>
    <mergeCell ref="AU88:AU89"/>
    <mergeCell ref="AV88:AV89"/>
    <mergeCell ref="AW88:AW89"/>
    <mergeCell ref="AX88:AX89"/>
    <mergeCell ref="AY88:AY89"/>
    <mergeCell ref="AZ88:AZ89"/>
    <mergeCell ref="AU84:AU85"/>
    <mergeCell ref="AV84:AV85"/>
    <mergeCell ref="AW84:AW85"/>
    <mergeCell ref="AX84:AX85"/>
    <mergeCell ref="AY84:AY85"/>
    <mergeCell ref="AZ84:AZ85"/>
    <mergeCell ref="BA84:BA85"/>
    <mergeCell ref="BB84:BB85"/>
    <mergeCell ref="AU86:AU87"/>
    <mergeCell ref="AV86:AV87"/>
    <mergeCell ref="AW86:AW87"/>
    <mergeCell ref="AX86:AX87"/>
    <mergeCell ref="AY86:AY87"/>
    <mergeCell ref="AZ86:AZ87"/>
    <mergeCell ref="BA86:BA87"/>
    <mergeCell ref="BB86:BB87"/>
    <mergeCell ref="BA92:BA93"/>
    <mergeCell ref="BB92:BB93"/>
    <mergeCell ref="AU94:AU95"/>
    <mergeCell ref="AV94:AV95"/>
    <mergeCell ref="AW94:AW95"/>
    <mergeCell ref="AX94:AX95"/>
    <mergeCell ref="AY94:AY95"/>
    <mergeCell ref="AZ94:AZ95"/>
    <mergeCell ref="BA94:BA95"/>
    <mergeCell ref="BB94:BB95"/>
    <mergeCell ref="AU92:AU93"/>
    <mergeCell ref="AV92:AV93"/>
    <mergeCell ref="AW92:AW93"/>
    <mergeCell ref="AX92:AX93"/>
    <mergeCell ref="AY92:AY93"/>
    <mergeCell ref="AZ92:AZ93"/>
    <mergeCell ref="AY104:AY105"/>
    <mergeCell ref="AZ104:AZ105"/>
    <mergeCell ref="BA104:BA105"/>
    <mergeCell ref="BB104:BB105"/>
    <mergeCell ref="AU106:AU107"/>
    <mergeCell ref="AV106:AV107"/>
    <mergeCell ref="AW106:AW107"/>
    <mergeCell ref="AX106:AX107"/>
    <mergeCell ref="AY106:AY107"/>
    <mergeCell ref="AZ106:AZ107"/>
    <mergeCell ref="BA106:BA107"/>
    <mergeCell ref="BB106:BB107"/>
    <mergeCell ref="AU104:AU105"/>
    <mergeCell ref="AV104:AV105"/>
    <mergeCell ref="AW104:AW105"/>
    <mergeCell ref="AX104:AX105"/>
    <mergeCell ref="AZ100:AZ101"/>
    <mergeCell ref="BA100:BA101"/>
    <mergeCell ref="BB100:BB101"/>
    <mergeCell ref="AU102:AU103"/>
    <mergeCell ref="AV102:AV103"/>
    <mergeCell ref="AW102:AW103"/>
    <mergeCell ref="AX102:AX103"/>
    <mergeCell ref="AY102:AY103"/>
    <mergeCell ref="AZ102:AZ103"/>
    <mergeCell ref="BA102:BA103"/>
    <mergeCell ref="BB102:BB103"/>
    <mergeCell ref="BB112:BB113"/>
    <mergeCell ref="AU114:AU115"/>
    <mergeCell ref="AV114:AV115"/>
    <mergeCell ref="AW114:AW115"/>
    <mergeCell ref="AX114:AX115"/>
    <mergeCell ref="AY114:AY115"/>
    <mergeCell ref="AZ114:AZ115"/>
    <mergeCell ref="BA114:BA115"/>
    <mergeCell ref="BB114:BB115"/>
    <mergeCell ref="BB122:BB123"/>
    <mergeCell ref="AU108:AU109"/>
    <mergeCell ref="AV108:AV109"/>
    <mergeCell ref="AW108:AW109"/>
    <mergeCell ref="AX108:AX109"/>
    <mergeCell ref="AY108:AY109"/>
    <mergeCell ref="AZ108:AZ109"/>
    <mergeCell ref="BA108:BA109"/>
    <mergeCell ref="BB108:BB109"/>
    <mergeCell ref="AU110:AU111"/>
    <mergeCell ref="AV110:AV111"/>
    <mergeCell ref="AW110:AW111"/>
    <mergeCell ref="AX110:AX111"/>
    <mergeCell ref="AY110:AY111"/>
    <mergeCell ref="AZ110:AZ111"/>
    <mergeCell ref="BA110:BA111"/>
    <mergeCell ref="BB110:BB111"/>
    <mergeCell ref="AU112:AU113"/>
    <mergeCell ref="AV112:AV113"/>
    <mergeCell ref="AW112:AW113"/>
    <mergeCell ref="AX112:AX113"/>
    <mergeCell ref="AY112:AY113"/>
    <mergeCell ref="AZ112:AZ113"/>
    <mergeCell ref="BA112:BA113"/>
    <mergeCell ref="BC71:BC72"/>
    <mergeCell ref="AU124:AU125"/>
    <mergeCell ref="AV124:AV125"/>
    <mergeCell ref="AW124:AW125"/>
    <mergeCell ref="AX124:AX125"/>
    <mergeCell ref="AY124:AY125"/>
    <mergeCell ref="AZ124:AZ125"/>
    <mergeCell ref="BA124:BA125"/>
    <mergeCell ref="BB124:BB125"/>
    <mergeCell ref="AU120:AU121"/>
    <mergeCell ref="AU116:AU117"/>
    <mergeCell ref="AV116:AV117"/>
    <mergeCell ref="AW116:AW117"/>
    <mergeCell ref="AX116:AX117"/>
    <mergeCell ref="AY116:AY117"/>
    <mergeCell ref="AZ116:AZ117"/>
    <mergeCell ref="BA116:BA117"/>
    <mergeCell ref="AV120:AV121"/>
    <mergeCell ref="AW120:AW121"/>
    <mergeCell ref="AX120:AX121"/>
    <mergeCell ref="AY120:AY121"/>
    <mergeCell ref="AZ120:AZ121"/>
    <mergeCell ref="BA120:BA121"/>
    <mergeCell ref="BB120:BB121"/>
    <mergeCell ref="BB126:BB127"/>
    <mergeCell ref="AU71:AU72"/>
    <mergeCell ref="AV71:AV72"/>
    <mergeCell ref="AW71:AW72"/>
    <mergeCell ref="AX71:AX72"/>
    <mergeCell ref="AY71:AY72"/>
    <mergeCell ref="AZ71:AZ72"/>
    <mergeCell ref="BA71:BA72"/>
    <mergeCell ref="BB116:BB117"/>
    <mergeCell ref="AU118:AU119"/>
    <mergeCell ref="AV118:AV119"/>
    <mergeCell ref="AW118:AW119"/>
    <mergeCell ref="AX118:AX119"/>
    <mergeCell ref="AY118:AY119"/>
    <mergeCell ref="AZ118:AZ119"/>
    <mergeCell ref="BA118:BA119"/>
    <mergeCell ref="BB118:BB119"/>
    <mergeCell ref="BB71:BB72"/>
    <mergeCell ref="AU122:AU123"/>
    <mergeCell ref="AV122:AV123"/>
    <mergeCell ref="AW122:AW123"/>
    <mergeCell ref="AX122:AX123"/>
    <mergeCell ref="AY122:AY123"/>
    <mergeCell ref="AZ122:AZ123"/>
    <mergeCell ref="AZ14:AZ15"/>
    <mergeCell ref="BA14:BA15"/>
    <mergeCell ref="AZ16:AZ17"/>
    <mergeCell ref="BA16:BA17"/>
    <mergeCell ref="AU16:AU17"/>
    <mergeCell ref="AU126:AU127"/>
    <mergeCell ref="AV126:AV127"/>
    <mergeCell ref="AW126:AW127"/>
    <mergeCell ref="AX126:AX127"/>
    <mergeCell ref="AY126:AY127"/>
    <mergeCell ref="AZ126:AZ127"/>
    <mergeCell ref="BA126:BA127"/>
    <mergeCell ref="AV69:AV70"/>
    <mergeCell ref="AW69:AW70"/>
    <mergeCell ref="AX69:AX70"/>
    <mergeCell ref="AY69:AY70"/>
    <mergeCell ref="AZ69:AZ70"/>
    <mergeCell ref="BA69:BA70"/>
    <mergeCell ref="BA122:BA123"/>
    <mergeCell ref="AU100:AU101"/>
    <mergeCell ref="AV100:AV101"/>
    <mergeCell ref="AW100:AW101"/>
    <mergeCell ref="AX100:AX101"/>
    <mergeCell ref="AY100:AY101"/>
    <mergeCell ref="BB14:BB15"/>
    <mergeCell ref="BC14:BC15"/>
    <mergeCell ref="BB22:BB23"/>
    <mergeCell ref="BC22:BC23"/>
    <mergeCell ref="BD14:BD15"/>
    <mergeCell ref="BD22:BD23"/>
    <mergeCell ref="AE22:AJ22"/>
    <mergeCell ref="D22:H22"/>
    <mergeCell ref="AL22:AP22"/>
    <mergeCell ref="AV18:AV19"/>
    <mergeCell ref="AW18:AW19"/>
    <mergeCell ref="AX18:AX19"/>
    <mergeCell ref="AY18:AY19"/>
    <mergeCell ref="AZ18:AZ19"/>
    <mergeCell ref="BA18:BA19"/>
    <mergeCell ref="R18:AC19"/>
    <mergeCell ref="AU14:AU15"/>
    <mergeCell ref="AV14:AV15"/>
    <mergeCell ref="P14:AE16"/>
    <mergeCell ref="AV16:AV17"/>
    <mergeCell ref="AW16:AW17"/>
    <mergeCell ref="AX16:AX17"/>
    <mergeCell ref="AY16:AY17"/>
    <mergeCell ref="BA20:BA21"/>
    <mergeCell ref="Y39:AA40"/>
    <mergeCell ref="AB39:AD40"/>
    <mergeCell ref="AE39:AG40"/>
    <mergeCell ref="Y41:AA42"/>
    <mergeCell ref="AB41:AD42"/>
    <mergeCell ref="AE41:AG42"/>
    <mergeCell ref="Y43:AA44"/>
    <mergeCell ref="AB43:AD44"/>
    <mergeCell ref="AE43:AG44"/>
    <mergeCell ref="AB55:AD56"/>
    <mergeCell ref="AE55:AG56"/>
    <mergeCell ref="Y45:AA46"/>
    <mergeCell ref="AB45:AD46"/>
    <mergeCell ref="AE45:AG46"/>
    <mergeCell ref="Y47:AA48"/>
    <mergeCell ref="AB47:AD48"/>
    <mergeCell ref="AE47:AG48"/>
    <mergeCell ref="Y49:AA50"/>
    <mergeCell ref="AB49:AD50"/>
    <mergeCell ref="AE49:AG50"/>
    <mergeCell ref="D77:H77"/>
    <mergeCell ref="AE77:AJ77"/>
    <mergeCell ref="AL77:AP77"/>
    <mergeCell ref="AE69:AG70"/>
    <mergeCell ref="AH33:AL34"/>
    <mergeCell ref="AH35:AL36"/>
    <mergeCell ref="AH37:AL38"/>
    <mergeCell ref="AH39:AL40"/>
    <mergeCell ref="AH41:AL42"/>
    <mergeCell ref="AH43:AL44"/>
    <mergeCell ref="AH45:AL46"/>
    <mergeCell ref="AH47:AL48"/>
    <mergeCell ref="AH49:AL50"/>
    <mergeCell ref="AH51:AL52"/>
    <mergeCell ref="AH53:AL54"/>
    <mergeCell ref="AH55:AL56"/>
    <mergeCell ref="AH57:AL58"/>
    <mergeCell ref="AH59:AL60"/>
    <mergeCell ref="AH61:AL62"/>
    <mergeCell ref="AH63:AL64"/>
    <mergeCell ref="AH65:AL66"/>
    <mergeCell ref="AH67:AL68"/>
    <mergeCell ref="AH69:AL70"/>
    <mergeCell ref="Y51:AA52"/>
  </mergeCells>
  <phoneticPr fontId="163" type="noConversion"/>
  <conditionalFormatting sqref="P14:AE16">
    <cfRule type="expression" dxfId="309" priority="1">
      <formula>ISNUMBER(SEARCH("To be eligible for these incentives,",$P$14))</formula>
    </cfRule>
  </conditionalFormatting>
  <conditionalFormatting sqref="R12:U13">
    <cfRule type="expression" dxfId="308" priority="2">
      <formula>$R$12="Not Eligible"</formula>
    </cfRule>
    <cfRule type="expression" dxfId="307" priority="3">
      <formula>NOT(ISNUMBER($R$12))</formula>
    </cfRule>
    <cfRule type="expression" dxfId="306" priority="369">
      <formula>$BD$22&lt;&gt;""</formula>
    </cfRule>
  </conditionalFormatting>
  <conditionalFormatting sqref="U26:Z27">
    <cfRule type="expression" dxfId="305" priority="9">
      <formula>NOT(ISNUMBER($U$26))</formula>
    </cfRule>
  </conditionalFormatting>
  <conditionalFormatting sqref="U81:Z82">
    <cfRule type="expression" dxfId="304" priority="8">
      <formula>NOT(ISNUMBER($U$81))</formula>
    </cfRule>
  </conditionalFormatting>
  <conditionalFormatting sqref="AB26:AF27">
    <cfRule type="expression" dxfId="303" priority="7">
      <formula>NOT(ISNUMBER($AB$26))</formula>
    </cfRule>
  </conditionalFormatting>
  <conditionalFormatting sqref="AB81:AF82">
    <cfRule type="expression" dxfId="302" priority="6">
      <formula>NOT(ISNUMBER($AB$81))</formula>
    </cfRule>
  </conditionalFormatting>
  <conditionalFormatting sqref="AG10:AG11">
    <cfRule type="expression" dxfId="301" priority="135">
      <formula>COUNTIF($I$147:$L$196,"Redesign*")&gt;0</formula>
    </cfRule>
  </conditionalFormatting>
  <conditionalFormatting sqref="AH2 AL2">
    <cfRule type="expression" dxfId="300" priority="127">
      <formula>PROJSTATUS=PROJSTATELI</formula>
    </cfRule>
    <cfRule type="expression" dxfId="299" priority="128">
      <formula>PROJSTATUS=PROJSTATREVIEW</formula>
    </cfRule>
    <cfRule type="expression" dxfId="298" priority="129">
      <formula>PROJSTATUS=PROJSTATPREAPPROVE</formula>
    </cfRule>
    <cfRule type="expression" dxfId="297" priority="130">
      <formula>PROJSTATUS=PROJSTATSTANDARD</formula>
    </cfRule>
    <cfRule type="expression" dxfId="296" priority="131">
      <formula>PROJSTATUS=PROJSTATEXP</formula>
    </cfRule>
  </conditionalFormatting>
  <conditionalFormatting sqref="AH9:AJ9">
    <cfRule type="expression" dxfId="295" priority="134">
      <formula>COUNTIF($I$147:$L$196,"Redesign*")&gt;0</formula>
    </cfRule>
  </conditionalFormatting>
  <conditionalFormatting sqref="AH12:AJ12">
    <cfRule type="expression" dxfId="294" priority="136">
      <formula>COUNTIF($I$147:$L$196,"Redesign*")&gt;0</formula>
    </cfRule>
  </conditionalFormatting>
  <conditionalFormatting sqref="AH26:AL27">
    <cfRule type="expression" dxfId="293" priority="5">
      <formula>NOT(ISNUMBER($AH$26))</formula>
    </cfRule>
  </conditionalFormatting>
  <conditionalFormatting sqref="AH81:AL82">
    <cfRule type="expression" dxfId="292" priority="4">
      <formula>NOT(ISNUMBER($AH$81))</formula>
    </cfRule>
  </conditionalFormatting>
  <conditionalFormatting sqref="AK10:AK11">
    <cfRule type="expression" dxfId="291" priority="133">
      <formula>COUNTIF($I$147:$L$196,"Redesign*")&gt;0</formula>
    </cfRule>
  </conditionalFormatting>
  <conditionalFormatting sqref="AQ2:AR3">
    <cfRule type="cellIs" dxfId="290" priority="137" operator="equal">
      <formula>1</formula>
    </cfRule>
    <cfRule type="cellIs" dxfId="289" priority="138" operator="between">
      <formula>0.51</formula>
      <formula>0.99</formula>
    </cfRule>
    <cfRule type="cellIs" dxfId="288" priority="139" operator="lessThanOrEqual">
      <formula>0.5</formula>
    </cfRule>
  </conditionalFormatting>
  <dataValidations xWindow="664" yWindow="669" count="7">
    <dataValidation type="list" allowBlank="1" showInputMessage="1" showErrorMessage="1" sqref="J22:O22 L26:M26 T27 J77:O77 L81:M81 T82" xr:uid="{1F8FAC7F-23EC-4030-835E-871CD1BB4A4F}">
      <formula1>BUILDING</formula1>
    </dataValidation>
    <dataValidation type="list" allowBlank="1" showInputMessage="1" showErrorMessage="1" sqref="D22 D77" xr:uid="{31D2F113-A181-4F0E-857F-BAA3DCFFA61D}">
      <formula1>CODEBASE</formula1>
    </dataValidation>
    <dataValidation type="list" allowBlank="1" showInputMessage="1" showErrorMessage="1" sqref="I31:N70 I86:N125" xr:uid="{CBCA376E-9CB1-4141-9553-16EB0CDAA42C}">
      <formula1>LEDREDEFF1</formula1>
    </dataValidation>
    <dataValidation type="whole" operator="greaterThanOrEqual" allowBlank="1" showInputMessage="1" showErrorMessage="1" sqref="U31:X70 U86:X125" xr:uid="{D42007A1-C3CC-4FAA-929F-71B5BAED9A99}">
      <formula1>50000</formula1>
    </dataValidation>
    <dataValidation type="whole" operator="greaterThan" allowBlank="1" showInputMessage="1" showErrorMessage="1" sqref="Y69 Y31 Y33 Y35 Y37 Y39 Y41 Y43 Y45 Y47 Y49 Y51 Y53 Y55 Y57 Y59 Y61 Y63 Y65 Y67 Y86 Y88 Y90 Y92 Y94 Y96 Y98 Y100 Y102 Y104 Y106 Y108 Y110 Y112 Y114 Y116 Y118 Y120 Y122 Y124" xr:uid="{75DD7D55-9974-474A-97CE-102523E13A64}">
      <formula1>0</formula1>
    </dataValidation>
    <dataValidation type="decimal" operator="greaterThan" allowBlank="1" showInputMessage="1" showErrorMessage="1" sqref="AB122 AB31 AB124 AB86 AB33 AB35 AB37 AB39 AB41 AB43 AB45 AB47 AB49 AB51 AB53 AB55 AB57 AB59 AB61 AB63 AB65 AB67 AB69 AB118 AB120 AB88 AB90 AB92 AB94 AB96 AB98 AB100 AB102 AB104 AB106 AB108 AB110 AB112 AB114 AB116" xr:uid="{6F223170-8E1E-47D9-BE74-31D69CFFDF69}">
      <formula1>0</formula1>
    </dataValidation>
    <dataValidation type="whole" allowBlank="1" showInputMessage="1" showErrorMessage="1" sqref="AE31:AG70 AE86:AG125" xr:uid="{035AF47B-5713-4DC5-B55E-029E2572CD49}">
      <formula1>0</formula1>
      <formula2>8760</formula2>
    </dataValidation>
  </dataValidations>
  <hyperlinks>
    <hyperlink ref="B202" r:id="rId1" display="NIPSCO.Savings@LMCO.com" xr:uid="{8FBA8C44-D176-4792-8282-5115F70D9CDB}"/>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54642" r:id="rId5" name="Check Box 18">
              <controlPr defaultSize="0" autoFill="0" autoLine="0" autoPict="0">
                <anchor moveWithCells="1">
                  <from>
                    <xdr:col>8</xdr:col>
                    <xdr:colOff>285750</xdr:colOff>
                    <xdr:row>22</xdr:row>
                    <xdr:rowOff>9525</xdr:rowOff>
                  </from>
                  <to>
                    <xdr:col>9</xdr:col>
                    <xdr:colOff>285750</xdr:colOff>
                    <xdr:row>23</xdr:row>
                    <xdr:rowOff>28575</xdr:rowOff>
                  </to>
                </anchor>
              </controlPr>
            </control>
          </mc:Choice>
        </mc:AlternateContent>
        <mc:AlternateContent xmlns:mc="http://schemas.openxmlformats.org/markup-compatibility/2006">
          <mc:Choice Requires="x14">
            <control shapeId="154645" r:id="rId6" name="Check Box 21">
              <controlPr defaultSize="0" autoFill="0" autoLine="0" autoPict="0">
                <anchor moveWithCells="1">
                  <from>
                    <xdr:col>16</xdr:col>
                    <xdr:colOff>0</xdr:colOff>
                    <xdr:row>77</xdr:row>
                    <xdr:rowOff>19050</xdr:rowOff>
                  </from>
                  <to>
                    <xdr:col>17</xdr:col>
                    <xdr:colOff>0</xdr:colOff>
                    <xdr:row>78</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009E-41FE-45C6-AEA2-2ACE42323547}">
  <sheetPr codeName="Sheet15"/>
  <dimension ref="A1:BI202"/>
  <sheetViews>
    <sheetView showGridLines="0" showRowColHeaders="0" zoomScale="85" zoomScaleNormal="85" workbookViewId="0">
      <selection activeCell="D29" sqref="D29:G30"/>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8"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c r="AS1" s="69"/>
      <c r="AT1" s="69"/>
      <c r="AU1" s="69"/>
      <c r="AV1" s="69"/>
      <c r="AW1" s="69"/>
      <c r="AX1" s="69"/>
      <c r="AY1" s="69"/>
      <c r="AZ1" s="69"/>
      <c r="BA1" s="69"/>
      <c r="BB1" s="69"/>
      <c r="BC1" s="69"/>
    </row>
    <row r="2" spans="2:58" ht="15.95" customHeight="1" x14ac:dyDescent="0.25">
      <c r="AH2" s="602" t="str">
        <f>INCENSTATUS</f>
        <v>---</v>
      </c>
      <c r="AI2" s="603"/>
      <c r="AJ2" s="603"/>
      <c r="AK2" s="603"/>
      <c r="AL2" s="613" t="str">
        <f ca="1">PROJSTATUS</f>
        <v>Enter Measures</v>
      </c>
      <c r="AM2" s="613"/>
      <c r="AN2" s="613"/>
      <c r="AO2" s="613"/>
      <c r="AP2" s="613"/>
      <c r="AQ2" s="608">
        <f ca="1">PROGRESSSTATUS</f>
        <v>0</v>
      </c>
      <c r="AR2" s="609"/>
      <c r="AS2" s="69"/>
      <c r="AT2" s="69"/>
      <c r="AU2" s="69"/>
      <c r="AV2" s="69"/>
      <c r="AW2" s="69"/>
      <c r="AX2" s="69"/>
      <c r="AY2" s="69"/>
      <c r="AZ2" s="69"/>
      <c r="BA2" s="69"/>
      <c r="BB2" s="69"/>
      <c r="BC2" s="69"/>
    </row>
    <row r="3" spans="2:58" ht="15.95" customHeight="1" x14ac:dyDescent="0.25">
      <c r="AH3" s="604"/>
      <c r="AI3" s="605"/>
      <c r="AJ3" s="605"/>
      <c r="AK3" s="605"/>
      <c r="AL3" s="614"/>
      <c r="AM3" s="614"/>
      <c r="AN3" s="614"/>
      <c r="AO3" s="614"/>
      <c r="AP3" s="614"/>
      <c r="AQ3" s="610"/>
      <c r="AR3" s="611"/>
      <c r="AS3" s="69"/>
      <c r="AT3" s="69"/>
      <c r="AU3" s="69"/>
      <c r="AV3" s="69"/>
      <c r="AW3" s="519"/>
      <c r="AX3" s="69"/>
      <c r="AY3" s="69"/>
      <c r="AZ3" s="69"/>
      <c r="BA3" s="69"/>
      <c r="BB3" s="69"/>
      <c r="BC3" s="69"/>
    </row>
    <row r="4" spans="2:58" ht="15.95" customHeight="1" x14ac:dyDescent="0.25">
      <c r="AS4" s="69"/>
      <c r="AT4" s="69"/>
      <c r="AU4" s="69"/>
      <c r="AV4" s="69"/>
      <c r="AW4" s="69">
        <f>IF(AND(ISNUMBER(SEARCH("CFL",H149)),ISNUMBER(SEARCH("Linear Tube",U149))),12,15)</f>
        <v>15</v>
      </c>
      <c r="AX4" s="69"/>
      <c r="AY4" s="69"/>
      <c r="AZ4" s="69"/>
      <c r="BA4" s="69"/>
      <c r="BB4" s="69"/>
      <c r="BC4" s="69"/>
    </row>
    <row r="5" spans="2:58" ht="15.95" customHeight="1" x14ac:dyDescent="0.25">
      <c r="C5" s="296"/>
      <c r="D5" s="296"/>
      <c r="E5" s="297" t="str">
        <f>IF('M03-S01'!AU13=0,"","P")</f>
        <v/>
      </c>
      <c r="F5" s="296"/>
      <c r="G5" s="296"/>
      <c r="H5" s="296"/>
      <c r="I5" s="296"/>
      <c r="J5" s="297" t="str">
        <f>IF('M03-S02'!AU13=0,"","P")</f>
        <v/>
      </c>
      <c r="K5" s="296"/>
      <c r="L5" s="296"/>
      <c r="M5" s="296"/>
      <c r="N5" s="296"/>
      <c r="O5" s="297" t="str">
        <f>IF('M03-S03'!AU13=0,"","P")</f>
        <v/>
      </c>
      <c r="P5" s="296"/>
      <c r="Q5" s="296"/>
      <c r="R5" s="296"/>
      <c r="S5" s="296"/>
      <c r="T5" s="297" t="str">
        <f>IF('M03-S04'!AU13=0,"","P")</f>
        <v/>
      </c>
      <c r="U5" s="296"/>
      <c r="V5" s="296"/>
      <c r="W5" s="296"/>
      <c r="X5" s="296"/>
      <c r="Y5" s="297" t="str">
        <f>IF('M03-S06'!AU11=0,"","P")</f>
        <v/>
      </c>
      <c r="Z5" s="296"/>
      <c r="AA5" s="296"/>
      <c r="AB5" s="296"/>
      <c r="AC5" s="296"/>
      <c r="AD5" s="297" t="str">
        <f>IF('M03-S05'!AU13=0,"","P")</f>
        <v/>
      </c>
      <c r="AE5" s="296"/>
      <c r="AF5" s="296"/>
      <c r="AG5" s="296"/>
      <c r="AH5" s="296"/>
      <c r="AI5" s="297" t="str">
        <f>IF('M03-S07'!AW13=0,"","P")</f>
        <v/>
      </c>
      <c r="AJ5" s="296"/>
      <c r="AK5" s="296"/>
      <c r="AL5" s="296"/>
      <c r="AM5" s="296"/>
      <c r="AN5" s="297" t="str">
        <f>IF('M03-S08'!AW13=0,"","P")</f>
        <v/>
      </c>
      <c r="AO5" s="296"/>
      <c r="AP5" s="296"/>
      <c r="AQ5" s="296"/>
      <c r="AS5" s="69"/>
      <c r="AT5" s="69"/>
      <c r="AU5" s="69"/>
      <c r="AV5" s="69"/>
      <c r="AW5" s="69"/>
      <c r="AX5" s="69"/>
      <c r="AY5" s="69"/>
      <c r="AZ5" s="69"/>
      <c r="BA5" s="69"/>
      <c r="BB5" s="69"/>
      <c r="BC5" s="69"/>
    </row>
    <row r="6" spans="2:58" ht="15.95" customHeight="1" x14ac:dyDescent="0.25">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S6" s="69"/>
      <c r="AT6" s="69"/>
      <c r="AU6" s="69"/>
      <c r="AV6" s="69"/>
      <c r="AW6" s="69" t="s">
        <v>1195</v>
      </c>
      <c r="AX6" s="69">
        <f>PROJID</f>
        <v>0</v>
      </c>
      <c r="AY6" s="69"/>
      <c r="AZ6" s="69"/>
      <c r="BA6" s="69"/>
      <c r="BB6" s="69"/>
      <c r="BC6" s="69"/>
    </row>
    <row r="7" spans="2:58" ht="15.95" customHeight="1" x14ac:dyDescent="0.25">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S7" s="69"/>
      <c r="AT7" s="69"/>
      <c r="AU7" s="69"/>
      <c r="AV7" s="69"/>
      <c r="AW7" s="121"/>
      <c r="AX7" s="121" t="s">
        <v>1096</v>
      </c>
      <c r="AY7" s="121" t="s">
        <v>212</v>
      </c>
      <c r="AZ7" s="121" t="s">
        <v>1163</v>
      </c>
      <c r="BA7" s="121"/>
      <c r="BB7" s="69"/>
    </row>
    <row r="8" spans="2:58" ht="15.95" customHeight="1" x14ac:dyDescent="0.25">
      <c r="AS8" s="69"/>
      <c r="AT8" s="69"/>
      <c r="AU8" s="69"/>
      <c r="AV8" s="69"/>
      <c r="AW8" s="121" t="s">
        <v>208</v>
      </c>
      <c r="AX8" s="121" t="str">
        <f ca="1">CBPRESE</f>
        <v>NA</v>
      </c>
      <c r="AY8" s="121" t="str">
        <f ca="1">CBCUSE</f>
        <v>NA</v>
      </c>
      <c r="AZ8" s="121" t="str">
        <f ca="1">CBALL</f>
        <v>NA</v>
      </c>
      <c r="BA8" s="121"/>
      <c r="BB8" s="69"/>
    </row>
    <row r="9" spans="2:58" ht="15.95" customHeight="1" x14ac:dyDescent="0.25">
      <c r="B9" s="69"/>
      <c r="C9" s="69"/>
      <c r="D9" s="69"/>
      <c r="E9" s="69"/>
      <c r="F9" s="69"/>
      <c r="G9" s="69"/>
      <c r="H9" s="69"/>
      <c r="I9" s="69"/>
      <c r="J9" s="69"/>
      <c r="K9" s="69"/>
      <c r="L9" s="69"/>
      <c r="M9" s="69"/>
      <c r="N9" s="69"/>
      <c r="O9" s="69"/>
      <c r="P9" s="69"/>
      <c r="Q9" s="69"/>
      <c r="R9" s="1174" t="s">
        <v>2349</v>
      </c>
      <c r="S9" s="1174"/>
      <c r="T9" s="1174"/>
      <c r="U9" s="1174"/>
      <c r="V9" s="1174"/>
      <c r="W9" s="1174"/>
      <c r="X9" s="1174"/>
      <c r="Y9" s="1174"/>
      <c r="Z9" s="1174"/>
      <c r="AA9" s="1174"/>
      <c r="AB9" s="1174"/>
      <c r="AC9" s="1174"/>
      <c r="AD9" s="69"/>
      <c r="AE9" s="69"/>
      <c r="AF9" s="69"/>
      <c r="AG9" s="69"/>
      <c r="AH9" s="69"/>
      <c r="AI9" s="69"/>
      <c r="AJ9" s="69"/>
      <c r="AK9" s="69"/>
      <c r="AL9" s="69"/>
      <c r="AM9" s="69"/>
      <c r="AN9" s="69"/>
      <c r="AO9" s="69"/>
      <c r="AP9" s="69"/>
      <c r="AQ9" s="69"/>
      <c r="AR9" s="69"/>
      <c r="AS9" s="69"/>
      <c r="AT9" s="69"/>
      <c r="AU9" s="69"/>
      <c r="AV9" s="69"/>
      <c r="AW9" s="121"/>
      <c r="AX9" s="121"/>
      <c r="AY9" s="121"/>
      <c r="AZ9" s="121"/>
      <c r="BA9" s="121"/>
      <c r="BB9" s="69"/>
    </row>
    <row r="10" spans="2:58" ht="15.95" customHeight="1" x14ac:dyDescent="0.25">
      <c r="B10" s="69"/>
      <c r="C10" s="69"/>
      <c r="D10" s="69"/>
      <c r="E10" s="69"/>
      <c r="J10" s="1664"/>
      <c r="K10" s="1664"/>
      <c r="L10" s="1664"/>
      <c r="M10" s="1664"/>
      <c r="N10" s="1664"/>
      <c r="O10" s="1664"/>
      <c r="P10" s="1664"/>
      <c r="Q10" s="1664"/>
      <c r="R10" s="1174"/>
      <c r="S10" s="1174"/>
      <c r="T10" s="1174"/>
      <c r="U10" s="1174"/>
      <c r="V10" s="1174"/>
      <c r="W10" s="1174"/>
      <c r="X10" s="1174"/>
      <c r="Y10" s="1174"/>
      <c r="Z10" s="1174"/>
      <c r="AA10" s="1174"/>
      <c r="AB10" s="1174"/>
      <c r="AC10" s="1174"/>
      <c r="AD10" s="80"/>
      <c r="AE10" s="80"/>
      <c r="AF10" s="80"/>
      <c r="AG10" s="69"/>
      <c r="AH10" s="274"/>
      <c r="AI10" s="69"/>
      <c r="AJ10" s="69"/>
      <c r="AK10" s="69"/>
      <c r="AL10" s="69"/>
      <c r="AM10" s="69"/>
      <c r="AN10" s="69"/>
      <c r="AO10" s="69"/>
      <c r="AP10" s="69"/>
      <c r="AQ10" s="69"/>
      <c r="AR10" s="69"/>
      <c r="AS10" s="69"/>
      <c r="AT10" s="69"/>
      <c r="AU10" s="69"/>
      <c r="AV10" s="69"/>
      <c r="AW10" s="121" t="s">
        <v>561</v>
      </c>
      <c r="AX10" s="121" t="str">
        <f>PAYPRESE</f>
        <v>NA</v>
      </c>
      <c r="AY10" s="121" t="str">
        <f ca="1">PAYCUSE</f>
        <v>NA</v>
      </c>
      <c r="AZ10" s="121" t="str">
        <f ca="1">PAYALL</f>
        <v>NA</v>
      </c>
      <c r="BA10" s="121"/>
      <c r="BB10" s="69"/>
    </row>
    <row r="11" spans="2:58" ht="15.95" customHeight="1" x14ac:dyDescent="0.3">
      <c r="B11" s="69"/>
      <c r="C11" s="69"/>
      <c r="D11" s="69"/>
      <c r="E11" s="69"/>
      <c r="J11" s="341"/>
      <c r="K11" s="341"/>
      <c r="L11" s="341"/>
      <c r="M11" s="1633" t="str">
        <f>IF(SUM(AO20:AQ23)&gt;0.5*SUM(AU20:AU23),"The  incentive is being capped at cost","")</f>
        <v/>
      </c>
      <c r="N11" s="1633"/>
      <c r="O11" s="1633"/>
      <c r="P11" s="1633"/>
      <c r="Q11" s="1633"/>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S11" s="69"/>
      <c r="AT11" s="69"/>
      <c r="AU11" s="69"/>
      <c r="AV11" s="69"/>
      <c r="AW11" s="122" t="s">
        <v>1149</v>
      </c>
      <c r="AX11" s="69"/>
      <c r="AY11" s="69"/>
      <c r="AZ11" s="69"/>
      <c r="BA11" s="69"/>
      <c r="BB11" s="69"/>
    </row>
    <row r="12" spans="2:58" ht="15.95" customHeight="1" x14ac:dyDescent="0.25">
      <c r="B12" s="69"/>
      <c r="C12" s="79"/>
      <c r="D12" s="69"/>
      <c r="E12" s="69"/>
      <c r="I12" s="341"/>
      <c r="J12" s="341"/>
      <c r="K12" s="341"/>
      <c r="L12" s="341"/>
      <c r="M12" s="1633"/>
      <c r="N12" s="1633"/>
      <c r="O12" s="1633"/>
      <c r="P12" s="1633"/>
      <c r="Q12" s="1633"/>
      <c r="R12" s="1632" t="str">
        <f>IF(M02S02F44="","Update Install Status",IF(OR(OR(M02S02F49="",M02S02F49="No"),M02S02F44="Yes"),"Not Eligible",IF(BE200&lt;&gt;"",BE200,MIN(0.5*AU200,SUM(AO20:AQ23)))))</f>
        <v>Update Install Status</v>
      </c>
      <c r="S12" s="1632"/>
      <c r="T12" s="1632"/>
      <c r="U12" s="1632"/>
      <c r="V12" s="1630">
        <f>AU200</f>
        <v>0</v>
      </c>
      <c r="W12" s="1630"/>
      <c r="X12" s="1630"/>
      <c r="Y12" s="1630"/>
      <c r="Z12" s="1631">
        <f>SUM(AL20:AN23)</f>
        <v>0</v>
      </c>
      <c r="AA12" s="1631"/>
      <c r="AB12" s="1631"/>
      <c r="AC12" s="1631"/>
      <c r="AD12" s="69"/>
      <c r="AE12" s="69"/>
      <c r="AF12" s="69"/>
      <c r="AG12" s="69"/>
      <c r="AH12" s="69"/>
      <c r="AI12" s="69"/>
      <c r="AJ12" s="69"/>
      <c r="AK12" s="69"/>
      <c r="AL12" s="69"/>
      <c r="AM12" s="69"/>
      <c r="AN12" s="69"/>
      <c r="AO12" s="69"/>
      <c r="AP12" s="69"/>
      <c r="AQ12" s="69"/>
      <c r="AR12" s="69"/>
      <c r="AS12" s="69"/>
      <c r="AT12" s="69"/>
      <c r="AU12" s="69"/>
      <c r="AV12" s="69"/>
      <c r="AW12" s="69" t="str">
        <f>IF(M02S02F44="","CLICK HERE to update install status.",IF(M02S02F44="Yes","Haven't installed yet? CLICK HERE", IF(AND(M02S02F44="No",M02S02F49="Yes"), "You ARE eligible to receive New Load Incentives","You are NOT eligible for New Load incentives.")))</f>
        <v>CLICK HERE to update install status.</v>
      </c>
      <c r="AX12" s="69"/>
      <c r="AY12" s="69"/>
      <c r="AZ12" s="69"/>
      <c r="BA12" s="69"/>
      <c r="BB12" s="69"/>
    </row>
    <row r="13" spans="2:58" ht="15.95" customHeight="1" x14ac:dyDescent="0.25">
      <c r="B13" s="69"/>
      <c r="C13" s="79"/>
      <c r="D13" s="69"/>
      <c r="E13" s="69"/>
      <c r="F13" s="266"/>
      <c r="G13" s="266"/>
      <c r="H13" s="266"/>
      <c r="I13" s="341"/>
      <c r="J13" s="341"/>
      <c r="K13" s="341"/>
      <c r="L13" s="341"/>
      <c r="M13" s="1633"/>
      <c r="N13" s="1633"/>
      <c r="O13" s="1633"/>
      <c r="P13" s="1633"/>
      <c r="Q13" s="1633"/>
      <c r="R13" s="1632"/>
      <c r="S13" s="1632"/>
      <c r="T13" s="1632"/>
      <c r="U13" s="1632"/>
      <c r="V13" s="1630"/>
      <c r="W13" s="1630"/>
      <c r="X13" s="1630"/>
      <c r="Y13" s="1630"/>
      <c r="Z13" s="1631"/>
      <c r="AA13" s="1631"/>
      <c r="AB13" s="1631"/>
      <c r="AC13" s="1631"/>
      <c r="AD13" s="105"/>
      <c r="AE13" s="105"/>
      <c r="AF13" s="105"/>
      <c r="AG13" s="105"/>
      <c r="AH13" s="69"/>
      <c r="AI13" s="69"/>
      <c r="AJ13" s="69"/>
      <c r="AK13" s="69"/>
      <c r="AL13" s="69"/>
      <c r="AM13" s="69"/>
      <c r="AN13" s="69"/>
      <c r="AO13" s="69"/>
      <c r="AP13" s="69"/>
      <c r="AQ13" s="69"/>
      <c r="AR13" s="69"/>
      <c r="AS13" s="69"/>
      <c r="AT13" s="69"/>
      <c r="AU13" s="69"/>
      <c r="AV13" s="69"/>
      <c r="AW13" s="69" cm="1">
        <f t="array" ref="AW13">SUMPRODUCT(--(LEN(N29:AK48)&gt;0))+SUMPRODUCT(--(LEN(I86:AH125)&gt;0))</f>
        <v>0</v>
      </c>
      <c r="AX13" s="69"/>
      <c r="AY13" s="69"/>
      <c r="AZ13" s="69"/>
      <c r="BA13" s="69"/>
      <c r="BB13" s="69"/>
    </row>
    <row r="14" spans="2:58" ht="15.95" customHeight="1" x14ac:dyDescent="0.25">
      <c r="L14" s="1054" t="str">
        <f>IF(AND(M02S02F44="No",OR(M02S02F49="No",M02S02F49="")),"To be eligible for these incentives, you must indicate that this is a New Construction project in the Project Information - Site Information section","These measures use available fixtures on the market for the baseline and are for new load only. Supporting documentation showing the design is suitable for the space should be submitted to qualify")</f>
        <v>These measures use available fixtures on the market for the baseline and are for new load only. Supporting documentation showing the design is suitable for the space should be submitted to qualify</v>
      </c>
      <c r="M14" s="1054"/>
      <c r="N14" s="1054"/>
      <c r="O14" s="1054"/>
      <c r="P14" s="1054"/>
      <c r="Q14" s="1054"/>
      <c r="R14" s="1054"/>
      <c r="S14" s="1054"/>
      <c r="T14" s="1054"/>
      <c r="U14" s="1054"/>
      <c r="V14" s="1054"/>
      <c r="W14" s="1054"/>
      <c r="X14" s="1054"/>
      <c r="Y14" s="1054"/>
      <c r="Z14" s="1054"/>
      <c r="AA14" s="1054"/>
      <c r="AB14" s="1054"/>
      <c r="AC14" s="1054"/>
      <c r="AD14" s="1054"/>
      <c r="AE14" s="1054"/>
      <c r="AF14" s="1054"/>
      <c r="AG14" s="1054"/>
      <c r="AH14" s="1054"/>
      <c r="AI14" s="1054"/>
    </row>
    <row r="15" spans="2:58" ht="15.95" customHeight="1" x14ac:dyDescent="0.25">
      <c r="L15" s="1054"/>
      <c r="M15" s="1054"/>
      <c r="N15" s="1054"/>
      <c r="O15" s="1054"/>
      <c r="P15" s="1054"/>
      <c r="Q15" s="1054"/>
      <c r="R15" s="1054"/>
      <c r="S15" s="1054"/>
      <c r="T15" s="1054"/>
      <c r="U15" s="1054"/>
      <c r="V15" s="1054"/>
      <c r="W15" s="1054"/>
      <c r="X15" s="1054"/>
      <c r="Y15" s="1054"/>
      <c r="Z15" s="1054"/>
      <c r="AA15" s="1054"/>
      <c r="AB15" s="1054"/>
      <c r="AC15" s="1054"/>
      <c r="AD15" s="1054"/>
      <c r="AE15" s="1054"/>
      <c r="AF15" s="1054"/>
      <c r="AG15" s="1054"/>
      <c r="AH15" s="1054"/>
      <c r="AI15" s="1054"/>
      <c r="AU15" t="s">
        <v>1417</v>
      </c>
      <c r="AV15" t="s">
        <v>1418</v>
      </c>
    </row>
    <row r="16" spans="2:58" ht="15.95" customHeight="1" thickBot="1" x14ac:dyDescent="0.3">
      <c r="P16" s="520"/>
      <c r="Q16" s="520"/>
      <c r="R16" s="520"/>
      <c r="S16" s="520"/>
      <c r="T16" s="520"/>
      <c r="U16" s="520"/>
      <c r="V16" s="520"/>
      <c r="W16" s="520"/>
      <c r="X16" s="520"/>
      <c r="Y16" s="520"/>
      <c r="Z16" s="520"/>
      <c r="AA16" s="520"/>
      <c r="AB16" s="520"/>
      <c r="AC16" s="520"/>
      <c r="AD16" s="520"/>
      <c r="AE16" s="520"/>
      <c r="AU16" s="524" t="b">
        <v>0</v>
      </c>
      <c r="AV16" s="524" t="b">
        <v>0</v>
      </c>
      <c r="AW16" s="253"/>
      <c r="AX16" s="253"/>
      <c r="AY16" s="253"/>
      <c r="AZ16" s="253"/>
      <c r="BA16" s="253"/>
      <c r="BB16" s="253"/>
      <c r="BC16" s="253"/>
      <c r="BD16" s="253"/>
      <c r="BE16" s="253"/>
      <c r="BF16" s="253"/>
    </row>
    <row r="17" spans="2:61" ht="15.95" hidden="1" customHeight="1" thickBot="1" x14ac:dyDescent="0.3">
      <c r="C17" s="1037" t="s">
        <v>85</v>
      </c>
      <c r="D17" s="1037"/>
      <c r="E17" s="1037"/>
      <c r="F17" s="1037"/>
      <c r="G17" s="1037"/>
      <c r="H17" s="1037"/>
      <c r="I17" s="1037"/>
      <c r="J17" s="1037"/>
      <c r="K17" s="1037"/>
      <c r="L17" s="1037"/>
      <c r="M17" s="277"/>
      <c r="N17" s="264"/>
      <c r="O17" s="1038" t="s">
        <v>1380</v>
      </c>
      <c r="P17" s="1037"/>
      <c r="Q17" s="1037"/>
      <c r="R17" s="1037"/>
      <c r="S17" s="1037"/>
      <c r="T17" s="1037"/>
      <c r="U17" s="1037"/>
      <c r="V17" s="1037"/>
      <c r="W17" s="1037"/>
      <c r="X17" s="1037"/>
      <c r="Y17" s="1037"/>
      <c r="Z17" s="1037"/>
      <c r="AA17" s="1037"/>
      <c r="AB17" s="1037"/>
      <c r="AC17" s="1037"/>
      <c r="AD17" s="1037"/>
      <c r="AE17" s="12"/>
      <c r="AF17" s="1038" t="s">
        <v>97</v>
      </c>
      <c r="AG17" s="1037"/>
      <c r="AH17" s="1037"/>
      <c r="AI17" s="1046"/>
      <c r="AJ17" s="1038" t="s">
        <v>1369</v>
      </c>
      <c r="AK17" s="1037"/>
      <c r="AL17" s="1037"/>
      <c r="AM17" s="1037"/>
      <c r="AN17" s="1037"/>
      <c r="AO17" s="1037"/>
      <c r="AP17" s="1037"/>
      <c r="AQ17" s="1037"/>
      <c r="AR17" s="69"/>
      <c r="AU17" s="253"/>
      <c r="AV17" s="253"/>
      <c r="AW17" s="253"/>
      <c r="AX17" s="253"/>
      <c r="AY17" s="1043" t="s">
        <v>1657</v>
      </c>
      <c r="AZ17" s="799"/>
      <c r="BA17" s="253"/>
      <c r="BB17" s="253"/>
      <c r="BC17" s="253"/>
      <c r="BD17" s="253"/>
      <c r="BE17" s="253"/>
      <c r="BF17" s="253"/>
    </row>
    <row r="18" spans="2:61" ht="15.95" hidden="1" customHeight="1" x14ac:dyDescent="0.25">
      <c r="C18" s="965" t="s">
        <v>1649</v>
      </c>
      <c r="D18" s="799"/>
      <c r="E18" s="1068" t="s">
        <v>1393</v>
      </c>
      <c r="F18" s="1068"/>
      <c r="G18" s="1068"/>
      <c r="H18" s="1068" t="s">
        <v>1395</v>
      </c>
      <c r="I18" s="1068"/>
      <c r="J18" s="1068"/>
      <c r="K18" s="1068" t="s">
        <v>1492</v>
      </c>
      <c r="L18" s="1068"/>
      <c r="M18" s="1068" t="s">
        <v>1365</v>
      </c>
      <c r="N18" s="1068"/>
      <c r="O18" s="799" t="s">
        <v>1394</v>
      </c>
      <c r="P18" s="799"/>
      <c r="Q18" s="799"/>
      <c r="R18" s="799" t="s">
        <v>1364</v>
      </c>
      <c r="S18" s="799"/>
      <c r="T18" s="799"/>
      <c r="U18" s="799" t="s">
        <v>1488</v>
      </c>
      <c r="V18" s="799"/>
      <c r="W18" s="1170" t="s">
        <v>1410</v>
      </c>
      <c r="X18" s="1171"/>
      <c r="Y18" s="799" t="s">
        <v>1365</v>
      </c>
      <c r="Z18" s="799"/>
      <c r="AA18" s="799" t="s">
        <v>1357</v>
      </c>
      <c r="AB18" s="799"/>
      <c r="AC18" s="799"/>
      <c r="AD18" s="799" t="s">
        <v>1147</v>
      </c>
      <c r="AE18" s="798"/>
      <c r="AF18" s="798" t="s">
        <v>1225</v>
      </c>
      <c r="AG18" s="798"/>
      <c r="AH18" s="798" t="s">
        <v>1145</v>
      </c>
      <c r="AI18" s="798"/>
      <c r="AJ18" s="798" t="s">
        <v>1363</v>
      </c>
      <c r="AK18" s="798"/>
      <c r="AL18" s="798" t="s">
        <v>88</v>
      </c>
      <c r="AM18" s="798"/>
      <c r="AN18" s="798"/>
      <c r="AO18" s="1053" t="s">
        <v>2335</v>
      </c>
      <c r="AP18" s="798"/>
      <c r="AQ18" s="798"/>
      <c r="AU18" s="799" t="s">
        <v>191</v>
      </c>
      <c r="AV18" s="799" t="s">
        <v>192</v>
      </c>
      <c r="AW18" s="799" t="s">
        <v>207</v>
      </c>
      <c r="AX18" s="799" t="s">
        <v>193</v>
      </c>
      <c r="AY18" s="799" t="s">
        <v>1361</v>
      </c>
      <c r="AZ18" s="799" t="s">
        <v>1362</v>
      </c>
      <c r="BA18" s="799" t="s">
        <v>1228</v>
      </c>
      <c r="BB18" s="799" t="s">
        <v>125</v>
      </c>
      <c r="BC18" s="799" t="s">
        <v>1363</v>
      </c>
      <c r="BD18" s="799" t="s">
        <v>118</v>
      </c>
      <c r="BE18" s="799" t="s">
        <v>473</v>
      </c>
      <c r="BF18" s="799" t="s">
        <v>1352</v>
      </c>
      <c r="BG18" s="745" t="s">
        <v>2251</v>
      </c>
      <c r="BH18" s="745" t="s">
        <v>2327</v>
      </c>
      <c r="BI18" s="745" t="s">
        <v>561</v>
      </c>
    </row>
    <row r="19" spans="2:61" ht="15.95" hidden="1" customHeight="1" thickBot="1" x14ac:dyDescent="0.3">
      <c r="C19" s="746"/>
      <c r="D19" s="746"/>
      <c r="E19" s="746"/>
      <c r="F19" s="746"/>
      <c r="G19" s="746"/>
      <c r="H19" s="746"/>
      <c r="I19" s="746"/>
      <c r="J19" s="746"/>
      <c r="K19" s="746"/>
      <c r="L19" s="746"/>
      <c r="M19" s="746"/>
      <c r="N19" s="746"/>
      <c r="O19" s="746"/>
      <c r="P19" s="746"/>
      <c r="Q19" s="746"/>
      <c r="R19" s="746"/>
      <c r="S19" s="746"/>
      <c r="T19" s="746"/>
      <c r="U19" s="746"/>
      <c r="V19" s="746"/>
      <c r="W19" s="1172"/>
      <c r="X19" s="1173"/>
      <c r="Y19" s="746"/>
      <c r="Z19" s="746"/>
      <c r="AA19" s="746"/>
      <c r="AB19" s="746"/>
      <c r="AC19" s="746"/>
      <c r="AD19" s="746"/>
      <c r="AE19" s="746"/>
      <c r="AF19" s="746"/>
      <c r="AG19" s="746"/>
      <c r="AH19" s="746"/>
      <c r="AI19" s="746"/>
      <c r="AJ19" s="746"/>
      <c r="AK19" s="746"/>
      <c r="AL19" s="746"/>
      <c r="AM19" s="746"/>
      <c r="AN19" s="746"/>
      <c r="AO19" s="746"/>
      <c r="AP19" s="746"/>
      <c r="AQ19" s="746"/>
      <c r="AU19" s="746"/>
      <c r="AV19" s="746"/>
      <c r="AW19" s="746"/>
      <c r="AX19" s="746"/>
      <c r="AY19" s="746" t="s">
        <v>1360</v>
      </c>
      <c r="AZ19" s="746"/>
      <c r="BA19" s="746"/>
      <c r="BB19" s="746"/>
      <c r="BC19" s="746"/>
      <c r="BD19" s="746"/>
      <c r="BE19" s="746"/>
      <c r="BF19" s="746"/>
      <c r="BG19" s="746" t="s">
        <v>2251</v>
      </c>
      <c r="BH19" s="746" t="s">
        <v>2327</v>
      </c>
      <c r="BI19" s="746" t="s">
        <v>561</v>
      </c>
    </row>
    <row r="20" spans="2:61" ht="15.95" hidden="1" customHeight="1" x14ac:dyDescent="0.25">
      <c r="B20" s="1119"/>
      <c r="C20" s="1440" t="s">
        <v>2339</v>
      </c>
      <c r="D20" s="1661"/>
      <c r="E20" s="949" t="str">
        <f>IF(D29="","Space 1 Redesign",D29&amp;" Redesign")</f>
        <v>Space 1 Redesign</v>
      </c>
      <c r="F20" s="950"/>
      <c r="G20" s="951"/>
      <c r="H20" s="949" t="str">
        <f>IF(OR(D29="",H29="",AM29="",AO29="",W49="",AJ49=""),"Complete Worksheet","See Worksheet")</f>
        <v>Complete Worksheet</v>
      </c>
      <c r="I20" s="950"/>
      <c r="J20" s="951"/>
      <c r="K20" s="955" t="str">
        <f>IF(OR(D29="",H29="",AM29="",AO29="",W49=0,AJ49=0),"",1)</f>
        <v/>
      </c>
      <c r="L20" s="956"/>
      <c r="M20" s="831" t="str">
        <f>IF(OR(D29="",H29="",AM29="",AO29="",W49=0,AJ49=0),"",W49)</f>
        <v/>
      </c>
      <c r="N20" s="832"/>
      <c r="O20" s="989" t="s">
        <v>1651</v>
      </c>
      <c r="P20" s="990"/>
      <c r="Q20" s="991"/>
      <c r="R20" s="995" t="str">
        <f>IF(OR(D29="",H29="",AM29="",AO29="",W49=0,AJ49=0),"Complete Worksheet","See Worksheet")</f>
        <v>Complete Worksheet</v>
      </c>
      <c r="S20" s="996"/>
      <c r="T20" s="997"/>
      <c r="U20" s="1001" t="str">
        <f>IF(OR(D29="",H29="",AM29="",AO29="",W49=0,AJ49=0),"",1)</f>
        <v/>
      </c>
      <c r="V20" s="996"/>
      <c r="W20" s="1002"/>
      <c r="X20" s="1003"/>
      <c r="Y20" s="831" t="str">
        <f>IF(OR(D29="",H29="",AM29="",AO29="",W49=0,AJ49=0),"",AJ49)</f>
        <v/>
      </c>
      <c r="Z20" s="1006"/>
      <c r="AA20" s="1008" t="str">
        <f>IF(OR(D29="",H29="",AM29="",AO29="",W49=0,AJ49=0),"",D29)</f>
        <v/>
      </c>
      <c r="AB20" s="1009"/>
      <c r="AC20" s="1009"/>
      <c r="AD20" s="1011" t="str">
        <f>IF(OR(D29="",H29="",AM29="",AO29="",W49=0,AJ49=0),"",H29)</f>
        <v/>
      </c>
      <c r="AE20" s="1011"/>
      <c r="AF20" s="970" t="str">
        <f>IF(OR(D29="",H29="",AM29="",AO29="",W49=0,AJ49=0),"",AM29)</f>
        <v/>
      </c>
      <c r="AG20" s="970"/>
      <c r="AH20" s="970" t="str">
        <f>IF(OR(D29="",H29="",AM29="",AO29="",W49=0,AJ49=0),"",AO29)</f>
        <v/>
      </c>
      <c r="AI20" s="1075"/>
      <c r="AJ20" s="1071" t="str">
        <f ca="1">BC20</f>
        <v/>
      </c>
      <c r="AK20" s="1072"/>
      <c r="AL20" s="870" t="str">
        <f>IF(OR(C20="",E20="",M20="",K20="",O20="",Y20="",R20="",AA20="",AF20="",AH20="",AD20="", U20=""),"",IFERROR(ROUND(IF((AW20-AX20)&lt;=0,0,BG20*(AW20-AX20)),0),""))</f>
        <v/>
      </c>
      <c r="AM20" s="870"/>
      <c r="AN20" s="870"/>
      <c r="AO20" s="872" t="str">
        <f>IF(M02S02F44="","Update Install Status",IF(M02S02F44="Yes","Pre-Purchased Not Eligible",IF(OR(OR(M02S02F49="",M02S02F49="No"),M02S02F44="Yes"),"Not Eligible",IF(OR(C20="",E20="",M20="",K20="",O20="",Y20="",R20="",AA20="",AF20="",AH20="",AD20="",U20=""),"",IF(AND(ISNUMBER(SEARCH("Other",E20)),OR(H20="",ISBLANK(H20),ISNUMBER(SEARCH("Description",H20)))),"",IF(BE20&lt;&gt;"",BE20,BD20))))))</f>
        <v>Update Install Status</v>
      </c>
      <c r="AP20" s="872"/>
      <c r="AQ20" s="872"/>
      <c r="AU20" s="804" t="str">
        <f>IF(OR(C20="",E20="",M20="",K20="",O20="",Y20="",R20="",AA20="",AF20="",AH20="",AD20="", U20=""),"",IF(AND(ISNUMBER(SEARCH("Other",E20)),OR(H20="",ISBLANK(H20),ISNUMBER(SEARCH("Description",H20)))),"",(ROUND((AF20+AH20)*U20,2))))</f>
        <v/>
      </c>
      <c r="AV20" s="806" t="str">
        <f>IFERROR(IF(OR(C20="",E20="",M20="",K20="",O20="",Y20="",R20="",AA20="",AF20="",AH20="",AD20="", U20=""),"",IF(AND(ISNUMBER(SEARCH("Other",E20)),OR(H20="",ISBLANK(H20),ISNUMBER(SEARCH("Description",H20)))),"",ROUND(AL20*INDEX(ENDUSEALL[Factor],MATCH(IF(ISNUMBER(SEARCH("24/7",AA20)),"Miscellaneous","Lighting"),ENDUSEALL[End Use to Coincident Peak Demand Factors],0)),4))),0)</f>
        <v/>
      </c>
      <c r="AW20" s="802" t="str">
        <f>IFERROR(IF(OR(C20="",E20="",M20="",K20="",O20="",Y20="",R20="",AA20="",AF20="",AH20="",AD20="", U20=""),"",IF(AND(ISNUMBER(SEARCH("Other",E20)),OR(H20="",ISBLANK(H20),ISNUMBER(SEARCH("Description",H20)))),"",ROUND(M20*AD20*K20/1000,0))),0)</f>
        <v/>
      </c>
      <c r="AX20" s="802" t="str">
        <f>IFERROR(IF(OR(C20="",E20="",M20="",K20="",O20="",Y20="",R20="",AA20="",AF20="",AH20="",AD20="", U20=""),"",IF(AND(ISNUMBER(SEARCH("Other",E20)),OR(H20="",ISBLANK(H20),ISNUMBER(SEARCH("Description",H20)))),"",ROUND(Y20*AD20*U20/1000,0))),0)</f>
        <v/>
      </c>
      <c r="AY20" s="802" t="str">
        <f>IFERROR(IF(OR(C20="",E20="",M20="",K20="",O20="",Y20="",R20="",AA20="",AF20="",AH20="",AD20="", U20=""),"",IF(AND(ISNUMBER(SEARCH("Other",E20)),OR(H20="",ISBLANK(H20),ISNUMBER(SEARCH("Description",H20)))),"",ROUND(K20*M20,0))),0)</f>
        <v/>
      </c>
      <c r="AZ20" s="802" t="str">
        <f>IFERROR(IF(OR(C20="",E20="",M20="",K20="",O20="",Y20="",R20="",AA20="",AF20="",AH20="",AD20="", U20=""),"",IF(AND(ISNUMBER(SEARCH("Other",E20)),OR(H20="",ISBLANK(H20),ISNUMBER(SEARCH("Description",H20)))),"",ROUND(Y20*U20,0))),0)</f>
        <v/>
      </c>
      <c r="BA20" s="800"/>
      <c r="BB20" s="808" t="str">
        <f>IF(OR(C20="",E20="",M20="",K20="",O20="",Y20="",R20="",AA20="",AF20="",AH20="",AD20="", U20=""),"",IF(AND(ISNUMBER(SEARCH("Other",E20)),OR(H20="",ISBLANK(H20),ISNUMBER(SEARCH("Description",H20)))),"",LPDMEASNUM))</f>
        <v/>
      </c>
      <c r="BC20" s="809" t="str">
        <f ca="1">IFERROR(IF(OR(C20="",AH20=""),"",IF(BB20="","",IF(AND(AND(SUBLIGHTDATE1&lt;&gt;"No",SUBLIGHTDATE2&lt;&gt;"No",SUBLIGHTDATE3&lt;&gt;"No"),OR(M02S02F43&lt;=DATEVALUE("12/31/2021"),M02S02F43=""),OR(TODAY()&lt;=LIGHTING2021,ACTLIGHT&lt;&gt;"")),LIGHTRATE21*LPDRATE,LPDRATE))),"")</f>
        <v/>
      </c>
      <c r="BD20" s="808">
        <f>IFERROR(ROUND(IF(OR(C20="",AH20=""),"",IF(BB20="",0,(AY20-AZ20)*BC20)),2),0)</f>
        <v>0</v>
      </c>
      <c r="BE20" s="800" t="str">
        <f>IFERROR(IF(M02S02F44="Yes","Not Eligible",IF(OR(C20="",E20="",M20="",K20="",O20="",Y20="",R20="",AA20="",AF20="",AH20="",AD20="", U20=""),"",IF(AL20&lt;0,MEASURESAVE,IF(M02S02F35="",MEASURERATE,IF(AU20/M02S02F35/AL20&lt;1,MEASUREPAY,IF(BH20&lt;1,MEASURECB,"")))))),MEASURESUBMIT)</f>
        <v/>
      </c>
      <c r="BF20" s="802"/>
      <c r="BG20" s="1051">
        <f>IF(M02S02F32="",1,IF($AU$16=TRUE,1,INDEX(SPACEHEAT[HIF],MATCH(M02S02F32,SHEAT,0))))</f>
        <v>1</v>
      </c>
      <c r="BH20" s="806" t="str">
        <f>IFERROR(IF(OR(C20="",E20="",H20="",K20="",M20="",O20="",R20="",U20="",Y20="",AA20="",AD20="",AF20=""),"",((1+ELOSS)*PEAKTD*(1+INDEX(ELECCB[Capacity Reserve Margin],MATCH(15,ELECCB[Year Number],0)))*((AL20*INDEX(ELECCB[NPV AEC $/kWh],MATCH(15,ELECCB[Year Number],0)))+(AV20*INDEX(ELECCB[NPV ACC+T&amp;D $/kW],MATCH(15,ELECCB[Year Number],0))))/AU20)),0)</f>
        <v/>
      </c>
      <c r="BI20" s="806" t="str">
        <f>IFERROR(AU20/M02S02F35/AL20,"")</f>
        <v/>
      </c>
    </row>
    <row r="21" spans="2:61" ht="15.95" hidden="1" customHeight="1" x14ac:dyDescent="0.25">
      <c r="B21" s="1119"/>
      <c r="C21" s="1662"/>
      <c r="D21" s="1663"/>
      <c r="E21" s="952"/>
      <c r="F21" s="953"/>
      <c r="G21" s="954"/>
      <c r="H21" s="952"/>
      <c r="I21" s="953"/>
      <c r="J21" s="954"/>
      <c r="K21" s="957"/>
      <c r="L21" s="958"/>
      <c r="M21" s="833"/>
      <c r="N21" s="834"/>
      <c r="O21" s="1026"/>
      <c r="P21" s="1027"/>
      <c r="Q21" s="1028"/>
      <c r="R21" s="1029"/>
      <c r="S21" s="1030"/>
      <c r="T21" s="1031"/>
      <c r="U21" s="1029"/>
      <c r="V21" s="1030"/>
      <c r="W21" s="1002"/>
      <c r="X21" s="1003"/>
      <c r="Y21" s="833"/>
      <c r="Z21" s="1034"/>
      <c r="AA21" s="1009"/>
      <c r="AB21" s="1009"/>
      <c r="AC21" s="1009"/>
      <c r="AD21" s="1011"/>
      <c r="AE21" s="1011"/>
      <c r="AF21" s="970"/>
      <c r="AG21" s="970"/>
      <c r="AH21" s="970"/>
      <c r="AI21" s="1075"/>
      <c r="AJ21" s="1071"/>
      <c r="AK21" s="1072"/>
      <c r="AL21" s="870"/>
      <c r="AM21" s="870"/>
      <c r="AN21" s="870"/>
      <c r="AO21" s="872"/>
      <c r="AP21" s="872"/>
      <c r="AQ21" s="872"/>
      <c r="AU21" s="805"/>
      <c r="AV21" s="807"/>
      <c r="AW21" s="803"/>
      <c r="AX21" s="803"/>
      <c r="AY21" s="803"/>
      <c r="AZ21" s="803"/>
      <c r="BA21" s="801"/>
      <c r="BB21" s="797"/>
      <c r="BC21" s="810"/>
      <c r="BD21" s="797"/>
      <c r="BE21" s="801"/>
      <c r="BF21" s="803"/>
      <c r="BG21" s="1052"/>
      <c r="BH21" s="807"/>
      <c r="BI21" s="807"/>
    </row>
    <row r="22" spans="2:61" ht="15.95" hidden="1" customHeight="1" x14ac:dyDescent="0.25">
      <c r="B22" s="1119"/>
      <c r="C22" s="1440" t="s">
        <v>2339</v>
      </c>
      <c r="D22" s="1661"/>
      <c r="E22" s="949" t="str">
        <f>IF(D56="","Space 2 Redesign",D56&amp;" Redesign")</f>
        <v>Space 2 Redesign</v>
      </c>
      <c r="F22" s="950"/>
      <c r="G22" s="951"/>
      <c r="H22" s="1084" t="str">
        <f>IF(OR(D56="",H56="",AM56="",AO56="",W76="",AJ76=""),"Complete Worksheet","See Worksheet")</f>
        <v>Complete Worksheet</v>
      </c>
      <c r="I22" s="1085"/>
      <c r="J22" s="1085"/>
      <c r="K22" s="955" t="str">
        <f>IF(OR(D56="",H56="",AM56="",AO56="",W76=0,AJ76=0),"",1)</f>
        <v/>
      </c>
      <c r="L22" s="956"/>
      <c r="M22" s="831" t="str">
        <f>IF(OR(D56="",H56="",AM56="",AO56="",W76=0,AJ76=0),"",W76)</f>
        <v/>
      </c>
      <c r="N22" s="832"/>
      <c r="O22" s="989" t="s">
        <v>1651</v>
      </c>
      <c r="P22" s="990"/>
      <c r="Q22" s="991"/>
      <c r="R22" s="1169" t="str">
        <f>IF(OR(D56="",H56="",AM56="",AO56="",W76=0,AJ76=0),"Complete Worksheet","See Worksheet")</f>
        <v>Complete Worksheet</v>
      </c>
      <c r="S22" s="996"/>
      <c r="T22" s="997"/>
      <c r="U22" s="1001" t="str">
        <f>IF(OR(D56="",H56="",AM56="",AO56="",W76=0,AJ76=0),"",1)</f>
        <v/>
      </c>
      <c r="V22" s="996"/>
      <c r="W22" s="1002"/>
      <c r="X22" s="1003"/>
      <c r="Y22" s="831" t="str">
        <f>IF(OR(D56="",H56="",AM56="",AO56="",W76=0,AJ76=0),"",AJ76)</f>
        <v/>
      </c>
      <c r="Z22" s="1006"/>
      <c r="AA22" s="1061" t="str">
        <f>IF(OR(D56="",H56="",AM56="",AO56="",W76=0,AJ76=0),"",D56)</f>
        <v/>
      </c>
      <c r="AB22" s="1009"/>
      <c r="AC22" s="1009"/>
      <c r="AD22" s="1011" t="str">
        <f>IF(OR(D56="",H56="",AM56="",AO56="",W76=0,AJ76=0),"",H56)</f>
        <v/>
      </c>
      <c r="AE22" s="1011"/>
      <c r="AF22" s="970" t="str">
        <f>IF(OR(D56="",H56="",AM56="",AO56="",W76=0,AJ76=0),"",AM56)</f>
        <v/>
      </c>
      <c r="AG22" s="970"/>
      <c r="AH22" s="970" t="str">
        <f>IF(OR(D56="",H56="",AM56="",AO56="",W76=0,AJ76=0),"",AO56)</f>
        <v/>
      </c>
      <c r="AI22" s="1075"/>
      <c r="AJ22" s="1071" t="str">
        <f ca="1">BC22</f>
        <v/>
      </c>
      <c r="AK22" s="1072"/>
      <c r="AL22" s="870" t="str">
        <f>IF(OR(C22="",E22="",M22="",K22="",O22="",Y22="",R22="",AA22="",AF22="",AH22="",AD22="", U22=""),"",IFERROR(ROUND(IF((AW22-AX22)&lt;=0,0,BG22*(AW22-AX22)),0),""))</f>
        <v/>
      </c>
      <c r="AM22" s="870"/>
      <c r="AN22" s="870"/>
      <c r="AO22" s="872" t="str">
        <f>IF(M02S02F44="","Update Install Status",IF(M02S02F44="Yes","Pre-Purchased Not Eligible",IF(OR(OR(M02S02F49="",M02S02F49="No"),M02S02F44="Yes"),"Not Eligible",IF(OR(C22="",E22="",M22="",K22="",O22="",Y22="",R22="",AA22="",AF22="",AH22="",AD22="",U22=""),"",IF(AND(ISNUMBER(SEARCH("Other",E22)),OR(H22="",ISBLANK(H22),ISNUMBER(SEARCH("Description",H22)))),"",IF(BE22&lt;&gt;"",BE22,BD22))))))</f>
        <v>Update Install Status</v>
      </c>
      <c r="AP22" s="872"/>
      <c r="AQ22" s="872"/>
      <c r="AU22" s="804" t="str">
        <f>IF(OR(C22="",E22="",M22="",K22="",O22="",Y22="",R22="",AA22="",AF22="",AH22="",AD22="", U22=""),"",IF(AND(ISNUMBER(SEARCH("Other",E22)),OR(H22="",ISBLANK(H22),ISNUMBER(SEARCH("Description",H22)))),"",(ROUND((AF22+AH22)*U22,2))))</f>
        <v/>
      </c>
      <c r="AV22" s="806" t="str">
        <f>IFERROR(IF(OR(C22="",E22="",M22="",K22="",O22="",Y22="",R22="",AA22="",AF22="",AH22="",AD22="", U22=""),"",IF(AND(ISNUMBER(SEARCH("Other",E22)),OR(H22="",ISBLANK(H22),ISNUMBER(SEARCH("Description",H22)))),"",ROUND(AL22*INDEX(ENDUSEALL[Factor],MATCH(IF(ISNUMBER(SEARCH("24/7",AA22)),"Miscellaneous","Lighting"),ENDUSEALL[End Use to Coincident Peak Demand Factors],0)),4))),0)</f>
        <v/>
      </c>
      <c r="AW22" s="802" t="str">
        <f>IFERROR(IF(OR(C22="",E22="",M22="",K22="",O22="",Y22="",R22="",AA22="",AF22="",AH22="",AD22="", U22=""),"",IF(AND(ISNUMBER(SEARCH("Other",E22)),OR(H22="",ISBLANK(H22),ISNUMBER(SEARCH("Description",H22)))),"",ROUND(M22*AD22*K22/1000,0))),0)</f>
        <v/>
      </c>
      <c r="AX22" s="802" t="str">
        <f>IFERROR(IF(OR(C22="",E22="",M22="",K22="",O22="",Y22="",R22="",AA22="",AF22="",AH22="",AD22="", U22=""),"",IF(AND(ISNUMBER(SEARCH("Other",E22)),OR(H22="",ISBLANK(H22),ISNUMBER(SEARCH("Description",H22)))),"",ROUND(Y22*AD22*U22/1000,0))),0)</f>
        <v/>
      </c>
      <c r="AY22" s="802" t="str">
        <f>IFERROR(IF(OR(C22="",E22="",M22="",K22="",O22="",Y22="",R22="",AA22="",AF22="",AH22="",AD22="", U22=""),"",IF(AND(ISNUMBER(SEARCH("Other",E22)),OR(H22="",ISBLANK(H22),ISNUMBER(SEARCH("Description",H22)))),"",ROUND(K22*M22,0))),0)</f>
        <v/>
      </c>
      <c r="AZ22" s="802" t="str">
        <f>IFERROR(IF(OR(C22="",E22="",M22="",K22="",O22="",Y22="",R22="",AA22="",AF22="",AH22="",AD22="", U22=""),"",IF(AND(ISNUMBER(SEARCH("Other",E22)),OR(H22="",ISBLANK(H22),ISNUMBER(SEARCH("Description",H22)))),"",ROUND(Y22*U22,0))),0)</f>
        <v/>
      </c>
      <c r="BA22" s="800"/>
      <c r="BB22" s="808" t="str">
        <f>IF(OR(C22="",E22="",M22="",K22="",O22="",Y22="",R22="",AA22="",AF22="",AH22="",AD22="", U22=""),"",IF(AND(ISNUMBER(SEARCH("Other",E22)),OR(H22="",ISBLANK(H22),ISNUMBER(SEARCH("Description",H22)))),"",LPDMEASNUM))</f>
        <v/>
      </c>
      <c r="BC22" s="809" t="str">
        <f ca="1">IFERROR(IF(OR(C22="",AH22=""),"",IF(BB22="","",IF(AND(AND(SUBLIGHTDATE1&lt;&gt;"No",SUBLIGHTDATE2&lt;&gt;"No",SUBLIGHTDATE3&lt;&gt;"No"),OR(M02S02F43&lt;=DATEVALUE("12/31/2021"),M02S02F43=""),OR(TODAY()&lt;=LIGHTING2021,ACTLIGHT&lt;&gt;"")),LIGHTRATE21*LPDRATE,LPDRATE))),"")</f>
        <v/>
      </c>
      <c r="BD22" s="808">
        <f>IFERROR(ROUND(IF(OR(C22="",AH22=""),"",IF(BB22="",0,(AY22-AZ22)*BC22)),2),0)</f>
        <v>0</v>
      </c>
      <c r="BE22" s="800" t="str">
        <f>IFERROR(IF(M02S02F44="Yes","Not Eligible",IF(OR(C22="",E22="",M22="",K22="",O22="",Y22="",R22="",AA22="",AF22="",AH22="",AD22="", U22=""),"",IF(AL22&lt;0,MEASURESAVE,IF(M02S02F35="",MEASURERATE,IF(AU22/M02S02F35/AL22&lt;1,MEASUREPAY,IF(BH22&lt;1,MEASURECB,"")))))),MEASURESUBMIT)</f>
        <v/>
      </c>
      <c r="BF22" s="802"/>
      <c r="BG22" s="1051">
        <f>IF(M02S02F32="",1,IF($AV$16=TRUE,1,INDEX(SPACEHEAT[HIF],MATCH(M02S02F32,SHEAT,0))))</f>
        <v>1</v>
      </c>
      <c r="BH22" s="806" t="str">
        <f>IFERROR(IF(OR(C22="",E22="",H22="",K22="",M22="",O22="",R22="",U22="",Y22="",AA22="",AD22="",AF22=""),"",((1+ELOSS)*PEAKTD*(1+INDEX(ELECCB[Capacity Reserve Margin],MATCH(15,ELECCB[Year Number],0)))*((AL22*INDEX(ELECCB[NPV AEC $/kWh],MATCH(15,ELECCB[Year Number],0)))+(AV22*INDEX(ELECCB[NPV ACC+T&amp;D $/kW],MATCH(15,ELECCB[Year Number],0))))/AU22)),0)</f>
        <v/>
      </c>
      <c r="BI22" s="806" t="str">
        <f>IFERROR(AU22/M02S02F35/AL22,"")</f>
        <v/>
      </c>
    </row>
    <row r="23" spans="2:61" ht="15.95" hidden="1" customHeight="1" x14ac:dyDescent="0.25">
      <c r="B23" s="1119"/>
      <c r="C23" s="1662"/>
      <c r="D23" s="1663"/>
      <c r="E23" s="952"/>
      <c r="F23" s="953"/>
      <c r="G23" s="954"/>
      <c r="H23" s="1085"/>
      <c r="I23" s="1085"/>
      <c r="J23" s="1085"/>
      <c r="K23" s="957"/>
      <c r="L23" s="958"/>
      <c r="M23" s="833"/>
      <c r="N23" s="834"/>
      <c r="O23" s="1026"/>
      <c r="P23" s="1027"/>
      <c r="Q23" s="1028"/>
      <c r="R23" s="1029"/>
      <c r="S23" s="1030"/>
      <c r="T23" s="1031"/>
      <c r="U23" s="1029"/>
      <c r="V23" s="1030"/>
      <c r="W23" s="1002"/>
      <c r="X23" s="1003"/>
      <c r="Y23" s="833"/>
      <c r="Z23" s="1034"/>
      <c r="AA23" s="1009"/>
      <c r="AB23" s="1009"/>
      <c r="AC23" s="1009"/>
      <c r="AD23" s="1011"/>
      <c r="AE23" s="1011"/>
      <c r="AF23" s="970"/>
      <c r="AG23" s="970"/>
      <c r="AH23" s="970"/>
      <c r="AI23" s="1075"/>
      <c r="AJ23" s="1071"/>
      <c r="AK23" s="1072"/>
      <c r="AL23" s="870"/>
      <c r="AM23" s="870"/>
      <c r="AN23" s="870"/>
      <c r="AO23" s="872"/>
      <c r="AP23" s="872"/>
      <c r="AQ23" s="872"/>
      <c r="AU23" s="805"/>
      <c r="AV23" s="807"/>
      <c r="AW23" s="803"/>
      <c r="AX23" s="803"/>
      <c r="AY23" s="803"/>
      <c r="AZ23" s="803"/>
      <c r="BA23" s="801"/>
      <c r="BB23" s="797"/>
      <c r="BC23" s="810"/>
      <c r="BD23" s="797"/>
      <c r="BE23" s="801"/>
      <c r="BF23" s="803"/>
      <c r="BG23" s="1052"/>
      <c r="BH23" s="807"/>
      <c r="BI23" s="807"/>
    </row>
    <row r="24" spans="2:61" ht="15.95" hidden="1" customHeight="1" thickBot="1" x14ac:dyDescent="0.3">
      <c r="B24" s="1119"/>
      <c r="C24" s="342"/>
      <c r="D24" s="342"/>
      <c r="E24" s="343"/>
      <c r="F24" s="343"/>
      <c r="G24" s="343"/>
      <c r="H24" s="343"/>
      <c r="I24" s="343"/>
      <c r="J24" s="343"/>
      <c r="K24" s="344"/>
      <c r="L24" s="344"/>
      <c r="M24" s="314"/>
      <c r="N24" s="314"/>
      <c r="O24" s="345"/>
      <c r="P24" s="346"/>
      <c r="Q24" s="346"/>
      <c r="R24" s="347"/>
      <c r="S24" s="348"/>
      <c r="T24" s="348"/>
      <c r="U24" s="348"/>
      <c r="V24" s="348"/>
      <c r="W24" s="348"/>
      <c r="X24" s="348"/>
      <c r="Y24" s="314"/>
      <c r="Z24" s="314"/>
      <c r="AA24" s="347"/>
      <c r="AB24" s="348"/>
      <c r="AC24" s="348"/>
      <c r="AD24" s="349"/>
      <c r="AE24" s="349"/>
      <c r="AF24" s="350"/>
      <c r="AG24" s="350"/>
      <c r="AH24" s="350"/>
      <c r="AI24" s="350"/>
      <c r="AJ24" s="311"/>
      <c r="AK24" s="311"/>
      <c r="AL24" s="312"/>
      <c r="AM24" s="312"/>
      <c r="AN24" s="312"/>
      <c r="AO24" s="313"/>
      <c r="AP24" s="313"/>
      <c r="AQ24" s="313"/>
      <c r="AR24" s="351"/>
      <c r="AU24" s="804"/>
      <c r="AV24" s="806"/>
      <c r="AW24" s="802"/>
      <c r="AX24" s="802"/>
      <c r="AY24" s="802"/>
      <c r="AZ24" s="802"/>
      <c r="BA24" s="800"/>
      <c r="BB24" s="808"/>
      <c r="BC24" s="808"/>
      <c r="BD24" s="808"/>
      <c r="BE24" s="800"/>
      <c r="BF24" s="802"/>
      <c r="BG24" s="1051"/>
      <c r="BH24" s="806"/>
      <c r="BI24" s="806"/>
    </row>
    <row r="25" spans="2:61" ht="15.95" customHeight="1" thickTop="1" x14ac:dyDescent="0.25">
      <c r="B25" s="1119"/>
      <c r="C25" s="342"/>
      <c r="D25" s="352"/>
      <c r="E25" s="353"/>
      <c r="F25" s="353"/>
      <c r="G25" s="353"/>
      <c r="H25" s="353"/>
      <c r="I25" s="353"/>
      <c r="J25" s="353"/>
      <c r="K25" s="354"/>
      <c r="L25" s="354"/>
      <c r="M25" s="325"/>
      <c r="N25" s="325"/>
      <c r="O25" s="355"/>
      <c r="P25" s="355"/>
      <c r="Q25" s="355"/>
      <c r="R25" s="1073" t="s">
        <v>2311</v>
      </c>
      <c r="S25" s="1073"/>
      <c r="T25" s="1073"/>
      <c r="U25" s="1073"/>
      <c r="V25" s="1073"/>
      <c r="W25" s="1073"/>
      <c r="X25" s="1073"/>
      <c r="Y25" s="1073"/>
      <c r="Z25" s="1073"/>
      <c r="AA25" s="1073"/>
      <c r="AB25" s="1073"/>
      <c r="AC25" s="1073"/>
      <c r="AD25" s="356"/>
      <c r="AE25" s="356"/>
      <c r="AF25" s="357"/>
      <c r="AG25" s="357"/>
      <c r="AH25" s="357"/>
      <c r="AI25" s="357"/>
      <c r="AJ25" s="326"/>
      <c r="AK25" s="326"/>
      <c r="AL25" s="327"/>
      <c r="AM25" s="1080" t="s">
        <v>2334</v>
      </c>
      <c r="AN25" s="1080"/>
      <c r="AO25" s="1080"/>
      <c r="AP25" s="1081"/>
      <c r="AQ25" s="313"/>
      <c r="AR25" s="351"/>
      <c r="AU25" s="805"/>
      <c r="AV25" s="807"/>
      <c r="AW25" s="803"/>
      <c r="AX25" s="803"/>
      <c r="AY25" s="803"/>
      <c r="AZ25" s="803"/>
      <c r="BA25" s="801"/>
      <c r="BB25" s="797"/>
      <c r="BC25" s="797"/>
      <c r="BD25" s="797"/>
      <c r="BE25" s="801"/>
      <c r="BF25" s="803"/>
      <c r="BG25" s="1052"/>
      <c r="BH25" s="807"/>
      <c r="BI25" s="807"/>
    </row>
    <row r="26" spans="2:61" ht="15.95" customHeight="1" thickBot="1" x14ac:dyDescent="0.3">
      <c r="B26" s="1119"/>
      <c r="C26" s="342"/>
      <c r="D26" s="358"/>
      <c r="E26" s="343"/>
      <c r="F26" s="343"/>
      <c r="G26" s="343"/>
      <c r="H26" s="343"/>
      <c r="I26" s="343"/>
      <c r="J26" s="343"/>
      <c r="K26" s="344"/>
      <c r="L26" s="344"/>
      <c r="M26" s="314"/>
      <c r="N26" s="314"/>
      <c r="O26" s="345"/>
      <c r="P26" s="346"/>
      <c r="Q26" s="346"/>
      <c r="R26" s="1074"/>
      <c r="S26" s="1074"/>
      <c r="T26" s="1074"/>
      <c r="U26" s="1074"/>
      <c r="V26" s="1074"/>
      <c r="W26" s="1074"/>
      <c r="X26" s="1074"/>
      <c r="Y26" s="1074"/>
      <c r="Z26" s="1074"/>
      <c r="AA26" s="1074"/>
      <c r="AB26" s="1074"/>
      <c r="AC26" s="1074"/>
      <c r="AD26" s="349"/>
      <c r="AE26" s="349"/>
      <c r="AF26" s="350"/>
      <c r="AG26" s="350"/>
      <c r="AH26" s="350"/>
      <c r="AI26" s="350"/>
      <c r="AJ26" s="311"/>
      <c r="AK26" s="311"/>
      <c r="AL26" s="312"/>
      <c r="AM26" s="1082"/>
      <c r="AN26" s="1082"/>
      <c r="AO26" s="1082"/>
      <c r="AP26" s="1083"/>
      <c r="AQ26" s="313"/>
      <c r="AR26" s="351"/>
      <c r="AU26" s="804"/>
      <c r="AV26" s="806"/>
      <c r="AW26" s="802"/>
      <c r="AX26" s="802"/>
      <c r="AY26" s="802"/>
      <c r="AZ26" s="802"/>
      <c r="BA26" s="800"/>
      <c r="BB26" s="808"/>
      <c r="BC26" s="808"/>
      <c r="BD26" s="808"/>
      <c r="BE26" s="800"/>
      <c r="BF26" s="802"/>
      <c r="BG26" s="1051"/>
      <c r="BH26" s="806"/>
      <c r="BI26" s="806"/>
    </row>
    <row r="27" spans="2:61" ht="15.95" customHeight="1" x14ac:dyDescent="0.25">
      <c r="B27" s="1119"/>
      <c r="C27" s="342"/>
      <c r="D27" s="1092" t="s">
        <v>1650</v>
      </c>
      <c r="E27" s="1093"/>
      <c r="F27" s="1093"/>
      <c r="G27" s="1093"/>
      <c r="H27" s="1131" t="s">
        <v>1147</v>
      </c>
      <c r="I27" s="1131"/>
      <c r="J27" s="351"/>
      <c r="K27" s="1133" t="s">
        <v>823</v>
      </c>
      <c r="L27" s="1133"/>
      <c r="M27" s="1133"/>
      <c r="N27" s="1660" t="s">
        <v>2332</v>
      </c>
      <c r="O27" s="1063"/>
      <c r="P27" s="1063"/>
      <c r="Q27" s="1063"/>
      <c r="R27" s="1063" t="s">
        <v>102</v>
      </c>
      <c r="S27" s="1063"/>
      <c r="T27" s="1063"/>
      <c r="U27" s="1063" t="s">
        <v>576</v>
      </c>
      <c r="V27" s="1063"/>
      <c r="W27" s="1063" t="s">
        <v>94</v>
      </c>
      <c r="X27" s="1063"/>
      <c r="Y27" s="1159" t="s">
        <v>101</v>
      </c>
      <c r="Z27" s="1063"/>
      <c r="AA27" s="1063"/>
      <c r="AB27" s="1063"/>
      <c r="AC27" s="1135" t="s">
        <v>1675</v>
      </c>
      <c r="AD27" s="1063"/>
      <c r="AE27" s="1063" t="s">
        <v>102</v>
      </c>
      <c r="AF27" s="1063"/>
      <c r="AG27" s="1063"/>
      <c r="AH27" s="1063" t="s">
        <v>95</v>
      </c>
      <c r="AI27" s="1063"/>
      <c r="AJ27" s="1063" t="s">
        <v>94</v>
      </c>
      <c r="AK27" s="1063"/>
      <c r="AL27" s="312"/>
      <c r="AM27" s="1063" t="s">
        <v>1225</v>
      </c>
      <c r="AN27" s="1063"/>
      <c r="AO27" s="1063" t="s">
        <v>1145</v>
      </c>
      <c r="AP27" s="1157"/>
      <c r="AQ27" s="313"/>
      <c r="AR27" s="351"/>
      <c r="AU27" s="805"/>
      <c r="AV27" s="807"/>
      <c r="AW27" s="803"/>
      <c r="AX27" s="803"/>
      <c r="AY27" s="803"/>
      <c r="AZ27" s="803"/>
      <c r="BA27" s="801"/>
      <c r="BB27" s="797"/>
      <c r="BC27" s="797"/>
      <c r="BD27" s="797"/>
      <c r="BE27" s="801"/>
      <c r="BF27" s="803"/>
      <c r="BG27" s="1052"/>
      <c r="BH27" s="807"/>
      <c r="BI27" s="807"/>
    </row>
    <row r="28" spans="2:61" ht="15.95" customHeight="1" thickBot="1" x14ac:dyDescent="0.3">
      <c r="B28" s="1119"/>
      <c r="C28" s="342"/>
      <c r="D28" s="1094"/>
      <c r="E28" s="1095"/>
      <c r="F28" s="1095"/>
      <c r="G28" s="1095"/>
      <c r="H28" s="1132"/>
      <c r="I28" s="1132"/>
      <c r="J28" s="351"/>
      <c r="K28" s="1134"/>
      <c r="L28" s="1134"/>
      <c r="M28" s="1134"/>
      <c r="N28" s="1064"/>
      <c r="O28" s="1064"/>
      <c r="P28" s="1064"/>
      <c r="Q28" s="1064"/>
      <c r="R28" s="1064"/>
      <c r="S28" s="1064"/>
      <c r="T28" s="1064"/>
      <c r="U28" s="1064"/>
      <c r="V28" s="1064"/>
      <c r="W28" s="1064"/>
      <c r="X28" s="1064"/>
      <c r="Y28" s="1160"/>
      <c r="Z28" s="1064"/>
      <c r="AA28" s="1064"/>
      <c r="AB28" s="1064"/>
      <c r="AC28" s="1064"/>
      <c r="AD28" s="1064"/>
      <c r="AE28" s="1064"/>
      <c r="AF28" s="1064"/>
      <c r="AG28" s="1064"/>
      <c r="AH28" s="1064"/>
      <c r="AI28" s="1064"/>
      <c r="AJ28" s="1064"/>
      <c r="AK28" s="1064"/>
      <c r="AL28" s="312"/>
      <c r="AM28" s="1064"/>
      <c r="AN28" s="1064"/>
      <c r="AO28" s="1064"/>
      <c r="AP28" s="1158"/>
      <c r="AQ28" s="313"/>
      <c r="AR28" s="351"/>
      <c r="AU28" s="804"/>
      <c r="AV28" s="806"/>
      <c r="AW28" s="802"/>
      <c r="AX28" s="802"/>
      <c r="AY28" s="802"/>
      <c r="AZ28" s="802"/>
      <c r="BA28" s="800"/>
      <c r="BB28" s="808"/>
      <c r="BC28" s="808"/>
      <c r="BD28" s="808"/>
      <c r="BE28" s="800"/>
      <c r="BF28" s="802"/>
      <c r="BG28" s="1051"/>
      <c r="BH28" s="806"/>
      <c r="BI28" s="806"/>
    </row>
    <row r="29" spans="2:61" ht="15.95" customHeight="1" x14ac:dyDescent="0.25">
      <c r="B29" s="1119"/>
      <c r="C29" s="342"/>
      <c r="D29" s="1096"/>
      <c r="E29" s="1097"/>
      <c r="F29" s="1097"/>
      <c r="G29" s="1097"/>
      <c r="H29" s="1138"/>
      <c r="I29" s="1138"/>
      <c r="J29" s="351"/>
      <c r="K29" s="1008" t="s">
        <v>560</v>
      </c>
      <c r="L29" s="1008"/>
      <c r="M29" s="1008"/>
      <c r="N29" s="1062"/>
      <c r="O29" s="1062"/>
      <c r="P29" s="1062"/>
      <c r="Q29" s="1062"/>
      <c r="R29" s="880"/>
      <c r="S29" s="880"/>
      <c r="T29" s="880"/>
      <c r="U29" s="1065"/>
      <c r="V29" s="1065"/>
      <c r="W29" s="1066" t="str">
        <f>IF(N29="","",INDEX(CMLIGHTBASE[Base Watt 1],MATCH(N29,CMLIGHTBASE[Base Desc 1],0)))</f>
        <v/>
      </c>
      <c r="X29" s="1067"/>
      <c r="Y29" s="1055"/>
      <c r="Z29" s="1056"/>
      <c r="AA29" s="1056"/>
      <c r="AB29" s="1056"/>
      <c r="AC29" s="1059"/>
      <c r="AD29" s="1059"/>
      <c r="AE29" s="1161"/>
      <c r="AF29" s="1162"/>
      <c r="AG29" s="1163"/>
      <c r="AH29" s="1076"/>
      <c r="AI29" s="1077"/>
      <c r="AJ29" s="1153"/>
      <c r="AK29" s="1154"/>
      <c r="AL29" s="312"/>
      <c r="AM29" s="1164"/>
      <c r="AN29" s="1164"/>
      <c r="AO29" s="1164"/>
      <c r="AP29" s="1166"/>
      <c r="AQ29" s="313"/>
      <c r="AR29" s="351"/>
      <c r="AU29" s="805"/>
      <c r="AV29" s="807"/>
      <c r="AW29" s="803"/>
      <c r="AX29" s="803"/>
      <c r="AY29" s="803"/>
      <c r="AZ29" s="803"/>
      <c r="BA29" s="801"/>
      <c r="BB29" s="797"/>
      <c r="BC29" s="797"/>
      <c r="BD29" s="797"/>
      <c r="BE29" s="801"/>
      <c r="BF29" s="803"/>
      <c r="BG29" s="1052"/>
      <c r="BH29" s="807"/>
      <c r="BI29" s="807"/>
    </row>
    <row r="30" spans="2:61" ht="15.95" customHeight="1" x14ac:dyDescent="0.25">
      <c r="B30" s="1119"/>
      <c r="C30" s="342"/>
      <c r="D30" s="1098"/>
      <c r="E30" s="1099"/>
      <c r="F30" s="1099"/>
      <c r="G30" s="1099"/>
      <c r="H30" s="1139"/>
      <c r="I30" s="1139"/>
      <c r="J30" s="351"/>
      <c r="K30" s="1008"/>
      <c r="L30" s="1008"/>
      <c r="M30" s="1008"/>
      <c r="N30" s="1062"/>
      <c r="O30" s="1062"/>
      <c r="P30" s="1062"/>
      <c r="Q30" s="1062"/>
      <c r="R30" s="880"/>
      <c r="S30" s="880"/>
      <c r="T30" s="880"/>
      <c r="U30" s="1065"/>
      <c r="V30" s="1065"/>
      <c r="W30" s="1066"/>
      <c r="X30" s="1067"/>
      <c r="Y30" s="1057"/>
      <c r="Z30" s="1058"/>
      <c r="AA30" s="1058"/>
      <c r="AB30" s="1058"/>
      <c r="AC30" s="1060"/>
      <c r="AD30" s="1060"/>
      <c r="AE30" s="896"/>
      <c r="AF30" s="897"/>
      <c r="AG30" s="898"/>
      <c r="AH30" s="1078"/>
      <c r="AI30" s="1079"/>
      <c r="AJ30" s="1155"/>
      <c r="AK30" s="1156"/>
      <c r="AL30" s="312"/>
      <c r="AM30" s="1165"/>
      <c r="AN30" s="1165"/>
      <c r="AO30" s="1165"/>
      <c r="AP30" s="1167"/>
      <c r="AQ30" s="313"/>
      <c r="AR30" s="351"/>
      <c r="AU30" s="804"/>
      <c r="AV30" s="806"/>
      <c r="AW30" s="802"/>
      <c r="AX30" s="802"/>
      <c r="AY30" s="802"/>
      <c r="AZ30" s="802"/>
      <c r="BA30" s="800"/>
      <c r="BB30" s="808"/>
      <c r="BC30" s="808"/>
      <c r="BD30" s="808"/>
      <c r="BE30" s="800"/>
      <c r="BF30" s="802"/>
      <c r="BG30" s="1051"/>
      <c r="BH30" s="806"/>
      <c r="BI30" s="806"/>
    </row>
    <row r="31" spans="2:61" ht="15.95" customHeight="1" x14ac:dyDescent="0.25">
      <c r="B31" s="1119"/>
      <c r="C31" s="342"/>
      <c r="D31" s="358"/>
      <c r="E31" s="343"/>
      <c r="F31" s="343"/>
      <c r="G31" s="343"/>
      <c r="H31" s="343"/>
      <c r="I31" s="343"/>
      <c r="J31" s="343"/>
      <c r="K31" s="1008" t="s">
        <v>560</v>
      </c>
      <c r="L31" s="1008"/>
      <c r="M31" s="1008"/>
      <c r="N31" s="1062"/>
      <c r="O31" s="1062"/>
      <c r="P31" s="1062"/>
      <c r="Q31" s="1062"/>
      <c r="R31" s="880"/>
      <c r="S31" s="880"/>
      <c r="T31" s="880"/>
      <c r="U31" s="1065"/>
      <c r="V31" s="1065"/>
      <c r="W31" s="1066" t="str">
        <f>IF(N31="","",INDEX(CMLIGHTBASE[Base Watt 1],MATCH(N31,CMLIGHTBASE[Base Desc 1],0)))</f>
        <v/>
      </c>
      <c r="X31" s="1067"/>
      <c r="Y31" s="1055"/>
      <c r="Z31" s="1056"/>
      <c r="AA31" s="1056"/>
      <c r="AB31" s="1056"/>
      <c r="AC31" s="1059"/>
      <c r="AD31" s="1059"/>
      <c r="AE31" s="881"/>
      <c r="AF31" s="894"/>
      <c r="AG31" s="895"/>
      <c r="AH31" s="1151"/>
      <c r="AI31" s="1152"/>
      <c r="AJ31" s="1153"/>
      <c r="AK31" s="1154"/>
      <c r="AL31" s="312"/>
      <c r="AM31" s="312"/>
      <c r="AN31" s="312"/>
      <c r="AO31" s="313"/>
      <c r="AP31" s="328"/>
      <c r="AQ31" s="313"/>
      <c r="AR31" s="351"/>
      <c r="AU31" s="805"/>
      <c r="AV31" s="807"/>
      <c r="AW31" s="803"/>
      <c r="AX31" s="803"/>
      <c r="AY31" s="803"/>
      <c r="AZ31" s="803"/>
      <c r="BA31" s="801"/>
      <c r="BB31" s="797"/>
      <c r="BC31" s="797"/>
      <c r="BD31" s="797"/>
      <c r="BE31" s="801"/>
      <c r="BF31" s="803"/>
      <c r="BG31" s="1052"/>
      <c r="BH31" s="807"/>
      <c r="BI31" s="807"/>
    </row>
    <row r="32" spans="2:61" ht="15.95" customHeight="1" x14ac:dyDescent="0.25">
      <c r="B32" s="1119"/>
      <c r="C32" s="342"/>
      <c r="D32" s="358"/>
      <c r="E32" s="1658" t="s">
        <v>2313</v>
      </c>
      <c r="F32" s="1658"/>
      <c r="G32" s="1658"/>
      <c r="H32" s="1658"/>
      <c r="I32" s="1658"/>
      <c r="J32" s="351"/>
      <c r="K32" s="1008"/>
      <c r="L32" s="1008"/>
      <c r="M32" s="1008"/>
      <c r="N32" s="1062"/>
      <c r="O32" s="1062"/>
      <c r="P32" s="1062"/>
      <c r="Q32" s="1062"/>
      <c r="R32" s="880"/>
      <c r="S32" s="880"/>
      <c r="T32" s="880"/>
      <c r="U32" s="1065"/>
      <c r="V32" s="1065"/>
      <c r="W32" s="1066"/>
      <c r="X32" s="1067"/>
      <c r="Y32" s="1057"/>
      <c r="Z32" s="1058"/>
      <c r="AA32" s="1058"/>
      <c r="AB32" s="1058"/>
      <c r="AC32" s="1060"/>
      <c r="AD32" s="1060"/>
      <c r="AE32" s="896"/>
      <c r="AF32" s="897"/>
      <c r="AG32" s="898"/>
      <c r="AH32" s="1078"/>
      <c r="AI32" s="1079"/>
      <c r="AJ32" s="1155"/>
      <c r="AK32" s="1156"/>
      <c r="AL32" s="312"/>
      <c r="AM32" s="312"/>
      <c r="AN32" s="312"/>
      <c r="AO32" s="313"/>
      <c r="AP32" s="328"/>
      <c r="AQ32" s="313"/>
      <c r="AR32" s="351"/>
      <c r="AU32" s="804"/>
      <c r="AV32" s="806"/>
      <c r="AW32" s="802"/>
      <c r="AX32" s="802"/>
      <c r="AY32" s="802"/>
      <c r="AZ32" s="802"/>
      <c r="BA32" s="800"/>
      <c r="BB32" s="808"/>
      <c r="BC32" s="808"/>
      <c r="BD32" s="808"/>
      <c r="BE32" s="800"/>
      <c r="BF32" s="802"/>
      <c r="BG32" s="1051"/>
      <c r="BH32" s="806"/>
      <c r="BI32" s="806"/>
    </row>
    <row r="33" spans="2:61" ht="15.95" customHeight="1" x14ac:dyDescent="0.25">
      <c r="B33" s="1119"/>
      <c r="C33" s="342"/>
      <c r="D33" s="358"/>
      <c r="E33" s="1658"/>
      <c r="F33" s="1658"/>
      <c r="G33" s="1658"/>
      <c r="H33" s="1658"/>
      <c r="I33" s="1658"/>
      <c r="J33" s="351"/>
      <c r="K33" s="1008" t="s">
        <v>560</v>
      </c>
      <c r="L33" s="1008"/>
      <c r="M33" s="1008"/>
      <c r="N33" s="1062"/>
      <c r="O33" s="1062"/>
      <c r="P33" s="1062"/>
      <c r="Q33" s="1062"/>
      <c r="R33" s="880"/>
      <c r="S33" s="880"/>
      <c r="T33" s="880"/>
      <c r="U33" s="1065"/>
      <c r="V33" s="1065"/>
      <c r="W33" s="1066" t="str">
        <f>IF(N33="","",INDEX(CMLIGHTBASE[Base Watt 1],MATCH(N33,CMLIGHTBASE[Base Desc 1],0)))</f>
        <v/>
      </c>
      <c r="X33" s="1067"/>
      <c r="Y33" s="1055"/>
      <c r="Z33" s="1056"/>
      <c r="AA33" s="1056"/>
      <c r="AB33" s="1056"/>
      <c r="AC33" s="1059"/>
      <c r="AD33" s="1059"/>
      <c r="AE33" s="881"/>
      <c r="AF33" s="894"/>
      <c r="AG33" s="895"/>
      <c r="AH33" s="1151"/>
      <c r="AI33" s="1152"/>
      <c r="AJ33" s="1153"/>
      <c r="AK33" s="1154"/>
      <c r="AL33" s="312"/>
      <c r="AM33" s="312"/>
      <c r="AN33" s="312"/>
      <c r="AO33" s="313"/>
      <c r="AP33" s="328"/>
      <c r="AQ33" s="313"/>
      <c r="AR33" s="351"/>
      <c r="AU33" s="805"/>
      <c r="AV33" s="807"/>
      <c r="AW33" s="803"/>
      <c r="AX33" s="803"/>
      <c r="AY33" s="803"/>
      <c r="AZ33" s="803"/>
      <c r="BA33" s="801"/>
      <c r="BB33" s="797"/>
      <c r="BC33" s="797"/>
      <c r="BD33" s="797"/>
      <c r="BE33" s="801"/>
      <c r="BF33" s="803"/>
      <c r="BG33" s="1052"/>
      <c r="BH33" s="807"/>
      <c r="BI33" s="807"/>
    </row>
    <row r="34" spans="2:61" ht="15.95" customHeight="1" x14ac:dyDescent="0.25">
      <c r="B34" s="1119"/>
      <c r="C34" s="342"/>
      <c r="D34" s="358"/>
      <c r="J34" s="351"/>
      <c r="K34" s="1008"/>
      <c r="L34" s="1008"/>
      <c r="M34" s="1008"/>
      <c r="N34" s="1062"/>
      <c r="O34" s="1062"/>
      <c r="P34" s="1062"/>
      <c r="Q34" s="1062"/>
      <c r="R34" s="880"/>
      <c r="S34" s="880"/>
      <c r="T34" s="880"/>
      <c r="U34" s="1065"/>
      <c r="V34" s="1065"/>
      <c r="W34" s="1066"/>
      <c r="X34" s="1067"/>
      <c r="Y34" s="1057"/>
      <c r="Z34" s="1058"/>
      <c r="AA34" s="1058"/>
      <c r="AB34" s="1058"/>
      <c r="AC34" s="1060"/>
      <c r="AD34" s="1060"/>
      <c r="AE34" s="896"/>
      <c r="AF34" s="897"/>
      <c r="AG34" s="898"/>
      <c r="AH34" s="1078"/>
      <c r="AI34" s="1079"/>
      <c r="AJ34" s="1155"/>
      <c r="AK34" s="1156"/>
      <c r="AL34" s="312"/>
      <c r="AM34" s="312"/>
      <c r="AN34" s="312"/>
      <c r="AO34" s="313"/>
      <c r="AP34" s="328"/>
      <c r="AQ34" s="313"/>
      <c r="AR34" s="351"/>
      <c r="AU34" s="804"/>
      <c r="AV34" s="806"/>
      <c r="AW34" s="802"/>
      <c r="AX34" s="802"/>
      <c r="AY34" s="802"/>
      <c r="AZ34" s="802"/>
      <c r="BA34" s="800"/>
      <c r="BB34" s="808"/>
      <c r="BC34" s="808"/>
      <c r="BD34" s="808"/>
      <c r="BE34" s="800"/>
      <c r="BF34" s="802"/>
      <c r="BG34" s="1051"/>
      <c r="BH34" s="806"/>
      <c r="BI34" s="806"/>
    </row>
    <row r="35" spans="2:61" ht="15.95" customHeight="1" x14ac:dyDescent="0.25">
      <c r="B35" s="1119"/>
      <c r="C35" s="342"/>
      <c r="D35" s="358"/>
      <c r="J35" s="351"/>
      <c r="K35" s="1008" t="s">
        <v>560</v>
      </c>
      <c r="L35" s="1008"/>
      <c r="M35" s="1008"/>
      <c r="N35" s="1069"/>
      <c r="O35" s="1069"/>
      <c r="P35" s="1069"/>
      <c r="Q35" s="1069"/>
      <c r="R35" s="883"/>
      <c r="S35" s="852"/>
      <c r="T35" s="852"/>
      <c r="U35" s="1070"/>
      <c r="V35" s="1070"/>
      <c r="W35" s="1066" t="str">
        <f>IF(N35="","",INDEX(CMLIGHTBASE[Base Watt 1],MATCH(N35,CMLIGHTBASE[Base Desc 1],0)))</f>
        <v/>
      </c>
      <c r="X35" s="1067"/>
      <c r="Y35" s="1102"/>
      <c r="Z35" s="1103"/>
      <c r="AA35" s="1103"/>
      <c r="AB35" s="1103"/>
      <c r="AC35" s="1086"/>
      <c r="AD35" s="1086"/>
      <c r="AE35" s="842"/>
      <c r="AF35" s="822"/>
      <c r="AG35" s="823"/>
      <c r="AH35" s="1122"/>
      <c r="AI35" s="1123"/>
      <c r="AJ35" s="1106"/>
      <c r="AK35" s="1107"/>
      <c r="AL35" s="312"/>
      <c r="AM35" s="312"/>
      <c r="AN35" s="312"/>
      <c r="AO35" s="313"/>
      <c r="AP35" s="328"/>
      <c r="AQ35" s="313"/>
      <c r="AR35" s="351"/>
      <c r="AU35" s="805"/>
      <c r="AV35" s="807"/>
      <c r="AW35" s="803"/>
      <c r="AX35" s="803"/>
      <c r="AY35" s="803"/>
      <c r="AZ35" s="803"/>
      <c r="BA35" s="801"/>
      <c r="BB35" s="797"/>
      <c r="BC35" s="797"/>
      <c r="BD35" s="797"/>
      <c r="BE35" s="801"/>
      <c r="BF35" s="803"/>
      <c r="BG35" s="1052"/>
      <c r="BH35" s="807"/>
      <c r="BI35" s="807"/>
    </row>
    <row r="36" spans="2:61" ht="15.95" customHeight="1" x14ac:dyDescent="0.25">
      <c r="B36" s="1119"/>
      <c r="C36" s="342"/>
      <c r="D36" s="358"/>
      <c r="E36" s="343"/>
      <c r="F36" s="343"/>
      <c r="G36" s="343"/>
      <c r="H36" s="343"/>
      <c r="I36" s="343"/>
      <c r="J36" s="351"/>
      <c r="K36" s="1008"/>
      <c r="L36" s="1008"/>
      <c r="M36" s="1008"/>
      <c r="N36" s="1069"/>
      <c r="O36" s="1069"/>
      <c r="P36" s="1069"/>
      <c r="Q36" s="1069"/>
      <c r="R36" s="852"/>
      <c r="S36" s="852"/>
      <c r="T36" s="852"/>
      <c r="U36" s="1070"/>
      <c r="V36" s="1070"/>
      <c r="W36" s="1066"/>
      <c r="X36" s="1067"/>
      <c r="Y36" s="1104"/>
      <c r="Z36" s="1105"/>
      <c r="AA36" s="1105"/>
      <c r="AB36" s="1105"/>
      <c r="AC36" s="1087"/>
      <c r="AD36" s="1087"/>
      <c r="AE36" s="824"/>
      <c r="AF36" s="825"/>
      <c r="AG36" s="826"/>
      <c r="AH36" s="1124"/>
      <c r="AI36" s="1125"/>
      <c r="AJ36" s="1108"/>
      <c r="AK36" s="1109"/>
      <c r="AL36" s="312"/>
      <c r="AM36" s="312"/>
      <c r="AN36" s="312"/>
      <c r="AO36" s="313"/>
      <c r="AP36" s="328"/>
      <c r="AQ36" s="313"/>
      <c r="AR36" s="351"/>
      <c r="AU36" s="804"/>
      <c r="AV36" s="806"/>
      <c r="AW36" s="802"/>
      <c r="AX36" s="802"/>
      <c r="AY36" s="802"/>
      <c r="AZ36" s="802"/>
      <c r="BA36" s="800"/>
      <c r="BB36" s="808"/>
      <c r="BC36" s="808"/>
      <c r="BD36" s="808"/>
      <c r="BE36" s="800"/>
      <c r="BF36" s="802"/>
      <c r="BG36" s="1051"/>
      <c r="BH36" s="806"/>
      <c r="BI36" s="806"/>
    </row>
    <row r="37" spans="2:61" ht="15.95" customHeight="1" x14ac:dyDescent="0.25">
      <c r="B37" s="1119"/>
      <c r="C37" s="342"/>
      <c r="D37" s="358"/>
      <c r="E37" s="343"/>
      <c r="F37" s="343"/>
      <c r="G37" s="343"/>
      <c r="H37" s="343"/>
      <c r="I37" s="343"/>
      <c r="J37" s="343"/>
      <c r="K37" s="1008" t="s">
        <v>560</v>
      </c>
      <c r="L37" s="1008"/>
      <c r="M37" s="1008"/>
      <c r="N37" s="1069"/>
      <c r="O37" s="1069"/>
      <c r="P37" s="1069"/>
      <c r="Q37" s="1069"/>
      <c r="R37" s="852"/>
      <c r="S37" s="852"/>
      <c r="T37" s="852"/>
      <c r="U37" s="1070"/>
      <c r="V37" s="1070"/>
      <c r="W37" s="1066" t="str">
        <f>IF(N37="","",INDEX(CMLIGHTBASE[Base Watt 1],MATCH(N37,CMLIGHTBASE[Base Desc 1],0)))</f>
        <v/>
      </c>
      <c r="X37" s="1067"/>
      <c r="Y37" s="1102"/>
      <c r="Z37" s="1103"/>
      <c r="AA37" s="1103"/>
      <c r="AB37" s="1103"/>
      <c r="AC37" s="1086"/>
      <c r="AD37" s="1086"/>
      <c r="AE37" s="842"/>
      <c r="AF37" s="822"/>
      <c r="AG37" s="823"/>
      <c r="AH37" s="1122"/>
      <c r="AI37" s="1123"/>
      <c r="AJ37" s="1106"/>
      <c r="AK37" s="1107"/>
      <c r="AL37" s="312"/>
      <c r="AM37" s="312"/>
      <c r="AN37" s="312"/>
      <c r="AO37" s="313"/>
      <c r="AP37" s="328"/>
      <c r="AQ37" s="313"/>
      <c r="AR37" s="351"/>
      <c r="AU37" s="805"/>
      <c r="AV37" s="807"/>
      <c r="AW37" s="803"/>
      <c r="AX37" s="803"/>
      <c r="AY37" s="803"/>
      <c r="AZ37" s="803"/>
      <c r="BA37" s="801"/>
      <c r="BB37" s="797"/>
      <c r="BC37" s="797"/>
      <c r="BD37" s="797"/>
      <c r="BE37" s="801"/>
      <c r="BF37" s="803"/>
      <c r="BG37" s="1052"/>
      <c r="BH37" s="807"/>
      <c r="BI37" s="807"/>
    </row>
    <row r="38" spans="2:61" ht="15.95" customHeight="1" x14ac:dyDescent="0.25">
      <c r="B38" s="1119"/>
      <c r="C38" s="342"/>
      <c r="D38" s="358"/>
      <c r="E38" s="343"/>
      <c r="F38" s="343"/>
      <c r="G38" s="343"/>
      <c r="H38" s="343"/>
      <c r="I38" s="343"/>
      <c r="J38" s="343"/>
      <c r="K38" s="1008"/>
      <c r="L38" s="1008"/>
      <c r="M38" s="1008"/>
      <c r="N38" s="1069"/>
      <c r="O38" s="1069"/>
      <c r="P38" s="1069"/>
      <c r="Q38" s="1069"/>
      <c r="R38" s="852"/>
      <c r="S38" s="852"/>
      <c r="T38" s="852"/>
      <c r="U38" s="1070"/>
      <c r="V38" s="1070"/>
      <c r="W38" s="1066"/>
      <c r="X38" s="1067"/>
      <c r="Y38" s="1104"/>
      <c r="Z38" s="1105"/>
      <c r="AA38" s="1105"/>
      <c r="AB38" s="1105"/>
      <c r="AC38" s="1087"/>
      <c r="AD38" s="1087"/>
      <c r="AE38" s="824"/>
      <c r="AF38" s="825"/>
      <c r="AG38" s="826"/>
      <c r="AH38" s="1124"/>
      <c r="AI38" s="1125"/>
      <c r="AJ38" s="1108"/>
      <c r="AK38" s="1109"/>
      <c r="AL38" s="312"/>
      <c r="AM38" s="312"/>
      <c r="AN38" s="312"/>
      <c r="AO38" s="313"/>
      <c r="AP38" s="328"/>
      <c r="AQ38" s="313"/>
      <c r="AR38" s="351"/>
      <c r="AU38" s="804"/>
      <c r="AV38" s="806"/>
      <c r="AW38" s="802"/>
      <c r="AX38" s="802"/>
      <c r="AY38" s="802"/>
      <c r="AZ38" s="802"/>
      <c r="BA38" s="800"/>
      <c r="BB38" s="808"/>
      <c r="BC38" s="808"/>
      <c r="BD38" s="808"/>
      <c r="BE38" s="800"/>
      <c r="BF38" s="802"/>
      <c r="BG38" s="1051"/>
      <c r="BH38" s="806"/>
      <c r="BI38" s="806"/>
    </row>
    <row r="39" spans="2:61" ht="15.95" customHeight="1" x14ac:dyDescent="0.25">
      <c r="B39" s="1119"/>
      <c r="C39" s="342"/>
      <c r="D39" s="358"/>
      <c r="E39" s="343"/>
      <c r="F39" s="343"/>
      <c r="G39" s="343"/>
      <c r="H39" s="343"/>
      <c r="I39" s="343"/>
      <c r="J39" s="343"/>
      <c r="K39" s="1008" t="s">
        <v>560</v>
      </c>
      <c r="L39" s="1008"/>
      <c r="M39" s="1008"/>
      <c r="N39" s="1069"/>
      <c r="O39" s="1069"/>
      <c r="P39" s="1069"/>
      <c r="Q39" s="1069"/>
      <c r="R39" s="852"/>
      <c r="S39" s="852"/>
      <c r="T39" s="852"/>
      <c r="U39" s="1070"/>
      <c r="V39" s="1070"/>
      <c r="W39" s="1066" t="str">
        <f>IF(N39="","",INDEX(CMLIGHTBASE[Base Watt 1],MATCH(N39,CMLIGHTBASE[Base Desc 1],0)))</f>
        <v/>
      </c>
      <c r="X39" s="1067"/>
      <c r="Y39" s="1102"/>
      <c r="Z39" s="1103"/>
      <c r="AA39" s="1103"/>
      <c r="AB39" s="1103"/>
      <c r="AC39" s="1086"/>
      <c r="AD39" s="1086"/>
      <c r="AE39" s="842"/>
      <c r="AF39" s="822"/>
      <c r="AG39" s="823"/>
      <c r="AH39" s="1122"/>
      <c r="AI39" s="1123"/>
      <c r="AJ39" s="1106"/>
      <c r="AK39" s="1107"/>
      <c r="AL39" s="312"/>
      <c r="AM39" s="312"/>
      <c r="AN39" s="312"/>
      <c r="AO39" s="313"/>
      <c r="AP39" s="328"/>
      <c r="AQ39" s="313"/>
      <c r="AR39" s="351"/>
      <c r="AU39" s="805"/>
      <c r="AV39" s="807"/>
      <c r="AW39" s="803"/>
      <c r="AX39" s="803"/>
      <c r="AY39" s="803"/>
      <c r="AZ39" s="803"/>
      <c r="BA39" s="801"/>
      <c r="BB39" s="797"/>
      <c r="BC39" s="797"/>
      <c r="BD39" s="797"/>
      <c r="BE39" s="801"/>
      <c r="BF39" s="803"/>
      <c r="BG39" s="1052"/>
      <c r="BH39" s="807"/>
      <c r="BI39" s="807"/>
    </row>
    <row r="40" spans="2:61" ht="15.95" customHeight="1" x14ac:dyDescent="0.25">
      <c r="B40" s="1119"/>
      <c r="C40" s="342"/>
      <c r="D40" s="358"/>
      <c r="E40" s="343"/>
      <c r="F40" s="343"/>
      <c r="G40" s="343"/>
      <c r="H40" s="343"/>
      <c r="I40" s="343"/>
      <c r="J40" s="343"/>
      <c r="K40" s="1008"/>
      <c r="L40" s="1008"/>
      <c r="M40" s="1008"/>
      <c r="N40" s="1069"/>
      <c r="O40" s="1069"/>
      <c r="P40" s="1069"/>
      <c r="Q40" s="1069"/>
      <c r="R40" s="852"/>
      <c r="S40" s="852"/>
      <c r="T40" s="852"/>
      <c r="U40" s="1070"/>
      <c r="V40" s="1070"/>
      <c r="W40" s="1066"/>
      <c r="X40" s="1067"/>
      <c r="Y40" s="1104"/>
      <c r="Z40" s="1105"/>
      <c r="AA40" s="1105"/>
      <c r="AB40" s="1105"/>
      <c r="AC40" s="1087"/>
      <c r="AD40" s="1087"/>
      <c r="AE40" s="824"/>
      <c r="AF40" s="825"/>
      <c r="AG40" s="826"/>
      <c r="AH40" s="1124"/>
      <c r="AI40" s="1125"/>
      <c r="AJ40" s="1108"/>
      <c r="AK40" s="1109"/>
      <c r="AL40" s="312"/>
      <c r="AM40" s="312"/>
      <c r="AN40" s="312"/>
      <c r="AO40" s="313"/>
      <c r="AP40" s="328"/>
      <c r="AQ40" s="313"/>
      <c r="AR40" s="351"/>
      <c r="AU40" s="804"/>
      <c r="AV40" s="806"/>
      <c r="AW40" s="802"/>
      <c r="AX40" s="802"/>
      <c r="AY40" s="802"/>
      <c r="AZ40" s="802"/>
      <c r="BA40" s="800"/>
      <c r="BB40" s="808"/>
      <c r="BC40" s="808"/>
      <c r="BD40" s="808"/>
      <c r="BE40" s="800"/>
      <c r="BF40" s="802"/>
      <c r="BG40" s="1051"/>
      <c r="BH40" s="806"/>
      <c r="BI40" s="806"/>
    </row>
    <row r="41" spans="2:61" ht="15.95" customHeight="1" x14ac:dyDescent="0.25">
      <c r="B41" s="1119"/>
      <c r="C41" s="342"/>
      <c r="D41" s="358"/>
      <c r="E41" s="343"/>
      <c r="F41" s="343"/>
      <c r="G41" s="343"/>
      <c r="H41" s="343"/>
      <c r="I41" s="343"/>
      <c r="J41" s="343"/>
      <c r="K41" s="1008" t="s">
        <v>560</v>
      </c>
      <c r="L41" s="1008"/>
      <c r="M41" s="1008"/>
      <c r="N41" s="1069"/>
      <c r="O41" s="1069"/>
      <c r="P41" s="1069"/>
      <c r="Q41" s="1069"/>
      <c r="R41" s="852"/>
      <c r="S41" s="852"/>
      <c r="T41" s="852"/>
      <c r="U41" s="1070"/>
      <c r="V41" s="1070"/>
      <c r="W41" s="1066" t="str">
        <f>IF(N41="","",INDEX(CMLIGHTBASE[Base Watt 1],MATCH(N41,CMLIGHTBASE[Base Desc 1],0)))</f>
        <v/>
      </c>
      <c r="X41" s="1067"/>
      <c r="Y41" s="1102"/>
      <c r="Z41" s="1103"/>
      <c r="AA41" s="1103"/>
      <c r="AB41" s="1103"/>
      <c r="AC41" s="1086"/>
      <c r="AD41" s="1086"/>
      <c r="AE41" s="842"/>
      <c r="AF41" s="822"/>
      <c r="AG41" s="823"/>
      <c r="AH41" s="1122"/>
      <c r="AI41" s="1123"/>
      <c r="AJ41" s="1106"/>
      <c r="AK41" s="1107"/>
      <c r="AL41" s="312"/>
      <c r="AM41" s="312"/>
      <c r="AN41" s="312"/>
      <c r="AO41" s="313"/>
      <c r="AP41" s="328"/>
      <c r="AQ41" s="313"/>
      <c r="AR41" s="351"/>
      <c r="AU41" s="805"/>
      <c r="AV41" s="807"/>
      <c r="AW41" s="803"/>
      <c r="AX41" s="803"/>
      <c r="AY41" s="803"/>
      <c r="AZ41" s="803"/>
      <c r="BA41" s="801"/>
      <c r="BB41" s="797"/>
      <c r="BC41" s="797"/>
      <c r="BD41" s="797"/>
      <c r="BE41" s="801"/>
      <c r="BF41" s="803"/>
      <c r="BG41" s="1052"/>
      <c r="BH41" s="807"/>
      <c r="BI41" s="807"/>
    </row>
    <row r="42" spans="2:61" ht="15.95" customHeight="1" x14ac:dyDescent="0.25">
      <c r="B42" s="1119"/>
      <c r="C42" s="342"/>
      <c r="D42" s="358"/>
      <c r="E42" s="343"/>
      <c r="F42" s="343"/>
      <c r="G42" s="343"/>
      <c r="H42" s="343"/>
      <c r="I42" s="343"/>
      <c r="J42" s="343"/>
      <c r="K42" s="1008"/>
      <c r="L42" s="1008"/>
      <c r="M42" s="1008"/>
      <c r="N42" s="1069"/>
      <c r="O42" s="1069"/>
      <c r="P42" s="1069"/>
      <c r="Q42" s="1069"/>
      <c r="R42" s="852"/>
      <c r="S42" s="852"/>
      <c r="T42" s="852"/>
      <c r="U42" s="1070"/>
      <c r="V42" s="1070"/>
      <c r="W42" s="1066"/>
      <c r="X42" s="1067"/>
      <c r="Y42" s="1104"/>
      <c r="Z42" s="1105"/>
      <c r="AA42" s="1105"/>
      <c r="AB42" s="1105"/>
      <c r="AC42" s="1087"/>
      <c r="AD42" s="1087"/>
      <c r="AE42" s="824"/>
      <c r="AF42" s="825"/>
      <c r="AG42" s="826"/>
      <c r="AH42" s="1124"/>
      <c r="AI42" s="1125"/>
      <c r="AJ42" s="1108"/>
      <c r="AK42" s="1109"/>
      <c r="AL42" s="312"/>
      <c r="AM42" s="312"/>
      <c r="AN42" s="312"/>
      <c r="AO42" s="313"/>
      <c r="AP42" s="328"/>
      <c r="AQ42" s="313"/>
      <c r="AR42" s="351"/>
      <c r="AU42" s="804"/>
      <c r="AV42" s="806"/>
      <c r="AW42" s="802"/>
      <c r="AX42" s="802"/>
      <c r="AY42" s="802"/>
      <c r="AZ42" s="802"/>
      <c r="BA42" s="800"/>
      <c r="BB42" s="808"/>
      <c r="BC42" s="808"/>
      <c r="BD42" s="808"/>
      <c r="BE42" s="800"/>
      <c r="BF42" s="802"/>
      <c r="BG42" s="1051"/>
      <c r="BH42" s="806"/>
      <c r="BI42" s="806"/>
    </row>
    <row r="43" spans="2:61" ht="15.95" customHeight="1" x14ac:dyDescent="0.25">
      <c r="B43" s="1119"/>
      <c r="C43" s="342"/>
      <c r="D43" s="358"/>
      <c r="E43" s="343"/>
      <c r="F43" s="343"/>
      <c r="G43" s="343"/>
      <c r="H43" s="343"/>
      <c r="I43" s="343"/>
      <c r="J43" s="343"/>
      <c r="K43" s="1008" t="s">
        <v>560</v>
      </c>
      <c r="L43" s="1008"/>
      <c r="M43" s="1008"/>
      <c r="N43" s="1069"/>
      <c r="O43" s="1069"/>
      <c r="P43" s="1069"/>
      <c r="Q43" s="1069"/>
      <c r="R43" s="852"/>
      <c r="S43" s="852"/>
      <c r="T43" s="852"/>
      <c r="U43" s="1070"/>
      <c r="V43" s="1070"/>
      <c r="W43" s="1066" t="str">
        <f>IF(N43="","",INDEX(CMLIGHTBASE[Base Watt 1],MATCH(N43,CMLIGHTBASE[Base Desc 1],0)))</f>
        <v/>
      </c>
      <c r="X43" s="1067"/>
      <c r="Y43" s="1102"/>
      <c r="Z43" s="1103"/>
      <c r="AA43" s="1103"/>
      <c r="AB43" s="1103"/>
      <c r="AC43" s="1086"/>
      <c r="AD43" s="1086"/>
      <c r="AE43" s="842"/>
      <c r="AF43" s="822"/>
      <c r="AG43" s="823"/>
      <c r="AH43" s="1122"/>
      <c r="AI43" s="1123"/>
      <c r="AJ43" s="1106"/>
      <c r="AK43" s="1107"/>
      <c r="AL43" s="312"/>
      <c r="AM43" s="312"/>
      <c r="AN43" s="312"/>
      <c r="AO43" s="313"/>
      <c r="AP43" s="328"/>
      <c r="AQ43" s="313"/>
      <c r="AR43" s="351"/>
      <c r="AU43" s="805"/>
      <c r="AV43" s="807"/>
      <c r="AW43" s="803"/>
      <c r="AX43" s="803"/>
      <c r="AY43" s="803"/>
      <c r="AZ43" s="803"/>
      <c r="BA43" s="801"/>
      <c r="BB43" s="797"/>
      <c r="BC43" s="797"/>
      <c r="BD43" s="797"/>
      <c r="BE43" s="801"/>
      <c r="BF43" s="803"/>
      <c r="BG43" s="1052"/>
      <c r="BH43" s="807"/>
      <c r="BI43" s="807"/>
    </row>
    <row r="44" spans="2:61" ht="15.95" customHeight="1" x14ac:dyDescent="0.25">
      <c r="B44" s="1119"/>
      <c r="C44" s="342"/>
      <c r="D44" s="358"/>
      <c r="E44" s="343"/>
      <c r="F44" s="343"/>
      <c r="G44" s="343"/>
      <c r="H44" s="343"/>
      <c r="I44" s="343"/>
      <c r="J44" s="343"/>
      <c r="K44" s="1008"/>
      <c r="L44" s="1008"/>
      <c r="M44" s="1008"/>
      <c r="N44" s="1069"/>
      <c r="O44" s="1069"/>
      <c r="P44" s="1069"/>
      <c r="Q44" s="1069"/>
      <c r="R44" s="852"/>
      <c r="S44" s="852"/>
      <c r="T44" s="852"/>
      <c r="U44" s="1070"/>
      <c r="V44" s="1070"/>
      <c r="W44" s="1066"/>
      <c r="X44" s="1067"/>
      <c r="Y44" s="1104"/>
      <c r="Z44" s="1105"/>
      <c r="AA44" s="1105"/>
      <c r="AB44" s="1105"/>
      <c r="AC44" s="1087"/>
      <c r="AD44" s="1087"/>
      <c r="AE44" s="824"/>
      <c r="AF44" s="825"/>
      <c r="AG44" s="826"/>
      <c r="AH44" s="1124"/>
      <c r="AI44" s="1125"/>
      <c r="AJ44" s="1108"/>
      <c r="AK44" s="1109"/>
      <c r="AL44" s="312"/>
      <c r="AM44" s="312"/>
      <c r="AN44" s="312"/>
      <c r="AO44" s="313"/>
      <c r="AP44" s="328"/>
      <c r="AQ44" s="313"/>
      <c r="AR44" s="351"/>
      <c r="AU44" s="804"/>
      <c r="AV44" s="806"/>
      <c r="AW44" s="802"/>
      <c r="AX44" s="802"/>
      <c r="AY44" s="802"/>
      <c r="AZ44" s="802"/>
      <c r="BA44" s="800"/>
      <c r="BB44" s="808"/>
      <c r="BC44" s="808"/>
      <c r="BD44" s="808"/>
      <c r="BE44" s="800"/>
      <c r="BF44" s="802"/>
      <c r="BG44" s="1051"/>
      <c r="BH44" s="806"/>
      <c r="BI44" s="806"/>
    </row>
    <row r="45" spans="2:61" ht="15.95" customHeight="1" x14ac:dyDescent="0.25">
      <c r="B45" s="1119"/>
      <c r="C45" s="342"/>
      <c r="D45" s="358"/>
      <c r="E45" s="343"/>
      <c r="F45" s="343"/>
      <c r="G45" s="343"/>
      <c r="H45" s="343"/>
      <c r="I45" s="343"/>
      <c r="J45" s="343"/>
      <c r="K45" s="1008" t="s">
        <v>560</v>
      </c>
      <c r="L45" s="1008"/>
      <c r="M45" s="1008"/>
      <c r="N45" s="1069"/>
      <c r="O45" s="1069"/>
      <c r="P45" s="1069"/>
      <c r="Q45" s="1069"/>
      <c r="R45" s="852"/>
      <c r="S45" s="852"/>
      <c r="T45" s="852"/>
      <c r="U45" s="1070"/>
      <c r="V45" s="1070"/>
      <c r="W45" s="1066" t="str">
        <f>IF(N45="","",INDEX(CMLIGHTBASE[Base Watt 1],MATCH(N45,CMLIGHTBASE[Base Desc 1],0)))</f>
        <v/>
      </c>
      <c r="X45" s="1067"/>
      <c r="Y45" s="1102"/>
      <c r="Z45" s="1103"/>
      <c r="AA45" s="1103"/>
      <c r="AB45" s="1103"/>
      <c r="AC45" s="1086"/>
      <c r="AD45" s="1086"/>
      <c r="AE45" s="842"/>
      <c r="AF45" s="822"/>
      <c r="AG45" s="823"/>
      <c r="AH45" s="1122"/>
      <c r="AI45" s="1123"/>
      <c r="AJ45" s="1106"/>
      <c r="AK45" s="1107"/>
      <c r="AL45" s="312"/>
      <c r="AM45" s="312"/>
      <c r="AN45" s="312"/>
      <c r="AO45" s="313"/>
      <c r="AP45" s="328"/>
      <c r="AQ45" s="313"/>
      <c r="AR45" s="351"/>
      <c r="AU45" s="805"/>
      <c r="AV45" s="807"/>
      <c r="AW45" s="803"/>
      <c r="AX45" s="803"/>
      <c r="AY45" s="803"/>
      <c r="AZ45" s="803"/>
      <c r="BA45" s="801"/>
      <c r="BB45" s="797"/>
      <c r="BC45" s="797"/>
      <c r="BD45" s="797"/>
      <c r="BE45" s="801"/>
      <c r="BF45" s="803"/>
      <c r="BG45" s="1052"/>
      <c r="BH45" s="807"/>
      <c r="BI45" s="807"/>
    </row>
    <row r="46" spans="2:61" ht="15.95" customHeight="1" x14ac:dyDescent="0.25">
      <c r="B46" s="1119"/>
      <c r="C46" s="342"/>
      <c r="D46" s="358"/>
      <c r="E46" s="343"/>
      <c r="F46" s="343"/>
      <c r="G46" s="343"/>
      <c r="H46" s="343"/>
      <c r="I46" s="343"/>
      <c r="J46" s="343"/>
      <c r="K46" s="1008"/>
      <c r="L46" s="1008"/>
      <c r="M46" s="1008"/>
      <c r="N46" s="1069"/>
      <c r="O46" s="1069"/>
      <c r="P46" s="1069"/>
      <c r="Q46" s="1069"/>
      <c r="R46" s="852"/>
      <c r="S46" s="852"/>
      <c r="T46" s="852"/>
      <c r="U46" s="1070"/>
      <c r="V46" s="1070"/>
      <c r="W46" s="1066"/>
      <c r="X46" s="1067"/>
      <c r="Y46" s="1104"/>
      <c r="Z46" s="1105"/>
      <c r="AA46" s="1105"/>
      <c r="AB46" s="1105"/>
      <c r="AC46" s="1087"/>
      <c r="AD46" s="1087"/>
      <c r="AE46" s="824"/>
      <c r="AF46" s="825"/>
      <c r="AG46" s="826"/>
      <c r="AH46" s="1124"/>
      <c r="AI46" s="1125"/>
      <c r="AJ46" s="1108"/>
      <c r="AK46" s="1109"/>
      <c r="AL46" s="312"/>
      <c r="AM46" s="312"/>
      <c r="AN46" s="312"/>
      <c r="AO46" s="313"/>
      <c r="AP46" s="328"/>
      <c r="AQ46" s="313"/>
      <c r="AR46" s="351"/>
      <c r="AU46" s="804"/>
      <c r="AV46" s="806"/>
      <c r="AW46" s="802"/>
      <c r="AX46" s="802"/>
      <c r="AY46" s="802"/>
      <c r="AZ46" s="802"/>
      <c r="BA46" s="800"/>
      <c r="BB46" s="808"/>
      <c r="BC46" s="808"/>
      <c r="BD46" s="808"/>
      <c r="BE46" s="800"/>
      <c r="BF46" s="802"/>
      <c r="BG46" s="1051"/>
      <c r="BH46" s="806"/>
      <c r="BI46" s="806"/>
    </row>
    <row r="47" spans="2:61" ht="15.95" customHeight="1" x14ac:dyDescent="0.25">
      <c r="B47" s="1119"/>
      <c r="C47" s="342"/>
      <c r="D47" s="358"/>
      <c r="E47" s="343"/>
      <c r="F47" s="343"/>
      <c r="G47" s="343"/>
      <c r="H47" s="343"/>
      <c r="I47" s="343"/>
      <c r="J47" s="343"/>
      <c r="K47" s="1008" t="s">
        <v>560</v>
      </c>
      <c r="L47" s="1008"/>
      <c r="M47" s="1008"/>
      <c r="N47" s="1069"/>
      <c r="O47" s="1069"/>
      <c r="P47" s="1069"/>
      <c r="Q47" s="1069"/>
      <c r="R47" s="852"/>
      <c r="S47" s="852"/>
      <c r="T47" s="852"/>
      <c r="U47" s="1070"/>
      <c r="V47" s="1070"/>
      <c r="W47" s="1066" t="str">
        <f>IF(N47="","",INDEX(CMLIGHTBASE[Base Watt 1],MATCH(N47,CMLIGHTBASE[Base Desc 1],0)))</f>
        <v/>
      </c>
      <c r="X47" s="1067"/>
      <c r="Y47" s="1102"/>
      <c r="Z47" s="1103"/>
      <c r="AA47" s="1103"/>
      <c r="AB47" s="1103"/>
      <c r="AC47" s="1086"/>
      <c r="AD47" s="1086"/>
      <c r="AE47" s="842"/>
      <c r="AF47" s="822"/>
      <c r="AG47" s="823"/>
      <c r="AH47" s="1122"/>
      <c r="AI47" s="1123"/>
      <c r="AJ47" s="1106"/>
      <c r="AK47" s="1107"/>
      <c r="AL47" s="312"/>
      <c r="AM47" s="312"/>
      <c r="AN47" s="312"/>
      <c r="AO47" s="313"/>
      <c r="AP47" s="328"/>
      <c r="AQ47" s="313"/>
      <c r="AR47" s="351"/>
      <c r="AU47" s="805"/>
      <c r="AV47" s="807"/>
      <c r="AW47" s="803"/>
      <c r="AX47" s="803"/>
      <c r="AY47" s="803"/>
      <c r="AZ47" s="803"/>
      <c r="BA47" s="801"/>
      <c r="BB47" s="797"/>
      <c r="BC47" s="797"/>
      <c r="BD47" s="797"/>
      <c r="BE47" s="801"/>
      <c r="BF47" s="803"/>
      <c r="BG47" s="1052"/>
      <c r="BH47" s="807"/>
      <c r="BI47" s="807"/>
    </row>
    <row r="48" spans="2:61" ht="15.95" customHeight="1" x14ac:dyDescent="0.25">
      <c r="B48" s="1119"/>
      <c r="C48" s="342"/>
      <c r="D48" s="358"/>
      <c r="E48" s="343"/>
      <c r="F48" s="343"/>
      <c r="G48" s="343"/>
      <c r="H48" s="343"/>
      <c r="I48" s="343"/>
      <c r="J48" s="343"/>
      <c r="K48" s="1008"/>
      <c r="L48" s="1008"/>
      <c r="M48" s="1008"/>
      <c r="N48" s="1069"/>
      <c r="O48" s="1069"/>
      <c r="P48" s="1069"/>
      <c r="Q48" s="1069"/>
      <c r="R48" s="852"/>
      <c r="S48" s="852"/>
      <c r="T48" s="852"/>
      <c r="U48" s="1070"/>
      <c r="V48" s="1070"/>
      <c r="W48" s="1066"/>
      <c r="X48" s="1067"/>
      <c r="Y48" s="1104"/>
      <c r="Z48" s="1105"/>
      <c r="AA48" s="1105"/>
      <c r="AB48" s="1105"/>
      <c r="AC48" s="1087"/>
      <c r="AD48" s="1087"/>
      <c r="AE48" s="824"/>
      <c r="AF48" s="825"/>
      <c r="AG48" s="826"/>
      <c r="AH48" s="1124"/>
      <c r="AI48" s="1125"/>
      <c r="AJ48" s="1108"/>
      <c r="AK48" s="1109"/>
      <c r="AL48" s="312"/>
      <c r="AM48" s="312"/>
      <c r="AN48" s="312"/>
      <c r="AO48" s="313"/>
      <c r="AP48" s="328"/>
      <c r="AQ48" s="313"/>
      <c r="AR48" s="351"/>
      <c r="AU48" s="804"/>
      <c r="AV48" s="806"/>
      <c r="AW48" s="802"/>
      <c r="AX48" s="802"/>
      <c r="AY48" s="802"/>
      <c r="AZ48" s="802"/>
      <c r="BA48" s="800"/>
      <c r="BB48" s="808"/>
      <c r="BC48" s="808"/>
      <c r="BD48" s="808"/>
      <c r="BE48" s="800"/>
      <c r="BF48" s="802"/>
      <c r="BG48" s="1051"/>
      <c r="BH48" s="806"/>
      <c r="BI48" s="806"/>
    </row>
    <row r="49" spans="2:61" ht="15.95" customHeight="1" x14ac:dyDescent="0.25">
      <c r="B49" s="1119"/>
      <c r="C49" s="342"/>
      <c r="D49" s="358"/>
      <c r="E49" s="343"/>
      <c r="F49" s="343"/>
      <c r="G49" s="343"/>
      <c r="H49" s="343"/>
      <c r="I49" s="343"/>
      <c r="J49" s="343"/>
      <c r="K49" s="344"/>
      <c r="L49" s="344"/>
      <c r="M49" s="314"/>
      <c r="N49" s="314"/>
      <c r="O49" s="346"/>
      <c r="P49" s="346"/>
      <c r="Q49" s="346"/>
      <c r="R49" s="348"/>
      <c r="S49" s="348"/>
      <c r="T49" s="348"/>
      <c r="U49" s="1114"/>
      <c r="V49" s="1115"/>
      <c r="W49" s="1088">
        <f>IF(OR(M02S02F44="Yes",AND(M02S02F44="No",OR(M02S02F49="",M02S02F49="No"))),"Not Eligible",SUMPRODUCT(U29:V48,W29:X48))</f>
        <v>0</v>
      </c>
      <c r="X49" s="1089"/>
      <c r="Y49" s="314"/>
      <c r="Z49" s="314"/>
      <c r="AA49" s="348"/>
      <c r="AB49" s="348"/>
      <c r="AC49" s="348"/>
      <c r="AD49" s="349"/>
      <c r="AE49" s="349"/>
      <c r="AF49" s="350"/>
      <c r="AG49" s="350"/>
      <c r="AH49" s="350"/>
      <c r="AI49" s="350"/>
      <c r="AJ49" s="1088">
        <f>IF(OR(M02S02F44="Yes",AND(M02S02F44="No",OR(M02S02F49="",M02S02F49="No"))),"Not Eligible",SUMPRODUCT(AH29:AI48,AJ29:AK48))</f>
        <v>0</v>
      </c>
      <c r="AK49" s="1089"/>
      <c r="AL49" s="312"/>
      <c r="AM49" s="312"/>
      <c r="AN49" s="312"/>
      <c r="AO49" s="313"/>
      <c r="AP49" s="328"/>
      <c r="AQ49" s="313"/>
      <c r="AR49" s="351"/>
      <c r="AU49" s="805"/>
      <c r="AV49" s="807"/>
      <c r="AW49" s="803"/>
      <c r="AX49" s="803"/>
      <c r="AY49" s="803"/>
      <c r="AZ49" s="803"/>
      <c r="BA49" s="801"/>
      <c r="BB49" s="797"/>
      <c r="BC49" s="797"/>
      <c r="BD49" s="797"/>
      <c r="BE49" s="801"/>
      <c r="BF49" s="803"/>
      <c r="BG49" s="1052"/>
      <c r="BH49" s="807"/>
      <c r="BI49" s="807"/>
    </row>
    <row r="50" spans="2:61" ht="15.95" customHeight="1" thickBot="1" x14ac:dyDescent="0.3">
      <c r="B50" s="1119"/>
      <c r="C50" s="342"/>
      <c r="D50" s="359"/>
      <c r="E50" s="360"/>
      <c r="F50" s="360"/>
      <c r="G50" s="360"/>
      <c r="H50" s="360"/>
      <c r="I50" s="360"/>
      <c r="J50" s="360"/>
      <c r="K50" s="361"/>
      <c r="L50" s="361"/>
      <c r="M50" s="329"/>
      <c r="N50" s="329"/>
      <c r="O50" s="362"/>
      <c r="P50" s="363"/>
      <c r="Q50" s="363"/>
      <c r="R50" s="364"/>
      <c r="S50" s="365"/>
      <c r="T50" s="365"/>
      <c r="U50" s="1145"/>
      <c r="V50" s="1145"/>
      <c r="W50" s="1090"/>
      <c r="X50" s="1091"/>
      <c r="Y50" s="329"/>
      <c r="Z50" s="329"/>
      <c r="AA50" s="364"/>
      <c r="AB50" s="365"/>
      <c r="AC50" s="365"/>
      <c r="AD50" s="366"/>
      <c r="AE50" s="366"/>
      <c r="AF50" s="367"/>
      <c r="AG50" s="367"/>
      <c r="AH50" s="367"/>
      <c r="AI50" s="367"/>
      <c r="AJ50" s="1090"/>
      <c r="AK50" s="1091"/>
      <c r="AL50" s="330"/>
      <c r="AM50" s="330"/>
      <c r="AN50" s="330"/>
      <c r="AO50" s="331"/>
      <c r="AP50" s="332"/>
      <c r="AQ50" s="313"/>
      <c r="AR50" s="351"/>
      <c r="AU50" s="804"/>
      <c r="AV50" s="806"/>
      <c r="AW50" s="802"/>
      <c r="AX50" s="802"/>
      <c r="AY50" s="802"/>
      <c r="AZ50" s="802"/>
      <c r="BA50" s="800"/>
      <c r="BB50" s="808"/>
      <c r="BC50" s="808"/>
      <c r="BD50" s="808"/>
      <c r="BE50" s="800"/>
      <c r="BF50" s="802"/>
      <c r="BG50" s="1051"/>
      <c r="BH50" s="806"/>
      <c r="BI50" s="806"/>
    </row>
    <row r="51" spans="2:61" ht="15.95" customHeight="1" thickTop="1" thickBot="1" x14ac:dyDescent="0.3">
      <c r="B51" s="1119"/>
      <c r="C51" s="342"/>
      <c r="D51" s="342"/>
      <c r="E51" s="343"/>
      <c r="F51" s="343"/>
      <c r="G51" s="343"/>
      <c r="H51" s="343"/>
      <c r="I51" s="343"/>
      <c r="J51" s="343"/>
      <c r="K51" s="344"/>
      <c r="L51" s="344"/>
      <c r="M51" s="314"/>
      <c r="N51" s="314"/>
      <c r="O51" s="346"/>
      <c r="P51" s="346"/>
      <c r="Q51" s="346"/>
      <c r="R51" s="348"/>
      <c r="S51" s="348"/>
      <c r="T51" s="348"/>
      <c r="U51" s="348"/>
      <c r="V51" s="348"/>
      <c r="W51" s="348"/>
      <c r="X51" s="348"/>
      <c r="Y51" s="314"/>
      <c r="Z51" s="314"/>
      <c r="AA51" s="348"/>
      <c r="AB51" s="348"/>
      <c r="AC51" s="348"/>
      <c r="AD51" s="349"/>
      <c r="AE51" s="349"/>
      <c r="AF51" s="350"/>
      <c r="AG51" s="350"/>
      <c r="AH51" s="350"/>
      <c r="AI51" s="350"/>
      <c r="AJ51" s="311"/>
      <c r="AK51" s="311"/>
      <c r="AL51" s="312"/>
      <c r="AM51" s="312"/>
      <c r="AN51" s="312"/>
      <c r="AO51" s="313"/>
      <c r="AP51" s="313"/>
      <c r="AQ51" s="313"/>
      <c r="AR51" s="351"/>
      <c r="AU51" s="805"/>
      <c r="AV51" s="807"/>
      <c r="AW51" s="803"/>
      <c r="AX51" s="803"/>
      <c r="AY51" s="803"/>
      <c r="AZ51" s="803"/>
      <c r="BA51" s="801"/>
      <c r="BB51" s="797"/>
      <c r="BC51" s="797"/>
      <c r="BD51" s="797"/>
      <c r="BE51" s="801"/>
      <c r="BF51" s="803"/>
      <c r="BG51" s="1052"/>
      <c r="BH51" s="807"/>
      <c r="BI51" s="807"/>
    </row>
    <row r="52" spans="2:61" ht="15.95" customHeight="1" thickTop="1" x14ac:dyDescent="0.25">
      <c r="B52" s="1119"/>
      <c r="C52" s="342"/>
      <c r="D52" s="368"/>
      <c r="E52" s="369"/>
      <c r="F52" s="369"/>
      <c r="G52" s="369"/>
      <c r="H52" s="369"/>
      <c r="I52" s="369"/>
      <c r="J52" s="369"/>
      <c r="K52" s="370"/>
      <c r="L52" s="370"/>
      <c r="M52" s="333"/>
      <c r="N52" s="333"/>
      <c r="O52" s="371"/>
      <c r="P52" s="371"/>
      <c r="Q52" s="371"/>
      <c r="R52" s="1187" t="s">
        <v>2312</v>
      </c>
      <c r="S52" s="1187"/>
      <c r="T52" s="1187"/>
      <c r="U52" s="1187"/>
      <c r="V52" s="1187"/>
      <c r="W52" s="1187"/>
      <c r="X52" s="1187"/>
      <c r="Y52" s="1187"/>
      <c r="Z52" s="1187"/>
      <c r="AA52" s="1187"/>
      <c r="AB52" s="1187"/>
      <c r="AC52" s="1187"/>
      <c r="AD52" s="372"/>
      <c r="AE52" s="372"/>
      <c r="AF52" s="373"/>
      <c r="AG52" s="373"/>
      <c r="AH52" s="373"/>
      <c r="AI52" s="373"/>
      <c r="AJ52" s="334"/>
      <c r="AK52" s="334"/>
      <c r="AL52" s="335"/>
      <c r="AM52" s="1175" t="s">
        <v>2334</v>
      </c>
      <c r="AN52" s="1175"/>
      <c r="AO52" s="1175"/>
      <c r="AP52" s="1176"/>
      <c r="AQ52" s="313"/>
      <c r="AR52" s="351"/>
      <c r="AU52" s="804"/>
      <c r="AV52" s="806"/>
      <c r="AW52" s="802"/>
      <c r="AX52" s="802"/>
      <c r="AY52" s="802"/>
      <c r="AZ52" s="802"/>
      <c r="BA52" s="800"/>
      <c r="BB52" s="808"/>
      <c r="BC52" s="808"/>
      <c r="BD52" s="808"/>
      <c r="BE52" s="800"/>
      <c r="BF52" s="802"/>
      <c r="BG52" s="1051"/>
      <c r="BH52" s="806"/>
      <c r="BI52" s="806"/>
    </row>
    <row r="53" spans="2:61" ht="15.95" customHeight="1" thickBot="1" x14ac:dyDescent="0.3">
      <c r="B53" s="1119"/>
      <c r="C53" s="342"/>
      <c r="D53" s="374"/>
      <c r="E53" s="343"/>
      <c r="F53" s="343"/>
      <c r="G53" s="343"/>
      <c r="H53" s="343"/>
      <c r="I53" s="343"/>
      <c r="J53" s="343"/>
      <c r="K53" s="344"/>
      <c r="L53" s="344"/>
      <c r="M53" s="314"/>
      <c r="N53" s="314"/>
      <c r="O53" s="345"/>
      <c r="P53" s="346"/>
      <c r="Q53" s="346"/>
      <c r="R53" s="1074"/>
      <c r="S53" s="1074"/>
      <c r="T53" s="1074"/>
      <c r="U53" s="1074"/>
      <c r="V53" s="1074"/>
      <c r="W53" s="1074"/>
      <c r="X53" s="1074"/>
      <c r="Y53" s="1074"/>
      <c r="Z53" s="1074"/>
      <c r="AA53" s="1074"/>
      <c r="AB53" s="1074"/>
      <c r="AC53" s="1074"/>
      <c r="AD53" s="349"/>
      <c r="AE53" s="349"/>
      <c r="AF53" s="350"/>
      <c r="AG53" s="350"/>
      <c r="AH53" s="350"/>
      <c r="AI53" s="350"/>
      <c r="AJ53" s="311"/>
      <c r="AK53" s="311"/>
      <c r="AL53" s="312"/>
      <c r="AM53" s="1082"/>
      <c r="AN53" s="1082"/>
      <c r="AO53" s="1082"/>
      <c r="AP53" s="1177"/>
      <c r="AQ53" s="313"/>
      <c r="AR53" s="351"/>
      <c r="AU53" s="805"/>
      <c r="AV53" s="807"/>
      <c r="AW53" s="803"/>
      <c r="AX53" s="803"/>
      <c r="AY53" s="803"/>
      <c r="AZ53" s="803"/>
      <c r="BA53" s="801"/>
      <c r="BB53" s="797"/>
      <c r="BC53" s="797"/>
      <c r="BD53" s="797"/>
      <c r="BE53" s="801"/>
      <c r="BF53" s="803"/>
      <c r="BG53" s="1052"/>
      <c r="BH53" s="807"/>
      <c r="BI53" s="807"/>
    </row>
    <row r="54" spans="2:61" ht="15.95" customHeight="1" x14ac:dyDescent="0.25">
      <c r="B54" s="1119"/>
      <c r="C54" s="342"/>
      <c r="D54" s="1129" t="s">
        <v>1650</v>
      </c>
      <c r="E54" s="1093"/>
      <c r="F54" s="1093"/>
      <c r="G54" s="1093"/>
      <c r="H54" s="1131" t="s">
        <v>1147</v>
      </c>
      <c r="I54" s="1131"/>
      <c r="J54" s="351"/>
      <c r="K54" s="1133" t="s">
        <v>823</v>
      </c>
      <c r="L54" s="1133"/>
      <c r="M54" s="1133"/>
      <c r="N54" s="1660" t="s">
        <v>2332</v>
      </c>
      <c r="O54" s="1063"/>
      <c r="P54" s="1063"/>
      <c r="Q54" s="1063"/>
      <c r="R54" s="1063" t="s">
        <v>102</v>
      </c>
      <c r="S54" s="1063"/>
      <c r="T54" s="1063"/>
      <c r="U54" s="1063" t="s">
        <v>576</v>
      </c>
      <c r="V54" s="1063"/>
      <c r="W54" s="1063" t="s">
        <v>94</v>
      </c>
      <c r="X54" s="1063"/>
      <c r="Y54" s="1063" t="s">
        <v>101</v>
      </c>
      <c r="Z54" s="1063"/>
      <c r="AA54" s="1063"/>
      <c r="AB54" s="1063"/>
      <c r="AC54" s="1135" t="s">
        <v>1675</v>
      </c>
      <c r="AD54" s="1063"/>
      <c r="AE54" s="1063" t="s">
        <v>102</v>
      </c>
      <c r="AF54" s="1063"/>
      <c r="AG54" s="1063"/>
      <c r="AH54" s="1063" t="s">
        <v>95</v>
      </c>
      <c r="AI54" s="1063"/>
      <c r="AJ54" s="1063" t="s">
        <v>94</v>
      </c>
      <c r="AK54" s="1063"/>
      <c r="AL54" s="312"/>
      <c r="AM54" s="1063" t="s">
        <v>1225</v>
      </c>
      <c r="AN54" s="1063"/>
      <c r="AO54" s="1063" t="s">
        <v>1145</v>
      </c>
      <c r="AP54" s="1127"/>
      <c r="AQ54" s="313"/>
      <c r="AR54" s="351"/>
      <c r="AU54" s="804"/>
      <c r="AV54" s="806"/>
      <c r="AW54" s="802"/>
      <c r="AX54" s="802"/>
      <c r="AY54" s="802"/>
      <c r="AZ54" s="802"/>
      <c r="BA54" s="800"/>
      <c r="BB54" s="808"/>
      <c r="BC54" s="808"/>
      <c r="BD54" s="808"/>
      <c r="BE54" s="800"/>
      <c r="BF54" s="802"/>
      <c r="BG54" s="1051"/>
      <c r="BH54" s="806"/>
      <c r="BI54" s="806"/>
    </row>
    <row r="55" spans="2:61" ht="15.95" customHeight="1" thickBot="1" x14ac:dyDescent="0.3">
      <c r="B55" s="1119"/>
      <c r="C55" s="342"/>
      <c r="D55" s="1130"/>
      <c r="E55" s="1095"/>
      <c r="F55" s="1095"/>
      <c r="G55" s="1095"/>
      <c r="H55" s="1132"/>
      <c r="I55" s="1132"/>
      <c r="J55" s="351"/>
      <c r="K55" s="1134"/>
      <c r="L55" s="1134"/>
      <c r="M55" s="1134"/>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4"/>
      <c r="AL55" s="312"/>
      <c r="AM55" s="1064"/>
      <c r="AN55" s="1064"/>
      <c r="AO55" s="1064"/>
      <c r="AP55" s="1128"/>
      <c r="AQ55" s="313"/>
      <c r="AR55" s="351"/>
      <c r="AU55" s="805"/>
      <c r="AV55" s="807"/>
      <c r="AW55" s="803"/>
      <c r="AX55" s="803"/>
      <c r="AY55" s="803"/>
      <c r="AZ55" s="803"/>
      <c r="BA55" s="801"/>
      <c r="BB55" s="797"/>
      <c r="BC55" s="797"/>
      <c r="BD55" s="797"/>
      <c r="BE55" s="801"/>
      <c r="BF55" s="803"/>
      <c r="BG55" s="1052"/>
      <c r="BH55" s="807"/>
      <c r="BI55" s="807"/>
    </row>
    <row r="56" spans="2:61" ht="15.95" customHeight="1" x14ac:dyDescent="0.25">
      <c r="B56" s="1119"/>
      <c r="C56" s="342"/>
      <c r="D56" s="1659"/>
      <c r="E56" s="1097"/>
      <c r="F56" s="1097"/>
      <c r="G56" s="1097"/>
      <c r="H56" s="1138"/>
      <c r="I56" s="1138"/>
      <c r="J56" s="351"/>
      <c r="K56" s="1008" t="s">
        <v>560</v>
      </c>
      <c r="L56" s="1008"/>
      <c r="M56" s="1008"/>
      <c r="N56" s="1069"/>
      <c r="O56" s="1069"/>
      <c r="P56" s="1069"/>
      <c r="Q56" s="1069"/>
      <c r="R56" s="880"/>
      <c r="S56" s="852"/>
      <c r="T56" s="852"/>
      <c r="U56" s="1070"/>
      <c r="V56" s="1070"/>
      <c r="W56" s="1066" t="str">
        <f>IF(N56="","",INDEX(CMLIGHTBASE[Base Watt 1],MATCH(N56,CMLIGHTBASE[Base Desc 1],0)))</f>
        <v/>
      </c>
      <c r="X56" s="1067"/>
      <c r="Y56" s="1143"/>
      <c r="Z56" s="1144"/>
      <c r="AA56" s="1144"/>
      <c r="AB56" s="1144"/>
      <c r="AC56" s="1086"/>
      <c r="AD56" s="1086"/>
      <c r="AE56" s="1161"/>
      <c r="AF56" s="1141"/>
      <c r="AG56" s="1142"/>
      <c r="AH56" s="1178"/>
      <c r="AI56" s="1179"/>
      <c r="AJ56" s="1106"/>
      <c r="AK56" s="1107"/>
      <c r="AL56" s="312"/>
      <c r="AM56" s="1180"/>
      <c r="AN56" s="1180"/>
      <c r="AO56" s="1180"/>
      <c r="AP56" s="1182"/>
      <c r="AQ56" s="313"/>
      <c r="AR56" s="351"/>
      <c r="AU56" s="804"/>
      <c r="AV56" s="806"/>
      <c r="AW56" s="802"/>
      <c r="AX56" s="802"/>
      <c r="AY56" s="802"/>
      <c r="AZ56" s="802"/>
      <c r="BA56" s="800"/>
      <c r="BB56" s="808"/>
      <c r="BC56" s="808"/>
      <c r="BD56" s="808"/>
      <c r="BE56" s="800"/>
      <c r="BF56" s="802"/>
      <c r="BG56" s="1051"/>
      <c r="BH56" s="806"/>
      <c r="BI56" s="806"/>
    </row>
    <row r="57" spans="2:61" ht="15.95" customHeight="1" x14ac:dyDescent="0.25">
      <c r="B57" s="1119"/>
      <c r="C57" s="342"/>
      <c r="D57" s="1137"/>
      <c r="E57" s="1099"/>
      <c r="F57" s="1099"/>
      <c r="G57" s="1099"/>
      <c r="H57" s="1139"/>
      <c r="I57" s="1139"/>
      <c r="J57" s="351"/>
      <c r="K57" s="1008"/>
      <c r="L57" s="1008"/>
      <c r="M57" s="1008"/>
      <c r="N57" s="1069"/>
      <c r="O57" s="1069"/>
      <c r="P57" s="1069"/>
      <c r="Q57" s="1069"/>
      <c r="R57" s="852"/>
      <c r="S57" s="852"/>
      <c r="T57" s="852"/>
      <c r="U57" s="1070"/>
      <c r="V57" s="1070"/>
      <c r="W57" s="1066"/>
      <c r="X57" s="1067"/>
      <c r="Y57" s="1121"/>
      <c r="Z57" s="1105"/>
      <c r="AA57" s="1105"/>
      <c r="AB57" s="1105"/>
      <c r="AC57" s="1087"/>
      <c r="AD57" s="1087"/>
      <c r="AE57" s="824"/>
      <c r="AF57" s="825"/>
      <c r="AG57" s="826"/>
      <c r="AH57" s="1124"/>
      <c r="AI57" s="1125"/>
      <c r="AJ57" s="1108"/>
      <c r="AK57" s="1109"/>
      <c r="AL57" s="312"/>
      <c r="AM57" s="1181"/>
      <c r="AN57" s="1181"/>
      <c r="AO57" s="1181"/>
      <c r="AP57" s="1183"/>
      <c r="AQ57" s="313"/>
      <c r="AR57" s="351"/>
      <c r="AU57" s="805"/>
      <c r="AV57" s="807"/>
      <c r="AW57" s="803"/>
      <c r="AX57" s="803"/>
      <c r="AY57" s="803"/>
      <c r="AZ57" s="803"/>
      <c r="BA57" s="801"/>
      <c r="BB57" s="797"/>
      <c r="BC57" s="797"/>
      <c r="BD57" s="797"/>
      <c r="BE57" s="801"/>
      <c r="BF57" s="803"/>
      <c r="BG57" s="1052"/>
      <c r="BH57" s="807"/>
      <c r="BI57" s="807"/>
    </row>
    <row r="58" spans="2:61" ht="15.95" customHeight="1" x14ac:dyDescent="0.25">
      <c r="B58" s="1119"/>
      <c r="C58" s="342"/>
      <c r="D58" s="374"/>
      <c r="E58" s="343"/>
      <c r="F58" s="343"/>
      <c r="G58" s="343"/>
      <c r="H58" s="343"/>
      <c r="I58" s="343"/>
      <c r="J58" s="343"/>
      <c r="K58" s="1008" t="s">
        <v>560</v>
      </c>
      <c r="L58" s="1008"/>
      <c r="M58" s="1008"/>
      <c r="N58" s="1069"/>
      <c r="O58" s="1069"/>
      <c r="P58" s="1069"/>
      <c r="Q58" s="1069"/>
      <c r="R58" s="880"/>
      <c r="S58" s="852"/>
      <c r="T58" s="852"/>
      <c r="U58" s="1070"/>
      <c r="V58" s="1070"/>
      <c r="W58" s="1066" t="str">
        <f>IF(N58="","",INDEX(CMLIGHTBASE[Base Watt 1],MATCH(N58,CMLIGHTBASE[Base Desc 1],0)))</f>
        <v/>
      </c>
      <c r="X58" s="1067"/>
      <c r="Y58" s="1120"/>
      <c r="Z58" s="1103"/>
      <c r="AA58" s="1103"/>
      <c r="AB58" s="1103"/>
      <c r="AC58" s="1086"/>
      <c r="AD58" s="1086"/>
      <c r="AE58" s="881"/>
      <c r="AF58" s="822"/>
      <c r="AG58" s="823"/>
      <c r="AH58" s="1122"/>
      <c r="AI58" s="1123"/>
      <c r="AJ58" s="1106"/>
      <c r="AK58" s="1107"/>
      <c r="AL58" s="312"/>
      <c r="AM58" s="312"/>
      <c r="AN58" s="312"/>
      <c r="AO58" s="313"/>
      <c r="AP58" s="336"/>
      <c r="AQ58" s="313"/>
      <c r="AR58" s="351"/>
      <c r="AU58" s="804"/>
      <c r="AV58" s="806"/>
      <c r="AW58" s="802"/>
      <c r="AX58" s="802"/>
      <c r="AY58" s="802"/>
      <c r="AZ58" s="802"/>
      <c r="BA58" s="800"/>
      <c r="BB58" s="808"/>
      <c r="BC58" s="808"/>
      <c r="BD58" s="808"/>
      <c r="BE58" s="800"/>
      <c r="BF58" s="802"/>
      <c r="BG58" s="1051"/>
      <c r="BH58" s="806"/>
      <c r="BI58" s="806"/>
    </row>
    <row r="59" spans="2:61" ht="15.95" customHeight="1" x14ac:dyDescent="0.25">
      <c r="B59" s="1119"/>
      <c r="C59" s="342"/>
      <c r="D59" s="374"/>
      <c r="E59" s="1658" t="s">
        <v>2313</v>
      </c>
      <c r="F59" s="1658"/>
      <c r="G59" s="1658"/>
      <c r="H59" s="1658"/>
      <c r="I59" s="1658"/>
      <c r="J59" s="351"/>
      <c r="K59" s="1008"/>
      <c r="L59" s="1008"/>
      <c r="M59" s="1008"/>
      <c r="N59" s="1069"/>
      <c r="O59" s="1069"/>
      <c r="P59" s="1069"/>
      <c r="Q59" s="1069"/>
      <c r="R59" s="852"/>
      <c r="S59" s="852"/>
      <c r="T59" s="852"/>
      <c r="U59" s="1070"/>
      <c r="V59" s="1070"/>
      <c r="W59" s="1066"/>
      <c r="X59" s="1067"/>
      <c r="Y59" s="1121"/>
      <c r="Z59" s="1105"/>
      <c r="AA59" s="1105"/>
      <c r="AB59" s="1105"/>
      <c r="AC59" s="1087"/>
      <c r="AD59" s="1087"/>
      <c r="AE59" s="824"/>
      <c r="AF59" s="825"/>
      <c r="AG59" s="826"/>
      <c r="AH59" s="1124"/>
      <c r="AI59" s="1125"/>
      <c r="AJ59" s="1108"/>
      <c r="AK59" s="1109"/>
      <c r="AL59" s="312"/>
      <c r="AM59" s="312"/>
      <c r="AN59" s="312"/>
      <c r="AO59" s="313"/>
      <c r="AP59" s="336"/>
      <c r="AQ59" s="313"/>
      <c r="AR59" s="351"/>
      <c r="AU59" s="805"/>
      <c r="AV59" s="807"/>
      <c r="AW59" s="803"/>
      <c r="AX59" s="803"/>
      <c r="AY59" s="803"/>
      <c r="AZ59" s="803"/>
      <c r="BA59" s="801"/>
      <c r="BB59" s="797"/>
      <c r="BC59" s="797"/>
      <c r="BD59" s="797"/>
      <c r="BE59" s="801"/>
      <c r="BF59" s="803"/>
      <c r="BG59" s="1052"/>
      <c r="BH59" s="807"/>
      <c r="BI59" s="807"/>
    </row>
    <row r="60" spans="2:61" ht="15.95" customHeight="1" x14ac:dyDescent="0.25">
      <c r="B60" s="1119"/>
      <c r="C60" s="342"/>
      <c r="D60" s="374"/>
      <c r="E60" s="1658"/>
      <c r="F60" s="1658"/>
      <c r="G60" s="1658"/>
      <c r="H60" s="1658"/>
      <c r="I60" s="1658"/>
      <c r="J60" s="351"/>
      <c r="K60" s="1008" t="s">
        <v>560</v>
      </c>
      <c r="L60" s="1008"/>
      <c r="M60" s="1008"/>
      <c r="N60" s="1069"/>
      <c r="O60" s="1069"/>
      <c r="P60" s="1069"/>
      <c r="Q60" s="1069"/>
      <c r="R60" s="880"/>
      <c r="S60" s="852"/>
      <c r="T60" s="852"/>
      <c r="U60" s="1070"/>
      <c r="V60" s="1070"/>
      <c r="W60" s="1066" t="str">
        <f>IF(N60="","",INDEX(CMLIGHTBASE[Base Watt 1],MATCH(N60,CMLIGHTBASE[Base Desc 1],0)))</f>
        <v/>
      </c>
      <c r="X60" s="1067"/>
      <c r="Y60" s="1120"/>
      <c r="Z60" s="1103"/>
      <c r="AA60" s="1103"/>
      <c r="AB60" s="1103"/>
      <c r="AC60" s="1086"/>
      <c r="AD60" s="1086"/>
      <c r="AE60" s="882"/>
      <c r="AF60" s="822"/>
      <c r="AG60" s="823"/>
      <c r="AH60" s="1122"/>
      <c r="AI60" s="1123"/>
      <c r="AJ60" s="1106"/>
      <c r="AK60" s="1107"/>
      <c r="AL60" s="312"/>
      <c r="AM60" s="312"/>
      <c r="AN60" s="312"/>
      <c r="AO60" s="313"/>
      <c r="AP60" s="336"/>
      <c r="AQ60" s="313"/>
      <c r="AR60" s="351"/>
      <c r="AU60" s="804"/>
      <c r="AV60" s="806"/>
      <c r="AW60" s="802"/>
      <c r="AX60" s="802"/>
      <c r="AY60" s="802"/>
      <c r="AZ60" s="802"/>
      <c r="BA60" s="800"/>
      <c r="BB60" s="808"/>
      <c r="BC60" s="808"/>
      <c r="BD60" s="808"/>
      <c r="BE60" s="800"/>
      <c r="BF60" s="802"/>
      <c r="BG60" s="1051"/>
      <c r="BH60" s="806"/>
      <c r="BI60" s="806"/>
    </row>
    <row r="61" spans="2:61" ht="15.95" customHeight="1" x14ac:dyDescent="0.25">
      <c r="B61" s="1119"/>
      <c r="C61" s="342"/>
      <c r="D61" s="374"/>
      <c r="J61" s="351"/>
      <c r="K61" s="1008"/>
      <c r="L61" s="1008"/>
      <c r="M61" s="1008"/>
      <c r="N61" s="1069"/>
      <c r="O61" s="1069"/>
      <c r="P61" s="1069"/>
      <c r="Q61" s="1069"/>
      <c r="R61" s="852"/>
      <c r="S61" s="852"/>
      <c r="T61" s="852"/>
      <c r="U61" s="1070"/>
      <c r="V61" s="1070"/>
      <c r="W61" s="1066"/>
      <c r="X61" s="1067"/>
      <c r="Y61" s="1121"/>
      <c r="Z61" s="1105"/>
      <c r="AA61" s="1105"/>
      <c r="AB61" s="1105"/>
      <c r="AC61" s="1087"/>
      <c r="AD61" s="1087"/>
      <c r="AE61" s="824"/>
      <c r="AF61" s="825"/>
      <c r="AG61" s="826"/>
      <c r="AH61" s="1124"/>
      <c r="AI61" s="1125"/>
      <c r="AJ61" s="1108"/>
      <c r="AK61" s="1109"/>
      <c r="AL61" s="312"/>
      <c r="AM61" s="312"/>
      <c r="AN61" s="312"/>
      <c r="AO61" s="313"/>
      <c r="AP61" s="336"/>
      <c r="AQ61" s="313"/>
      <c r="AR61" s="351"/>
      <c r="AU61" s="805"/>
      <c r="AV61" s="807"/>
      <c r="AW61" s="803"/>
      <c r="AX61" s="803"/>
      <c r="AY61" s="803"/>
      <c r="AZ61" s="803"/>
      <c r="BA61" s="801"/>
      <c r="BB61" s="797"/>
      <c r="BC61" s="797"/>
      <c r="BD61" s="797"/>
      <c r="BE61" s="801"/>
      <c r="BF61" s="803"/>
      <c r="BG61" s="1052"/>
      <c r="BH61" s="807"/>
      <c r="BI61" s="807"/>
    </row>
    <row r="62" spans="2:61" ht="15.95" customHeight="1" x14ac:dyDescent="0.25">
      <c r="B62" s="1119"/>
      <c r="C62" s="342"/>
      <c r="D62" s="374"/>
      <c r="J62" s="351"/>
      <c r="K62" s="1008" t="s">
        <v>560</v>
      </c>
      <c r="L62" s="1008"/>
      <c r="M62" s="1008"/>
      <c r="N62" s="1069"/>
      <c r="O62" s="1069"/>
      <c r="P62" s="1069"/>
      <c r="Q62" s="1069"/>
      <c r="R62" s="883"/>
      <c r="S62" s="852"/>
      <c r="T62" s="852"/>
      <c r="U62" s="1070"/>
      <c r="V62" s="1070"/>
      <c r="W62" s="1066" t="str">
        <f>IF(N62="","",INDEX(CMLIGHTBASE[Base Watt 1],MATCH(N62,CMLIGHTBASE[Base Desc 1],0)))</f>
        <v/>
      </c>
      <c r="X62" s="1067"/>
      <c r="Y62" s="1120"/>
      <c r="Z62" s="1103"/>
      <c r="AA62" s="1103"/>
      <c r="AB62" s="1103"/>
      <c r="AC62" s="1086"/>
      <c r="AD62" s="1086"/>
      <c r="AE62" s="842"/>
      <c r="AF62" s="822"/>
      <c r="AG62" s="823"/>
      <c r="AH62" s="1122"/>
      <c r="AI62" s="1123"/>
      <c r="AJ62" s="1106"/>
      <c r="AK62" s="1107"/>
      <c r="AL62" s="312"/>
      <c r="AM62" s="312"/>
      <c r="AN62" s="312"/>
      <c r="AO62" s="313"/>
      <c r="AP62" s="336"/>
      <c r="AQ62" s="313"/>
      <c r="AR62" s="351"/>
      <c r="AU62" s="804"/>
      <c r="AV62" s="806"/>
      <c r="AW62" s="802"/>
      <c r="AX62" s="802"/>
      <c r="AY62" s="802"/>
      <c r="AZ62" s="802"/>
      <c r="BA62" s="800"/>
      <c r="BB62" s="808"/>
      <c r="BC62" s="808"/>
      <c r="BD62" s="808"/>
      <c r="BE62" s="800"/>
      <c r="BF62" s="802"/>
      <c r="BG62" s="1051"/>
      <c r="BH62" s="806"/>
      <c r="BI62" s="806"/>
    </row>
    <row r="63" spans="2:61" ht="15.95" customHeight="1" x14ac:dyDescent="0.25">
      <c r="B63" s="1119"/>
      <c r="C63" s="342"/>
      <c r="D63" s="374"/>
      <c r="E63" s="343"/>
      <c r="F63" s="343"/>
      <c r="G63" s="343"/>
      <c r="H63" s="343"/>
      <c r="I63" s="343"/>
      <c r="J63" s="351"/>
      <c r="K63" s="1008"/>
      <c r="L63" s="1008"/>
      <c r="M63" s="1008"/>
      <c r="N63" s="1069"/>
      <c r="O63" s="1069"/>
      <c r="P63" s="1069"/>
      <c r="Q63" s="1069"/>
      <c r="R63" s="852"/>
      <c r="S63" s="852"/>
      <c r="T63" s="852"/>
      <c r="U63" s="1070"/>
      <c r="V63" s="1070"/>
      <c r="W63" s="1066"/>
      <c r="X63" s="1067"/>
      <c r="Y63" s="1121"/>
      <c r="Z63" s="1105"/>
      <c r="AA63" s="1105"/>
      <c r="AB63" s="1105"/>
      <c r="AC63" s="1087"/>
      <c r="AD63" s="1087"/>
      <c r="AE63" s="824"/>
      <c r="AF63" s="825"/>
      <c r="AG63" s="826"/>
      <c r="AH63" s="1124"/>
      <c r="AI63" s="1125"/>
      <c r="AJ63" s="1108"/>
      <c r="AK63" s="1109"/>
      <c r="AL63" s="312"/>
      <c r="AM63" s="312"/>
      <c r="AN63" s="312"/>
      <c r="AO63" s="313"/>
      <c r="AP63" s="336"/>
      <c r="AQ63" s="313"/>
      <c r="AR63" s="351"/>
      <c r="AU63" s="805"/>
      <c r="AV63" s="807"/>
      <c r="AW63" s="803"/>
      <c r="AX63" s="803"/>
      <c r="AY63" s="803"/>
      <c r="AZ63" s="803"/>
      <c r="BA63" s="801"/>
      <c r="BB63" s="797"/>
      <c r="BC63" s="797"/>
      <c r="BD63" s="797"/>
      <c r="BE63" s="801"/>
      <c r="BF63" s="803"/>
      <c r="BG63" s="1052"/>
      <c r="BH63" s="807"/>
      <c r="BI63" s="807"/>
    </row>
    <row r="64" spans="2:61" ht="15.95" customHeight="1" x14ac:dyDescent="0.25">
      <c r="B64" s="1119"/>
      <c r="C64" s="342"/>
      <c r="D64" s="374"/>
      <c r="E64" s="343"/>
      <c r="F64" s="343"/>
      <c r="G64" s="343"/>
      <c r="H64" s="343"/>
      <c r="I64" s="343"/>
      <c r="J64" s="343"/>
      <c r="K64" s="1008" t="s">
        <v>560</v>
      </c>
      <c r="L64" s="1008"/>
      <c r="M64" s="1008"/>
      <c r="N64" s="1069"/>
      <c r="O64" s="1069"/>
      <c r="P64" s="1069"/>
      <c r="Q64" s="1069"/>
      <c r="R64" s="852"/>
      <c r="S64" s="852"/>
      <c r="T64" s="852"/>
      <c r="U64" s="1070"/>
      <c r="V64" s="1070"/>
      <c r="W64" s="1066" t="str">
        <f>IF(N64="","",INDEX(CMLIGHTBASE[Base Watt 1],MATCH(N64,CMLIGHTBASE[Base Desc 1],0)))</f>
        <v/>
      </c>
      <c r="X64" s="1067"/>
      <c r="Y64" s="1120"/>
      <c r="Z64" s="1103"/>
      <c r="AA64" s="1103"/>
      <c r="AB64" s="1103"/>
      <c r="AC64" s="1086"/>
      <c r="AD64" s="1086"/>
      <c r="AE64" s="842"/>
      <c r="AF64" s="822"/>
      <c r="AG64" s="823"/>
      <c r="AH64" s="1122"/>
      <c r="AI64" s="1123"/>
      <c r="AJ64" s="1106"/>
      <c r="AK64" s="1107"/>
      <c r="AL64" s="312"/>
      <c r="AM64" s="312"/>
      <c r="AN64" s="312"/>
      <c r="AO64" s="313"/>
      <c r="AP64" s="336"/>
      <c r="AQ64" s="313"/>
      <c r="AR64" s="351"/>
      <c r="AU64" s="804"/>
      <c r="AV64" s="806"/>
      <c r="AW64" s="802"/>
      <c r="AX64" s="802"/>
      <c r="AY64" s="802"/>
      <c r="AZ64" s="802"/>
      <c r="BA64" s="800"/>
      <c r="BB64" s="808"/>
      <c r="BC64" s="808"/>
      <c r="BD64" s="808"/>
      <c r="BE64" s="800"/>
      <c r="BF64" s="802"/>
      <c r="BG64" s="1051"/>
      <c r="BH64" s="806"/>
      <c r="BI64" s="806"/>
    </row>
    <row r="65" spans="2:61" ht="15.95" customHeight="1" x14ac:dyDescent="0.25">
      <c r="B65" s="1119"/>
      <c r="C65" s="342"/>
      <c r="D65" s="374"/>
      <c r="E65" s="343"/>
      <c r="F65" s="343"/>
      <c r="G65" s="343"/>
      <c r="H65" s="343"/>
      <c r="I65" s="343"/>
      <c r="J65" s="343"/>
      <c r="K65" s="1008"/>
      <c r="L65" s="1008"/>
      <c r="M65" s="1008"/>
      <c r="N65" s="1069"/>
      <c r="O65" s="1069"/>
      <c r="P65" s="1069"/>
      <c r="Q65" s="1069"/>
      <c r="R65" s="852"/>
      <c r="S65" s="852"/>
      <c r="T65" s="852"/>
      <c r="U65" s="1070"/>
      <c r="V65" s="1070"/>
      <c r="W65" s="1066"/>
      <c r="X65" s="1067"/>
      <c r="Y65" s="1121"/>
      <c r="Z65" s="1105"/>
      <c r="AA65" s="1105"/>
      <c r="AB65" s="1105"/>
      <c r="AC65" s="1087"/>
      <c r="AD65" s="1087"/>
      <c r="AE65" s="824"/>
      <c r="AF65" s="825"/>
      <c r="AG65" s="826"/>
      <c r="AH65" s="1124"/>
      <c r="AI65" s="1125"/>
      <c r="AJ65" s="1108"/>
      <c r="AK65" s="1109"/>
      <c r="AL65" s="312"/>
      <c r="AM65" s="312"/>
      <c r="AN65" s="312"/>
      <c r="AO65" s="313"/>
      <c r="AP65" s="336"/>
      <c r="AQ65" s="313"/>
      <c r="AR65" s="351"/>
      <c r="AU65" s="805"/>
      <c r="AV65" s="807"/>
      <c r="AW65" s="803"/>
      <c r="AX65" s="803"/>
      <c r="AY65" s="803"/>
      <c r="AZ65" s="803"/>
      <c r="BA65" s="801"/>
      <c r="BB65" s="797"/>
      <c r="BC65" s="797"/>
      <c r="BD65" s="797"/>
      <c r="BE65" s="801"/>
      <c r="BF65" s="803"/>
      <c r="BG65" s="1052"/>
      <c r="BH65" s="807"/>
      <c r="BI65" s="807"/>
    </row>
    <row r="66" spans="2:61" ht="15.95" customHeight="1" x14ac:dyDescent="0.25">
      <c r="B66" s="1119"/>
      <c r="C66" s="342"/>
      <c r="D66" s="374"/>
      <c r="E66" s="343"/>
      <c r="F66" s="343"/>
      <c r="G66" s="343"/>
      <c r="H66" s="343"/>
      <c r="I66" s="343"/>
      <c r="J66" s="343"/>
      <c r="K66" s="1008" t="s">
        <v>560</v>
      </c>
      <c r="L66" s="1008"/>
      <c r="M66" s="1008"/>
      <c r="N66" s="1069"/>
      <c r="O66" s="1069"/>
      <c r="P66" s="1069"/>
      <c r="Q66" s="1069"/>
      <c r="R66" s="852"/>
      <c r="S66" s="852"/>
      <c r="T66" s="852"/>
      <c r="U66" s="1070"/>
      <c r="V66" s="1070"/>
      <c r="W66" s="1066" t="str">
        <f>IF(N66="","",INDEX(CMLIGHTBASE[Base Watt 1],MATCH(N66,CMLIGHTBASE[Base Desc 1],0)))</f>
        <v/>
      </c>
      <c r="X66" s="1067"/>
      <c r="Y66" s="1120"/>
      <c r="Z66" s="1103"/>
      <c r="AA66" s="1103"/>
      <c r="AB66" s="1103"/>
      <c r="AC66" s="1086"/>
      <c r="AD66" s="1086"/>
      <c r="AE66" s="842"/>
      <c r="AF66" s="822"/>
      <c r="AG66" s="823"/>
      <c r="AH66" s="1122"/>
      <c r="AI66" s="1123"/>
      <c r="AJ66" s="1106"/>
      <c r="AK66" s="1107"/>
      <c r="AL66" s="312"/>
      <c r="AM66" s="312"/>
      <c r="AN66" s="312"/>
      <c r="AO66" s="313"/>
      <c r="AP66" s="336"/>
      <c r="AQ66" s="313"/>
      <c r="AR66" s="351"/>
      <c r="AU66" s="804"/>
      <c r="AV66" s="806"/>
      <c r="AW66" s="802"/>
      <c r="AX66" s="802"/>
      <c r="AY66" s="802"/>
      <c r="AZ66" s="802"/>
      <c r="BA66" s="800"/>
      <c r="BB66" s="808"/>
      <c r="BC66" s="808"/>
      <c r="BD66" s="808"/>
      <c r="BE66" s="800"/>
      <c r="BF66" s="802"/>
      <c r="BG66" s="1051"/>
      <c r="BH66" s="806"/>
      <c r="BI66" s="806"/>
    </row>
    <row r="67" spans="2:61" ht="15.95" customHeight="1" x14ac:dyDescent="0.25">
      <c r="B67" s="1119"/>
      <c r="C67" s="342"/>
      <c r="D67" s="374"/>
      <c r="E67" s="343"/>
      <c r="F67" s="343"/>
      <c r="G67" s="343"/>
      <c r="H67" s="343"/>
      <c r="I67" s="343"/>
      <c r="J67" s="343"/>
      <c r="K67" s="1008"/>
      <c r="L67" s="1008"/>
      <c r="M67" s="1008"/>
      <c r="N67" s="1069"/>
      <c r="O67" s="1069"/>
      <c r="P67" s="1069"/>
      <c r="Q67" s="1069"/>
      <c r="R67" s="852"/>
      <c r="S67" s="852"/>
      <c r="T67" s="852"/>
      <c r="U67" s="1070"/>
      <c r="V67" s="1070"/>
      <c r="W67" s="1066"/>
      <c r="X67" s="1067"/>
      <c r="Y67" s="1121"/>
      <c r="Z67" s="1105"/>
      <c r="AA67" s="1105"/>
      <c r="AB67" s="1105"/>
      <c r="AC67" s="1087"/>
      <c r="AD67" s="1087"/>
      <c r="AE67" s="824"/>
      <c r="AF67" s="825"/>
      <c r="AG67" s="826"/>
      <c r="AH67" s="1124"/>
      <c r="AI67" s="1125"/>
      <c r="AJ67" s="1108"/>
      <c r="AK67" s="1109"/>
      <c r="AL67" s="312"/>
      <c r="AM67" s="312"/>
      <c r="AN67" s="312"/>
      <c r="AO67" s="313"/>
      <c r="AP67" s="336"/>
      <c r="AQ67" s="313"/>
      <c r="AR67" s="351"/>
      <c r="AU67" s="805"/>
      <c r="AV67" s="807"/>
      <c r="AW67" s="803"/>
      <c r="AX67" s="803"/>
      <c r="AY67" s="803"/>
      <c r="AZ67" s="803"/>
      <c r="BA67" s="801"/>
      <c r="BB67" s="797"/>
      <c r="BC67" s="797"/>
      <c r="BD67" s="797"/>
      <c r="BE67" s="801"/>
      <c r="BF67" s="803"/>
      <c r="BG67" s="1052"/>
      <c r="BH67" s="807"/>
      <c r="BI67" s="807"/>
    </row>
    <row r="68" spans="2:61" ht="15.95" customHeight="1" x14ac:dyDescent="0.25">
      <c r="B68" s="1119"/>
      <c r="C68" s="342"/>
      <c r="D68" s="374"/>
      <c r="E68" s="343"/>
      <c r="F68" s="343"/>
      <c r="G68" s="343"/>
      <c r="H68" s="343"/>
      <c r="I68" s="343"/>
      <c r="J68" s="343"/>
      <c r="K68" s="1008" t="s">
        <v>560</v>
      </c>
      <c r="L68" s="1008"/>
      <c r="M68" s="1008"/>
      <c r="N68" s="1069"/>
      <c r="O68" s="1069"/>
      <c r="P68" s="1069"/>
      <c r="Q68" s="1069"/>
      <c r="R68" s="852"/>
      <c r="S68" s="852"/>
      <c r="T68" s="852"/>
      <c r="U68" s="1070"/>
      <c r="V68" s="1070"/>
      <c r="W68" s="1066" t="str">
        <f>IF(N68="","",INDEX(CMLIGHTBASE[Base Watt 1],MATCH(N68,CMLIGHTBASE[Base Desc 1],0)))</f>
        <v/>
      </c>
      <c r="X68" s="1067"/>
      <c r="Y68" s="1120"/>
      <c r="Z68" s="1103"/>
      <c r="AA68" s="1103"/>
      <c r="AB68" s="1103"/>
      <c r="AC68" s="1086"/>
      <c r="AD68" s="1086"/>
      <c r="AE68" s="842"/>
      <c r="AF68" s="822"/>
      <c r="AG68" s="823"/>
      <c r="AH68" s="1122"/>
      <c r="AI68" s="1123"/>
      <c r="AJ68" s="1106"/>
      <c r="AK68" s="1107"/>
      <c r="AL68" s="312"/>
      <c r="AM68" s="312"/>
      <c r="AN68" s="312"/>
      <c r="AO68" s="313"/>
      <c r="AP68" s="336"/>
      <c r="AQ68" s="313"/>
      <c r="AR68" s="351"/>
      <c r="AU68" s="804"/>
      <c r="AV68" s="806"/>
      <c r="AW68" s="802"/>
      <c r="AX68" s="802"/>
      <c r="AY68" s="802"/>
      <c r="AZ68" s="802"/>
      <c r="BA68" s="800"/>
      <c r="BB68" s="808"/>
      <c r="BC68" s="808"/>
      <c r="BD68" s="808"/>
      <c r="BE68" s="800"/>
      <c r="BF68" s="802"/>
      <c r="BG68" s="1051"/>
      <c r="BH68" s="806"/>
      <c r="BI68" s="806"/>
    </row>
    <row r="69" spans="2:61" ht="15.95" customHeight="1" x14ac:dyDescent="0.25">
      <c r="B69" s="1119"/>
      <c r="C69" s="342"/>
      <c r="D69" s="374"/>
      <c r="E69" s="343"/>
      <c r="F69" s="343"/>
      <c r="G69" s="343"/>
      <c r="H69" s="343"/>
      <c r="I69" s="343"/>
      <c r="J69" s="343"/>
      <c r="K69" s="1008"/>
      <c r="L69" s="1008"/>
      <c r="M69" s="1008"/>
      <c r="N69" s="1069"/>
      <c r="O69" s="1069"/>
      <c r="P69" s="1069"/>
      <c r="Q69" s="1069"/>
      <c r="R69" s="852"/>
      <c r="S69" s="852"/>
      <c r="T69" s="852"/>
      <c r="U69" s="1070"/>
      <c r="V69" s="1070"/>
      <c r="W69" s="1066"/>
      <c r="X69" s="1067"/>
      <c r="Y69" s="1121"/>
      <c r="Z69" s="1105"/>
      <c r="AA69" s="1105"/>
      <c r="AB69" s="1105"/>
      <c r="AC69" s="1087"/>
      <c r="AD69" s="1087"/>
      <c r="AE69" s="824"/>
      <c r="AF69" s="825"/>
      <c r="AG69" s="826"/>
      <c r="AH69" s="1124"/>
      <c r="AI69" s="1125"/>
      <c r="AJ69" s="1108"/>
      <c r="AK69" s="1109"/>
      <c r="AL69" s="312"/>
      <c r="AM69" s="312"/>
      <c r="AN69" s="312"/>
      <c r="AO69" s="313"/>
      <c r="AP69" s="336"/>
      <c r="AQ69" s="313"/>
      <c r="AR69" s="351"/>
      <c r="AU69" s="805"/>
      <c r="AV69" s="807"/>
      <c r="AW69" s="803"/>
      <c r="AX69" s="803"/>
      <c r="AY69" s="803"/>
      <c r="AZ69" s="803"/>
      <c r="BA69" s="801"/>
      <c r="BB69" s="797"/>
      <c r="BC69" s="797"/>
      <c r="BD69" s="797"/>
      <c r="BE69" s="801"/>
      <c r="BF69" s="803"/>
      <c r="BG69" s="1052"/>
      <c r="BH69" s="807"/>
      <c r="BI69" s="807"/>
    </row>
    <row r="70" spans="2:61" ht="15.95" customHeight="1" x14ac:dyDescent="0.25">
      <c r="B70" s="1119"/>
      <c r="C70" s="342"/>
      <c r="D70" s="374"/>
      <c r="E70" s="343"/>
      <c r="F70" s="343"/>
      <c r="G70" s="343"/>
      <c r="H70" s="343"/>
      <c r="I70" s="343"/>
      <c r="J70" s="343"/>
      <c r="K70" s="1008" t="s">
        <v>560</v>
      </c>
      <c r="L70" s="1008"/>
      <c r="M70" s="1008"/>
      <c r="N70" s="1069"/>
      <c r="O70" s="1069"/>
      <c r="P70" s="1069"/>
      <c r="Q70" s="1069"/>
      <c r="R70" s="852"/>
      <c r="S70" s="852"/>
      <c r="T70" s="852"/>
      <c r="U70" s="1070"/>
      <c r="V70" s="1070"/>
      <c r="W70" s="1066" t="str">
        <f>IF(N70="","",INDEX(CMLIGHTBASE[Base Watt 1],MATCH(N70,CMLIGHTBASE[Base Desc 1],0)))</f>
        <v/>
      </c>
      <c r="X70" s="1067"/>
      <c r="Y70" s="1120"/>
      <c r="Z70" s="1103"/>
      <c r="AA70" s="1103"/>
      <c r="AB70" s="1103"/>
      <c r="AC70" s="1086"/>
      <c r="AD70" s="1086"/>
      <c r="AE70" s="842"/>
      <c r="AF70" s="822"/>
      <c r="AG70" s="823"/>
      <c r="AH70" s="1122"/>
      <c r="AI70" s="1123"/>
      <c r="AJ70" s="1106"/>
      <c r="AK70" s="1107"/>
      <c r="AL70" s="312"/>
      <c r="AM70" s="312"/>
      <c r="AN70" s="312"/>
      <c r="AO70" s="313"/>
      <c r="AP70" s="336"/>
      <c r="AQ70" s="313"/>
      <c r="AR70" s="351"/>
      <c r="AU70" s="804"/>
      <c r="AV70" s="806"/>
      <c r="AW70" s="802"/>
      <c r="AX70" s="802"/>
      <c r="AY70" s="802"/>
      <c r="AZ70" s="802"/>
      <c r="BA70" s="800"/>
      <c r="BB70" s="808"/>
      <c r="BC70" s="808"/>
      <c r="BD70" s="808"/>
      <c r="BE70" s="800"/>
      <c r="BF70" s="802"/>
      <c r="BG70" s="1051"/>
      <c r="BH70" s="806"/>
      <c r="BI70" s="806"/>
    </row>
    <row r="71" spans="2:61" ht="15.95" customHeight="1" x14ac:dyDescent="0.25">
      <c r="B71" s="1119"/>
      <c r="C71" s="342"/>
      <c r="D71" s="374"/>
      <c r="E71" s="343"/>
      <c r="F71" s="343"/>
      <c r="G71" s="343"/>
      <c r="H71" s="343"/>
      <c r="I71" s="343"/>
      <c r="J71" s="343"/>
      <c r="K71" s="1008"/>
      <c r="L71" s="1008"/>
      <c r="M71" s="1008"/>
      <c r="N71" s="1069"/>
      <c r="O71" s="1069"/>
      <c r="P71" s="1069"/>
      <c r="Q71" s="1069"/>
      <c r="R71" s="852"/>
      <c r="S71" s="852"/>
      <c r="T71" s="852"/>
      <c r="U71" s="1070"/>
      <c r="V71" s="1070"/>
      <c r="W71" s="1066"/>
      <c r="X71" s="1067"/>
      <c r="Y71" s="1121"/>
      <c r="Z71" s="1105"/>
      <c r="AA71" s="1105"/>
      <c r="AB71" s="1105"/>
      <c r="AC71" s="1087"/>
      <c r="AD71" s="1087"/>
      <c r="AE71" s="824"/>
      <c r="AF71" s="825"/>
      <c r="AG71" s="826"/>
      <c r="AH71" s="1124"/>
      <c r="AI71" s="1125"/>
      <c r="AJ71" s="1108"/>
      <c r="AK71" s="1109"/>
      <c r="AL71" s="312"/>
      <c r="AM71" s="312"/>
      <c r="AN71" s="312"/>
      <c r="AO71" s="313"/>
      <c r="AP71" s="336"/>
      <c r="AQ71" s="313"/>
      <c r="AR71" s="351"/>
      <c r="AU71" s="805"/>
      <c r="AV71" s="807"/>
      <c r="AW71" s="803"/>
      <c r="AX71" s="803"/>
      <c r="AY71" s="803"/>
      <c r="AZ71" s="803"/>
      <c r="BA71" s="801"/>
      <c r="BB71" s="797"/>
      <c r="BC71" s="797"/>
      <c r="BD71" s="797"/>
      <c r="BE71" s="801"/>
      <c r="BF71" s="803"/>
      <c r="BG71" s="1052"/>
      <c r="BH71" s="807"/>
      <c r="BI71" s="807"/>
    </row>
    <row r="72" spans="2:61" ht="15.95" customHeight="1" x14ac:dyDescent="0.25">
      <c r="B72" s="1119"/>
      <c r="C72" s="342"/>
      <c r="D72" s="374"/>
      <c r="E72" s="343"/>
      <c r="F72" s="343"/>
      <c r="G72" s="343"/>
      <c r="H72" s="343"/>
      <c r="I72" s="343"/>
      <c r="J72" s="343"/>
      <c r="K72" s="1008" t="s">
        <v>560</v>
      </c>
      <c r="L72" s="1008"/>
      <c r="M72" s="1008"/>
      <c r="N72" s="1069"/>
      <c r="O72" s="1069"/>
      <c r="P72" s="1069"/>
      <c r="Q72" s="1069"/>
      <c r="R72" s="852"/>
      <c r="S72" s="852"/>
      <c r="T72" s="852"/>
      <c r="U72" s="1070"/>
      <c r="V72" s="1070"/>
      <c r="W72" s="1066" t="str">
        <f>IF(N72="","",INDEX(CMLIGHTBASE[Base Watt 1],MATCH(N72,CMLIGHTBASE[Base Desc 1],0)))</f>
        <v/>
      </c>
      <c r="X72" s="1067"/>
      <c r="Y72" s="1120"/>
      <c r="Z72" s="1103"/>
      <c r="AA72" s="1103"/>
      <c r="AB72" s="1103"/>
      <c r="AC72" s="1086"/>
      <c r="AD72" s="1086"/>
      <c r="AE72" s="842"/>
      <c r="AF72" s="822"/>
      <c r="AG72" s="823"/>
      <c r="AH72" s="1122"/>
      <c r="AI72" s="1123"/>
      <c r="AJ72" s="1106"/>
      <c r="AK72" s="1107"/>
      <c r="AL72" s="312"/>
      <c r="AM72" s="312"/>
      <c r="AN72" s="312"/>
      <c r="AO72" s="313"/>
      <c r="AP72" s="336"/>
      <c r="AQ72" s="313"/>
      <c r="AR72" s="351"/>
      <c r="AU72" s="804"/>
      <c r="AV72" s="806"/>
      <c r="AW72" s="802"/>
      <c r="AX72" s="802"/>
      <c r="AY72" s="802"/>
      <c r="AZ72" s="802"/>
      <c r="BA72" s="800"/>
      <c r="BB72" s="808"/>
      <c r="BC72" s="808"/>
      <c r="BD72" s="808"/>
      <c r="BE72" s="800"/>
      <c r="BF72" s="802"/>
      <c r="BG72" s="1051"/>
      <c r="BH72" s="806"/>
      <c r="BI72" s="806"/>
    </row>
    <row r="73" spans="2:61" ht="15.95" customHeight="1" x14ac:dyDescent="0.25">
      <c r="B73" s="1119"/>
      <c r="C73" s="342"/>
      <c r="D73" s="374"/>
      <c r="E73" s="343"/>
      <c r="F73" s="343"/>
      <c r="G73" s="343"/>
      <c r="H73" s="343"/>
      <c r="I73" s="343"/>
      <c r="J73" s="343"/>
      <c r="K73" s="1008"/>
      <c r="L73" s="1008"/>
      <c r="M73" s="1008"/>
      <c r="N73" s="1069"/>
      <c r="O73" s="1069"/>
      <c r="P73" s="1069"/>
      <c r="Q73" s="1069"/>
      <c r="R73" s="852"/>
      <c r="S73" s="852"/>
      <c r="T73" s="852"/>
      <c r="U73" s="1070"/>
      <c r="V73" s="1070"/>
      <c r="W73" s="1066"/>
      <c r="X73" s="1067"/>
      <c r="Y73" s="1121"/>
      <c r="Z73" s="1105"/>
      <c r="AA73" s="1105"/>
      <c r="AB73" s="1105"/>
      <c r="AC73" s="1087"/>
      <c r="AD73" s="1087"/>
      <c r="AE73" s="824"/>
      <c r="AF73" s="825"/>
      <c r="AG73" s="826"/>
      <c r="AH73" s="1124"/>
      <c r="AI73" s="1125"/>
      <c r="AJ73" s="1108"/>
      <c r="AK73" s="1109"/>
      <c r="AL73" s="312"/>
      <c r="AM73" s="312"/>
      <c r="AN73" s="312"/>
      <c r="AO73" s="313"/>
      <c r="AP73" s="336"/>
      <c r="AQ73" s="313"/>
      <c r="AR73" s="351"/>
      <c r="AU73" s="805"/>
      <c r="AV73" s="807"/>
      <c r="AW73" s="803"/>
      <c r="AX73" s="803"/>
      <c r="AY73" s="803"/>
      <c r="AZ73" s="803"/>
      <c r="BA73" s="801"/>
      <c r="BB73" s="797"/>
      <c r="BC73" s="797"/>
      <c r="BD73" s="797"/>
      <c r="BE73" s="801"/>
      <c r="BF73" s="803"/>
      <c r="BG73" s="1052"/>
      <c r="BH73" s="807"/>
      <c r="BI73" s="807"/>
    </row>
    <row r="74" spans="2:61" ht="15.95" customHeight="1" x14ac:dyDescent="0.25">
      <c r="B74" s="1119"/>
      <c r="C74" s="342"/>
      <c r="D74" s="374"/>
      <c r="E74" s="343"/>
      <c r="F74" s="343"/>
      <c r="G74" s="343"/>
      <c r="H74" s="343"/>
      <c r="I74" s="343"/>
      <c r="J74" s="343"/>
      <c r="K74" s="1008" t="s">
        <v>560</v>
      </c>
      <c r="L74" s="1008"/>
      <c r="M74" s="1008"/>
      <c r="N74" s="1069"/>
      <c r="O74" s="1069"/>
      <c r="P74" s="1069"/>
      <c r="Q74" s="1069"/>
      <c r="R74" s="852"/>
      <c r="S74" s="852"/>
      <c r="T74" s="852"/>
      <c r="U74" s="1070"/>
      <c r="V74" s="1070"/>
      <c r="W74" s="1066" t="str">
        <f>IF(N74="","",INDEX(CMLIGHTBASE[Base Watt 1],MATCH(N74,CMLIGHTBASE[Base Desc 1],0)))</f>
        <v/>
      </c>
      <c r="X74" s="1067"/>
      <c r="Y74" s="1120"/>
      <c r="Z74" s="1103"/>
      <c r="AA74" s="1103"/>
      <c r="AB74" s="1103"/>
      <c r="AC74" s="1086"/>
      <c r="AD74" s="1086"/>
      <c r="AE74" s="842"/>
      <c r="AF74" s="822"/>
      <c r="AG74" s="823"/>
      <c r="AH74" s="1122"/>
      <c r="AI74" s="1123"/>
      <c r="AJ74" s="1106"/>
      <c r="AK74" s="1107"/>
      <c r="AL74" s="312"/>
      <c r="AM74" s="312"/>
      <c r="AN74" s="312"/>
      <c r="AO74" s="313"/>
      <c r="AP74" s="336"/>
      <c r="AQ74" s="313"/>
      <c r="AR74" s="351"/>
      <c r="AU74" s="804"/>
      <c r="AV74" s="806"/>
      <c r="AW74" s="802"/>
      <c r="AX74" s="802"/>
      <c r="AY74" s="802"/>
      <c r="AZ74" s="802"/>
      <c r="BA74" s="800"/>
      <c r="BB74" s="808"/>
      <c r="BC74" s="808"/>
      <c r="BD74" s="808"/>
      <c r="BE74" s="800"/>
      <c r="BF74" s="802"/>
      <c r="BG74" s="1051"/>
      <c r="BH74" s="806"/>
      <c r="BI74" s="806"/>
    </row>
    <row r="75" spans="2:61" ht="15.95" customHeight="1" thickBot="1" x14ac:dyDescent="0.3">
      <c r="B75" s="1119"/>
      <c r="C75" s="342"/>
      <c r="D75" s="374"/>
      <c r="E75" s="343"/>
      <c r="F75" s="343"/>
      <c r="G75" s="343"/>
      <c r="H75" s="343"/>
      <c r="I75" s="343"/>
      <c r="J75" s="343"/>
      <c r="K75" s="1008"/>
      <c r="L75" s="1008"/>
      <c r="M75" s="1008"/>
      <c r="N75" s="1069"/>
      <c r="O75" s="1069"/>
      <c r="P75" s="1069"/>
      <c r="Q75" s="1069"/>
      <c r="R75" s="852"/>
      <c r="S75" s="852"/>
      <c r="T75" s="852"/>
      <c r="U75" s="1070"/>
      <c r="V75" s="1070"/>
      <c r="W75" s="1066"/>
      <c r="X75" s="1067"/>
      <c r="Y75" s="1121"/>
      <c r="Z75" s="1105"/>
      <c r="AA75" s="1105"/>
      <c r="AB75" s="1105"/>
      <c r="AC75" s="1087"/>
      <c r="AD75" s="1087"/>
      <c r="AE75" s="824"/>
      <c r="AF75" s="825"/>
      <c r="AG75" s="826"/>
      <c r="AH75" s="1124"/>
      <c r="AI75" s="1125"/>
      <c r="AJ75" s="1108"/>
      <c r="AK75" s="1109"/>
      <c r="AL75" s="312"/>
      <c r="AM75" s="312"/>
      <c r="AN75" s="312"/>
      <c r="AO75" s="313"/>
      <c r="AP75" s="336"/>
      <c r="AQ75" s="313"/>
      <c r="AR75" s="351"/>
      <c r="AU75" s="805"/>
      <c r="AV75" s="807"/>
      <c r="AW75" s="803"/>
      <c r="AX75" s="803"/>
      <c r="AY75" s="803"/>
      <c r="AZ75" s="803"/>
      <c r="BA75" s="801"/>
      <c r="BB75" s="797"/>
      <c r="BC75" s="797"/>
      <c r="BD75" s="797"/>
      <c r="BE75" s="801"/>
      <c r="BF75" s="803"/>
      <c r="BG75" s="1052"/>
      <c r="BH75" s="807"/>
      <c r="BI75" s="807"/>
    </row>
    <row r="76" spans="2:61" ht="15.95" customHeight="1" x14ac:dyDescent="0.25">
      <c r="B76" s="1119"/>
      <c r="C76" s="375"/>
      <c r="D76" s="374"/>
      <c r="E76" s="343"/>
      <c r="F76" s="343"/>
      <c r="G76" s="343"/>
      <c r="H76" s="343"/>
      <c r="I76" s="343"/>
      <c r="J76" s="343"/>
      <c r="K76" s="344"/>
      <c r="L76" s="344"/>
      <c r="M76" s="314"/>
      <c r="N76" s="314"/>
      <c r="O76" s="346"/>
      <c r="P76" s="346"/>
      <c r="Q76" s="346"/>
      <c r="R76" s="348"/>
      <c r="S76" s="348"/>
      <c r="T76" s="348"/>
      <c r="U76" s="1114"/>
      <c r="V76" s="1115"/>
      <c r="W76" s="1088">
        <f>IF(OR(M02S02F44="Yes",AND(M02S02F44="No",OR(M02S02F49="",M02S02F49="No"))),"Not Eligible",SUMPRODUCT(U56:V75,W56:X75))</f>
        <v>0</v>
      </c>
      <c r="X76" s="1089"/>
      <c r="Y76" s="314"/>
      <c r="Z76" s="314"/>
      <c r="AA76" s="348"/>
      <c r="AB76" s="348"/>
      <c r="AC76" s="348"/>
      <c r="AD76" s="349"/>
      <c r="AE76" s="349"/>
      <c r="AF76" s="350"/>
      <c r="AG76" s="350"/>
      <c r="AH76" s="350"/>
      <c r="AI76" s="350"/>
      <c r="AJ76" s="1088">
        <f>IF(OR(M02S02F44="Yes",AND(M02S02F44="No",OR(M02S02F49="",M02S02F49="No"))),"Not Eligible",SUMPRODUCT(AH56:AI75,AJ56:AK75))</f>
        <v>0</v>
      </c>
      <c r="AK76" s="1089"/>
      <c r="AL76" s="312"/>
      <c r="AM76" s="312"/>
      <c r="AN76" s="312"/>
      <c r="AO76" s="313"/>
      <c r="AP76" s="336"/>
      <c r="AQ76" s="375"/>
      <c r="AR76" s="351"/>
      <c r="AU76" s="798" t="s">
        <v>191</v>
      </c>
      <c r="AV76" s="798" t="s">
        <v>192</v>
      </c>
      <c r="AW76" s="798" t="s">
        <v>207</v>
      </c>
      <c r="AX76" s="798" t="s">
        <v>193</v>
      </c>
      <c r="AY76" s="798" t="s">
        <v>1361</v>
      </c>
      <c r="AZ76" s="798" t="s">
        <v>1362</v>
      </c>
      <c r="BA76" s="798" t="s">
        <v>1228</v>
      </c>
      <c r="BB76" s="798" t="s">
        <v>125</v>
      </c>
      <c r="BC76" s="798" t="s">
        <v>1363</v>
      </c>
      <c r="BD76" s="798" t="s">
        <v>118</v>
      </c>
      <c r="BE76" s="798" t="s">
        <v>473</v>
      </c>
      <c r="BF76" s="798" t="s">
        <v>1352</v>
      </c>
      <c r="BG76" s="1053" t="s">
        <v>2251</v>
      </c>
      <c r="BH76" s="798" t="s">
        <v>2327</v>
      </c>
      <c r="BI76" s="1053" t="s">
        <v>561</v>
      </c>
    </row>
    <row r="77" spans="2:61" ht="15.95" customHeight="1" thickBot="1" x14ac:dyDescent="0.3">
      <c r="B77" s="1119"/>
      <c r="C77" s="375"/>
      <c r="D77" s="376"/>
      <c r="E77" s="377"/>
      <c r="F77" s="377"/>
      <c r="G77" s="377"/>
      <c r="H77" s="377"/>
      <c r="I77" s="377"/>
      <c r="J77" s="377"/>
      <c r="K77" s="378"/>
      <c r="L77" s="378"/>
      <c r="M77" s="337"/>
      <c r="N77" s="337"/>
      <c r="O77" s="379"/>
      <c r="P77" s="380"/>
      <c r="Q77" s="380"/>
      <c r="R77" s="381"/>
      <c r="S77" s="382"/>
      <c r="T77" s="382"/>
      <c r="U77" s="1116"/>
      <c r="V77" s="1116"/>
      <c r="W77" s="1090"/>
      <c r="X77" s="1091"/>
      <c r="Y77" s="337"/>
      <c r="Z77" s="337"/>
      <c r="AA77" s="381"/>
      <c r="AB77" s="382"/>
      <c r="AC77" s="382"/>
      <c r="AD77" s="383"/>
      <c r="AE77" s="383"/>
      <c r="AF77" s="384"/>
      <c r="AG77" s="384"/>
      <c r="AH77" s="384"/>
      <c r="AI77" s="384"/>
      <c r="AJ77" s="1090"/>
      <c r="AK77" s="1091"/>
      <c r="AL77" s="338"/>
      <c r="AM77" s="338"/>
      <c r="AN77" s="338"/>
      <c r="AO77" s="339"/>
      <c r="AP77" s="340"/>
      <c r="AQ77" s="375"/>
      <c r="AR77" s="351"/>
      <c r="AU77" s="799"/>
      <c r="AV77" s="799"/>
      <c r="AW77" s="799"/>
      <c r="AX77" s="799"/>
      <c r="AY77" s="799" t="s">
        <v>1360</v>
      </c>
      <c r="AZ77" s="799"/>
      <c r="BA77" s="799"/>
      <c r="BB77" s="799"/>
      <c r="BC77" s="799"/>
      <c r="BD77" s="799"/>
      <c r="BE77" s="799"/>
      <c r="BF77" s="799"/>
      <c r="BG77" s="799"/>
      <c r="BH77" s="799"/>
      <c r="BI77" s="799"/>
    </row>
    <row r="78" spans="2:61" ht="15.95" customHeight="1" thickTop="1" x14ac:dyDescent="0.25">
      <c r="B78" s="1119"/>
      <c r="C78" s="351"/>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BH78" s="806"/>
      <c r="BI78" s="806"/>
    </row>
    <row r="79" spans="2:61" ht="15.95" hidden="1" customHeight="1" x14ac:dyDescent="0.25">
      <c r="B79" s="873"/>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BH79" s="807"/>
      <c r="BI79" s="807"/>
    </row>
    <row r="80" spans="2:61" ht="15.95" hidden="1" customHeight="1" x14ac:dyDescent="0.25">
      <c r="BH80" s="806"/>
      <c r="BI80" s="806"/>
    </row>
    <row r="81" spans="60:61" ht="15.95" hidden="1" customHeight="1" x14ac:dyDescent="0.25">
      <c r="BH81" s="807"/>
      <c r="BI81" s="807"/>
    </row>
    <row r="82" spans="60:61" ht="15.95" hidden="1" customHeight="1" x14ac:dyDescent="0.25">
      <c r="BH82" s="806"/>
      <c r="BI82" s="806"/>
    </row>
    <row r="83" spans="60:61" ht="15.95" hidden="1" customHeight="1" x14ac:dyDescent="0.25">
      <c r="BH83" s="807"/>
      <c r="BI83" s="807"/>
    </row>
    <row r="84" spans="60:61" ht="15.95" hidden="1" customHeight="1" x14ac:dyDescent="0.25">
      <c r="BH84" s="806"/>
      <c r="BI84" s="806"/>
    </row>
    <row r="85" spans="60:61" ht="15.95" hidden="1" customHeight="1" x14ac:dyDescent="0.25">
      <c r="BH85" s="807"/>
      <c r="BI85" s="807"/>
    </row>
    <row r="86" spans="60:61" ht="15.95" hidden="1" customHeight="1" x14ac:dyDescent="0.25">
      <c r="BH86" s="806"/>
      <c r="BI86" s="806"/>
    </row>
    <row r="87" spans="60:61" ht="15.95" hidden="1" customHeight="1" x14ac:dyDescent="0.25">
      <c r="BH87" s="807"/>
      <c r="BI87" s="807"/>
    </row>
    <row r="88" spans="60:61" ht="15.95" hidden="1" customHeight="1" x14ac:dyDescent="0.25">
      <c r="BH88" s="806"/>
      <c r="BI88" s="806"/>
    </row>
    <row r="89" spans="60:61" ht="15.95" hidden="1" customHeight="1" x14ac:dyDescent="0.25">
      <c r="BH89" s="807"/>
      <c r="BI89" s="807"/>
    </row>
    <row r="90" spans="60:61" ht="15.95" hidden="1" customHeight="1" x14ac:dyDescent="0.25">
      <c r="BH90" s="806"/>
      <c r="BI90" s="806"/>
    </row>
    <row r="91" spans="60:61" ht="15.95" hidden="1" customHeight="1" x14ac:dyDescent="0.25">
      <c r="BH91" s="807"/>
      <c r="BI91" s="807"/>
    </row>
    <row r="92" spans="60:61" ht="15.95" hidden="1" customHeight="1" x14ac:dyDescent="0.25">
      <c r="BH92" s="806"/>
      <c r="BI92" s="806"/>
    </row>
    <row r="93" spans="60:61" ht="15.95" hidden="1" customHeight="1" x14ac:dyDescent="0.25">
      <c r="BH93" s="807"/>
      <c r="BI93" s="807"/>
    </row>
    <row r="94" spans="60:61" ht="15.95" hidden="1" customHeight="1" x14ac:dyDescent="0.25">
      <c r="BH94" s="806"/>
      <c r="BI94" s="806"/>
    </row>
    <row r="95" spans="60:61" ht="15.95" hidden="1" customHeight="1" x14ac:dyDescent="0.25">
      <c r="BH95" s="807"/>
      <c r="BI95" s="807"/>
    </row>
    <row r="96" spans="60:61" ht="15.95" hidden="1" customHeight="1" x14ac:dyDescent="0.25">
      <c r="BH96" s="806"/>
      <c r="BI96" s="806"/>
    </row>
    <row r="97" spans="60:61" ht="15.95" hidden="1" customHeight="1" x14ac:dyDescent="0.25">
      <c r="BH97" s="807"/>
      <c r="BI97" s="807"/>
    </row>
    <row r="98" spans="60:61" ht="15.95" hidden="1" customHeight="1" x14ac:dyDescent="0.25">
      <c r="BH98" s="806"/>
      <c r="BI98" s="806"/>
    </row>
    <row r="99" spans="60:61" ht="15.95" hidden="1" customHeight="1" x14ac:dyDescent="0.25">
      <c r="BH99" s="807"/>
      <c r="BI99" s="807"/>
    </row>
    <row r="100" spans="60:61" ht="15.95" hidden="1" customHeight="1" x14ac:dyDescent="0.25">
      <c r="BH100" s="806"/>
      <c r="BI100" s="806"/>
    </row>
    <row r="101" spans="60:61" ht="15.95" hidden="1" customHeight="1" x14ac:dyDescent="0.25">
      <c r="BH101" s="807"/>
      <c r="BI101" s="807"/>
    </row>
    <row r="102" spans="60:61" ht="15.95" hidden="1" customHeight="1" x14ac:dyDescent="0.25">
      <c r="BH102" s="806"/>
      <c r="BI102" s="806"/>
    </row>
    <row r="103" spans="60:61" ht="15.95" hidden="1" customHeight="1" x14ac:dyDescent="0.25">
      <c r="BH103" s="807"/>
      <c r="BI103" s="807"/>
    </row>
    <row r="104" spans="60:61" ht="15.95" hidden="1" customHeight="1" x14ac:dyDescent="0.25">
      <c r="BH104" s="806"/>
      <c r="BI104" s="806"/>
    </row>
    <row r="105" spans="60:61" ht="15.95" hidden="1" customHeight="1" x14ac:dyDescent="0.25">
      <c r="BH105" s="807"/>
      <c r="BI105" s="807"/>
    </row>
    <row r="106" spans="60:61" ht="15.95" hidden="1" customHeight="1" x14ac:dyDescent="0.25">
      <c r="BH106" s="806"/>
      <c r="BI106" s="806"/>
    </row>
    <row r="107" spans="60:61" ht="15.95" hidden="1" customHeight="1" x14ac:dyDescent="0.25">
      <c r="BH107" s="807"/>
      <c r="BI107" s="807"/>
    </row>
    <row r="108" spans="60:61" ht="15.95" hidden="1" customHeight="1" x14ac:dyDescent="0.25">
      <c r="BH108" s="806"/>
      <c r="BI108" s="806"/>
    </row>
    <row r="109" spans="60:61" ht="15.95" hidden="1" customHeight="1" x14ac:dyDescent="0.25">
      <c r="BH109" s="807"/>
      <c r="BI109" s="807"/>
    </row>
    <row r="110" spans="60:61" ht="15.95" hidden="1" customHeight="1" x14ac:dyDescent="0.25">
      <c r="BH110" s="806"/>
      <c r="BI110" s="806"/>
    </row>
    <row r="111" spans="60:61" ht="15.95" hidden="1" customHeight="1" x14ac:dyDescent="0.25">
      <c r="BH111" s="807"/>
      <c r="BI111" s="807"/>
    </row>
    <row r="112" spans="60:61" ht="15.95" hidden="1" customHeight="1" x14ac:dyDescent="0.25">
      <c r="BH112" s="806"/>
      <c r="BI112" s="806"/>
    </row>
    <row r="113" spans="60:61" ht="15.95" hidden="1" customHeight="1" x14ac:dyDescent="0.25">
      <c r="BH113" s="807"/>
      <c r="BI113" s="807"/>
    </row>
    <row r="114" spans="60:61" ht="15.95" hidden="1" customHeight="1" x14ac:dyDescent="0.25">
      <c r="BH114" s="806"/>
      <c r="BI114" s="806"/>
    </row>
    <row r="115" spans="60:61" ht="15.95" hidden="1" customHeight="1" x14ac:dyDescent="0.25">
      <c r="BH115" s="807"/>
      <c r="BI115" s="807"/>
    </row>
    <row r="116" spans="60:61" ht="15.95" hidden="1" customHeight="1" x14ac:dyDescent="0.25">
      <c r="BH116" s="806"/>
      <c r="BI116" s="806"/>
    </row>
    <row r="117" spans="60:61" ht="15.95" hidden="1" customHeight="1" x14ac:dyDescent="0.25">
      <c r="BH117" s="807"/>
      <c r="BI117" s="807"/>
    </row>
    <row r="118" spans="60:61" ht="15.95" hidden="1" customHeight="1" x14ac:dyDescent="0.25">
      <c r="BH118" s="806"/>
      <c r="BI118" s="806"/>
    </row>
    <row r="119" spans="60:61" ht="15.95" hidden="1" customHeight="1" x14ac:dyDescent="0.25">
      <c r="BH119" s="807"/>
      <c r="BI119" s="807"/>
    </row>
    <row r="120" spans="60:61" ht="15.95" hidden="1" customHeight="1" x14ac:dyDescent="0.25">
      <c r="BH120" s="806"/>
      <c r="BI120" s="806"/>
    </row>
    <row r="121" spans="60:61" ht="15.95" hidden="1" customHeight="1" x14ac:dyDescent="0.25">
      <c r="BH121" s="807"/>
      <c r="BI121" s="807"/>
    </row>
    <row r="122" spans="60:61" ht="15.95" hidden="1" customHeight="1" x14ac:dyDescent="0.25">
      <c r="BH122" s="806"/>
      <c r="BI122" s="806"/>
    </row>
    <row r="123" spans="60:61" ht="15.95" hidden="1" customHeight="1" x14ac:dyDescent="0.25">
      <c r="BH123" s="807"/>
      <c r="BI123" s="807"/>
    </row>
    <row r="124" spans="60:61" ht="15.95" hidden="1" customHeight="1" x14ac:dyDescent="0.25">
      <c r="BH124" s="806"/>
      <c r="BI124" s="806"/>
    </row>
    <row r="125" spans="60:61" ht="15.95" hidden="1" customHeight="1" x14ac:dyDescent="0.25">
      <c r="BH125" s="807"/>
      <c r="BI125" s="807"/>
    </row>
    <row r="126" spans="60:61" ht="15.95" hidden="1" customHeight="1" x14ac:dyDescent="0.25">
      <c r="BH126" s="806"/>
      <c r="BI126" s="806"/>
    </row>
    <row r="127" spans="60:61" ht="15.95" hidden="1" customHeight="1" x14ac:dyDescent="0.25">
      <c r="BH127" s="807"/>
      <c r="BI127" s="807"/>
    </row>
    <row r="128" spans="60:61" ht="15.95" hidden="1" customHeight="1" x14ac:dyDescent="0.25">
      <c r="BH128" s="806"/>
      <c r="BI128" s="806"/>
    </row>
    <row r="129" spans="60:61" ht="15.95" hidden="1" customHeight="1" x14ac:dyDescent="0.25">
      <c r="BH129" s="807"/>
      <c r="BI129" s="807"/>
    </row>
    <row r="130" spans="60:61" ht="15.95" hidden="1" customHeight="1" x14ac:dyDescent="0.25">
      <c r="BH130" s="806"/>
      <c r="BI130" s="806"/>
    </row>
    <row r="131" spans="60:61" ht="15.95" hidden="1" customHeight="1" x14ac:dyDescent="0.25">
      <c r="BH131" s="807"/>
      <c r="BI131" s="807"/>
    </row>
    <row r="132" spans="60:61" ht="15.95" hidden="1" customHeight="1" x14ac:dyDescent="0.25">
      <c r="BH132" s="806"/>
      <c r="BI132" s="806"/>
    </row>
    <row r="133" spans="60:61" ht="15.95" hidden="1" customHeight="1" x14ac:dyDescent="0.25">
      <c r="BH133" s="807"/>
      <c r="BI133" s="807"/>
    </row>
    <row r="134" spans="60:61" ht="15.95" hidden="1" customHeight="1" x14ac:dyDescent="0.25">
      <c r="BH134" s="806"/>
      <c r="BI134" s="806"/>
    </row>
    <row r="135" spans="60:61" ht="15.95" hidden="1" customHeight="1" x14ac:dyDescent="0.25">
      <c r="BH135" s="807"/>
      <c r="BI135" s="807"/>
    </row>
    <row r="136" spans="60:61" ht="15.95" hidden="1" customHeight="1" x14ac:dyDescent="0.25">
      <c r="BH136" s="806"/>
      <c r="BI136" s="806"/>
    </row>
    <row r="137" spans="60:61" ht="15.95" hidden="1" customHeight="1" x14ac:dyDescent="0.25">
      <c r="BH137" s="807"/>
      <c r="BI137" s="807"/>
    </row>
    <row r="138" spans="60:61" ht="15.95" hidden="1" customHeight="1" x14ac:dyDescent="0.25">
      <c r="BH138" s="806"/>
      <c r="BI138" s="806"/>
    </row>
    <row r="139" spans="60:61" ht="15.95" hidden="1" customHeight="1" x14ac:dyDescent="0.25">
      <c r="BH139" s="807"/>
      <c r="BI139" s="807"/>
    </row>
    <row r="140" spans="60:61" ht="15.95" hidden="1" customHeight="1" x14ac:dyDescent="0.25">
      <c r="BH140" s="806"/>
      <c r="BI140" s="806"/>
    </row>
    <row r="141" spans="60:61" ht="15.95" hidden="1" customHeight="1" x14ac:dyDescent="0.25">
      <c r="BH141" s="807"/>
      <c r="BI141" s="807"/>
    </row>
    <row r="142" spans="60:61" ht="15.95" hidden="1" customHeight="1" x14ac:dyDescent="0.25">
      <c r="BH142" s="806"/>
      <c r="BI142" s="806"/>
    </row>
    <row r="143" spans="60:61" ht="15.95" hidden="1" customHeight="1" x14ac:dyDescent="0.25">
      <c r="BH143" s="807"/>
      <c r="BI143" s="807"/>
    </row>
    <row r="144" spans="60:61" ht="15.95" hidden="1" customHeight="1" x14ac:dyDescent="0.25">
      <c r="BH144" s="806"/>
      <c r="BI144" s="806"/>
    </row>
    <row r="145" spans="45:61" ht="15.95" hidden="1" customHeight="1" x14ac:dyDescent="0.25">
      <c r="BH145" s="807"/>
      <c r="BI145" s="807"/>
    </row>
    <row r="146" spans="45:61" ht="15.95" hidden="1" customHeight="1" x14ac:dyDescent="0.25">
      <c r="BH146" s="806"/>
      <c r="BI146" s="806"/>
    </row>
    <row r="147" spans="45:61" ht="15.95" hidden="1" customHeight="1" x14ac:dyDescent="0.25">
      <c r="BH147" s="807"/>
      <c r="BI147" s="807"/>
    </row>
    <row r="148" spans="45:61" ht="15.95" hidden="1" customHeight="1" x14ac:dyDescent="0.25">
      <c r="AS148" s="69"/>
      <c r="AT148" s="69"/>
      <c r="BH148" s="806"/>
      <c r="BI148" s="806"/>
    </row>
    <row r="149" spans="45:61" ht="15.95" hidden="1" customHeight="1" x14ac:dyDescent="0.25">
      <c r="AS149" s="69"/>
      <c r="AT149" s="69"/>
      <c r="BH149" s="807"/>
      <c r="BI149" s="807"/>
    </row>
    <row r="150" spans="45:61" ht="15.95" hidden="1" customHeight="1" x14ac:dyDescent="0.25">
      <c r="AS150" s="69"/>
      <c r="AT150" s="69"/>
      <c r="BH150" s="806"/>
      <c r="BI150" s="806"/>
    </row>
    <row r="151" spans="45:61" ht="15.95" hidden="1" customHeight="1" x14ac:dyDescent="0.25">
      <c r="AS151" s="69"/>
      <c r="AT151" s="69"/>
      <c r="BH151" s="807"/>
      <c r="BI151" s="807"/>
    </row>
    <row r="152" spans="45:61" ht="15.95" hidden="1" customHeight="1" x14ac:dyDescent="0.25">
      <c r="AS152" s="69"/>
      <c r="AT152" s="69"/>
      <c r="BH152" s="806"/>
      <c r="BI152" s="806"/>
    </row>
    <row r="153" spans="45:61" ht="15.95" hidden="1" customHeight="1" x14ac:dyDescent="0.25">
      <c r="AS153" s="69"/>
      <c r="AT153" s="69"/>
      <c r="BH153" s="807"/>
      <c r="BI153" s="807"/>
    </row>
    <row r="154" spans="45:61" ht="15.95" hidden="1" customHeight="1" x14ac:dyDescent="0.25">
      <c r="AS154" s="69"/>
      <c r="AT154" s="69"/>
      <c r="BH154" s="806"/>
      <c r="BI154" s="806"/>
    </row>
    <row r="155" spans="45:61" ht="15.95" hidden="1" customHeight="1" x14ac:dyDescent="0.25">
      <c r="AS155" s="69"/>
      <c r="AT155" s="69"/>
      <c r="BH155" s="807"/>
      <c r="BI155" s="807"/>
    </row>
    <row r="156" spans="45:61" ht="15.95" hidden="1" customHeight="1" x14ac:dyDescent="0.25">
      <c r="AS156" s="69"/>
      <c r="AT156" s="69"/>
      <c r="BH156" s="806"/>
      <c r="BI156" s="806"/>
    </row>
    <row r="157" spans="45:61" ht="15.95" hidden="1" customHeight="1" x14ac:dyDescent="0.25">
      <c r="AS157" s="69"/>
      <c r="AT157" s="69"/>
      <c r="BH157" s="807"/>
      <c r="BI157" s="807"/>
    </row>
    <row r="158" spans="45:61" ht="15.95" hidden="1" customHeight="1" x14ac:dyDescent="0.25">
      <c r="AS158" s="69"/>
      <c r="AT158" s="69"/>
      <c r="BH158" s="806"/>
      <c r="BI158" s="806"/>
    </row>
    <row r="159" spans="45:61" ht="15.95" hidden="1" customHeight="1" x14ac:dyDescent="0.25">
      <c r="AS159" s="69"/>
      <c r="AT159" s="69"/>
      <c r="BH159" s="807"/>
      <c r="BI159" s="807"/>
    </row>
    <row r="160" spans="45:61" ht="15.95" hidden="1" customHeight="1" x14ac:dyDescent="0.25">
      <c r="BH160" s="806"/>
      <c r="BI160" s="806"/>
    </row>
    <row r="161" spans="60:61" ht="15.95" hidden="1" customHeight="1" x14ac:dyDescent="0.25">
      <c r="BH161" s="807"/>
      <c r="BI161" s="807"/>
    </row>
    <row r="162" spans="60:61" ht="15.95" hidden="1" customHeight="1" x14ac:dyDescent="0.25">
      <c r="BH162" s="806"/>
      <c r="BI162" s="806"/>
    </row>
    <row r="163" spans="60:61" ht="15.95" hidden="1" customHeight="1" x14ac:dyDescent="0.25">
      <c r="BH163" s="807"/>
      <c r="BI163" s="807"/>
    </row>
    <row r="164" spans="60:61" ht="15.95" hidden="1" customHeight="1" x14ac:dyDescent="0.25">
      <c r="BH164" s="806"/>
      <c r="BI164" s="806"/>
    </row>
    <row r="165" spans="60:61" ht="15.95" hidden="1" customHeight="1" x14ac:dyDescent="0.25">
      <c r="BH165" s="807"/>
      <c r="BI165" s="807"/>
    </row>
    <row r="166" spans="60:61" ht="15.95" hidden="1" customHeight="1" x14ac:dyDescent="0.25">
      <c r="BH166" s="806"/>
      <c r="BI166" s="806"/>
    </row>
    <row r="167" spans="60:61" ht="15.95" hidden="1" customHeight="1" x14ac:dyDescent="0.25">
      <c r="BH167" s="807"/>
      <c r="BI167" s="807"/>
    </row>
    <row r="168" spans="60:61" ht="15.95" hidden="1" customHeight="1" x14ac:dyDescent="0.25">
      <c r="BH168" s="806"/>
      <c r="BI168" s="806"/>
    </row>
    <row r="169" spans="60:61" ht="15.95" hidden="1" customHeight="1" x14ac:dyDescent="0.25">
      <c r="BH169" s="807"/>
      <c r="BI169" s="807"/>
    </row>
    <row r="170" spans="60:61" ht="15.95" hidden="1" customHeight="1" x14ac:dyDescent="0.25">
      <c r="BH170" s="806"/>
      <c r="BI170" s="806"/>
    </row>
    <row r="171" spans="60:61" ht="15.95" hidden="1" customHeight="1" x14ac:dyDescent="0.25">
      <c r="BH171" s="807"/>
      <c r="BI171" s="807"/>
    </row>
    <row r="172" spans="60:61" ht="15.95" hidden="1" customHeight="1" x14ac:dyDescent="0.25">
      <c r="BH172" s="806"/>
      <c r="BI172" s="806"/>
    </row>
    <row r="173" spans="60:61" ht="15.95" hidden="1" customHeight="1" x14ac:dyDescent="0.25">
      <c r="BH173" s="807"/>
      <c r="BI173" s="807"/>
    </row>
    <row r="174" spans="60:61" ht="15.95" hidden="1" customHeight="1" x14ac:dyDescent="0.25">
      <c r="BH174" s="806"/>
      <c r="BI174" s="806"/>
    </row>
    <row r="175" spans="60:61" ht="15.95" hidden="1" customHeight="1" x14ac:dyDescent="0.25">
      <c r="BH175" s="807"/>
      <c r="BI175" s="807"/>
    </row>
    <row r="176" spans="60:61" ht="15.95" hidden="1" customHeight="1" x14ac:dyDescent="0.25">
      <c r="BH176" s="806"/>
      <c r="BI176" s="806"/>
    </row>
    <row r="177" spans="45:61" ht="15.95" hidden="1" customHeight="1" x14ac:dyDescent="0.25">
      <c r="BH177" s="807"/>
      <c r="BI177" s="807"/>
    </row>
    <row r="178" spans="45:61" ht="15.95" hidden="1" customHeight="1" x14ac:dyDescent="0.25">
      <c r="BH178" s="806"/>
      <c r="BI178" s="806"/>
    </row>
    <row r="179" spans="45:61" ht="15.95" hidden="1" customHeight="1" x14ac:dyDescent="0.25">
      <c r="BH179" s="807"/>
      <c r="BI179" s="807"/>
    </row>
    <row r="180" spans="45:61" ht="15.95" hidden="1" customHeight="1" x14ac:dyDescent="0.25">
      <c r="BH180" s="806"/>
      <c r="BI180" s="806"/>
    </row>
    <row r="181" spans="45:61" ht="15.95" hidden="1" customHeight="1" x14ac:dyDescent="0.25">
      <c r="BH181" s="807"/>
      <c r="BI181" s="807"/>
    </row>
    <row r="182" spans="45:61" ht="15.95" hidden="1" customHeight="1" x14ac:dyDescent="0.25">
      <c r="AS182" s="69"/>
      <c r="AT182" s="69"/>
      <c r="BH182" s="806"/>
      <c r="BI182" s="806"/>
    </row>
    <row r="183" spans="45:61" ht="15.95" hidden="1" customHeight="1" x14ac:dyDescent="0.25">
      <c r="AS183" s="69"/>
      <c r="AT183" s="69"/>
      <c r="BH183" s="807"/>
      <c r="BI183" s="807"/>
    </row>
    <row r="184" spans="45:61" ht="15.95" hidden="1" customHeight="1" x14ac:dyDescent="0.25">
      <c r="AS184" s="69"/>
      <c r="AT184" s="69"/>
      <c r="BH184" s="806"/>
      <c r="BI184" s="806"/>
    </row>
    <row r="185" spans="45:61" ht="15.95" hidden="1" customHeight="1" x14ac:dyDescent="0.25">
      <c r="AS185" s="69"/>
      <c r="AT185" s="69"/>
      <c r="BH185" s="807"/>
      <c r="BI185" s="807"/>
    </row>
    <row r="186" spans="45:61" ht="15.95" hidden="1" customHeight="1" x14ac:dyDescent="0.25">
      <c r="AS186" s="69"/>
      <c r="AT186" s="69"/>
      <c r="BH186" s="806"/>
      <c r="BI186" s="806"/>
    </row>
    <row r="187" spans="45:61" ht="15.95" hidden="1" customHeight="1" x14ac:dyDescent="0.25">
      <c r="AS187" s="69"/>
      <c r="AT187" s="69"/>
      <c r="BH187" s="807"/>
      <c r="BI187" s="807"/>
    </row>
    <row r="188" spans="45:61" ht="15.95" hidden="1" customHeight="1" x14ac:dyDescent="0.25">
      <c r="AS188" s="69"/>
      <c r="AT188" s="69"/>
      <c r="BH188" s="806"/>
      <c r="BI188" s="806"/>
    </row>
    <row r="189" spans="45:61" ht="15.95" hidden="1" customHeight="1" x14ac:dyDescent="0.25">
      <c r="AS189" s="69"/>
      <c r="AT189" s="69"/>
      <c r="BH189" s="807"/>
      <c r="BI189" s="807"/>
    </row>
    <row r="190" spans="45:61" ht="15.95" hidden="1" customHeight="1" x14ac:dyDescent="0.25">
      <c r="AS190" s="69"/>
      <c r="AT190" s="69"/>
      <c r="BH190" s="806"/>
      <c r="BI190" s="806"/>
    </row>
    <row r="191" spans="45:61" ht="15.95" hidden="1" customHeight="1" x14ac:dyDescent="0.25">
      <c r="AS191" s="69"/>
      <c r="AT191" s="69"/>
      <c r="BH191" s="807"/>
      <c r="BI191" s="807"/>
    </row>
    <row r="192" spans="45:61" ht="15.95" hidden="1" customHeight="1" x14ac:dyDescent="0.25">
      <c r="AS192" s="69"/>
      <c r="AT192" s="69"/>
      <c r="BH192" s="806"/>
      <c r="BI192" s="806"/>
    </row>
    <row r="193" spans="2:61" ht="15.95" hidden="1" customHeight="1" x14ac:dyDescent="0.25">
      <c r="AS193" s="69"/>
      <c r="AT193" s="69"/>
      <c r="BH193" s="807"/>
      <c r="BI193" s="807"/>
    </row>
    <row r="194" spans="2:61" ht="15.95" hidden="1" customHeight="1" x14ac:dyDescent="0.25">
      <c r="AS194" s="69"/>
      <c r="AT194" s="69"/>
      <c r="BH194" s="806"/>
      <c r="BI194" s="806"/>
    </row>
    <row r="195" spans="2:61" ht="15.95" hidden="1" customHeight="1" x14ac:dyDescent="0.25">
      <c r="AS195" s="69"/>
      <c r="AT195" s="69"/>
      <c r="BH195" s="807"/>
      <c r="BI195" s="807"/>
    </row>
    <row r="196" spans="2:61" ht="15.95" hidden="1" customHeight="1" x14ac:dyDescent="0.25">
      <c r="AS196" s="69"/>
      <c r="AT196" s="69"/>
      <c r="BH196" s="806"/>
      <c r="BI196" s="806"/>
    </row>
    <row r="197" spans="2:61" ht="15.95" hidden="1" customHeight="1" x14ac:dyDescent="0.25">
      <c r="B197" s="1119"/>
      <c r="AS197" s="69"/>
      <c r="AT197" s="69"/>
      <c r="BH197" s="807"/>
      <c r="BI197" s="807"/>
    </row>
    <row r="198" spans="2:61" ht="15.95" hidden="1" customHeight="1" x14ac:dyDescent="0.25">
      <c r="B198" s="1119"/>
      <c r="AS198" s="69"/>
      <c r="AT198" s="69"/>
      <c r="BH198" s="806"/>
      <c r="BI198" s="806"/>
    </row>
    <row r="199" spans="2:61" ht="15.95" hidden="1" customHeight="1" x14ac:dyDescent="0.25">
      <c r="B199" s="30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S199" s="69"/>
      <c r="AT199" s="69"/>
      <c r="BH199" s="807"/>
      <c r="BI199" s="807"/>
    </row>
    <row r="200" spans="2:61"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S200" s="69"/>
      <c r="AU200" s="804">
        <f>SUM(AU20:AU199)</f>
        <v>0</v>
      </c>
      <c r="AV200" s="806">
        <f>SUM(AV20:AV199)</f>
        <v>0</v>
      </c>
      <c r="AW200" s="802">
        <f t="shared" ref="AW200:AZ200" si="0">SUM(AW20:AW199)</f>
        <v>0</v>
      </c>
      <c r="AX200" s="802">
        <f>SUM(AX20:AX199)</f>
        <v>0</v>
      </c>
      <c r="AY200" s="802">
        <f t="shared" si="0"/>
        <v>0</v>
      </c>
      <c r="AZ200" s="802">
        <f t="shared" si="0"/>
        <v>0</v>
      </c>
      <c r="BE200" s="800" t="str">
        <f>IFERROR(IF(AND(M02S02F44="No",M02S02F50="No"),"Not Eligible",IF(AU200=0,"",IF(M02S02F44="Yes","Not Eligible",IF(SUM(AL20:AN23)&lt;0,MEASURESAVE,IF(M02S02F35="",MEASURERATE,IF(AU200/M02S02F35/SUM(AL20:AN23)&lt;1,MEASUREPAY,IF(BH200&lt;1,MEASURECB,""))))))),MEASURESUBMIT)</f>
        <v/>
      </c>
      <c r="BH200" s="806">
        <f>IFERROR(((1+ELOSS)*PEAKTD*(1+INDEX(ELECCB[Capacity Reserve Margin],MATCH(15,ELECCB[Year Number],0)))*((SUM(AL20:AN23)*INDEX(ELECCB[NPV AEC $/kWh],MATCH(15,ELECCB[Year Number],0)))+(AV200*INDEX(ELECCB[NPV ACC+T&amp;D $/kW],MATCH(15,ELECCB[Year Number],0))))/AU200),0)</f>
        <v>0</v>
      </c>
      <c r="BI200" s="806" t="str">
        <f>IFERROR(AU200/M02S02F35/SUM(AL20:AN23),"")</f>
        <v/>
      </c>
    </row>
    <row r="201" spans="2:61"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S201" s="69"/>
      <c r="AU201" s="805"/>
      <c r="AV201" s="807"/>
      <c r="AW201" s="803"/>
      <c r="AX201" s="803"/>
      <c r="AY201" s="803"/>
      <c r="AZ201" s="803"/>
      <c r="BE201" s="801"/>
      <c r="BH201" s="807"/>
      <c r="BI201" s="807"/>
    </row>
    <row r="202" spans="2:61"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c r="AS202" s="69"/>
      <c r="AT202" s="69"/>
    </row>
  </sheetData>
  <sheetProtection algorithmName="SHA-512" hashValue="4kLceiKYl04WpufpigsSqre2w4sgYkdv6tKEOEjt4Ion5htPOlaYRIiB7iD6Nn6X7fPkKXjb5/EP/2zHGuQjKw==" saltValue="ki3MzOqlj4H3ckmFdr4gqA==" spinCount="100000" sheet="1" objects="1" scenarios="1" selectLockedCells="1"/>
  <mergeCells count="936">
    <mergeCell ref="AJ18:AK19"/>
    <mergeCell ref="AL18:AN19"/>
    <mergeCell ref="AO18:AQ19"/>
    <mergeCell ref="AA18:AC19"/>
    <mergeCell ref="AD18:AE19"/>
    <mergeCell ref="AF18:AG19"/>
    <mergeCell ref="Q1:R1"/>
    <mergeCell ref="U1:V1"/>
    <mergeCell ref="Y1:Z1"/>
    <mergeCell ref="AH1:AK1"/>
    <mergeCell ref="AL1:AP1"/>
    <mergeCell ref="AQ1:AR1"/>
    <mergeCell ref="V12:Y13"/>
    <mergeCell ref="Z12:AC13"/>
    <mergeCell ref="AH2:AK3"/>
    <mergeCell ref="AL2:AP3"/>
    <mergeCell ref="AQ2:AR3"/>
    <mergeCell ref="R9:AC10"/>
    <mergeCell ref="J10:Q10"/>
    <mergeCell ref="M11:Q13"/>
    <mergeCell ref="R11:U11"/>
    <mergeCell ref="V11:Y11"/>
    <mergeCell ref="Z11:AC11"/>
    <mergeCell ref="R12:U13"/>
    <mergeCell ref="AZ18:AZ19"/>
    <mergeCell ref="BA18:BA19"/>
    <mergeCell ref="AU20:AU21"/>
    <mergeCell ref="AV20:AV21"/>
    <mergeCell ref="AW20:AW21"/>
    <mergeCell ref="AX20:AX21"/>
    <mergeCell ref="AY20:AY21"/>
    <mergeCell ref="AZ20:AZ21"/>
    <mergeCell ref="BA20:BA21"/>
    <mergeCell ref="AU18:AU19"/>
    <mergeCell ref="AV18:AV19"/>
    <mergeCell ref="AW18:AW19"/>
    <mergeCell ref="AX18:AX19"/>
    <mergeCell ref="AY18:AY19"/>
    <mergeCell ref="AC31:AD32"/>
    <mergeCell ref="AE31:AG32"/>
    <mergeCell ref="AH31:AI32"/>
    <mergeCell ref="AJ31:AK32"/>
    <mergeCell ref="Y31:AB32"/>
    <mergeCell ref="AE29:AG30"/>
    <mergeCell ref="AH29:AI30"/>
    <mergeCell ref="AJ29:AK30"/>
    <mergeCell ref="AC29:AD30"/>
    <mergeCell ref="W35:X36"/>
    <mergeCell ref="Y35:AB36"/>
    <mergeCell ref="AC33:AD34"/>
    <mergeCell ref="AE33:AG34"/>
    <mergeCell ref="AH33:AI34"/>
    <mergeCell ref="AJ33:AK34"/>
    <mergeCell ref="U33:V34"/>
    <mergeCell ref="W33:X34"/>
    <mergeCell ref="Y33:AB34"/>
    <mergeCell ref="AJ58:AK59"/>
    <mergeCell ref="AJ62:AK63"/>
    <mergeCell ref="AJ60:AK61"/>
    <mergeCell ref="BB36:BB37"/>
    <mergeCell ref="AU40:AU41"/>
    <mergeCell ref="Y37:AB38"/>
    <mergeCell ref="AZ34:AZ35"/>
    <mergeCell ref="BA34:BA35"/>
    <mergeCell ref="AC35:AD36"/>
    <mergeCell ref="AE35:AG36"/>
    <mergeCell ref="AH35:AI36"/>
    <mergeCell ref="AJ35:AK36"/>
    <mergeCell ref="AC37:AD38"/>
    <mergeCell ref="AE37:AG38"/>
    <mergeCell ref="AH37:AI38"/>
    <mergeCell ref="AJ37:AK38"/>
    <mergeCell ref="AH45:AI46"/>
    <mergeCell ref="AJ45:AK46"/>
    <mergeCell ref="AJ47:AK48"/>
    <mergeCell ref="AJ49:AK50"/>
    <mergeCell ref="AC56:AD57"/>
    <mergeCell ref="AE56:AG57"/>
    <mergeCell ref="AH56:AI57"/>
    <mergeCell ref="Y43:AB44"/>
    <mergeCell ref="B197:B198"/>
    <mergeCell ref="M200:AG201"/>
    <mergeCell ref="C17:L17"/>
    <mergeCell ref="O17:AD17"/>
    <mergeCell ref="AF17:AI17"/>
    <mergeCell ref="AJ17:AQ17"/>
    <mergeCell ref="C18:D19"/>
    <mergeCell ref="E18:G19"/>
    <mergeCell ref="W70:X71"/>
    <mergeCell ref="Y70:AB71"/>
    <mergeCell ref="AJ56:AK57"/>
    <mergeCell ref="AM56:AN57"/>
    <mergeCell ref="AO56:AP57"/>
    <mergeCell ref="AM54:AN55"/>
    <mergeCell ref="AO54:AP55"/>
    <mergeCell ref="AC47:AD48"/>
    <mergeCell ref="AC45:AD46"/>
    <mergeCell ref="AC43:AD44"/>
    <mergeCell ref="AC41:AD42"/>
    <mergeCell ref="AC39:AD40"/>
    <mergeCell ref="AE39:AG40"/>
    <mergeCell ref="AH39:AI40"/>
    <mergeCell ref="AJ39:AK40"/>
    <mergeCell ref="Y39:AB40"/>
    <mergeCell ref="B20:B21"/>
    <mergeCell ref="C20:D21"/>
    <mergeCell ref="E20:G21"/>
    <mergeCell ref="H20:J21"/>
    <mergeCell ref="K20:L21"/>
    <mergeCell ref="M20:N21"/>
    <mergeCell ref="O20:Q21"/>
    <mergeCell ref="W18:X19"/>
    <mergeCell ref="Y18:Z19"/>
    <mergeCell ref="AH18:AI19"/>
    <mergeCell ref="H18:J19"/>
    <mergeCell ref="K18:L19"/>
    <mergeCell ref="M18:N19"/>
    <mergeCell ref="O18:Q19"/>
    <mergeCell ref="R18:T19"/>
    <mergeCell ref="U18:V19"/>
    <mergeCell ref="AF20:AG21"/>
    <mergeCell ref="AH20:AI21"/>
    <mergeCell ref="AJ20:AK21"/>
    <mergeCell ref="AL20:AN21"/>
    <mergeCell ref="AO20:AQ21"/>
    <mergeCell ref="B22:B23"/>
    <mergeCell ref="C22:D23"/>
    <mergeCell ref="E22:G23"/>
    <mergeCell ref="H22:J23"/>
    <mergeCell ref="K22:L23"/>
    <mergeCell ref="R20:T21"/>
    <mergeCell ref="U20:V21"/>
    <mergeCell ref="W20:X21"/>
    <mergeCell ref="Y20:Z21"/>
    <mergeCell ref="AA20:AC21"/>
    <mergeCell ref="AD20:AE21"/>
    <mergeCell ref="M22:N23"/>
    <mergeCell ref="O22:Q23"/>
    <mergeCell ref="R22:T23"/>
    <mergeCell ref="U22:V23"/>
    <mergeCell ref="W22:X23"/>
    <mergeCell ref="Y22:Z23"/>
    <mergeCell ref="AA22:AC23"/>
    <mergeCell ref="AD22:AE23"/>
    <mergeCell ref="AF22:AG23"/>
    <mergeCell ref="AH22:AI23"/>
    <mergeCell ref="AJ22:AK23"/>
    <mergeCell ref="AL22:AN23"/>
    <mergeCell ref="AO22:AQ23"/>
    <mergeCell ref="B24:B25"/>
    <mergeCell ref="R25:AC26"/>
    <mergeCell ref="AM25:AP26"/>
    <mergeCell ref="B26:B27"/>
    <mergeCell ref="D27:G28"/>
    <mergeCell ref="AO27:AP28"/>
    <mergeCell ref="B28:B29"/>
    <mergeCell ref="D29:G30"/>
    <mergeCell ref="H29:I30"/>
    <mergeCell ref="K29:M30"/>
    <mergeCell ref="N29:Q30"/>
    <mergeCell ref="R29:T30"/>
    <mergeCell ref="U29:V30"/>
    <mergeCell ref="W29:X30"/>
    <mergeCell ref="Y29:AB30"/>
    <mergeCell ref="Y27:AB28"/>
    <mergeCell ref="AC27:AD28"/>
    <mergeCell ref="AE27:AG28"/>
    <mergeCell ref="AH27:AI28"/>
    <mergeCell ref="AJ27:AK28"/>
    <mergeCell ref="AM27:AN28"/>
    <mergeCell ref="H27:I28"/>
    <mergeCell ref="K27:M28"/>
    <mergeCell ref="N27:Q28"/>
    <mergeCell ref="R27:T28"/>
    <mergeCell ref="U27:V28"/>
    <mergeCell ref="W27:X28"/>
    <mergeCell ref="AM29:AN30"/>
    <mergeCell ref="AO29:AP30"/>
    <mergeCell ref="B30:B31"/>
    <mergeCell ref="K31:M32"/>
    <mergeCell ref="N31:Q32"/>
    <mergeCell ref="R31:T32"/>
    <mergeCell ref="U31:V32"/>
    <mergeCell ref="W31:X32"/>
    <mergeCell ref="B32:B33"/>
    <mergeCell ref="K33:M34"/>
    <mergeCell ref="N33:Q34"/>
    <mergeCell ref="R33:T34"/>
    <mergeCell ref="B34:B35"/>
    <mergeCell ref="K35:M36"/>
    <mergeCell ref="N35:Q36"/>
    <mergeCell ref="R35:T36"/>
    <mergeCell ref="U35:V36"/>
    <mergeCell ref="B36:B37"/>
    <mergeCell ref="K37:M38"/>
    <mergeCell ref="N37:Q38"/>
    <mergeCell ref="R37:T38"/>
    <mergeCell ref="B38:B39"/>
    <mergeCell ref="K39:M40"/>
    <mergeCell ref="N39:Q40"/>
    <mergeCell ref="R39:T40"/>
    <mergeCell ref="U39:V40"/>
    <mergeCell ref="W39:X40"/>
    <mergeCell ref="B40:B41"/>
    <mergeCell ref="K41:M42"/>
    <mergeCell ref="N41:Q42"/>
    <mergeCell ref="R41:T42"/>
    <mergeCell ref="U37:V38"/>
    <mergeCell ref="W37:X38"/>
    <mergeCell ref="AE43:AG44"/>
    <mergeCell ref="AH43:AI44"/>
    <mergeCell ref="AJ43:AK44"/>
    <mergeCell ref="B44:B45"/>
    <mergeCell ref="K45:M46"/>
    <mergeCell ref="N45:Q46"/>
    <mergeCell ref="R45:T46"/>
    <mergeCell ref="U45:V46"/>
    <mergeCell ref="W45:X46"/>
    <mergeCell ref="B42:B43"/>
    <mergeCell ref="K43:M44"/>
    <mergeCell ref="N43:Q44"/>
    <mergeCell ref="R43:T44"/>
    <mergeCell ref="U43:V44"/>
    <mergeCell ref="W43:X44"/>
    <mergeCell ref="U41:V42"/>
    <mergeCell ref="W41:X42"/>
    <mergeCell ref="Y41:AB42"/>
    <mergeCell ref="AE41:AG42"/>
    <mergeCell ref="AH41:AI42"/>
    <mergeCell ref="AJ41:AK42"/>
    <mergeCell ref="Y45:AB46"/>
    <mergeCell ref="AE45:AG46"/>
    <mergeCell ref="B46:B47"/>
    <mergeCell ref="K47:M48"/>
    <mergeCell ref="N47:Q48"/>
    <mergeCell ref="R47:T48"/>
    <mergeCell ref="U47:V48"/>
    <mergeCell ref="W47:X48"/>
    <mergeCell ref="Y47:AB48"/>
    <mergeCell ref="AE47:AG48"/>
    <mergeCell ref="AH47:AI48"/>
    <mergeCell ref="B48:B49"/>
    <mergeCell ref="U49:V50"/>
    <mergeCell ref="W49:X50"/>
    <mergeCell ref="B50:B51"/>
    <mergeCell ref="W54:X55"/>
    <mergeCell ref="Y54:AB55"/>
    <mergeCell ref="AC54:AD55"/>
    <mergeCell ref="AE54:AG55"/>
    <mergeCell ref="AH54:AI55"/>
    <mergeCell ref="AJ54:AK55"/>
    <mergeCell ref="B52:B53"/>
    <mergeCell ref="R52:AC53"/>
    <mergeCell ref="AM52:AP53"/>
    <mergeCell ref="B54:B55"/>
    <mergeCell ref="D54:G55"/>
    <mergeCell ref="H54:I55"/>
    <mergeCell ref="K54:M55"/>
    <mergeCell ref="N54:Q55"/>
    <mergeCell ref="R54:T55"/>
    <mergeCell ref="U54:V55"/>
    <mergeCell ref="B56:B57"/>
    <mergeCell ref="D56:G57"/>
    <mergeCell ref="H56:I57"/>
    <mergeCell ref="K56:M57"/>
    <mergeCell ref="N56:Q57"/>
    <mergeCell ref="R56:T57"/>
    <mergeCell ref="B58:B59"/>
    <mergeCell ref="K58:M59"/>
    <mergeCell ref="N58:Q59"/>
    <mergeCell ref="R58:T59"/>
    <mergeCell ref="U58:V59"/>
    <mergeCell ref="W58:X59"/>
    <mergeCell ref="U56:V57"/>
    <mergeCell ref="W56:X57"/>
    <mergeCell ref="Y56:AB57"/>
    <mergeCell ref="Y58:AB59"/>
    <mergeCell ref="AC58:AD59"/>
    <mergeCell ref="AE58:AG59"/>
    <mergeCell ref="AH58:AI59"/>
    <mergeCell ref="Y60:AB61"/>
    <mergeCell ref="AC60:AD61"/>
    <mergeCell ref="AE60:AG61"/>
    <mergeCell ref="AH60:AI61"/>
    <mergeCell ref="R62:T63"/>
    <mergeCell ref="U62:V63"/>
    <mergeCell ref="W62:X63"/>
    <mergeCell ref="Y62:AB63"/>
    <mergeCell ref="AC62:AD63"/>
    <mergeCell ref="AE62:AG63"/>
    <mergeCell ref="AH62:AI63"/>
    <mergeCell ref="B60:B61"/>
    <mergeCell ref="K60:M61"/>
    <mergeCell ref="N60:Q61"/>
    <mergeCell ref="R60:T61"/>
    <mergeCell ref="U60:V61"/>
    <mergeCell ref="W60:X61"/>
    <mergeCell ref="B62:B63"/>
    <mergeCell ref="K62:M63"/>
    <mergeCell ref="N62:Q63"/>
    <mergeCell ref="B66:B67"/>
    <mergeCell ref="K66:M67"/>
    <mergeCell ref="N66:Q67"/>
    <mergeCell ref="R66:T67"/>
    <mergeCell ref="U66:V67"/>
    <mergeCell ref="B64:B65"/>
    <mergeCell ref="K64:M65"/>
    <mergeCell ref="N64:Q65"/>
    <mergeCell ref="R64:T65"/>
    <mergeCell ref="U64:V65"/>
    <mergeCell ref="W66:X67"/>
    <mergeCell ref="Y66:AB67"/>
    <mergeCell ref="AC66:AD67"/>
    <mergeCell ref="AE66:AG67"/>
    <mergeCell ref="AH66:AI67"/>
    <mergeCell ref="AJ66:AK67"/>
    <mergeCell ref="Y64:AB65"/>
    <mergeCell ref="AC64:AD65"/>
    <mergeCell ref="AE64:AG65"/>
    <mergeCell ref="AH64:AI65"/>
    <mergeCell ref="AJ64:AK65"/>
    <mergeCell ref="W64:X65"/>
    <mergeCell ref="Y68:AB69"/>
    <mergeCell ref="AC68:AD69"/>
    <mergeCell ref="AE68:AG69"/>
    <mergeCell ref="AH68:AI69"/>
    <mergeCell ref="AJ68:AK69"/>
    <mergeCell ref="B70:B71"/>
    <mergeCell ref="K70:M71"/>
    <mergeCell ref="N70:Q71"/>
    <mergeCell ref="R70:T71"/>
    <mergeCell ref="U70:V71"/>
    <mergeCell ref="B68:B69"/>
    <mergeCell ref="K68:M69"/>
    <mergeCell ref="N68:Q69"/>
    <mergeCell ref="R68:T69"/>
    <mergeCell ref="U68:V69"/>
    <mergeCell ref="W68:X69"/>
    <mergeCell ref="R74:T75"/>
    <mergeCell ref="U74:V75"/>
    <mergeCell ref="AC70:AD71"/>
    <mergeCell ref="AE70:AG71"/>
    <mergeCell ref="AH70:AI71"/>
    <mergeCell ref="AJ70:AK71"/>
    <mergeCell ref="B72:B73"/>
    <mergeCell ref="K72:M73"/>
    <mergeCell ref="N72:Q73"/>
    <mergeCell ref="R72:T73"/>
    <mergeCell ref="U72:V73"/>
    <mergeCell ref="W72:X73"/>
    <mergeCell ref="B76:B77"/>
    <mergeCell ref="U76:V77"/>
    <mergeCell ref="W76:X77"/>
    <mergeCell ref="AJ76:AK77"/>
    <mergeCell ref="B78:B79"/>
    <mergeCell ref="BB18:BB19"/>
    <mergeCell ref="AZ24:AZ25"/>
    <mergeCell ref="BA24:BA25"/>
    <mergeCell ref="BB24:BB25"/>
    <mergeCell ref="AZ26:AZ27"/>
    <mergeCell ref="W74:X75"/>
    <mergeCell ref="Y74:AB75"/>
    <mergeCell ref="AC74:AD75"/>
    <mergeCell ref="AE74:AG75"/>
    <mergeCell ref="AH74:AI75"/>
    <mergeCell ref="AJ74:AK75"/>
    <mergeCell ref="Y72:AB73"/>
    <mergeCell ref="AC72:AD73"/>
    <mergeCell ref="AE72:AG73"/>
    <mergeCell ref="AH72:AI73"/>
    <mergeCell ref="AJ72:AK73"/>
    <mergeCell ref="B74:B75"/>
    <mergeCell ref="K74:M75"/>
    <mergeCell ref="N74:Q75"/>
    <mergeCell ref="BC18:BC19"/>
    <mergeCell ref="BD18:BD19"/>
    <mergeCell ref="BE18:BE19"/>
    <mergeCell ref="BF18:BF19"/>
    <mergeCell ref="BG18:BG19"/>
    <mergeCell ref="BB20:BB21"/>
    <mergeCell ref="BC20:BC21"/>
    <mergeCell ref="BD20:BD21"/>
    <mergeCell ref="BE20:BE21"/>
    <mergeCell ref="BF20:BF21"/>
    <mergeCell ref="BG20:BG21"/>
    <mergeCell ref="BD22:BD23"/>
    <mergeCell ref="BE22:BE23"/>
    <mergeCell ref="BF22:BF23"/>
    <mergeCell ref="BG22:BG23"/>
    <mergeCell ref="AU24:AU25"/>
    <mergeCell ref="AV24:AV25"/>
    <mergeCell ref="AW24:AW25"/>
    <mergeCell ref="AX24:AX25"/>
    <mergeCell ref="AY24:AY25"/>
    <mergeCell ref="BC22:BC23"/>
    <mergeCell ref="AW22:AW23"/>
    <mergeCell ref="AX22:AX23"/>
    <mergeCell ref="AY22:AY23"/>
    <mergeCell ref="AZ22:AZ23"/>
    <mergeCell ref="BA22:BA23"/>
    <mergeCell ref="BB22:BB23"/>
    <mergeCell ref="AU22:AU23"/>
    <mergeCell ref="AV22:AV23"/>
    <mergeCell ref="BC24:BC25"/>
    <mergeCell ref="BD24:BD25"/>
    <mergeCell ref="BE24:BE25"/>
    <mergeCell ref="BF24:BF25"/>
    <mergeCell ref="BG24:BG25"/>
    <mergeCell ref="AU26:AU27"/>
    <mergeCell ref="AV26:AV27"/>
    <mergeCell ref="AW26:AW27"/>
    <mergeCell ref="AX26:AX27"/>
    <mergeCell ref="AY26:AY27"/>
    <mergeCell ref="BG26:BG27"/>
    <mergeCell ref="AU28:AU29"/>
    <mergeCell ref="AV28:AV29"/>
    <mergeCell ref="AW28:AW29"/>
    <mergeCell ref="AX28:AX29"/>
    <mergeCell ref="AY28:AY29"/>
    <mergeCell ref="AZ28:AZ29"/>
    <mergeCell ref="BA28:BA29"/>
    <mergeCell ref="BB28:BB29"/>
    <mergeCell ref="BC28:BC29"/>
    <mergeCell ref="BA26:BA27"/>
    <mergeCell ref="BB26:BB27"/>
    <mergeCell ref="BC26:BC27"/>
    <mergeCell ref="BD26:BD27"/>
    <mergeCell ref="BE26:BE27"/>
    <mergeCell ref="BF26:BF27"/>
    <mergeCell ref="BD28:BD29"/>
    <mergeCell ref="BE28:BE29"/>
    <mergeCell ref="BF28:BF29"/>
    <mergeCell ref="BD36:BD37"/>
    <mergeCell ref="BG28:BG29"/>
    <mergeCell ref="AU30:AU31"/>
    <mergeCell ref="AV30:AV31"/>
    <mergeCell ref="AW30:AW31"/>
    <mergeCell ref="AX30:AX31"/>
    <mergeCell ref="AY30:AY31"/>
    <mergeCell ref="AZ30:AZ31"/>
    <mergeCell ref="BA30:BA31"/>
    <mergeCell ref="BB30:BB31"/>
    <mergeCell ref="BC30:BC31"/>
    <mergeCell ref="BD30:BD31"/>
    <mergeCell ref="BE30:BE31"/>
    <mergeCell ref="BF30:BF31"/>
    <mergeCell ref="BG30:BG31"/>
    <mergeCell ref="AU32:AU33"/>
    <mergeCell ref="AV32:AV33"/>
    <mergeCell ref="BF32:BF33"/>
    <mergeCell ref="BG32:BG33"/>
    <mergeCell ref="AU34:AU35"/>
    <mergeCell ref="AV34:AV35"/>
    <mergeCell ref="AW34:AW35"/>
    <mergeCell ref="AX34:AX35"/>
    <mergeCell ref="AY34:AY35"/>
    <mergeCell ref="BB34:BB35"/>
    <mergeCell ref="BC34:BC35"/>
    <mergeCell ref="BD34:BD35"/>
    <mergeCell ref="BE34:BE35"/>
    <mergeCell ref="BF34:BF35"/>
    <mergeCell ref="BG34:BG35"/>
    <mergeCell ref="AW32:AW33"/>
    <mergeCell ref="AX32:AX33"/>
    <mergeCell ref="AY32:AY33"/>
    <mergeCell ref="AZ32:AZ33"/>
    <mergeCell ref="BA32:BA33"/>
    <mergeCell ref="BB32:BB33"/>
    <mergeCell ref="BC32:BC33"/>
    <mergeCell ref="BD32:BD33"/>
    <mergeCell ref="BE32:BE33"/>
    <mergeCell ref="BE36:BE37"/>
    <mergeCell ref="BF36:BF37"/>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U36:AU37"/>
    <mergeCell ref="AV36:AV37"/>
    <mergeCell ref="AW36:AW37"/>
    <mergeCell ref="AX36:AX37"/>
    <mergeCell ref="AY36:AY37"/>
    <mergeCell ref="AZ36:AZ37"/>
    <mergeCell ref="BA36:BA37"/>
    <mergeCell ref="BC36:BC37"/>
    <mergeCell ref="AV40:AV41"/>
    <mergeCell ref="AW40:AW41"/>
    <mergeCell ref="AX40:AX41"/>
    <mergeCell ref="AY40:AY41"/>
    <mergeCell ref="AZ40:AZ41"/>
    <mergeCell ref="BG40:BG41"/>
    <mergeCell ref="AU42:AU43"/>
    <mergeCell ref="AV42:AV43"/>
    <mergeCell ref="AW42:AW43"/>
    <mergeCell ref="AX42:AX43"/>
    <mergeCell ref="AY42:AY43"/>
    <mergeCell ref="AZ42:AZ43"/>
    <mergeCell ref="BA42:BA43"/>
    <mergeCell ref="BB42:BB43"/>
    <mergeCell ref="BC42:BC43"/>
    <mergeCell ref="BA40:BA41"/>
    <mergeCell ref="BB40:BB41"/>
    <mergeCell ref="BC40:BC41"/>
    <mergeCell ref="BD40:BD41"/>
    <mergeCell ref="BE40:BE41"/>
    <mergeCell ref="BF40:BF41"/>
    <mergeCell ref="BD42:BD43"/>
    <mergeCell ref="BE42:BE43"/>
    <mergeCell ref="BB46:BB47"/>
    <mergeCell ref="BC46:BC47"/>
    <mergeCell ref="BF42:BF43"/>
    <mergeCell ref="BG42:BG43"/>
    <mergeCell ref="AU44:AU45"/>
    <mergeCell ref="AV44:AV45"/>
    <mergeCell ref="AW44:AW45"/>
    <mergeCell ref="AX44:AX45"/>
    <mergeCell ref="AY44:AY45"/>
    <mergeCell ref="AZ44:AZ45"/>
    <mergeCell ref="BA44:BA45"/>
    <mergeCell ref="BB44:BB45"/>
    <mergeCell ref="BC44:BC45"/>
    <mergeCell ref="BD44:BD45"/>
    <mergeCell ref="BE44:BE45"/>
    <mergeCell ref="BF44:BF45"/>
    <mergeCell ref="BG44:BG45"/>
    <mergeCell ref="BD46:BD47"/>
    <mergeCell ref="BE46:BE47"/>
    <mergeCell ref="BF46:BF47"/>
    <mergeCell ref="BG46:BG47"/>
    <mergeCell ref="AU46:AU47"/>
    <mergeCell ref="AV46:AV47"/>
    <mergeCell ref="AW46:AW47"/>
    <mergeCell ref="AU48:AU49"/>
    <mergeCell ref="AV48:AV49"/>
    <mergeCell ref="AW48:AW49"/>
    <mergeCell ref="AX48:AX49"/>
    <mergeCell ref="AY48:AY49"/>
    <mergeCell ref="AZ48:AZ49"/>
    <mergeCell ref="BG48:BG49"/>
    <mergeCell ref="BA48:BA49"/>
    <mergeCell ref="BB48:BB49"/>
    <mergeCell ref="BC48:BC49"/>
    <mergeCell ref="BD48:BD49"/>
    <mergeCell ref="BE48:BE49"/>
    <mergeCell ref="BF48:BF49"/>
    <mergeCell ref="AX46:AX47"/>
    <mergeCell ref="AY46:AY47"/>
    <mergeCell ref="AZ46:AZ47"/>
    <mergeCell ref="BA46:BA47"/>
    <mergeCell ref="BD50:BD51"/>
    <mergeCell ref="BE50:BE51"/>
    <mergeCell ref="BF50:BF51"/>
    <mergeCell ref="BG50:BG51"/>
    <mergeCell ref="AU52:AU53"/>
    <mergeCell ref="AV52:AV53"/>
    <mergeCell ref="AW52:AW53"/>
    <mergeCell ref="AX52:AX53"/>
    <mergeCell ref="AY52:AY53"/>
    <mergeCell ref="AZ52:AZ53"/>
    <mergeCell ref="BA52:BA53"/>
    <mergeCell ref="BB52:BB53"/>
    <mergeCell ref="AU50:AU51"/>
    <mergeCell ref="AV50:AV51"/>
    <mergeCell ref="AW50:AW51"/>
    <mergeCell ref="AX50:AX51"/>
    <mergeCell ref="AY50:AY51"/>
    <mergeCell ref="AZ50:AZ51"/>
    <mergeCell ref="BA50:BA51"/>
    <mergeCell ref="BB50:BB51"/>
    <mergeCell ref="BC50:BC51"/>
    <mergeCell ref="BG54:BG55"/>
    <mergeCell ref="AU56:AU57"/>
    <mergeCell ref="AV56:AV57"/>
    <mergeCell ref="AW56:AW57"/>
    <mergeCell ref="AX56:AX57"/>
    <mergeCell ref="AY56:AY57"/>
    <mergeCell ref="BC52:BC53"/>
    <mergeCell ref="BD52:BD53"/>
    <mergeCell ref="BE52:BE53"/>
    <mergeCell ref="BF52:BF53"/>
    <mergeCell ref="BG52:BG53"/>
    <mergeCell ref="AU54:AU55"/>
    <mergeCell ref="AV54:AV55"/>
    <mergeCell ref="AW54:AW55"/>
    <mergeCell ref="AX54:AX55"/>
    <mergeCell ref="AY54:AY55"/>
    <mergeCell ref="AZ54:AZ55"/>
    <mergeCell ref="BA54:BA55"/>
    <mergeCell ref="BB54:BB55"/>
    <mergeCell ref="AZ56:AZ57"/>
    <mergeCell ref="BA56:BA57"/>
    <mergeCell ref="BB56:BB57"/>
    <mergeCell ref="BC56:BC57"/>
    <mergeCell ref="BD56:BD57"/>
    <mergeCell ref="BE56:BE57"/>
    <mergeCell ref="BF56:BF57"/>
    <mergeCell ref="BC54:BC55"/>
    <mergeCell ref="BD54:BD55"/>
    <mergeCell ref="BE54:BE55"/>
    <mergeCell ref="BF54:BF55"/>
    <mergeCell ref="BG62:BG63"/>
    <mergeCell ref="AU64:AU65"/>
    <mergeCell ref="AV64:AV65"/>
    <mergeCell ref="AW64:AW65"/>
    <mergeCell ref="AX64:AX65"/>
    <mergeCell ref="AY64:AY65"/>
    <mergeCell ref="BC60:BC61"/>
    <mergeCell ref="BD60:BD61"/>
    <mergeCell ref="BE60:BE61"/>
    <mergeCell ref="BF60:BF61"/>
    <mergeCell ref="BG60:BG61"/>
    <mergeCell ref="AU62:AU63"/>
    <mergeCell ref="AV62:AV63"/>
    <mergeCell ref="AW62:AW63"/>
    <mergeCell ref="AX62:AX63"/>
    <mergeCell ref="AY62:AY63"/>
    <mergeCell ref="AU60:AU61"/>
    <mergeCell ref="BF66:BF67"/>
    <mergeCell ref="BA68:BA69"/>
    <mergeCell ref="BB68:BB69"/>
    <mergeCell ref="AV60:AV61"/>
    <mergeCell ref="BC64:BC65"/>
    <mergeCell ref="BD64:BD65"/>
    <mergeCell ref="BE64:BE65"/>
    <mergeCell ref="BF64:BF65"/>
    <mergeCell ref="BC62:BC63"/>
    <mergeCell ref="BD62:BD63"/>
    <mergeCell ref="BE62:BE63"/>
    <mergeCell ref="BF62:BF63"/>
    <mergeCell ref="AZ62:AZ63"/>
    <mergeCell ref="BA62:BA63"/>
    <mergeCell ref="BB62:BB63"/>
    <mergeCell ref="AZ64:AZ65"/>
    <mergeCell ref="BA60:BA61"/>
    <mergeCell ref="BB60:BB61"/>
    <mergeCell ref="AW60:AW61"/>
    <mergeCell ref="AX60:AX61"/>
    <mergeCell ref="AY60:AY61"/>
    <mergeCell ref="AZ60:AZ61"/>
    <mergeCell ref="BA64:BA65"/>
    <mergeCell ref="BB64:BB65"/>
    <mergeCell ref="BB66:BB67"/>
    <mergeCell ref="BC66:BC67"/>
    <mergeCell ref="AU70:AU71"/>
    <mergeCell ref="AV70:AV71"/>
    <mergeCell ref="AW70:AW71"/>
    <mergeCell ref="AX70:AX71"/>
    <mergeCell ref="AY70:AY71"/>
    <mergeCell ref="BD66:BD67"/>
    <mergeCell ref="BE66:BE67"/>
    <mergeCell ref="AU68:AU69"/>
    <mergeCell ref="AV68:AV69"/>
    <mergeCell ref="AW68:AW69"/>
    <mergeCell ref="AX68:AX69"/>
    <mergeCell ref="AY68:AY69"/>
    <mergeCell ref="AZ68:AZ69"/>
    <mergeCell ref="AU66:AU67"/>
    <mergeCell ref="AV66:AV67"/>
    <mergeCell ref="AW66:AW67"/>
    <mergeCell ref="AX66:AX67"/>
    <mergeCell ref="AY66:AY67"/>
    <mergeCell ref="AZ66:AZ67"/>
    <mergeCell ref="AW74:AW75"/>
    <mergeCell ref="AY72:AY73"/>
    <mergeCell ref="AZ72:AZ73"/>
    <mergeCell ref="BA72:BA73"/>
    <mergeCell ref="BB72:BB73"/>
    <mergeCell ref="AZ70:AZ71"/>
    <mergeCell ref="BA70:BA71"/>
    <mergeCell ref="BB70:BB71"/>
    <mergeCell ref="AX74:AX75"/>
    <mergeCell ref="AY74:AY75"/>
    <mergeCell ref="BF70:BF71"/>
    <mergeCell ref="BG70:BG71"/>
    <mergeCell ref="AU72:AU73"/>
    <mergeCell ref="AV72:AV73"/>
    <mergeCell ref="AW72:AW73"/>
    <mergeCell ref="AX72:AX73"/>
    <mergeCell ref="AU200:AU201"/>
    <mergeCell ref="AV200:AV201"/>
    <mergeCell ref="AW200:AW201"/>
    <mergeCell ref="AX200:AX201"/>
    <mergeCell ref="AY200:AY201"/>
    <mergeCell ref="BF74:BF75"/>
    <mergeCell ref="BG74:BG75"/>
    <mergeCell ref="AU76:AU77"/>
    <mergeCell ref="AV76:AV77"/>
    <mergeCell ref="AW76:AW77"/>
    <mergeCell ref="AX76:AX77"/>
    <mergeCell ref="AY76:AY77"/>
    <mergeCell ref="AZ76:AZ77"/>
    <mergeCell ref="BA76:BA77"/>
    <mergeCell ref="BB76:BB77"/>
    <mergeCell ref="AZ74:AZ75"/>
    <mergeCell ref="AU74:AU75"/>
    <mergeCell ref="AV74:AV75"/>
    <mergeCell ref="AY17:AZ17"/>
    <mergeCell ref="BH18:BH19"/>
    <mergeCell ref="BI18:BI19"/>
    <mergeCell ref="BH20:BH21"/>
    <mergeCell ref="BI20:BI21"/>
    <mergeCell ref="BC76:BC77"/>
    <mergeCell ref="BD76:BD77"/>
    <mergeCell ref="BE76:BE77"/>
    <mergeCell ref="BF76:BF77"/>
    <mergeCell ref="BG76:BG77"/>
    <mergeCell ref="BC72:BC73"/>
    <mergeCell ref="BD72:BD73"/>
    <mergeCell ref="BE72:BE73"/>
    <mergeCell ref="BF72:BF73"/>
    <mergeCell ref="BG72:BG73"/>
    <mergeCell ref="BA74:BA75"/>
    <mergeCell ref="BB74:BB75"/>
    <mergeCell ref="BC74:BC75"/>
    <mergeCell ref="BD74:BD75"/>
    <mergeCell ref="BE74:BE75"/>
    <mergeCell ref="BC70:BC71"/>
    <mergeCell ref="BD70:BD71"/>
    <mergeCell ref="BG66:BG67"/>
    <mergeCell ref="BA66:BA67"/>
    <mergeCell ref="BH22:BH23"/>
    <mergeCell ref="BI22:BI23"/>
    <mergeCell ref="BH24:BH25"/>
    <mergeCell ref="BI24:BI25"/>
    <mergeCell ref="E32:I33"/>
    <mergeCell ref="E59:I60"/>
    <mergeCell ref="BI34:BI35"/>
    <mergeCell ref="BH36:BH37"/>
    <mergeCell ref="BI36:BI37"/>
    <mergeCell ref="BH38:BH39"/>
    <mergeCell ref="BD58:BD59"/>
    <mergeCell ref="BE58:BE59"/>
    <mergeCell ref="BF58:BF59"/>
    <mergeCell ref="BG58:BG59"/>
    <mergeCell ref="BG56:BG57"/>
    <mergeCell ref="AU58:AU59"/>
    <mergeCell ref="AV58:AV59"/>
    <mergeCell ref="AW58:AW59"/>
    <mergeCell ref="AX58:AX59"/>
    <mergeCell ref="AY58:AY59"/>
    <mergeCell ref="AZ58:AZ59"/>
    <mergeCell ref="BA58:BA59"/>
    <mergeCell ref="BB58:BB59"/>
    <mergeCell ref="BC58:BC59"/>
    <mergeCell ref="BI38:BI39"/>
    <mergeCell ref="BH40:BH41"/>
    <mergeCell ref="BI40:BI41"/>
    <mergeCell ref="BH42:BH43"/>
    <mergeCell ref="BI42:BI43"/>
    <mergeCell ref="BH44:BH45"/>
    <mergeCell ref="BI44:BI45"/>
    <mergeCell ref="AZ200:AZ201"/>
    <mergeCell ref="BH26:BH27"/>
    <mergeCell ref="BI26:BI27"/>
    <mergeCell ref="BH28:BH29"/>
    <mergeCell ref="BI28:BI29"/>
    <mergeCell ref="BH30:BH31"/>
    <mergeCell ref="BI30:BI31"/>
    <mergeCell ref="BH32:BH33"/>
    <mergeCell ref="BI32:BI33"/>
    <mergeCell ref="BH34:BH35"/>
    <mergeCell ref="BE70:BE71"/>
    <mergeCell ref="BC68:BC69"/>
    <mergeCell ref="BD68:BD69"/>
    <mergeCell ref="BE68:BE69"/>
    <mergeCell ref="BF68:BF69"/>
    <mergeCell ref="BG68:BG69"/>
    <mergeCell ref="BG64:BG65"/>
    <mergeCell ref="BH52:BH53"/>
    <mergeCell ref="BI52:BI53"/>
    <mergeCell ref="BH54:BH55"/>
    <mergeCell ref="BI54:BI55"/>
    <mergeCell ref="BH56:BH57"/>
    <mergeCell ref="BI56:BI57"/>
    <mergeCell ref="BH46:BH47"/>
    <mergeCell ref="BI46:BI47"/>
    <mergeCell ref="BH48:BH49"/>
    <mergeCell ref="BI48:BI49"/>
    <mergeCell ref="BH50:BH51"/>
    <mergeCell ref="BI50:BI51"/>
    <mergeCell ref="BH64:BH65"/>
    <mergeCell ref="BI64:BI65"/>
    <mergeCell ref="BH66:BH67"/>
    <mergeCell ref="BI66:BI67"/>
    <mergeCell ref="BH68:BH69"/>
    <mergeCell ref="BI68:BI69"/>
    <mergeCell ref="BH58:BH59"/>
    <mergeCell ref="BI58:BI59"/>
    <mergeCell ref="BH60:BH61"/>
    <mergeCell ref="BI60:BI61"/>
    <mergeCell ref="BH62:BH63"/>
    <mergeCell ref="BI62:BI63"/>
    <mergeCell ref="BH76:BH77"/>
    <mergeCell ref="BI76:BI77"/>
    <mergeCell ref="BH78:BH79"/>
    <mergeCell ref="BI78:BI79"/>
    <mergeCell ref="BH80:BH81"/>
    <mergeCell ref="BI80:BI81"/>
    <mergeCell ref="BH70:BH71"/>
    <mergeCell ref="BI70:BI71"/>
    <mergeCell ref="BH72:BH73"/>
    <mergeCell ref="BI72:BI73"/>
    <mergeCell ref="BH74:BH75"/>
    <mergeCell ref="BI74:BI75"/>
    <mergeCell ref="BH88:BH89"/>
    <mergeCell ref="BI88:BI89"/>
    <mergeCell ref="BH90:BH91"/>
    <mergeCell ref="BI90:BI91"/>
    <mergeCell ref="BH92:BH93"/>
    <mergeCell ref="BI92:BI93"/>
    <mergeCell ref="BH82:BH83"/>
    <mergeCell ref="BI82:BI83"/>
    <mergeCell ref="BH84:BH85"/>
    <mergeCell ref="BI84:BI85"/>
    <mergeCell ref="BH86:BH87"/>
    <mergeCell ref="BI86:BI87"/>
    <mergeCell ref="BH100:BH101"/>
    <mergeCell ref="BI100:BI101"/>
    <mergeCell ref="BH102:BH103"/>
    <mergeCell ref="BI102:BI103"/>
    <mergeCell ref="BH104:BH105"/>
    <mergeCell ref="BI104:BI105"/>
    <mergeCell ref="BH94:BH95"/>
    <mergeCell ref="BI94:BI95"/>
    <mergeCell ref="BH96:BH97"/>
    <mergeCell ref="BI96:BI97"/>
    <mergeCell ref="BH98:BH99"/>
    <mergeCell ref="BI98:BI99"/>
    <mergeCell ref="BH112:BH113"/>
    <mergeCell ref="BI112:BI113"/>
    <mergeCell ref="BH114:BH115"/>
    <mergeCell ref="BI114:BI115"/>
    <mergeCell ref="BH116:BH117"/>
    <mergeCell ref="BI116:BI117"/>
    <mergeCell ref="BH106:BH107"/>
    <mergeCell ref="BI106:BI107"/>
    <mergeCell ref="BH108:BH109"/>
    <mergeCell ref="BI108:BI109"/>
    <mergeCell ref="BH110:BH111"/>
    <mergeCell ref="BI110:BI111"/>
    <mergeCell ref="BH124:BH125"/>
    <mergeCell ref="BI124:BI125"/>
    <mergeCell ref="BH126:BH127"/>
    <mergeCell ref="BI126:BI127"/>
    <mergeCell ref="BH128:BH129"/>
    <mergeCell ref="BI128:BI129"/>
    <mergeCell ref="BH118:BH119"/>
    <mergeCell ref="BI118:BI119"/>
    <mergeCell ref="BH120:BH121"/>
    <mergeCell ref="BI120:BI121"/>
    <mergeCell ref="BH122:BH123"/>
    <mergeCell ref="BI122:BI123"/>
    <mergeCell ref="BH136:BH137"/>
    <mergeCell ref="BI136:BI137"/>
    <mergeCell ref="BH138:BH139"/>
    <mergeCell ref="BI138:BI139"/>
    <mergeCell ref="BH140:BH141"/>
    <mergeCell ref="BI140:BI141"/>
    <mergeCell ref="BH130:BH131"/>
    <mergeCell ref="BI130:BI131"/>
    <mergeCell ref="BH132:BH133"/>
    <mergeCell ref="BI132:BI133"/>
    <mergeCell ref="BH134:BH135"/>
    <mergeCell ref="BI134:BI135"/>
    <mergeCell ref="BH148:BH149"/>
    <mergeCell ref="BI148:BI149"/>
    <mergeCell ref="BH150:BH151"/>
    <mergeCell ref="BI150:BI151"/>
    <mergeCell ref="BH152:BH153"/>
    <mergeCell ref="BI152:BI153"/>
    <mergeCell ref="BH142:BH143"/>
    <mergeCell ref="BI142:BI143"/>
    <mergeCell ref="BH144:BH145"/>
    <mergeCell ref="BI144:BI145"/>
    <mergeCell ref="BH146:BH147"/>
    <mergeCell ref="BI146:BI147"/>
    <mergeCell ref="BH160:BH161"/>
    <mergeCell ref="BI160:BI161"/>
    <mergeCell ref="BH162:BH163"/>
    <mergeCell ref="BI162:BI163"/>
    <mergeCell ref="BH164:BH165"/>
    <mergeCell ref="BI164:BI165"/>
    <mergeCell ref="BH154:BH155"/>
    <mergeCell ref="BI154:BI155"/>
    <mergeCell ref="BH156:BH157"/>
    <mergeCell ref="BI156:BI157"/>
    <mergeCell ref="BH158:BH159"/>
    <mergeCell ref="BI158:BI159"/>
    <mergeCell ref="BH182:BH183"/>
    <mergeCell ref="BI182:BI183"/>
    <mergeCell ref="BH172:BH173"/>
    <mergeCell ref="BI172:BI173"/>
    <mergeCell ref="BH174:BH175"/>
    <mergeCell ref="BI174:BI175"/>
    <mergeCell ref="BH176:BH177"/>
    <mergeCell ref="BI176:BI177"/>
    <mergeCell ref="BH166:BH167"/>
    <mergeCell ref="BI166:BI167"/>
    <mergeCell ref="BH168:BH169"/>
    <mergeCell ref="BI168:BI169"/>
    <mergeCell ref="BH170:BH171"/>
    <mergeCell ref="BI170:BI171"/>
    <mergeCell ref="L14:AI15"/>
    <mergeCell ref="BE200:BE201"/>
    <mergeCell ref="BH196:BH197"/>
    <mergeCell ref="BI196:BI197"/>
    <mergeCell ref="BH198:BH199"/>
    <mergeCell ref="BI198:BI199"/>
    <mergeCell ref="BH200:BH201"/>
    <mergeCell ref="BI200:BI201"/>
    <mergeCell ref="BH190:BH191"/>
    <mergeCell ref="BI190:BI191"/>
    <mergeCell ref="BH192:BH193"/>
    <mergeCell ref="BI192:BI193"/>
    <mergeCell ref="BH194:BH195"/>
    <mergeCell ref="BI194:BI195"/>
    <mergeCell ref="BH184:BH185"/>
    <mergeCell ref="BI184:BI185"/>
    <mergeCell ref="BH186:BH187"/>
    <mergeCell ref="BI186:BI187"/>
    <mergeCell ref="BH188:BH189"/>
    <mergeCell ref="BI188:BI189"/>
    <mergeCell ref="BH178:BH179"/>
    <mergeCell ref="BI178:BI179"/>
    <mergeCell ref="BH180:BH181"/>
    <mergeCell ref="BI180:BI181"/>
  </mergeCells>
  <conditionalFormatting sqref="H29">
    <cfRule type="expression" dxfId="287" priority="33">
      <formula>AND(ISBLANK($N29)=FALSE,OR(ISBLANK(H29)=TRUE,H29=""))</formula>
    </cfRule>
  </conditionalFormatting>
  <conditionalFormatting sqref="H56 H29">
    <cfRule type="expression" dxfId="286" priority="32">
      <formula>AND(ISNUMBER(SEARCH("24/7",XEV29))=TRUE,H29&lt;&gt;8760)</formula>
    </cfRule>
  </conditionalFormatting>
  <conditionalFormatting sqref="H56">
    <cfRule type="expression" dxfId="285" priority="30">
      <formula>AND(ISBLANK($N56)=FALSE,OR(ISBLANK(H56)=TRUE,H56=""))</formula>
    </cfRule>
  </conditionalFormatting>
  <conditionalFormatting sqref="L14:AI15">
    <cfRule type="expression" dxfId="284" priority="1">
      <formula>ISNUMBER(SEARCH("To be eligible for these incentives,",$L$14))</formula>
    </cfRule>
  </conditionalFormatting>
  <conditionalFormatting sqref="R29 U29 R31 U31 R33 U33">
    <cfRule type="expression" dxfId="283" priority="15">
      <formula>AND(ISBLANK($N29)=FALSE,OR(ISBLANK(R29)=TRUE,R29=""))</formula>
    </cfRule>
  </conditionalFormatting>
  <conditionalFormatting sqref="R12:U13">
    <cfRule type="expression" dxfId="282" priority="4">
      <formula>$R$12="Not Eligible"</formula>
    </cfRule>
    <cfRule type="expression" dxfId="281" priority="5">
      <formula>NOT(ISNUMBER(R12))</formula>
    </cfRule>
    <cfRule type="expression" dxfId="280" priority="59">
      <formula>$BE$200&lt;&gt;""</formula>
    </cfRule>
  </conditionalFormatting>
  <conditionalFormatting sqref="W29 W31 W33 W35 W37 W39 W41 W43 W45 W47 R35 U35 R37 U37 R39 U39 R41 U41 R43 U43 R45 U45 R47 U47">
    <cfRule type="expression" dxfId="279" priority="40">
      <formula>AND(ISBLANK($N29)=FALSE,OR(ISBLANK(R29)=TRUE,R29=""))</formula>
    </cfRule>
  </conditionalFormatting>
  <conditionalFormatting sqref="W29 W31 W33 W35 W37 W39 W41 W43 W45 W47">
    <cfRule type="expression" dxfId="278" priority="38">
      <formula>W29&lt;&gt;INDEX(CMELIGHTBASEW,MATCH(N29,CMELIGHTBASE1,0))</formula>
    </cfRule>
  </conditionalFormatting>
  <conditionalFormatting sqref="W56 W58 W60 W62 W64 W66 W68 W70 W72 W74 R56 U56 R58 U58 R60 U60 R62 U62 R64 U64 R66 U66 R68 U68 R70 U70 R72 U72 R74 U74">
    <cfRule type="expression" dxfId="277" priority="28">
      <formula>AND(ISBLANK($N56)=FALSE,OR(ISBLANK(R56)=TRUE,R56=""))</formula>
    </cfRule>
  </conditionalFormatting>
  <conditionalFormatting sqref="W56 W58 W60 W62 W64 W66 W68 W70 W72 W74">
    <cfRule type="expression" dxfId="276" priority="26">
      <formula>W56&lt;&gt;INDEX(CMELIGHTBASEW,MATCH(N56,CMELIGHTBASE1,0))</formula>
    </cfRule>
    <cfRule type="expression" dxfId="275" priority="25">
      <formula>MOD(W56,1)&lt;&gt;0</formula>
    </cfRule>
  </conditionalFormatting>
  <conditionalFormatting sqref="W49:X50">
    <cfRule type="expression" dxfId="274" priority="9">
      <formula>NOT(ISNUMBER($W$49))</formula>
    </cfRule>
  </conditionalFormatting>
  <conditionalFormatting sqref="W76:X77">
    <cfRule type="expression" dxfId="273" priority="7">
      <formula>NOT(ISNUMBER($W$76))</formula>
    </cfRule>
  </conditionalFormatting>
  <conditionalFormatting sqref="AC29:AD48">
    <cfRule type="expression" dxfId="272" priority="22">
      <formula>AND(ISBLANK($O29)=FALSE,OR(ISBLANK(AC29)=TRUE,AC29=""))</formula>
    </cfRule>
    <cfRule type="expression" dxfId="271" priority="23">
      <formula>AND(ISBLANK($C29)=FALSE,OR(ISBLANK(AC29)=TRUE,AC29=""))</formula>
    </cfRule>
  </conditionalFormatting>
  <conditionalFormatting sqref="AC56:AD75">
    <cfRule type="expression" dxfId="270" priority="20">
      <formula>AND(ISBLANK($O56)=FALSE,OR(ISBLANK(AC56)=TRUE,AC56=""))</formula>
    </cfRule>
    <cfRule type="expression" dxfId="269" priority="21">
      <formula>AND(ISBLANK($C56)=FALSE,OR(ISBLANK(AC56)=TRUE,AC56=""))</formula>
    </cfRule>
  </conditionalFormatting>
  <conditionalFormatting sqref="AE29 AH29">
    <cfRule type="expression" dxfId="268" priority="16">
      <formula>AND(ISBLANK($Y29)=FALSE,OR(ISBLANK(AE29)=TRUE,AE29=""))</formula>
    </cfRule>
  </conditionalFormatting>
  <conditionalFormatting sqref="AE56 AH56">
    <cfRule type="expression" dxfId="267" priority="29">
      <formula>AND(ISBLANK($Y56)=FALSE,OR(ISBLANK(AE56)=TRUE,AE56=""))</formula>
    </cfRule>
  </conditionalFormatting>
  <conditionalFormatting sqref="AE58 AH58 AE60 AH60 AE62 AH62 AE64 AH64 AE66 AH66 AE68 AH68 AE70 AH70 AE72 AH72 AE74 AH74">
    <cfRule type="expression" dxfId="266" priority="27">
      <formula>AND(ISBLANK($AA58)=FALSE,OR(ISBLANK(AE58)=TRUE,AE58=""))</formula>
    </cfRule>
  </conditionalFormatting>
  <conditionalFormatting sqref="AG10:AG11">
    <cfRule type="expression" dxfId="265" priority="54">
      <formula>COUNTIF($I$147:$L$196,"Redesign*")&gt;0</formula>
    </cfRule>
  </conditionalFormatting>
  <conditionalFormatting sqref="AH2 AL2">
    <cfRule type="expression" dxfId="264" priority="47">
      <formula>PROJSTATUS=PROJSTATELI</formula>
    </cfRule>
    <cfRule type="expression" dxfId="263" priority="48">
      <formula>PROJSTATUS=PROJSTATREVIEW</formula>
    </cfRule>
    <cfRule type="expression" dxfId="262" priority="50">
      <formula>PROJSTATUS=PROJSTATSTANDARD</formula>
    </cfRule>
    <cfRule type="expression" dxfId="261" priority="51">
      <formula>PROJSTATUS=PROJSTATEXP</formula>
    </cfRule>
    <cfRule type="expression" dxfId="260" priority="49">
      <formula>PROJSTATUS=PROJSTATPREAPPROVE</formula>
    </cfRule>
  </conditionalFormatting>
  <conditionalFormatting sqref="AH9:AJ9">
    <cfRule type="expression" dxfId="259" priority="53">
      <formula>COUNTIF($I$147:$L$196,"Redesign*")&gt;0</formula>
    </cfRule>
  </conditionalFormatting>
  <conditionalFormatting sqref="AH12:AJ12">
    <cfRule type="expression" dxfId="258" priority="55">
      <formula>COUNTIF($I$147:$L$196,"Redesign*")&gt;0</formula>
    </cfRule>
  </conditionalFormatting>
  <conditionalFormatting sqref="AJ29 AJ31 AJ33 AE31 AH31 AE33 AH33">
    <cfRule type="expression" dxfId="257" priority="14">
      <formula>AND(ISBLANK($AA29)=FALSE,OR(ISBLANK(AE29)=TRUE,AE29=""))</formula>
    </cfRule>
  </conditionalFormatting>
  <conditionalFormatting sqref="AJ29 AJ31 AJ33">
    <cfRule type="expression" dxfId="256" priority="12">
      <formula>AJ29&lt;&gt;INDEX(CMELIGHTEFFBASEW,MATCH(AA29,CMELIGHTEFF1,0))</formula>
    </cfRule>
    <cfRule type="expression" dxfId="255" priority="13">
      <formula>MOD(AJ29,1)&lt;&gt;0</formula>
    </cfRule>
  </conditionalFormatting>
  <conditionalFormatting sqref="AJ35 AJ37 AJ39 AJ41 AJ43 AJ45 AJ47 W29 W31 W33 W35 W37 W39 W41 W43 W45 W47">
    <cfRule type="expression" dxfId="254" priority="37">
      <formula>MOD(W29,1)&lt;&gt;0</formula>
    </cfRule>
  </conditionalFormatting>
  <conditionalFormatting sqref="AJ35 AJ37 AJ39 AJ41 AJ43 AJ45 AJ47 AE35 AH35 AE37 AH37 AE39 AH39 AE41 AH41 AE43 AH43 AE45 AH45 AE47 AH47">
    <cfRule type="expression" dxfId="253" priority="39">
      <formula>AND(ISBLANK($AA35)=FALSE,OR(ISBLANK(AE35)=TRUE,AE35=""))</formula>
    </cfRule>
  </conditionalFormatting>
  <conditionalFormatting sqref="AJ35 AJ37 AJ39 AJ41 AJ43 AJ45 AJ47">
    <cfRule type="expression" dxfId="252" priority="36">
      <formula>AJ35&lt;&gt;INDEX(CMELIGHTEFFBASEW,MATCH(AA35,CMELIGHTEFF1,0))</formula>
    </cfRule>
  </conditionalFormatting>
  <conditionalFormatting sqref="AJ56 AJ58 AJ60 AJ62 AJ64 AJ66 AJ68 AJ70 AJ72 AJ74">
    <cfRule type="expression" dxfId="251" priority="19">
      <formula>AND(ISBLANK($AA56)=FALSE,OR(ISBLANK(AJ56)=TRUE,AJ56=""))</formula>
    </cfRule>
    <cfRule type="expression" dxfId="250" priority="18">
      <formula>MOD(AJ56,1)&lt;&gt;0</formula>
    </cfRule>
    <cfRule type="expression" dxfId="249" priority="17">
      <formula>AJ56&lt;&gt;INDEX(CMELIGHTEFFBASEW,MATCH(AA56,CMELIGHTEFF1,0))</formula>
    </cfRule>
  </conditionalFormatting>
  <conditionalFormatting sqref="AJ49:AK50">
    <cfRule type="expression" dxfId="248" priority="8">
      <formula>NOT(ISNUMBER($AJ$49))</formula>
    </cfRule>
  </conditionalFormatting>
  <conditionalFormatting sqref="AJ76:AK77">
    <cfRule type="expression" dxfId="247" priority="6">
      <formula>NOT(ISNUMBER($W$49))</formula>
    </cfRule>
  </conditionalFormatting>
  <conditionalFormatting sqref="AK10:AK11">
    <cfRule type="expression" dxfId="246" priority="52">
      <formula>COUNTIF($I$147:$L$196,"Redesign*")&gt;0</formula>
    </cfRule>
  </conditionalFormatting>
  <conditionalFormatting sqref="AO20 AO22">
    <cfRule type="expression" dxfId="245" priority="34" stopIfTrue="1">
      <formula>NOT(ISNUMBER(AO20))</formula>
    </cfRule>
  </conditionalFormatting>
  <conditionalFormatting sqref="AO20:AQ23">
    <cfRule type="expression" dxfId="244" priority="35">
      <formula>$BF20="Yes"</formula>
    </cfRule>
  </conditionalFormatting>
  <conditionalFormatting sqref="AQ2:AR3">
    <cfRule type="cellIs" dxfId="243" priority="56" operator="equal">
      <formula>1</formula>
    </cfRule>
    <cfRule type="cellIs" dxfId="242" priority="57" operator="between">
      <formula>0.51</formula>
      <formula>0.99</formula>
    </cfRule>
    <cfRule type="cellIs" dxfId="241" priority="58" operator="lessThanOrEqual">
      <formula>0.5</formula>
    </cfRule>
  </conditionalFormatting>
  <dataValidations disablePrompts="1" count="5">
    <dataValidation type="list" allowBlank="1" showInputMessage="1" showErrorMessage="1" sqref="Y29:AB48 Y56:AB75" xr:uid="{CF17D3E8-78CF-4DA3-A016-0B9AEE8A0E7C}">
      <formula1>LEDREDEFF1</formula1>
    </dataValidation>
    <dataValidation type="list" allowBlank="1" showInputMessage="1" showErrorMessage="1" sqref="N29:Q48 N56:Q75" xr:uid="{D59FA0D7-1176-4BCD-9630-A2533EFE8996}">
      <formula1>REDESIGNBASEDESC</formula1>
    </dataValidation>
    <dataValidation type="whole" operator="greaterThan" allowBlank="1" showInputMessage="1" showErrorMessage="1" sqref="AJ29:AK48 AJ56:AK75" xr:uid="{C3D97C92-487C-47BA-80E7-B5893E1416AF}">
      <formula1>1</formula1>
    </dataValidation>
    <dataValidation type="whole" operator="greaterThanOrEqual" allowBlank="1" showInputMessage="1" showErrorMessage="1" error="A lamp life of 50,000 hours or greater is required to qualify for an incentive" sqref="AC29:AD48 AC56:AD75" xr:uid="{7B10E952-B0D1-4CAC-8929-4BB34F2D2E8D}">
      <formula1>50000</formula1>
    </dataValidation>
    <dataValidation type="list" allowBlank="1" showInputMessage="1" showErrorMessage="1" sqref="BG20:BG23" xr:uid="{A6366AE2-662E-48B4-BD49-6BF130DFF78F}">
      <formula1>"1.0,1.07"</formula1>
    </dataValidation>
  </dataValidations>
  <hyperlinks>
    <hyperlink ref="B202" r:id="rId1" display="NIPSCO.Savings@LMCO.com" xr:uid="{A86CD0CD-838E-4D23-8886-54E961E148F5}"/>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4323" r:id="rId5" name="Check Box 3">
              <controlPr defaultSize="0" autoFill="0" autoLine="0" autoPict="0">
                <anchor moveWithCells="1">
                  <from>
                    <xdr:col>3</xdr:col>
                    <xdr:colOff>85725</xdr:colOff>
                    <xdr:row>31</xdr:row>
                    <xdr:rowOff>0</xdr:rowOff>
                  </from>
                  <to>
                    <xdr:col>4</xdr:col>
                    <xdr:colOff>85725</xdr:colOff>
                    <xdr:row>33</xdr:row>
                    <xdr:rowOff>0</xdr:rowOff>
                  </to>
                </anchor>
              </controlPr>
            </control>
          </mc:Choice>
        </mc:AlternateContent>
        <mc:AlternateContent xmlns:mc="http://schemas.openxmlformats.org/markup-compatibility/2006">
          <mc:Choice Requires="x14">
            <control shapeId="184328" r:id="rId6" name="Check Box 8">
              <controlPr defaultSize="0" autoFill="0" autoLine="0" autoPict="0">
                <anchor moveWithCells="1">
                  <from>
                    <xdr:col>3</xdr:col>
                    <xdr:colOff>85725</xdr:colOff>
                    <xdr:row>58</xdr:row>
                    <xdr:rowOff>0</xdr:rowOff>
                  </from>
                  <to>
                    <xdr:col>4</xdr:col>
                    <xdr:colOff>85725</xdr:colOff>
                    <xdr:row>60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BZ205"/>
  <sheetViews>
    <sheetView showGridLines="0" showRowColHeaders="0" zoomScale="85" zoomScaleNormal="85" workbookViewId="0">
      <selection activeCell="C18" sqref="C18:H19"/>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4" ht="15.95" customHeight="1" x14ac:dyDescent="0.25">
      <c r="AH3" s="604"/>
      <c r="AI3" s="605"/>
      <c r="AJ3" s="605"/>
      <c r="AK3" s="605"/>
      <c r="AL3" s="614"/>
      <c r="AM3" s="614"/>
      <c r="AN3" s="614"/>
      <c r="AO3" s="614"/>
      <c r="AP3" s="614"/>
      <c r="AQ3" s="610"/>
      <c r="AR3" s="611"/>
    </row>
    <row r="4" spans="2:54" ht="15.95" customHeight="1" x14ac:dyDescent="0.25"/>
    <row r="5" spans="2:54"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4"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4"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Y7" s="69" t="e" cm="1">
        <f t="array" ref="AY7">INDEX(PMEHVACEFFMIN,MATCH(C20,PMEHVACMEAS,0))</f>
        <v>#N/A</v>
      </c>
    </row>
    <row r="8" spans="2:54" ht="15.95" customHeight="1" x14ac:dyDescent="0.25">
      <c r="AY8" s="69" t="e" cm="1">
        <f t="array" ref="AY8">INDEX(PMEHVACEFFMAX,MATCH(C20,PMEHVACMEAS,0))</f>
        <v>#N/A</v>
      </c>
    </row>
    <row r="9" spans="2:54" ht="15.95" customHeight="1" x14ac:dyDescent="0.25">
      <c r="B9" s="69"/>
      <c r="C9" s="69"/>
      <c r="D9" s="69"/>
      <c r="E9" s="69"/>
      <c r="F9" s="69"/>
      <c r="G9" s="69"/>
      <c r="H9" s="69"/>
      <c r="I9" s="69"/>
      <c r="J9" s="69"/>
      <c r="K9" s="69"/>
      <c r="L9" s="69"/>
      <c r="M9" s="69"/>
      <c r="N9" s="69"/>
      <c r="O9" s="794" t="str">
        <f>IF(INCENSTATUS="---",CONCATENATE(M4S1," ","Summary"),IF(INCENSTATUS&gt;15000,"This project may require an inspection. Please submit photos of existing equipment and of new efficient equipment once installed.",CONCATENATE(M4S1," ","Summary")))</f>
        <v>HVAC Equipment and Thermostats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Y9" s="519" t="s">
        <v>2476</v>
      </c>
      <c r="BB9" s="69" t="str">
        <f>IF(C20="","",IF(ISNUMBER(SEARCH("SEER",I20)),"Enter SEER",IF(ISNUMBER(SEARCH("IEER",I20)),"Enter IEER",IF(ISNUMBER(SEARCH("kW/ton",I20)),"Enter kW/ton",IF(ISNUMBER(SEARCH("T-Stats",I20)),"N/A","N/A")))))</f>
        <v/>
      </c>
    </row>
    <row r="10" spans="2:54"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54" ht="15.95" customHeight="1" x14ac:dyDescent="0.3">
      <c r="B11" s="69"/>
      <c r="C11" s="69"/>
      <c r="D11" s="69"/>
      <c r="E11" s="69"/>
      <c r="F11" s="69"/>
      <c r="G11" s="69"/>
      <c r="H11" s="69"/>
      <c r="I11" s="69"/>
      <c r="J11" s="876" t="str">
        <f>IF(COUNTIF(AW18:AW37,"Yes")&gt;0,"The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row>
    <row r="12" spans="2:54" ht="15.95" customHeight="1" x14ac:dyDescent="0.25">
      <c r="B12" s="69"/>
      <c r="C12" s="69"/>
      <c r="D12" s="69"/>
      <c r="E12" s="69"/>
      <c r="F12" s="69"/>
      <c r="G12" s="69"/>
      <c r="H12" s="69"/>
      <c r="I12" s="69"/>
      <c r="J12" s="876"/>
      <c r="K12" s="876"/>
      <c r="L12" s="876"/>
      <c r="M12" s="876"/>
      <c r="N12" s="876"/>
      <c r="O12" s="876"/>
      <c r="P12" s="876"/>
      <c r="Q12" s="876"/>
      <c r="R12" s="1699">
        <f>SUM(AO18:AQ201)</f>
        <v>0</v>
      </c>
      <c r="S12" s="1699"/>
      <c r="T12" s="1699"/>
      <c r="U12" s="1699"/>
      <c r="V12" s="1699">
        <f>AU202</f>
        <v>0</v>
      </c>
      <c r="W12" s="1699"/>
      <c r="X12" s="1699"/>
      <c r="Y12" s="1699"/>
      <c r="Z12" s="1700">
        <f>SUM(AK18:AN201)</f>
        <v>0</v>
      </c>
      <c r="AA12" s="1700"/>
      <c r="AB12" s="1700"/>
      <c r="AC12" s="1700"/>
      <c r="AD12" s="69"/>
      <c r="AE12" s="69"/>
      <c r="AF12" s="69"/>
      <c r="AG12" s="69"/>
      <c r="AH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54"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D13" s="69"/>
      <c r="AE13" s="69"/>
      <c r="AF13" s="69"/>
      <c r="AG13" s="69"/>
      <c r="AH13" s="69"/>
      <c r="AI13" s="69"/>
      <c r="AJ13" s="69"/>
      <c r="AK13" s="69"/>
      <c r="AL13" s="69"/>
      <c r="AM13" s="69"/>
      <c r="AN13" s="69"/>
      <c r="AO13" s="69"/>
      <c r="AP13" s="69"/>
      <c r="AQ13" s="69"/>
      <c r="AR13" s="69"/>
      <c r="AU13" s="69" cm="1">
        <f t="array" ref="AU13">SUMPRODUCT(--(LEN(C18:H37)&gt;0))</f>
        <v>0</v>
      </c>
    </row>
    <row r="14" spans="2:54" ht="15.95" customHeight="1" x14ac:dyDescent="0.25">
      <c r="B14" s="69"/>
      <c r="C14" s="69"/>
      <c r="D14" s="69"/>
      <c r="E14" s="69"/>
      <c r="F14" s="69"/>
      <c r="G14" s="69"/>
      <c r="H14" s="69"/>
      <c r="I14" s="69"/>
      <c r="J14" s="462"/>
      <c r="K14" s="462"/>
      <c r="L14" s="462"/>
      <c r="M14" s="1706" t="str">
        <f>IF(OR(M02S02F50="IECC 2015",M02S02F50="IECC 2012",M02S02F50="",M02S02F50="ASHRAE 90.1 2013"),"","The IECC code baseline selected exceeds the standard inefficient baseline that applies to these measures. Note that the incremental savings will be evaluated and the incentive may be adjusted in review.")</f>
        <v/>
      </c>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69"/>
      <c r="AJ14" s="69"/>
      <c r="AK14" s="69"/>
      <c r="AL14" s="69"/>
      <c r="AM14" s="69"/>
      <c r="AN14" s="69"/>
      <c r="AO14" s="69"/>
      <c r="AP14" s="69"/>
      <c r="AQ14" s="69"/>
      <c r="AR14" s="69"/>
    </row>
    <row r="15" spans="2:54" ht="15.95" customHeight="1" x14ac:dyDescent="0.25">
      <c r="B15" s="69"/>
      <c r="C15" s="69"/>
      <c r="D15" s="69"/>
      <c r="E15" s="69"/>
      <c r="F15" s="69"/>
      <c r="G15" s="69"/>
      <c r="H15" s="69"/>
      <c r="I15" s="69"/>
      <c r="J15" s="462"/>
      <c r="K15" s="462"/>
      <c r="L15" s="462"/>
      <c r="M15" s="1706"/>
      <c r="N15" s="1706"/>
      <c r="O15" s="1706"/>
      <c r="P15" s="1706"/>
      <c r="Q15" s="1706"/>
      <c r="R15" s="1706"/>
      <c r="S15" s="1706"/>
      <c r="T15" s="1706"/>
      <c r="U15" s="1706"/>
      <c r="V15" s="1706"/>
      <c r="W15" s="1706"/>
      <c r="X15" s="1706"/>
      <c r="Y15" s="1706"/>
      <c r="Z15" s="1706"/>
      <c r="AA15" s="1706"/>
      <c r="AB15" s="1706"/>
      <c r="AC15" s="1706"/>
      <c r="AD15" s="1706"/>
      <c r="AE15" s="1706"/>
      <c r="AF15" s="1706"/>
      <c r="AG15" s="1706"/>
      <c r="AH15" s="1706"/>
      <c r="AI15" s="69"/>
      <c r="AJ15" s="69"/>
      <c r="AK15" s="69"/>
      <c r="AL15" s="69"/>
      <c r="AM15" s="69"/>
      <c r="AN15" s="69"/>
      <c r="AO15" s="69"/>
      <c r="AP15" s="69"/>
      <c r="AQ15" s="69"/>
      <c r="AR15" s="69"/>
    </row>
    <row r="16" spans="2:54" ht="15.95" customHeight="1" x14ac:dyDescent="0.25">
      <c r="B16" s="69"/>
      <c r="C16" s="1665" t="s">
        <v>1988</v>
      </c>
      <c r="D16" s="1665"/>
      <c r="E16" s="1665"/>
      <c r="F16" s="1665"/>
      <c r="G16" s="1665"/>
      <c r="H16" s="1665"/>
      <c r="I16" s="1665" t="s">
        <v>91</v>
      </c>
      <c r="J16" s="1665"/>
      <c r="K16" s="1665"/>
      <c r="L16" s="1665"/>
      <c r="M16" s="1665"/>
      <c r="N16" s="1665" t="s">
        <v>1996</v>
      </c>
      <c r="O16" s="1665"/>
      <c r="P16" s="1665"/>
      <c r="Q16" s="745" t="s">
        <v>2426</v>
      </c>
      <c r="R16" s="1665"/>
      <c r="S16" s="1665"/>
      <c r="T16" s="1665"/>
      <c r="U16" s="1665" t="s">
        <v>1997</v>
      </c>
      <c r="V16" s="1665"/>
      <c r="W16" s="1665" t="s">
        <v>90</v>
      </c>
      <c r="X16" s="1665"/>
      <c r="Y16" s="1665" t="s">
        <v>103</v>
      </c>
      <c r="Z16" s="1665"/>
      <c r="AA16" s="1665"/>
      <c r="AB16" s="1665"/>
      <c r="AC16" s="1665" t="s">
        <v>92</v>
      </c>
      <c r="AD16" s="1665"/>
      <c r="AE16" s="1665"/>
      <c r="AF16" s="1667" t="s">
        <v>1987</v>
      </c>
      <c r="AG16" s="1667"/>
      <c r="AH16" s="1667"/>
      <c r="AI16" s="1667"/>
      <c r="AJ16" s="1665" t="s">
        <v>1363</v>
      </c>
      <c r="AK16" s="1665"/>
      <c r="AL16" s="1665" t="s">
        <v>88</v>
      </c>
      <c r="AM16" s="1665"/>
      <c r="AN16" s="1665"/>
      <c r="AO16" s="1665" t="s">
        <v>87</v>
      </c>
      <c r="AP16" s="1665"/>
      <c r="AQ16" s="1665"/>
      <c r="AR16" s="69"/>
      <c r="AU16" s="799" t="s">
        <v>191</v>
      </c>
      <c r="AV16" s="799" t="s">
        <v>192</v>
      </c>
      <c r="AW16" s="799" t="s">
        <v>1352</v>
      </c>
      <c r="AX16" s="745" t="s">
        <v>2006</v>
      </c>
      <c r="AY16" s="745" t="s">
        <v>2007</v>
      </c>
      <c r="AZ16" s="745" t="s">
        <v>2008</v>
      </c>
    </row>
    <row r="17" spans="2:52" ht="15.95" customHeight="1" thickBot="1" x14ac:dyDescent="0.3">
      <c r="B17" s="69"/>
      <c r="C17" s="1666"/>
      <c r="D17" s="1666"/>
      <c r="E17" s="1666"/>
      <c r="F17" s="1666"/>
      <c r="G17" s="1666"/>
      <c r="H17" s="1666"/>
      <c r="I17" s="1666"/>
      <c r="J17" s="1666"/>
      <c r="K17" s="1666"/>
      <c r="L17" s="1666"/>
      <c r="M17" s="1666"/>
      <c r="N17" s="1666"/>
      <c r="O17" s="1666"/>
      <c r="P17" s="1666"/>
      <c r="Q17" s="1666"/>
      <c r="R17" s="1666"/>
      <c r="S17" s="1666"/>
      <c r="T17" s="1666"/>
      <c r="U17" s="1666"/>
      <c r="V17" s="1666"/>
      <c r="W17" s="1666"/>
      <c r="X17" s="1666"/>
      <c r="Y17" s="1666"/>
      <c r="Z17" s="1666"/>
      <c r="AA17" s="1666"/>
      <c r="AB17" s="1666"/>
      <c r="AC17" s="1666"/>
      <c r="AD17" s="1666"/>
      <c r="AE17" s="1666"/>
      <c r="AF17" s="1666" t="s">
        <v>1989</v>
      </c>
      <c r="AG17" s="1666"/>
      <c r="AH17" s="1666" t="s">
        <v>1998</v>
      </c>
      <c r="AI17" s="1666"/>
      <c r="AJ17" s="1666"/>
      <c r="AK17" s="1666"/>
      <c r="AL17" s="1666"/>
      <c r="AM17" s="1666"/>
      <c r="AN17" s="1666"/>
      <c r="AO17" s="1666"/>
      <c r="AP17" s="1666"/>
      <c r="AQ17" s="1666"/>
      <c r="AR17" s="69"/>
      <c r="AU17" s="746"/>
      <c r="AV17" s="746"/>
      <c r="AW17" s="746"/>
      <c r="AX17" s="746"/>
      <c r="AY17" s="746"/>
      <c r="AZ17" s="746"/>
    </row>
    <row r="18" spans="2:52" ht="15.95" customHeight="1" x14ac:dyDescent="0.25">
      <c r="B18" s="1193">
        <v>1</v>
      </c>
      <c r="C18" s="880"/>
      <c r="D18" s="1676"/>
      <c r="E18" s="1676"/>
      <c r="F18" s="1676"/>
      <c r="G18" s="1676"/>
      <c r="H18" s="1676"/>
      <c r="I18" s="1703" t="str">
        <f>IF(C18="","",INDEX(PMEHVAC[Base Desc 1],MATCH(C18,PMEHVAC[Measure Type],0)))</f>
        <v/>
      </c>
      <c r="J18" s="1703"/>
      <c r="K18" s="1703"/>
      <c r="L18" s="1703"/>
      <c r="M18" s="1703"/>
      <c r="N18" s="1677" t="str">
        <f t="shared" ref="N18:N31" si="0">IF(C18="","",IF(ISNUMBER(SEARCH("SEER2",I18)),"Enter SEER2",IF(ISNUMBER(SEARCH("SEER",I18)),"Enter SEER",IF(ISNUMBER(SEARCH("IEER",I18)),"Enter IEER",IF(ISNUMBER(SEARCH("kW/ton",I18)),"Enter IPLV",IF(ISNUMBER(SEARCH("T-Stats",I18)),"N/A","N/A"))))))</f>
        <v/>
      </c>
      <c r="O18" s="1678"/>
      <c r="P18" s="1679"/>
      <c r="Q18" s="1670"/>
      <c r="R18" s="1670"/>
      <c r="S18" s="1668" t="s">
        <v>1992</v>
      </c>
      <c r="T18" s="1668"/>
      <c r="U18" s="1701"/>
      <c r="V18" s="1701"/>
      <c r="W18" s="1672" t="str">
        <f>IF(I18="","",IF(ISNUMBER(SEARCH("SEER",I18)),"Unit",IF(ISNUMBER(SEARCH("IEER",I18)),"Unit",IF(ISNUMBER(SEARCH("kW/ton",I18)),"Unit",IF(ISNUMBER(SEARCH("Constant",I18)),"Unit",IF(ISNUMBER(SEARCH("Thermostat",I18)),"T-Stats",IF(ISNUMBER(SEARCH("Demand Control",I18)),"1000 sq ft")))))))</f>
        <v/>
      </c>
      <c r="X18" s="1672"/>
      <c r="Y18" s="1674"/>
      <c r="Z18" s="1683"/>
      <c r="AA18" s="1683"/>
      <c r="AB18" s="1683"/>
      <c r="AC18" s="1674"/>
      <c r="AD18" s="1683"/>
      <c r="AE18" s="1683"/>
      <c r="AF18" s="1704"/>
      <c r="AG18" s="1704"/>
      <c r="AH18" s="1704"/>
      <c r="AI18" s="1704"/>
      <c r="AJ18" s="1685" t="str">
        <f>IF(C18="","",INDEX(PMEHVAC[Inc Rate Unit],MATCH(C18,PMEHVAC[Measure Type],0)))</f>
        <v/>
      </c>
      <c r="AK18" s="1686"/>
      <c r="AL18" s="1693" t="str">
        <f>IF(OR(N18="",C18="",U18="",Y18="",AC18="",AF18="",AH18=""),"",IF(ISNUMBER(SEARCH("Thermostat",C18)),ROUND(Q18*U18*INDEX(PMEHVAC[Savings per ton per EER kWh],MATCH(C18,PMEHVAC[Measure Type],0)),0),
IF(ISNUMBER(SEARCH("Advanced RTU",C18)),ROUND(U18*Q18*INDEX(PMEHVAC[Savings per ton per EER kWh],MATCH(C18,PMEHVAC[Measure Type],0)),0),
IF(ISNUMBER(SEARCH("Demand Control",C18)),ROUND(U18*INDEX(PMEHVAC[Savings per ton per EER kWh],MATCH(C18,PMEHVAC[Measure Type],0)),0),
IF(ISNUMBER(SEARCH("Chiller",C18)),ROUND(U18*Q18*1053*((-1*(INDEX(PMEHVAC[Base EER1],MATCH(C18,PMEHVAC[Measure Type],0))))-N18),0),
IF(OR(ISNUMBER(SEARCH("IEER",I18)),ISNUMBER(SEARCH("SEER",I18)),ISNUMBER(SEARCH("SEER2",I18))),ROUND(U18*Q18*12*1053*((1/(INDEX(PMEHVAC[Base EER1],MATCH(C18,PMEHVAC[Measure Type],0))))-(1/N18)),0)))))))</f>
        <v/>
      </c>
      <c r="AM18" s="1694"/>
      <c r="AN18" s="1695"/>
      <c r="AO18" s="1689" t="str">
        <f>IF(M02S02F44="","Update Install Status",IF(M02S02F49="Yes","Submit for Review",IF(OR(N18="",C18="",U18="",Y18="",AC18="",AF18="",AH18=""),"",
IF(AND(ISNUMBER(SEARCH("Thermostat",C18)),ISNUMBER(SEARCH("&gt;= 4 tons",C18))),MIN(AU18,ROUND(U18*INDEX(PMEHVAC[Inc Rate Unit],MATCH(C18,PMEHVAC[Measure Type],0)),0)),
IF(AND(ISNUMBER(SEARCH("Thermostat",C18)),ISNUMBER(SEARCH("&lt; 4 tons",C18))),MIN(AU18,ROUND(Q18*U18*INDEX(PMEHVAC[Inc Rate Unit],MATCH(C18,PMEHVAC[Measure Type],0)),0)),
IF(ISNUMBER(SEARCH("Advanced RTU",C18)),MIN(AU18,ROUND(Q18*U18*INDEX(PMEHVAC[Inc Rate Unit],MATCH(C18,PMEHVAC[Measure Type],0)),0)),
IF(ISNUMBER(SEARCH("Demand Control",C18)),MIN(AU18,ROUND(U18*INDEX(PMEHVAC[Inc Rate Unit],MATCH(C18,PMEHVAC[Measure Type],0)),0)),
IF(ISNUMBER(SEARCH("Chiller",C18)),MIN(AU18,ROUND(Q18*U18*((-1*(INDEX(PMEHVAC[Base EER1],MATCH(C18,PMEHVAC[Measure Type],0))))-N18)*100*INDEX(PMEHVAC[Inc Rate Unit],MATCH(C18,PMEHVAC[Measure Type],0)),0)),
IF(OR(ISNUMBER(SEARCH("System",C18)),ISNUMBER(SEARCH("Heat Pump",C18))),MIN(AU18,ROUND(INDEX(PMEHVAC[Inc Rate Unit],MATCH(C18,PMEHVAC[Measure Type],0))*(Q18*U18)*(N18-INDEX(PMEHVAC[Base EER1],MATCH(C18,PMEHVAC[Measure Type],0))),0)))))))))))</f>
        <v>Update Install Status</v>
      </c>
      <c r="AP18" s="1690"/>
      <c r="AQ18" s="1690"/>
      <c r="AR18" s="69"/>
      <c r="AU18" s="1420" t="str">
        <f>IF(OR(C18="",U18="",Y18="",AC18="",AF18="",AH18=""),"",(ROUND((AF18+AH18),2)))</f>
        <v/>
      </c>
      <c r="AV18" s="1387" t="str">
        <f>IF(OR(C18="",U18="",Y18="",AC18="",AF18="",AH18=""),"",ROUND(AL18*INDEX(ENDUSEALL[Factor],MATCH(INDEX(PMEHVAC[End Use Category],MATCH(C18,PMEHVAC[Measure Type],0)),ENDUSEALL[End Use to Coincident Peak Demand Factors],0)),4))</f>
        <v/>
      </c>
      <c r="AW18" s="1387" t="str">
        <f>IF(OR(C18="",U18="",Y18="",AC18="",AF18="",AH18=""),"",IF(AO18&lt;&gt;AU18,"No","Yes"))</f>
        <v/>
      </c>
      <c r="AX18" s="1422">
        <f>IFERROR(ROUND(AZ18*1.15,2),0)</f>
        <v>0</v>
      </c>
      <c r="AY18" s="1370" t="str">
        <f>IF(M02S02F44="","Update Install Status",IF(M02S02F49="Yes","Submit for Review",IF(OR(N18="",C18="",U18="",Y18="",AC18="",AF18="",AH18=""),"",ROUND(AX18*BONUSADJ,2))))</f>
        <v>Update Install Status</v>
      </c>
      <c r="AZ18" s="1370" t="str">
        <f>IF(M02S02F44="","Update Install Status",IF(M02S02F49="Yes","Submit for Review",IF(OR(N18="",C18="",U18="",Y18="",AC18="",AF18="",AH18=""),"",
IF(AND(ISNUMBER(SEARCH("Thermostat",C18)),ISNUMBER(SEARCH("&gt;= 4 tons",C18))),MIN(AU18,ROUND(U18*INDEX(PMEHVAC[Inc Rate Unit],MATCH(C18,PMEHVAC[Measure Type],0)),0)),
IF(AND(ISNUMBER(SEARCH("Thermostat",C18)),ISNUMBER(SEARCH("&lt; 4 tons",C18))),MIN(AU18,ROUND(Q18*U18*INDEX(PMEHVAC[Inc Rate Unit],MATCH(C18,PMEHVAC[Measure Type],0)),0)),
IF(ISNUMBER(SEARCH("Advanced RTU",C18)),MIN(AU18,ROUND(Q18*U18*INDEX(PMEHVAC[Inc Rate Unit],MATCH(C18,PMEHVAC[Measure Type],0)),0)),
IF(ISNUMBER(SEARCH("Demand Control",C18)),MIN(AU18,ROUND(U18*INDEX(PMEHVAC[Inc Rate Unit],MATCH(C18,PMEHVAC[Measure Type],0)),0)),
IF(ISNUMBER(SEARCH("Chiller",C18)),MIN(AU18,ROUND(Q18*U18*((-1*(INDEX(PMEHVAC[Base EER1],MATCH(C18,PMEHVAC[Measure Type],0))))-N18)*100*INDEX(PMEHVAC[Inc Rate Unit],MATCH(C18,PMEHVAC[Measure Type],0)),0)),
IF(OR(ISNUMBER(SEARCH("System",C18)),ISNUMBER(SEARCH("Heat Pump",C18))),MIN(AU18,ROUND(INDEX(PMEHVAC[Inc Rate Unit],MATCH(C18,PMEHVAC[Measure Type],0))*(Q18*U18)*(N18-INDEX(PMEHVAC[Base EER1],MATCH(C18,PMEHVAC[Measure Type],0))),0)))))))))))</f>
        <v>Update Install Status</v>
      </c>
    </row>
    <row r="19" spans="2:52" ht="15.95" customHeight="1" x14ac:dyDescent="0.25">
      <c r="B19" s="1193"/>
      <c r="C19" s="1676"/>
      <c r="D19" s="1676"/>
      <c r="E19" s="1676"/>
      <c r="F19" s="1676"/>
      <c r="G19" s="1676"/>
      <c r="H19" s="1676"/>
      <c r="I19" s="1703"/>
      <c r="J19" s="1703"/>
      <c r="K19" s="1703"/>
      <c r="L19" s="1703"/>
      <c r="M19" s="1703"/>
      <c r="N19" s="1680"/>
      <c r="O19" s="1681"/>
      <c r="P19" s="1682"/>
      <c r="Q19" s="1671"/>
      <c r="R19" s="1671"/>
      <c r="S19" s="1669"/>
      <c r="T19" s="1669"/>
      <c r="U19" s="1702"/>
      <c r="V19" s="1702"/>
      <c r="W19" s="1673"/>
      <c r="X19" s="1673"/>
      <c r="Y19" s="1684"/>
      <c r="Z19" s="1684"/>
      <c r="AA19" s="1684"/>
      <c r="AB19" s="1684"/>
      <c r="AC19" s="1684"/>
      <c r="AD19" s="1684"/>
      <c r="AE19" s="1684"/>
      <c r="AF19" s="1705"/>
      <c r="AG19" s="1705"/>
      <c r="AH19" s="1705"/>
      <c r="AI19" s="1705"/>
      <c r="AJ19" s="1687"/>
      <c r="AK19" s="1688"/>
      <c r="AL19" s="1696"/>
      <c r="AM19" s="1697"/>
      <c r="AN19" s="1698"/>
      <c r="AO19" s="1691"/>
      <c r="AP19" s="1692"/>
      <c r="AQ19" s="1692"/>
      <c r="AR19" s="69"/>
      <c r="AU19" s="1421"/>
      <c r="AV19" s="1388"/>
      <c r="AW19" s="1388"/>
      <c r="AX19" s="1423"/>
      <c r="AY19" s="1371"/>
      <c r="AZ19" s="1371"/>
    </row>
    <row r="20" spans="2:52" ht="15.95" customHeight="1" x14ac:dyDescent="0.25">
      <c r="B20" s="1204">
        <v>2</v>
      </c>
      <c r="C20" s="880"/>
      <c r="D20" s="880"/>
      <c r="E20" s="880"/>
      <c r="F20" s="880"/>
      <c r="G20" s="880"/>
      <c r="H20" s="880"/>
      <c r="I20" s="1703" t="str">
        <f>IF(C20="","",INDEX(PMEHVAC[Base Desc 1],MATCH(C20,PMEHVAC[Measure Type],0)))</f>
        <v/>
      </c>
      <c r="J20" s="1703"/>
      <c r="K20" s="1703"/>
      <c r="L20" s="1703"/>
      <c r="M20" s="1703"/>
      <c r="N20" s="1677" t="str">
        <f t="shared" ref="N20:N31" si="1">IF(C20="","",IF(ISNUMBER(SEARCH("SEER2",I20)),"Enter SEER2",IF(ISNUMBER(SEARCH("SEER",I20)),"Enter SEER",IF(ISNUMBER(SEARCH("IEER",I20)),"Enter IEER",IF(ISNUMBER(SEARCH("kW/ton",I20)),"Enter IPLV",IF(ISNUMBER(SEARCH("T-Stats",I20)),"N/A","N/A"))))))</f>
        <v/>
      </c>
      <c r="O20" s="1678"/>
      <c r="P20" s="1679"/>
      <c r="Q20" s="1670"/>
      <c r="R20" s="1670"/>
      <c r="S20" s="1668" t="s">
        <v>1992</v>
      </c>
      <c r="T20" s="1668"/>
      <c r="U20" s="1670"/>
      <c r="V20" s="1670"/>
      <c r="W20" s="1672" t="str">
        <f t="shared" ref="W20" si="2">IF(I20="","",IF(ISNUMBER(SEARCH("SEER",I20)),"Unit",IF(ISNUMBER(SEARCH("IEER",I20)),"Unit",IF(ISNUMBER(SEARCH("kW/ton",I20)),"Unit",IF(ISNUMBER(SEARCH("Constant",I20)),"Unit",IF(ISNUMBER(SEARCH("Thermostat",I20)),"T-Stats",IF(ISNUMBER(SEARCH("Demand Control",I20)),"1000 sq ft")))))))</f>
        <v/>
      </c>
      <c r="X20" s="1672"/>
      <c r="Y20" s="1674"/>
      <c r="Z20" s="1674"/>
      <c r="AA20" s="1674"/>
      <c r="AB20" s="1674"/>
      <c r="AC20" s="1674"/>
      <c r="AD20" s="1674"/>
      <c r="AE20" s="1674"/>
      <c r="AF20" s="1199"/>
      <c r="AG20" s="1199"/>
      <c r="AH20" s="1199"/>
      <c r="AI20" s="1199"/>
      <c r="AJ20" s="1685" t="str">
        <f>IF(C20="","",INDEX(PMEHVAC[Inc Rate Unit],MATCH(C20,PMEHVAC[Measure Type],0)))</f>
        <v/>
      </c>
      <c r="AK20" s="1686"/>
      <c r="AL20" s="1693" t="str">
        <f>IF(OR(N20="",C20="",U20="",Y20="",AC20="",AF20="",AH20=""),"",IF(ISNUMBER(SEARCH("Thermostat",C20)),ROUND(Q20*U20*INDEX(PMEHVAC[Savings per ton per EER kWh],MATCH(C20,PMEHVAC[Measure Type],0)),0),
IF(ISNUMBER(SEARCH("Advanced RTU",C20)),ROUND(U20*Q20*INDEX(PMEHVAC[Savings per ton per EER kWh],MATCH(C20,PMEHVAC[Measure Type],0)),0),
IF(ISNUMBER(SEARCH("Demand Control",C20)),ROUND(U20*INDEX(PMEHVAC[Savings per ton per EER kWh],MATCH(C20,PMEHVAC[Measure Type],0)),0),
IF(ISNUMBER(SEARCH("Chiller",C20)),ROUND(U20*Q20*1053*((-1*(INDEX(PMEHVAC[Base EER1],MATCH(C20,PMEHVAC[Measure Type],0))))-N20),0),
IF(OR(ISNUMBER(SEARCH("IEER",I20)),ISNUMBER(SEARCH("SEER",I20)),ISNUMBER(SEARCH("SEER2",I20))),ROUND(U20*Q20*12*1053*((1/(INDEX(PMEHVAC[Base EER1],MATCH(C20,PMEHVAC[Measure Type],0))))-(1/N20)),0)))))))</f>
        <v/>
      </c>
      <c r="AM20" s="1694"/>
      <c r="AN20" s="1695"/>
      <c r="AO20" s="1689" t="str">
        <f>IF(M02S02F44="","Update Install Status",IF(M02S02F49="Yes","Submit for Review",IF(OR(N20="",C20="",U20="",Y20="",AC20="",AF20="",AH20=""),"",
IF(AND(ISNUMBER(SEARCH("Thermostat",C20)),ISNUMBER(SEARCH("&gt;= 4 tons",C20))),MIN(AU20,ROUND(U20*INDEX(PMEHVAC[Inc Rate Unit],MATCH(C20,PMEHVAC[Measure Type],0)),0)),
IF(AND(ISNUMBER(SEARCH("Thermostat",C20)),ISNUMBER(SEARCH("&lt; 4 tons",C20))),MIN(AU20,ROUND(Q20*U20*INDEX(PMEHVAC[Inc Rate Unit],MATCH(C20,PMEHVAC[Measure Type],0)),0)),
IF(ISNUMBER(SEARCH("Advanced RTU",C20)),MIN(AU20,ROUND(Q20*U20*INDEX(PMEHVAC[Inc Rate Unit],MATCH(C20,PMEHVAC[Measure Type],0)),0)),
IF(ISNUMBER(SEARCH("Demand Control",C20)),MIN(AU20,ROUND(U20*INDEX(PMEHVAC[Inc Rate Unit],MATCH(C20,PMEHVAC[Measure Type],0)),0)),
IF(ISNUMBER(SEARCH("Chiller",C20)),MIN(AU20,ROUND(Q20*U20*((-1*(INDEX(PMEHVAC[Base EER1],MATCH(C20,PMEHVAC[Measure Type],0))))-N20)*100*INDEX(PMEHVAC[Inc Rate Unit],MATCH(C20,PMEHVAC[Measure Type],0)),0)),
IF(OR(ISNUMBER(SEARCH("System",C20)),ISNUMBER(SEARCH("Heat Pump",C20))),MIN(AU20,ROUND(INDEX(PMEHVAC[Inc Rate Unit],MATCH(C20,PMEHVAC[Measure Type],0))*(Q20*U20)*(N20-INDEX(PMEHVAC[Base EER1],MATCH(C20,PMEHVAC[Measure Type],0))),0)))))))))))</f>
        <v>Update Install Status</v>
      </c>
      <c r="AP20" s="1690"/>
      <c r="AQ20" s="1690"/>
      <c r="AR20" s="69"/>
      <c r="AU20" s="1420" t="str">
        <f>IF(OR(C20="",U20="",Y20="",AC20="",AF20="",AH20=""),"",(ROUND((AF20+AH20),2)))</f>
        <v/>
      </c>
      <c r="AV20" s="1387" t="str">
        <f>IF(OR(C20="",U20="",Y20="",AC20="",AF20="",AH20=""),"",ROUND(AL20*INDEX(ENDUSEALL[Factor],MATCH(INDEX(PMEHVAC[End Use Category],MATCH(C20,PMEHVAC[Measure Type],0)),ENDUSEALL[End Use to Coincident Peak Demand Factors],0)),4))</f>
        <v/>
      </c>
      <c r="AW20" s="1387" t="str">
        <f>IF(OR(C20="",U20="",Y20="",AC20="",AF20="",AH20=""),"",IF(AO20&lt;&gt;AU20,"No","Yes"))</f>
        <v/>
      </c>
      <c r="AX20" s="1422">
        <f t="shared" ref="AX20" si="3">IFERROR(ROUND(AZ20*1.15,2),0)</f>
        <v>0</v>
      </c>
      <c r="AY20" s="1370" t="str">
        <f>IF(M02S02F44="","Update Install Status",IF(M02S02F49="Yes","Submit for Review",IF(OR(N20="",C20="",U20="",Y20="",AC20="",AF20="",AH20=""),"",ROUND(AX20*BONUSADJ,2))))</f>
        <v>Update Install Status</v>
      </c>
      <c r="AZ20" s="1370" t="str">
        <f>IF(M02S02F44="","Update Install Status",IF(M02S02F49="Yes","Submit for Review",IF(OR(N20="",C20="",U20="",Y20="",AC20="",AF20="",AH20=""),"",
IF(AND(ISNUMBER(SEARCH("Thermostat",C20)),ISNUMBER(SEARCH("&gt;= 4 tons",C20))),MIN(AU20,ROUND(U20*INDEX(PMEHVAC[Inc Rate Unit],MATCH(C20,PMEHVAC[Measure Type],0)),0)),
IF(AND(ISNUMBER(SEARCH("Thermostat",C20)),ISNUMBER(SEARCH("&lt; 4 tons",C20))),MIN(AU20,ROUND(Q20*U20*INDEX(PMEHVAC[Inc Rate Unit],MATCH(C20,PMEHVAC[Measure Type],0)),0)),
IF(ISNUMBER(SEARCH("Advanced RTU",C20)),MIN(AU20,ROUND(Q20*U20*INDEX(PMEHVAC[Inc Rate Unit],MATCH(C20,PMEHVAC[Measure Type],0)),0)),
IF(ISNUMBER(SEARCH("Demand Control",C20)),MIN(AU20,ROUND(U20*INDEX(PMEHVAC[Inc Rate Unit],MATCH(C20,PMEHVAC[Measure Type],0)),0)),
IF(ISNUMBER(SEARCH("Chiller",C20)),MIN(AU20,ROUND(Q20*U20*((-1*(INDEX(PMEHVAC[Base EER1],MATCH(C20,PMEHVAC[Measure Type],0))))-N20)*100*INDEX(PMEHVAC[Inc Rate Unit],MATCH(C20,PMEHVAC[Measure Type],0)),0)),
IF(OR(ISNUMBER(SEARCH("System",C20)),ISNUMBER(SEARCH("Heat Pump",C20))),MIN(AU20,ROUND(INDEX(PMEHVAC[Inc Rate Unit],MATCH(C20,PMEHVAC[Measure Type],0))*(Q20*U20)*(N20-INDEX(PMEHVAC[Base EER1],MATCH(C20,PMEHVAC[Measure Type],0))),0)))))))))))</f>
        <v>Update Install Status</v>
      </c>
    </row>
    <row r="21" spans="2:52" ht="15.95" customHeight="1" x14ac:dyDescent="0.25">
      <c r="B21" s="1204"/>
      <c r="C21" s="880"/>
      <c r="D21" s="880"/>
      <c r="E21" s="880"/>
      <c r="F21" s="880"/>
      <c r="G21" s="880"/>
      <c r="H21" s="880"/>
      <c r="I21" s="1703"/>
      <c r="J21" s="1703"/>
      <c r="K21" s="1703"/>
      <c r="L21" s="1703"/>
      <c r="M21" s="1703"/>
      <c r="N21" s="1680"/>
      <c r="O21" s="1681"/>
      <c r="P21" s="1682"/>
      <c r="Q21" s="1671"/>
      <c r="R21" s="1671"/>
      <c r="S21" s="1669"/>
      <c r="T21" s="1669"/>
      <c r="U21" s="1671"/>
      <c r="V21" s="1671"/>
      <c r="W21" s="1673"/>
      <c r="X21" s="1673"/>
      <c r="Y21" s="1675"/>
      <c r="Z21" s="1675"/>
      <c r="AA21" s="1675"/>
      <c r="AB21" s="1675"/>
      <c r="AC21" s="1675"/>
      <c r="AD21" s="1675"/>
      <c r="AE21" s="1675"/>
      <c r="AF21" s="1201"/>
      <c r="AG21" s="1201"/>
      <c r="AH21" s="1201"/>
      <c r="AI21" s="1201"/>
      <c r="AJ21" s="1687"/>
      <c r="AK21" s="1688"/>
      <c r="AL21" s="1696"/>
      <c r="AM21" s="1697"/>
      <c r="AN21" s="1698"/>
      <c r="AO21" s="1691"/>
      <c r="AP21" s="1692"/>
      <c r="AQ21" s="1692"/>
      <c r="AR21" s="69"/>
      <c r="AU21" s="1421"/>
      <c r="AV21" s="1388"/>
      <c r="AW21" s="1388"/>
      <c r="AX21" s="1423"/>
      <c r="AY21" s="1371"/>
      <c r="AZ21" s="1371"/>
    </row>
    <row r="22" spans="2:52" ht="15.95" customHeight="1" x14ac:dyDescent="0.25">
      <c r="B22" s="1204">
        <v>3</v>
      </c>
      <c r="C22" s="880"/>
      <c r="D22" s="880"/>
      <c r="E22" s="880"/>
      <c r="F22" s="880"/>
      <c r="G22" s="880"/>
      <c r="H22" s="880"/>
      <c r="I22" s="1703" t="str">
        <f>IF(C22="","",INDEX(PMEHVAC[Base Desc 1],MATCH(C22,PMEHVAC[Measure Type],0)))</f>
        <v/>
      </c>
      <c r="J22" s="1703"/>
      <c r="K22" s="1703"/>
      <c r="L22" s="1703"/>
      <c r="M22" s="1703"/>
      <c r="N22" s="1677" t="str">
        <f t="shared" ref="N22:N31" si="4">IF(C22="","",IF(ISNUMBER(SEARCH("SEER2",I22)),"Enter SEER2",IF(ISNUMBER(SEARCH("SEER",I22)),"Enter SEER",IF(ISNUMBER(SEARCH("IEER",I22)),"Enter IEER",IF(ISNUMBER(SEARCH("kW/ton",I22)),"Enter IPLV",IF(ISNUMBER(SEARCH("T-Stats",I22)),"N/A","N/A"))))))</f>
        <v/>
      </c>
      <c r="O22" s="1678"/>
      <c r="P22" s="1679"/>
      <c r="Q22" s="1670"/>
      <c r="R22" s="1670"/>
      <c r="S22" s="1668" t="s">
        <v>1992</v>
      </c>
      <c r="T22" s="1668"/>
      <c r="U22" s="1670"/>
      <c r="V22" s="1670"/>
      <c r="W22" s="1672" t="str">
        <f t="shared" ref="W22" si="5">IF(I22="","",IF(ISNUMBER(SEARCH("SEER",I22)),"Unit",IF(ISNUMBER(SEARCH("IEER",I22)),"Unit",IF(ISNUMBER(SEARCH("kW/ton",I22)),"Unit",IF(ISNUMBER(SEARCH("Constant",I22)),"Unit",IF(ISNUMBER(SEARCH("Thermostat",I22)),"T-Stats",IF(ISNUMBER(SEARCH("Demand Control",I22)),"1000 sq ft")))))))</f>
        <v/>
      </c>
      <c r="X22" s="1672"/>
      <c r="Y22" s="1674"/>
      <c r="Z22" s="1674"/>
      <c r="AA22" s="1674"/>
      <c r="AB22" s="1674"/>
      <c r="AC22" s="1674"/>
      <c r="AD22" s="1674"/>
      <c r="AE22" s="1674"/>
      <c r="AF22" s="1199"/>
      <c r="AG22" s="1199"/>
      <c r="AH22" s="1199"/>
      <c r="AI22" s="1199"/>
      <c r="AJ22" s="1685" t="str">
        <f>IF(C22="","",INDEX(PMEHVAC[Inc Rate Unit],MATCH(C22,PMEHVAC[Measure Type],0)))</f>
        <v/>
      </c>
      <c r="AK22" s="1686"/>
      <c r="AL22" s="1693" t="str">
        <f>IF(OR(N22="",C22="",U22="",Y22="",AC22="",AF22="",AH22=""),"",IF(ISNUMBER(SEARCH("Thermostat",C22)),ROUND(Q22*U22*INDEX(PMEHVAC[Savings per ton per EER kWh],MATCH(C22,PMEHVAC[Measure Type],0)),0),
IF(ISNUMBER(SEARCH("Advanced RTU",C22)),ROUND(U22*Q22*INDEX(PMEHVAC[Savings per ton per EER kWh],MATCH(C22,PMEHVAC[Measure Type],0)),0),
IF(ISNUMBER(SEARCH("Demand Control",C22)),ROUND(U22*INDEX(PMEHVAC[Savings per ton per EER kWh],MATCH(C22,PMEHVAC[Measure Type],0)),0),
IF(ISNUMBER(SEARCH("Chiller",C22)),ROUND(U22*Q22*1053*((-1*(INDEX(PMEHVAC[Base EER1],MATCH(C22,PMEHVAC[Measure Type],0))))-N22),0),
IF(OR(ISNUMBER(SEARCH("IEER",I22)),ISNUMBER(SEARCH("SEER",I22)),ISNUMBER(SEARCH("SEER2",I22))),ROUND(U22*Q22*12*1053*((1/(INDEX(PMEHVAC[Base EER1],MATCH(C22,PMEHVAC[Measure Type],0))))-(1/N22)),0)))))))</f>
        <v/>
      </c>
      <c r="AM22" s="1694"/>
      <c r="AN22" s="1695"/>
      <c r="AO22" s="1689" t="str">
        <f>IF(M02S02F44="","Update Install Status",IF(M02S02F49="Yes","Submit for Review",IF(OR(N22="",C22="",U22="",Y22="",AC22="",AF22="",AH22=""),"",
IF(AND(ISNUMBER(SEARCH("Thermostat",C22)),ISNUMBER(SEARCH("&gt;= 4 tons",C22))),MIN(AU22,ROUND(U22*INDEX(PMEHVAC[Inc Rate Unit],MATCH(C22,PMEHVAC[Measure Type],0)),0)),
IF(AND(ISNUMBER(SEARCH("Thermostat",C22)),ISNUMBER(SEARCH("&lt; 4 tons",C22))),MIN(AU22,ROUND(Q22*U22*INDEX(PMEHVAC[Inc Rate Unit],MATCH(C22,PMEHVAC[Measure Type],0)),0)),
IF(ISNUMBER(SEARCH("Advanced RTU",C22)),MIN(AU22,ROUND(Q22*U22*INDEX(PMEHVAC[Inc Rate Unit],MATCH(C22,PMEHVAC[Measure Type],0)),0)),
IF(ISNUMBER(SEARCH("Demand Control",C22)),MIN(AU22,ROUND(U22*INDEX(PMEHVAC[Inc Rate Unit],MATCH(C22,PMEHVAC[Measure Type],0)),0)),
IF(ISNUMBER(SEARCH("Chiller",C22)),MIN(AU22,ROUND(Q22*U22*((-1*(INDEX(PMEHVAC[Base EER1],MATCH(C22,PMEHVAC[Measure Type],0))))-N22)*100*INDEX(PMEHVAC[Inc Rate Unit],MATCH(C22,PMEHVAC[Measure Type],0)),0)),
IF(OR(ISNUMBER(SEARCH("System",C22)),ISNUMBER(SEARCH("Heat Pump",C22))),MIN(AU22,ROUND(INDEX(PMEHVAC[Inc Rate Unit],MATCH(C22,PMEHVAC[Measure Type],0))*(Q22*U22)*(N22-INDEX(PMEHVAC[Base EER1],MATCH(C22,PMEHVAC[Measure Type],0))),0)))))))))))</f>
        <v>Update Install Status</v>
      </c>
      <c r="AP22" s="1690"/>
      <c r="AQ22" s="1690"/>
      <c r="AR22" s="69"/>
      <c r="AU22" s="1420" t="str">
        <f t="shared" ref="AU22" si="6">IF(OR(C22="",U22="",Y22="",AC22="",AF22="",AH22=""),"",(ROUND((AF22+AH22),2)))</f>
        <v/>
      </c>
      <c r="AV22" s="1387" t="str">
        <f>IF(OR(C22="",U22="",Y22="",AC22="",AF22="",AH22=""),"",ROUND(AL22*INDEX(ENDUSEALL[Factor],MATCH(INDEX(PMEHVAC[End Use Category],MATCH(C22,PMEHVAC[Measure Type],0)),ENDUSEALL[End Use to Coincident Peak Demand Factors],0)),4))</f>
        <v/>
      </c>
      <c r="AW22" s="1387" t="str">
        <f t="shared" ref="AW22" si="7">IF(OR(C22="",U22="",Y22="",AC22="",AF22="",AH22=""),"",IF(AO22&lt;&gt;AU22,"No","Yes"))</f>
        <v/>
      </c>
      <c r="AX22" s="1422">
        <f t="shared" ref="AX22" si="8">IFERROR(ROUND(AZ22*1.15,2),0)</f>
        <v>0</v>
      </c>
      <c r="AY22" s="1370" t="str">
        <f>IF(M02S02F44="","Update Install Status",IF(M02S02F49="Yes","Submit for Review",IF(OR(N22="",C22="",U22="",Y22="",AC22="",AF22="",AH22=""),"",ROUND(AX22*BONUSADJ,2))))</f>
        <v>Update Install Status</v>
      </c>
      <c r="AZ22" s="1370" t="str">
        <f>IF(M02S02F44="","Update Install Status",IF(M02S02F49="Yes","Submit for Review",IF(OR(N22="",C22="",U22="",Y22="",AC22="",AF22="",AH22=""),"",
IF(AND(ISNUMBER(SEARCH("Thermostat",C22)),ISNUMBER(SEARCH("&gt;= 4 tons",C22))),MIN(AU22,ROUND(U22*INDEX(PMEHVAC[Inc Rate Unit],MATCH(C22,PMEHVAC[Measure Type],0)),0)),
IF(AND(ISNUMBER(SEARCH("Thermostat",C22)),ISNUMBER(SEARCH("&lt; 4 tons",C22))),MIN(AU22,ROUND(Q22*U22*INDEX(PMEHVAC[Inc Rate Unit],MATCH(C22,PMEHVAC[Measure Type],0)),0)),
IF(ISNUMBER(SEARCH("Advanced RTU",C22)),MIN(AU22,ROUND(Q22*U22*INDEX(PMEHVAC[Inc Rate Unit],MATCH(C22,PMEHVAC[Measure Type],0)),0)),
IF(ISNUMBER(SEARCH("Demand Control",C22)),MIN(AU22,ROUND(U22*INDEX(PMEHVAC[Inc Rate Unit],MATCH(C22,PMEHVAC[Measure Type],0)),0)),
IF(ISNUMBER(SEARCH("Chiller",C22)),MIN(AU22,ROUND(Q22*U22*((-1*(INDEX(PMEHVAC[Base EER1],MATCH(C22,PMEHVAC[Measure Type],0))))-N22)*100*INDEX(PMEHVAC[Inc Rate Unit],MATCH(C22,PMEHVAC[Measure Type],0)),0)),
IF(OR(ISNUMBER(SEARCH("System",C22)),ISNUMBER(SEARCH("Heat Pump",C22))),MIN(AU22,ROUND(INDEX(PMEHVAC[Inc Rate Unit],MATCH(C22,PMEHVAC[Measure Type],0))*(Q22*U22)*(N22-INDEX(PMEHVAC[Base EER1],MATCH(C22,PMEHVAC[Measure Type],0))),0)))))))))))</f>
        <v>Update Install Status</v>
      </c>
    </row>
    <row r="23" spans="2:52" ht="15.95" customHeight="1" x14ac:dyDescent="0.25">
      <c r="B23" s="1204"/>
      <c r="C23" s="880"/>
      <c r="D23" s="880"/>
      <c r="E23" s="880"/>
      <c r="F23" s="880"/>
      <c r="G23" s="880"/>
      <c r="H23" s="880"/>
      <c r="I23" s="1703"/>
      <c r="J23" s="1703"/>
      <c r="K23" s="1703"/>
      <c r="L23" s="1703"/>
      <c r="M23" s="1703"/>
      <c r="N23" s="1680"/>
      <c r="O23" s="1681"/>
      <c r="P23" s="1682"/>
      <c r="Q23" s="1671"/>
      <c r="R23" s="1671"/>
      <c r="S23" s="1669"/>
      <c r="T23" s="1669"/>
      <c r="U23" s="1671"/>
      <c r="V23" s="1671"/>
      <c r="W23" s="1673"/>
      <c r="X23" s="1673"/>
      <c r="Y23" s="1675"/>
      <c r="Z23" s="1675"/>
      <c r="AA23" s="1675"/>
      <c r="AB23" s="1675"/>
      <c r="AC23" s="1675"/>
      <c r="AD23" s="1675"/>
      <c r="AE23" s="1675"/>
      <c r="AF23" s="1201"/>
      <c r="AG23" s="1201"/>
      <c r="AH23" s="1201"/>
      <c r="AI23" s="1201"/>
      <c r="AJ23" s="1687"/>
      <c r="AK23" s="1688"/>
      <c r="AL23" s="1696"/>
      <c r="AM23" s="1697"/>
      <c r="AN23" s="1698"/>
      <c r="AO23" s="1691"/>
      <c r="AP23" s="1692"/>
      <c r="AQ23" s="1692"/>
      <c r="AR23" s="69"/>
      <c r="AU23" s="1421"/>
      <c r="AV23" s="1388"/>
      <c r="AW23" s="1388"/>
      <c r="AX23" s="1423"/>
      <c r="AY23" s="1371"/>
      <c r="AZ23" s="1371"/>
    </row>
    <row r="24" spans="2:52" ht="15.95" customHeight="1" x14ac:dyDescent="0.25">
      <c r="B24" s="1204">
        <v>4</v>
      </c>
      <c r="C24" s="880"/>
      <c r="D24" s="880"/>
      <c r="E24" s="880"/>
      <c r="F24" s="880"/>
      <c r="G24" s="880"/>
      <c r="H24" s="880"/>
      <c r="I24" s="1703" t="str">
        <f>IF(C24="","",INDEX(PMEHVAC[Base Desc 1],MATCH(C24,PMEHVAC[Measure Type],0)))</f>
        <v/>
      </c>
      <c r="J24" s="1703"/>
      <c r="K24" s="1703"/>
      <c r="L24" s="1703"/>
      <c r="M24" s="1703"/>
      <c r="N24" s="1677" t="str">
        <f t="shared" ref="N24:N31" si="9">IF(C24="","",IF(ISNUMBER(SEARCH("SEER2",I24)),"Enter SEER2",IF(ISNUMBER(SEARCH("SEER",I24)),"Enter SEER",IF(ISNUMBER(SEARCH("IEER",I24)),"Enter IEER",IF(ISNUMBER(SEARCH("kW/ton",I24)),"Enter IPLV",IF(ISNUMBER(SEARCH("T-Stats",I24)),"N/A","N/A"))))))</f>
        <v/>
      </c>
      <c r="O24" s="1678"/>
      <c r="P24" s="1679"/>
      <c r="Q24" s="1670"/>
      <c r="R24" s="1670"/>
      <c r="S24" s="1668" t="s">
        <v>1992</v>
      </c>
      <c r="T24" s="1668"/>
      <c r="U24" s="1670"/>
      <c r="V24" s="1670"/>
      <c r="W24" s="1672" t="str">
        <f t="shared" ref="W24" si="10">IF(I24="","",IF(ISNUMBER(SEARCH("SEER",I24)),"Unit",IF(ISNUMBER(SEARCH("IEER",I24)),"Unit",IF(ISNUMBER(SEARCH("kW/ton",I24)),"Unit",IF(ISNUMBER(SEARCH("Constant",I24)),"Unit",IF(ISNUMBER(SEARCH("Thermostat",I24)),"T-Stats",IF(ISNUMBER(SEARCH("Demand Control",I24)),"1000 sq ft")))))))</f>
        <v/>
      </c>
      <c r="X24" s="1672"/>
      <c r="Y24" s="1674"/>
      <c r="Z24" s="1674"/>
      <c r="AA24" s="1674"/>
      <c r="AB24" s="1674"/>
      <c r="AC24" s="1674"/>
      <c r="AD24" s="1674"/>
      <c r="AE24" s="1674"/>
      <c r="AF24" s="1199"/>
      <c r="AG24" s="1199"/>
      <c r="AH24" s="1199"/>
      <c r="AI24" s="1199"/>
      <c r="AJ24" s="1685" t="str">
        <f>IF(C24="","",INDEX(PMEHVAC[Inc Rate Unit],MATCH(C24,PMEHVAC[Measure Type],0)))</f>
        <v/>
      </c>
      <c r="AK24" s="1686"/>
      <c r="AL24" s="1693" t="str">
        <f>IF(OR(N24="",C24="",U24="",Y24="",AC24="",AF24="",AH24=""),"",IF(ISNUMBER(SEARCH("Thermostat",C24)),ROUND(Q24*U24*INDEX(PMEHVAC[Savings per ton per EER kWh],MATCH(C24,PMEHVAC[Measure Type],0)),0),
IF(ISNUMBER(SEARCH("Advanced RTU",C24)),ROUND(U24*Q24*INDEX(PMEHVAC[Savings per ton per EER kWh],MATCH(C24,PMEHVAC[Measure Type],0)),0),
IF(ISNUMBER(SEARCH("Demand Control",C24)),ROUND(U24*INDEX(PMEHVAC[Savings per ton per EER kWh],MATCH(C24,PMEHVAC[Measure Type],0)),0),
IF(ISNUMBER(SEARCH("Chiller",C24)),ROUND(U24*Q24*1053*((-1*(INDEX(PMEHVAC[Base EER1],MATCH(C24,PMEHVAC[Measure Type],0))))-N24),0),
IF(OR(ISNUMBER(SEARCH("IEER",I24)),ISNUMBER(SEARCH("SEER",I24)),ISNUMBER(SEARCH("SEER2",I24))),ROUND(U24*Q24*12*1053*((1/(INDEX(PMEHVAC[Base EER1],MATCH(C24,PMEHVAC[Measure Type],0))))-(1/N24)),0)))))))</f>
        <v/>
      </c>
      <c r="AM24" s="1694"/>
      <c r="AN24" s="1695"/>
      <c r="AO24" s="1689" t="str">
        <f>IF(M02S02F44="","Update Install Status",IF(M02S02F49="Yes","Submit for Review",IF(OR(N24="",C24="",U24="",Y24="",AC24="",AF24="",AH24=""),"",
IF(AND(ISNUMBER(SEARCH("Thermostat",C24)),ISNUMBER(SEARCH("&gt;= 4 tons",C24))),MIN(AU24,ROUND(U24*INDEX(PMEHVAC[Inc Rate Unit],MATCH(C24,PMEHVAC[Measure Type],0)),0)),
IF(AND(ISNUMBER(SEARCH("Thermostat",C24)),ISNUMBER(SEARCH("&lt; 4 tons",C24))),MIN(AU24,ROUND(Q24*U24*INDEX(PMEHVAC[Inc Rate Unit],MATCH(C24,PMEHVAC[Measure Type],0)),0)),
IF(ISNUMBER(SEARCH("Advanced RTU",C24)),MIN(AU24,ROUND(Q24*U24*INDEX(PMEHVAC[Inc Rate Unit],MATCH(C24,PMEHVAC[Measure Type],0)),0)),
IF(ISNUMBER(SEARCH("Demand Control",C24)),MIN(AU24,ROUND(U24*INDEX(PMEHVAC[Inc Rate Unit],MATCH(C24,PMEHVAC[Measure Type],0)),0)),
IF(ISNUMBER(SEARCH("Chiller",C24)),MIN(AU24,ROUND(Q24*U24*((-1*(INDEX(PMEHVAC[Base EER1],MATCH(C24,PMEHVAC[Measure Type],0))))-N24)*100*INDEX(PMEHVAC[Inc Rate Unit],MATCH(C24,PMEHVAC[Measure Type],0)),0)),
IF(OR(ISNUMBER(SEARCH("System",C24)),ISNUMBER(SEARCH("Heat Pump",C24))),MIN(AU24,ROUND(INDEX(PMEHVAC[Inc Rate Unit],MATCH(C24,PMEHVAC[Measure Type],0))*(Q24*U24)*(N24-INDEX(PMEHVAC[Base EER1],MATCH(C24,PMEHVAC[Measure Type],0))),0)))))))))))</f>
        <v>Update Install Status</v>
      </c>
      <c r="AP24" s="1690"/>
      <c r="AQ24" s="1690"/>
      <c r="AR24" s="69"/>
      <c r="AU24" s="1420" t="str">
        <f t="shared" ref="AU24" si="11">IF(OR(C24="",U24="",Y24="",AC24="",AF24="",AH24=""),"",(ROUND((AF24+AH24),2)))</f>
        <v/>
      </c>
      <c r="AV24" s="1387" t="str">
        <f>IF(OR(C24="",U24="",Y24="",AC24="",AF24="",AH24=""),"",ROUND(AL24*INDEX(ENDUSEALL[Factor],MATCH(INDEX(PMEHVAC[End Use Category],MATCH(C24,PMEHVAC[Measure Type],0)),ENDUSEALL[End Use to Coincident Peak Demand Factors],0)),4))</f>
        <v/>
      </c>
      <c r="AW24" s="1387" t="str">
        <f t="shared" ref="AW24" si="12">IF(OR(C24="",U24="",Y24="",AC24="",AF24="",AH24=""),"",IF(AO24&lt;&gt;AU24,"No","Yes"))</f>
        <v/>
      </c>
      <c r="AX24" s="1422">
        <f t="shared" ref="AX24" si="13">IFERROR(ROUND(AZ24*1.15,2),0)</f>
        <v>0</v>
      </c>
      <c r="AY24" s="1370" t="str">
        <f>IF(M02S02F44="","Update Install Status",IF(M02S02F49="Yes","Submit for Review",IF(OR(N24="",C24="",U24="",Y24="",AC24="",AF24="",AH24=""),"",ROUND(AX24*BONUSADJ,2))))</f>
        <v>Update Install Status</v>
      </c>
      <c r="AZ24" s="1370" t="str">
        <f>IF(M02S02F44="","Update Install Status",IF(M02S02F49="Yes","Submit for Review",IF(OR(N24="",C24="",U24="",Y24="",AC24="",AF24="",AH24=""),"",
IF(AND(ISNUMBER(SEARCH("Thermostat",C24)),ISNUMBER(SEARCH("&gt;= 4 tons",C24))),MIN(AU24,ROUND(U24*INDEX(PMEHVAC[Inc Rate Unit],MATCH(C24,PMEHVAC[Measure Type],0)),0)),
IF(AND(ISNUMBER(SEARCH("Thermostat",C24)),ISNUMBER(SEARCH("&lt; 4 tons",C24))),MIN(AU24,ROUND(Q24*U24*INDEX(PMEHVAC[Inc Rate Unit],MATCH(C24,PMEHVAC[Measure Type],0)),0)),
IF(ISNUMBER(SEARCH("Advanced RTU",C24)),MIN(AU24,ROUND(Q24*U24*INDEX(PMEHVAC[Inc Rate Unit],MATCH(C24,PMEHVAC[Measure Type],0)),0)),
IF(ISNUMBER(SEARCH("Demand Control",C24)),MIN(AU24,ROUND(U24*INDEX(PMEHVAC[Inc Rate Unit],MATCH(C24,PMEHVAC[Measure Type],0)),0)),
IF(ISNUMBER(SEARCH("Chiller",C24)),MIN(AU24,ROUND(Q24*U24*((-1*(INDEX(PMEHVAC[Base EER1],MATCH(C24,PMEHVAC[Measure Type],0))))-N24)*100*INDEX(PMEHVAC[Inc Rate Unit],MATCH(C24,PMEHVAC[Measure Type],0)),0)),
IF(OR(ISNUMBER(SEARCH("System",C24)),ISNUMBER(SEARCH("Heat Pump",C24))),MIN(AU24,ROUND(INDEX(PMEHVAC[Inc Rate Unit],MATCH(C24,PMEHVAC[Measure Type],0))*(Q24*U24)*(N24-INDEX(PMEHVAC[Base EER1],MATCH(C24,PMEHVAC[Measure Type],0))),0)))))))))))</f>
        <v>Update Install Status</v>
      </c>
    </row>
    <row r="25" spans="2:52" ht="15.95" customHeight="1" x14ac:dyDescent="0.25">
      <c r="B25" s="1204"/>
      <c r="C25" s="880"/>
      <c r="D25" s="880"/>
      <c r="E25" s="880"/>
      <c r="F25" s="880"/>
      <c r="G25" s="880"/>
      <c r="H25" s="880"/>
      <c r="I25" s="1703"/>
      <c r="J25" s="1703"/>
      <c r="K25" s="1703"/>
      <c r="L25" s="1703"/>
      <c r="M25" s="1703"/>
      <c r="N25" s="1680"/>
      <c r="O25" s="1681"/>
      <c r="P25" s="1682"/>
      <c r="Q25" s="1671"/>
      <c r="R25" s="1671"/>
      <c r="S25" s="1669"/>
      <c r="T25" s="1669"/>
      <c r="U25" s="1671"/>
      <c r="V25" s="1671"/>
      <c r="W25" s="1673"/>
      <c r="X25" s="1673"/>
      <c r="Y25" s="1675"/>
      <c r="Z25" s="1675"/>
      <c r="AA25" s="1675"/>
      <c r="AB25" s="1675"/>
      <c r="AC25" s="1675"/>
      <c r="AD25" s="1675"/>
      <c r="AE25" s="1675"/>
      <c r="AF25" s="1201"/>
      <c r="AG25" s="1201"/>
      <c r="AH25" s="1201"/>
      <c r="AI25" s="1201"/>
      <c r="AJ25" s="1687"/>
      <c r="AK25" s="1688"/>
      <c r="AL25" s="1696"/>
      <c r="AM25" s="1697"/>
      <c r="AN25" s="1698"/>
      <c r="AO25" s="1691"/>
      <c r="AP25" s="1692"/>
      <c r="AQ25" s="1692"/>
      <c r="AR25" s="69"/>
      <c r="AU25" s="1421"/>
      <c r="AV25" s="1388"/>
      <c r="AW25" s="1388"/>
      <c r="AX25" s="1423"/>
      <c r="AY25" s="1371"/>
      <c r="AZ25" s="1371"/>
    </row>
    <row r="26" spans="2:52" ht="15.95" customHeight="1" x14ac:dyDescent="0.25">
      <c r="B26" s="1204">
        <v>5</v>
      </c>
      <c r="C26" s="880"/>
      <c r="D26" s="880"/>
      <c r="E26" s="880"/>
      <c r="F26" s="880"/>
      <c r="G26" s="880"/>
      <c r="H26" s="880"/>
      <c r="I26" s="1703" t="str">
        <f>IF(C26="","",INDEX(PMEHVAC[Base Desc 1],MATCH(C26,PMEHVAC[Measure Type],0)))</f>
        <v/>
      </c>
      <c r="J26" s="1703"/>
      <c r="K26" s="1703"/>
      <c r="L26" s="1703"/>
      <c r="M26" s="1703"/>
      <c r="N26" s="1677" t="str">
        <f t="shared" ref="N26:N31" si="14">IF(C26="","",IF(ISNUMBER(SEARCH("SEER2",I26)),"Enter SEER2",IF(ISNUMBER(SEARCH("SEER",I26)),"Enter SEER",IF(ISNUMBER(SEARCH("IEER",I26)),"Enter IEER",IF(ISNUMBER(SEARCH("kW/ton",I26)),"Enter IPLV",IF(ISNUMBER(SEARCH("T-Stats",I26)),"N/A","N/A"))))))</f>
        <v/>
      </c>
      <c r="O26" s="1678"/>
      <c r="P26" s="1679"/>
      <c r="Q26" s="1670"/>
      <c r="R26" s="1670"/>
      <c r="S26" s="1668" t="s">
        <v>1992</v>
      </c>
      <c r="T26" s="1668"/>
      <c r="U26" s="1670"/>
      <c r="V26" s="1670"/>
      <c r="W26" s="1672" t="str">
        <f t="shared" ref="W26" si="15">IF(I26="","",IF(ISNUMBER(SEARCH("SEER",I26)),"Unit",IF(ISNUMBER(SEARCH("IEER",I26)),"Unit",IF(ISNUMBER(SEARCH("kW/ton",I26)),"Unit",IF(ISNUMBER(SEARCH("Constant",I26)),"Unit",IF(ISNUMBER(SEARCH("Thermostat",I26)),"T-Stats",IF(ISNUMBER(SEARCH("Demand Control",I26)),"1000 sq ft")))))))</f>
        <v/>
      </c>
      <c r="X26" s="1672"/>
      <c r="Y26" s="1674"/>
      <c r="Z26" s="1674"/>
      <c r="AA26" s="1674"/>
      <c r="AB26" s="1674"/>
      <c r="AC26" s="1674"/>
      <c r="AD26" s="1674"/>
      <c r="AE26" s="1674"/>
      <c r="AF26" s="1199"/>
      <c r="AG26" s="1199"/>
      <c r="AH26" s="1199"/>
      <c r="AI26" s="1199"/>
      <c r="AJ26" s="1685" t="str">
        <f>IF(C26="","",INDEX(PMEHVAC[Inc Rate Unit],MATCH(C26,PMEHVAC[Measure Type],0)))</f>
        <v/>
      </c>
      <c r="AK26" s="1686"/>
      <c r="AL26" s="1693" t="str">
        <f>IF(OR(N26="",C26="",U26="",Y26="",AC26="",AF26="",AH26=""),"",IF(ISNUMBER(SEARCH("Thermostat",C26)),ROUND(Q26*U26*INDEX(PMEHVAC[Savings per ton per EER kWh],MATCH(C26,PMEHVAC[Measure Type],0)),0),
IF(ISNUMBER(SEARCH("Advanced RTU",C26)),ROUND(U26*Q26*INDEX(PMEHVAC[Savings per ton per EER kWh],MATCH(C26,PMEHVAC[Measure Type],0)),0),
IF(ISNUMBER(SEARCH("Demand Control",C26)),ROUND(U26*INDEX(PMEHVAC[Savings per ton per EER kWh],MATCH(C26,PMEHVAC[Measure Type],0)),0),
IF(ISNUMBER(SEARCH("Chiller",C26)),ROUND(U26*Q26*1053*((-1*(INDEX(PMEHVAC[Base EER1],MATCH(C26,PMEHVAC[Measure Type],0))))-N26),0),
IF(OR(ISNUMBER(SEARCH("IEER",I26)),ISNUMBER(SEARCH("SEER",I26)),ISNUMBER(SEARCH("SEER2",I26))),ROUND(U26*Q26*12*1053*((1/(INDEX(PMEHVAC[Base EER1],MATCH(C26,PMEHVAC[Measure Type],0))))-(1/N26)),0)))))))</f>
        <v/>
      </c>
      <c r="AM26" s="1694"/>
      <c r="AN26" s="1695"/>
      <c r="AO26" s="1689" t="str">
        <f>IF(M02S02F44="","Update Install Status",IF(M02S02F49="Yes","Submit for Review",IF(OR(N26="",C26="",U26="",Y26="",AC26="",AF26="",AH26=""),"",
IF(AND(ISNUMBER(SEARCH("Thermostat",C26)),ISNUMBER(SEARCH("&gt;= 4 tons",C26))),MIN(AU26,ROUND(U26*INDEX(PMEHVAC[Inc Rate Unit],MATCH(C26,PMEHVAC[Measure Type],0)),0)),
IF(AND(ISNUMBER(SEARCH("Thermostat",C26)),ISNUMBER(SEARCH("&lt; 4 tons",C26))),MIN(AU26,ROUND(Q26*U26*INDEX(PMEHVAC[Inc Rate Unit],MATCH(C26,PMEHVAC[Measure Type],0)),0)),
IF(ISNUMBER(SEARCH("Advanced RTU",C26)),MIN(AU26,ROUND(Q26*U26*INDEX(PMEHVAC[Inc Rate Unit],MATCH(C26,PMEHVAC[Measure Type],0)),0)),
IF(ISNUMBER(SEARCH("Demand Control",C26)),MIN(AU26,ROUND(U26*INDEX(PMEHVAC[Inc Rate Unit],MATCH(C26,PMEHVAC[Measure Type],0)),0)),
IF(ISNUMBER(SEARCH("Chiller",C26)),MIN(AU26,ROUND(Q26*U26*((-1*(INDEX(PMEHVAC[Base EER1],MATCH(C26,PMEHVAC[Measure Type],0))))-N26)*100*INDEX(PMEHVAC[Inc Rate Unit],MATCH(C26,PMEHVAC[Measure Type],0)),0)),
IF(OR(ISNUMBER(SEARCH("System",C26)),ISNUMBER(SEARCH("Heat Pump",C26))),MIN(AU26,ROUND(INDEX(PMEHVAC[Inc Rate Unit],MATCH(C26,PMEHVAC[Measure Type],0))*(Q26*U26)*(N26-INDEX(PMEHVAC[Base EER1],MATCH(C26,PMEHVAC[Measure Type],0))),0)))))))))))</f>
        <v>Update Install Status</v>
      </c>
      <c r="AP26" s="1690"/>
      <c r="AQ26" s="1690"/>
      <c r="AR26" s="69"/>
      <c r="AU26" s="1420" t="str">
        <f t="shared" ref="AU26" si="16">IF(OR(C26="",U26="",Y26="",AC26="",AF26="",AH26=""),"",(ROUND((AF26+AH26),2)))</f>
        <v/>
      </c>
      <c r="AV26" s="1387" t="str">
        <f>IF(OR(C26="",U26="",Y26="",AC26="",AF26="",AH26=""),"",ROUND(AL26*INDEX(ENDUSEALL[Factor],MATCH(INDEX(PMEHVAC[End Use Category],MATCH(C26,PMEHVAC[Measure Type],0)),ENDUSEALL[End Use to Coincident Peak Demand Factors],0)),4))</f>
        <v/>
      </c>
      <c r="AW26" s="1387" t="str">
        <f t="shared" ref="AW26" si="17">IF(OR(C26="",U26="",Y26="",AC26="",AF26="",AH26=""),"",IF(AO26&lt;&gt;AU26,"No","Yes"))</f>
        <v/>
      </c>
      <c r="AX26" s="1422">
        <f t="shared" ref="AX26" si="18">IFERROR(ROUND(AZ26*1.15,2),0)</f>
        <v>0</v>
      </c>
      <c r="AY26" s="1370" t="str">
        <f>IF(M02S02F44="","Update Install Status",IF(M02S02F49="Yes","Submit for Review",IF(OR(N26="",C26="",U26="",Y26="",AC26="",AF26="",AH26=""),"",ROUND(AX26*BONUSADJ,2))))</f>
        <v>Update Install Status</v>
      </c>
      <c r="AZ26" s="1370" t="str">
        <f>IF(M02S02F44="","Update Install Status",IF(M02S02F49="Yes","Submit for Review",IF(OR(N26="",C26="",U26="",Y26="",AC26="",AF26="",AH26=""),"",
IF(AND(ISNUMBER(SEARCH("Thermostat",C26)),ISNUMBER(SEARCH("&gt;= 4 tons",C26))),MIN(AU26,ROUND(U26*INDEX(PMEHVAC[Inc Rate Unit],MATCH(C26,PMEHVAC[Measure Type],0)),0)),
IF(AND(ISNUMBER(SEARCH("Thermostat",C26)),ISNUMBER(SEARCH("&lt; 4 tons",C26))),MIN(AU26,ROUND(Q26*U26*INDEX(PMEHVAC[Inc Rate Unit],MATCH(C26,PMEHVAC[Measure Type],0)),0)),
IF(ISNUMBER(SEARCH("Advanced RTU",C26)),MIN(AU26,ROUND(Q26*U26*INDEX(PMEHVAC[Inc Rate Unit],MATCH(C26,PMEHVAC[Measure Type],0)),0)),
IF(ISNUMBER(SEARCH("Demand Control",C26)),MIN(AU26,ROUND(U26*INDEX(PMEHVAC[Inc Rate Unit],MATCH(C26,PMEHVAC[Measure Type],0)),0)),
IF(ISNUMBER(SEARCH("Chiller",C26)),MIN(AU26,ROUND(Q26*U26*((-1*(INDEX(PMEHVAC[Base EER1],MATCH(C26,PMEHVAC[Measure Type],0))))-N26)*100*INDEX(PMEHVAC[Inc Rate Unit],MATCH(C26,PMEHVAC[Measure Type],0)),0)),
IF(OR(ISNUMBER(SEARCH("System",C26)),ISNUMBER(SEARCH("Heat Pump",C26))),MIN(AU26,ROUND(INDEX(PMEHVAC[Inc Rate Unit],MATCH(C26,PMEHVAC[Measure Type],0))*(Q26*U26)*(N26-INDEX(PMEHVAC[Base EER1],MATCH(C26,PMEHVAC[Measure Type],0))),0)))))))))))</f>
        <v>Update Install Status</v>
      </c>
    </row>
    <row r="27" spans="2:52" ht="15.95" customHeight="1" x14ac:dyDescent="0.25">
      <c r="B27" s="1204"/>
      <c r="C27" s="880"/>
      <c r="D27" s="880"/>
      <c r="E27" s="880"/>
      <c r="F27" s="880"/>
      <c r="G27" s="880"/>
      <c r="H27" s="880"/>
      <c r="I27" s="1703"/>
      <c r="J27" s="1703"/>
      <c r="K27" s="1703"/>
      <c r="L27" s="1703"/>
      <c r="M27" s="1703"/>
      <c r="N27" s="1680"/>
      <c r="O27" s="1681"/>
      <c r="P27" s="1682"/>
      <c r="Q27" s="1671"/>
      <c r="R27" s="1671"/>
      <c r="S27" s="1669"/>
      <c r="T27" s="1669"/>
      <c r="U27" s="1671"/>
      <c r="V27" s="1671"/>
      <c r="W27" s="1673"/>
      <c r="X27" s="1673"/>
      <c r="Y27" s="1675"/>
      <c r="Z27" s="1675"/>
      <c r="AA27" s="1675"/>
      <c r="AB27" s="1675"/>
      <c r="AC27" s="1675"/>
      <c r="AD27" s="1675"/>
      <c r="AE27" s="1675"/>
      <c r="AF27" s="1201"/>
      <c r="AG27" s="1201"/>
      <c r="AH27" s="1201"/>
      <c r="AI27" s="1201"/>
      <c r="AJ27" s="1687"/>
      <c r="AK27" s="1688"/>
      <c r="AL27" s="1696"/>
      <c r="AM27" s="1697"/>
      <c r="AN27" s="1698"/>
      <c r="AO27" s="1691"/>
      <c r="AP27" s="1692"/>
      <c r="AQ27" s="1692"/>
      <c r="AR27" s="69"/>
      <c r="AU27" s="1421"/>
      <c r="AV27" s="1388"/>
      <c r="AW27" s="1388"/>
      <c r="AX27" s="1423"/>
      <c r="AY27" s="1371"/>
      <c r="AZ27" s="1371"/>
    </row>
    <row r="28" spans="2:52" ht="15.95" customHeight="1" x14ac:dyDescent="0.25">
      <c r="B28" s="1204">
        <v>6</v>
      </c>
      <c r="C28" s="880"/>
      <c r="D28" s="880"/>
      <c r="E28" s="880"/>
      <c r="F28" s="880"/>
      <c r="G28" s="880"/>
      <c r="H28" s="880"/>
      <c r="I28" s="1703" t="str">
        <f>IF(C28="","",INDEX(PMEHVAC[Base Desc 1],MATCH(C28,PMEHVAC[Measure Type],0)))</f>
        <v/>
      </c>
      <c r="J28" s="1703"/>
      <c r="K28" s="1703"/>
      <c r="L28" s="1703"/>
      <c r="M28" s="1703"/>
      <c r="N28" s="1677" t="str">
        <f t="shared" ref="N28:N31" si="19">IF(C28="","",IF(ISNUMBER(SEARCH("SEER2",I28)),"Enter SEER2",IF(ISNUMBER(SEARCH("SEER",I28)),"Enter SEER",IF(ISNUMBER(SEARCH("IEER",I28)),"Enter IEER",IF(ISNUMBER(SEARCH("kW/ton",I28)),"Enter IPLV",IF(ISNUMBER(SEARCH("T-Stats",I28)),"N/A","N/A"))))))</f>
        <v/>
      </c>
      <c r="O28" s="1678"/>
      <c r="P28" s="1679"/>
      <c r="Q28" s="1670"/>
      <c r="R28" s="1670"/>
      <c r="S28" s="1668" t="s">
        <v>1992</v>
      </c>
      <c r="T28" s="1668"/>
      <c r="U28" s="1670"/>
      <c r="V28" s="1670"/>
      <c r="W28" s="1672" t="str">
        <f t="shared" ref="W28" si="20">IF(I28="","",IF(ISNUMBER(SEARCH("SEER",I28)),"Unit",IF(ISNUMBER(SEARCH("IEER",I28)),"Unit",IF(ISNUMBER(SEARCH("kW/ton",I28)),"Unit",IF(ISNUMBER(SEARCH("Constant",I28)),"Unit",IF(ISNUMBER(SEARCH("Thermostat",I28)),"T-Stats",IF(ISNUMBER(SEARCH("Demand Control",I28)),"1000 sq ft")))))))</f>
        <v/>
      </c>
      <c r="X28" s="1672"/>
      <c r="Y28" s="1674"/>
      <c r="Z28" s="1674"/>
      <c r="AA28" s="1674"/>
      <c r="AB28" s="1674"/>
      <c r="AC28" s="1674"/>
      <c r="AD28" s="1674"/>
      <c r="AE28" s="1674"/>
      <c r="AF28" s="1199"/>
      <c r="AG28" s="1199"/>
      <c r="AH28" s="1199"/>
      <c r="AI28" s="1199"/>
      <c r="AJ28" s="1685" t="str">
        <f>IF(C28="","",INDEX(PMEHVAC[Inc Rate Unit],MATCH(C28,PMEHVAC[Measure Type],0)))</f>
        <v/>
      </c>
      <c r="AK28" s="1686"/>
      <c r="AL28" s="1693" t="str">
        <f>IF(OR(N28="",C28="",U28="",Y28="",AC28="",AF28="",AH28=""),"",IF(ISNUMBER(SEARCH("Thermostat",C28)),ROUND(Q28*U28*INDEX(PMEHVAC[Savings per ton per EER kWh],MATCH(C28,PMEHVAC[Measure Type],0)),0),
IF(ISNUMBER(SEARCH("Advanced RTU",C28)),ROUND(U28*Q28*INDEX(PMEHVAC[Savings per ton per EER kWh],MATCH(C28,PMEHVAC[Measure Type],0)),0),
IF(ISNUMBER(SEARCH("Demand Control",C28)),ROUND(U28*INDEX(PMEHVAC[Savings per ton per EER kWh],MATCH(C28,PMEHVAC[Measure Type],0)),0),
IF(ISNUMBER(SEARCH("Chiller",C28)),ROUND(U28*Q28*1053*((-1*(INDEX(PMEHVAC[Base EER1],MATCH(C28,PMEHVAC[Measure Type],0))))-N28),0),
IF(OR(ISNUMBER(SEARCH("IEER",I28)),ISNUMBER(SEARCH("SEER",I28)),ISNUMBER(SEARCH("SEER2",I28))),ROUND(U28*Q28*12*1053*((1/(INDEX(PMEHVAC[Base EER1],MATCH(C28,PMEHVAC[Measure Type],0))))-(1/N28)),0)))))))</f>
        <v/>
      </c>
      <c r="AM28" s="1694"/>
      <c r="AN28" s="1695"/>
      <c r="AO28" s="1689" t="str">
        <f>IF(M02S02F44="","Update Install Status",IF(M02S02F49="Yes","Submit for Review",IF(OR(N28="",C28="",U28="",Y28="",AC28="",AF28="",AH28=""),"",
IF(AND(ISNUMBER(SEARCH("Thermostat",C28)),ISNUMBER(SEARCH("&gt;= 4 tons",C28))),MIN(AU28,ROUND(U28*INDEX(PMEHVAC[Inc Rate Unit],MATCH(C28,PMEHVAC[Measure Type],0)),0)),
IF(AND(ISNUMBER(SEARCH("Thermostat",C28)),ISNUMBER(SEARCH("&lt; 4 tons",C28))),MIN(AU28,ROUND(Q28*U28*INDEX(PMEHVAC[Inc Rate Unit],MATCH(C28,PMEHVAC[Measure Type],0)),0)),
IF(ISNUMBER(SEARCH("Advanced RTU",C28)),MIN(AU28,ROUND(Q28*U28*INDEX(PMEHVAC[Inc Rate Unit],MATCH(C28,PMEHVAC[Measure Type],0)),0)),
IF(ISNUMBER(SEARCH("Demand Control",C28)),MIN(AU28,ROUND(U28*INDEX(PMEHVAC[Inc Rate Unit],MATCH(C28,PMEHVAC[Measure Type],0)),0)),
IF(ISNUMBER(SEARCH("Chiller",C28)),MIN(AU28,ROUND(Q28*U28*((-1*(INDEX(PMEHVAC[Base EER1],MATCH(C28,PMEHVAC[Measure Type],0))))-N28)*100*INDEX(PMEHVAC[Inc Rate Unit],MATCH(C28,PMEHVAC[Measure Type],0)),0)),
IF(OR(ISNUMBER(SEARCH("System",C28)),ISNUMBER(SEARCH("Heat Pump",C28))),MIN(AU28,ROUND(INDEX(PMEHVAC[Inc Rate Unit],MATCH(C28,PMEHVAC[Measure Type],0))*(Q28*U28)*(N28-INDEX(PMEHVAC[Base EER1],MATCH(C28,PMEHVAC[Measure Type],0))),0)))))))))))</f>
        <v>Update Install Status</v>
      </c>
      <c r="AP28" s="1690"/>
      <c r="AQ28" s="1690"/>
      <c r="AR28" s="69"/>
      <c r="AU28" s="1420" t="str">
        <f t="shared" ref="AU28" si="21">IF(OR(C28="",U28="",Y28="",AC28="",AF28="",AH28=""),"",(ROUND((AF28+AH28),2)))</f>
        <v/>
      </c>
      <c r="AV28" s="1387" t="str">
        <f>IF(OR(C28="",U28="",Y28="",AC28="",AF28="",AH28=""),"",ROUND(AL28*INDEX(ENDUSEALL[Factor],MATCH(INDEX(PMEHVAC[End Use Category],MATCH(C28,PMEHVAC[Measure Type],0)),ENDUSEALL[End Use to Coincident Peak Demand Factors],0)),4))</f>
        <v/>
      </c>
      <c r="AW28" s="1387" t="str">
        <f t="shared" ref="AW28" si="22">IF(OR(C28="",U28="",Y28="",AC28="",AF28="",AH28=""),"",IF(AO28&lt;&gt;AU28,"No","Yes"))</f>
        <v/>
      </c>
      <c r="AX28" s="1422">
        <f t="shared" ref="AX28" si="23">IFERROR(ROUND(AZ28*1.15,2),0)</f>
        <v>0</v>
      </c>
      <c r="AY28" s="1370" t="str">
        <f>IF(M02S02F44="","Update Install Status",IF(M02S02F49="Yes","Submit for Review",IF(OR(N28="",C28="",U28="",Y28="",AC28="",AF28="",AH28=""),"",ROUND(AX28*BONUSADJ,2))))</f>
        <v>Update Install Status</v>
      </c>
      <c r="AZ28" s="1370" t="str">
        <f>IF(M02S02F44="","Update Install Status",IF(M02S02F49="Yes","Submit for Review",IF(OR(N28="",C28="",U28="",Y28="",AC28="",AF28="",AH28=""),"",
IF(AND(ISNUMBER(SEARCH("Thermostat",C28)),ISNUMBER(SEARCH("&gt;= 4 tons",C28))),MIN(AU28,ROUND(U28*INDEX(PMEHVAC[Inc Rate Unit],MATCH(C28,PMEHVAC[Measure Type],0)),0)),
IF(AND(ISNUMBER(SEARCH("Thermostat",C28)),ISNUMBER(SEARCH("&lt; 4 tons",C28))),MIN(AU28,ROUND(Q28*U28*INDEX(PMEHVAC[Inc Rate Unit],MATCH(C28,PMEHVAC[Measure Type],0)),0)),
IF(ISNUMBER(SEARCH("Advanced RTU",C28)),MIN(AU28,ROUND(Q28*U28*INDEX(PMEHVAC[Inc Rate Unit],MATCH(C28,PMEHVAC[Measure Type],0)),0)),
IF(ISNUMBER(SEARCH("Demand Control",C28)),MIN(AU28,ROUND(U28*INDEX(PMEHVAC[Inc Rate Unit],MATCH(C28,PMEHVAC[Measure Type],0)),0)),
IF(ISNUMBER(SEARCH("Chiller",C28)),MIN(AU28,ROUND(Q28*U28*((-1*(INDEX(PMEHVAC[Base EER1],MATCH(C28,PMEHVAC[Measure Type],0))))-N28)*100*INDEX(PMEHVAC[Inc Rate Unit],MATCH(C28,PMEHVAC[Measure Type],0)),0)),
IF(OR(ISNUMBER(SEARCH("System",C28)),ISNUMBER(SEARCH("Heat Pump",C28))),MIN(AU28,ROUND(INDEX(PMEHVAC[Inc Rate Unit],MATCH(C28,PMEHVAC[Measure Type],0))*(Q28*U28)*(N28-INDEX(PMEHVAC[Base EER1],MATCH(C28,PMEHVAC[Measure Type],0))),0)))))))))))</f>
        <v>Update Install Status</v>
      </c>
    </row>
    <row r="29" spans="2:52" ht="15.95" customHeight="1" x14ac:dyDescent="0.25">
      <c r="B29" s="1204"/>
      <c r="C29" s="880"/>
      <c r="D29" s="880"/>
      <c r="E29" s="880"/>
      <c r="F29" s="880"/>
      <c r="G29" s="880"/>
      <c r="H29" s="880"/>
      <c r="I29" s="1703"/>
      <c r="J29" s="1703"/>
      <c r="K29" s="1703"/>
      <c r="L29" s="1703"/>
      <c r="M29" s="1703"/>
      <c r="N29" s="1680"/>
      <c r="O29" s="1681"/>
      <c r="P29" s="1682"/>
      <c r="Q29" s="1671"/>
      <c r="R29" s="1671"/>
      <c r="S29" s="1669"/>
      <c r="T29" s="1669"/>
      <c r="U29" s="1671"/>
      <c r="V29" s="1671"/>
      <c r="W29" s="1673"/>
      <c r="X29" s="1673"/>
      <c r="Y29" s="1675"/>
      <c r="Z29" s="1675"/>
      <c r="AA29" s="1675"/>
      <c r="AB29" s="1675"/>
      <c r="AC29" s="1675"/>
      <c r="AD29" s="1675"/>
      <c r="AE29" s="1675"/>
      <c r="AF29" s="1201"/>
      <c r="AG29" s="1201"/>
      <c r="AH29" s="1201"/>
      <c r="AI29" s="1201"/>
      <c r="AJ29" s="1687"/>
      <c r="AK29" s="1688"/>
      <c r="AL29" s="1696"/>
      <c r="AM29" s="1697"/>
      <c r="AN29" s="1698"/>
      <c r="AO29" s="1691"/>
      <c r="AP29" s="1692"/>
      <c r="AQ29" s="1692"/>
      <c r="AR29" s="69"/>
      <c r="AU29" s="1421"/>
      <c r="AV29" s="1388"/>
      <c r="AW29" s="1388"/>
      <c r="AX29" s="1423"/>
      <c r="AY29" s="1371"/>
      <c r="AZ29" s="1371"/>
    </row>
    <row r="30" spans="2:52" ht="15.95" customHeight="1" x14ac:dyDescent="0.25">
      <c r="B30" s="1204">
        <v>7</v>
      </c>
      <c r="C30" s="1676"/>
      <c r="D30" s="1676"/>
      <c r="E30" s="1676"/>
      <c r="F30" s="1676"/>
      <c r="G30" s="1676"/>
      <c r="H30" s="1676"/>
      <c r="I30" s="1703" t="str">
        <f>IF(C30="","",INDEX(PMEHVAC[Base Desc 1],MATCH(C30,PMEHVAC[Measure Type],0)))</f>
        <v/>
      </c>
      <c r="J30" s="1703"/>
      <c r="K30" s="1703"/>
      <c r="L30" s="1703"/>
      <c r="M30" s="1703"/>
      <c r="N30" s="1677" t="str">
        <f t="shared" ref="N30:N31" si="24">IF(C30="","",IF(ISNUMBER(SEARCH("SEER2",I30)),"Enter SEER2",IF(ISNUMBER(SEARCH("SEER",I30)),"Enter SEER",IF(ISNUMBER(SEARCH("IEER",I30)),"Enter IEER",IF(ISNUMBER(SEARCH("kW/ton",I30)),"Enter IPLV",IF(ISNUMBER(SEARCH("T-Stats",I30)),"N/A","N/A"))))))</f>
        <v/>
      </c>
      <c r="O30" s="1678"/>
      <c r="P30" s="1679"/>
      <c r="Q30" s="1670"/>
      <c r="R30" s="1670"/>
      <c r="S30" s="1668" t="s">
        <v>1992</v>
      </c>
      <c r="T30" s="1668"/>
      <c r="U30" s="1701"/>
      <c r="V30" s="1701"/>
      <c r="W30" s="1672" t="str">
        <f t="shared" ref="W30" si="25">IF(I30="","",IF(ISNUMBER(SEARCH("SEER",I30)),"Unit",IF(ISNUMBER(SEARCH("IEER",I30)),"Unit",IF(ISNUMBER(SEARCH("kW/ton",I30)),"Unit",IF(ISNUMBER(SEARCH("Constant",I30)),"Unit",IF(ISNUMBER(SEARCH("Thermostat",I30)),"T-Stats",IF(ISNUMBER(SEARCH("Demand Control",I30)),"1000 sq ft")))))))</f>
        <v/>
      </c>
      <c r="X30" s="1672"/>
      <c r="Y30" s="1674"/>
      <c r="Z30" s="1683"/>
      <c r="AA30" s="1683"/>
      <c r="AB30" s="1683"/>
      <c r="AC30" s="1674"/>
      <c r="AD30" s="1683"/>
      <c r="AE30" s="1683"/>
      <c r="AF30" s="1704"/>
      <c r="AG30" s="1704"/>
      <c r="AH30" s="1704"/>
      <c r="AI30" s="1704"/>
      <c r="AJ30" s="1685" t="str">
        <f>IF(C30="","",INDEX(PMEHVAC[Inc Rate Unit],MATCH(C30,PMEHVAC[Measure Type],0)))</f>
        <v/>
      </c>
      <c r="AK30" s="1686"/>
      <c r="AL30" s="1693" t="str">
        <f>IF(OR(N30="",C30="",U30="",Y30="",AC30="",AF30="",AH30=""),"",IF(ISNUMBER(SEARCH("Thermostat",C30)),ROUND(Q30*U30*INDEX(PMEHVAC[Savings per ton per EER kWh],MATCH(C30,PMEHVAC[Measure Type],0)),0),
IF(ISNUMBER(SEARCH("Advanced RTU",C30)),ROUND(U30*Q30*INDEX(PMEHVAC[Savings per ton per EER kWh],MATCH(C30,PMEHVAC[Measure Type],0)),0),
IF(ISNUMBER(SEARCH("Demand Control",C30)),ROUND(U30*INDEX(PMEHVAC[Savings per ton per EER kWh],MATCH(C30,PMEHVAC[Measure Type],0)),0),
IF(ISNUMBER(SEARCH("Chiller",C30)),ROUND(U30*Q30*1053*((-1*(INDEX(PMEHVAC[Base EER1],MATCH(C30,PMEHVAC[Measure Type],0))))-N30),0),
IF(OR(ISNUMBER(SEARCH("IEER",I30)),ISNUMBER(SEARCH("SEER",I30)),ISNUMBER(SEARCH("SEER2",I30))),ROUND(U30*Q30*12*1053*((1/(INDEX(PMEHVAC[Base EER1],MATCH(C30,PMEHVAC[Measure Type],0))))-(1/N30)),0)))))))</f>
        <v/>
      </c>
      <c r="AM30" s="1694"/>
      <c r="AN30" s="1695"/>
      <c r="AO30" s="1689" t="str">
        <f>IF(M02S02F44="","Update Install Status",IF(M02S02F49="Yes","Submit for Review",IF(OR(N30="",C30="",U30="",Y30="",AC30="",AF30="",AH30=""),"",
IF(AND(ISNUMBER(SEARCH("Thermostat",C30)),ISNUMBER(SEARCH("&gt;= 4 tons",C30))),MIN(AU30,ROUND(U30*INDEX(PMEHVAC[Inc Rate Unit],MATCH(C30,PMEHVAC[Measure Type],0)),0)),
IF(AND(ISNUMBER(SEARCH("Thermostat",C30)),ISNUMBER(SEARCH("&lt; 4 tons",C30))),MIN(AU30,ROUND(Q30*U30*INDEX(PMEHVAC[Inc Rate Unit],MATCH(C30,PMEHVAC[Measure Type],0)),0)),
IF(ISNUMBER(SEARCH("Advanced RTU",C30)),MIN(AU30,ROUND(Q30*U30*INDEX(PMEHVAC[Inc Rate Unit],MATCH(C30,PMEHVAC[Measure Type],0)),0)),
IF(ISNUMBER(SEARCH("Demand Control",C30)),MIN(AU30,ROUND(U30*INDEX(PMEHVAC[Inc Rate Unit],MATCH(C30,PMEHVAC[Measure Type],0)),0)),
IF(ISNUMBER(SEARCH("Chiller",C30)),MIN(AU30,ROUND(Q30*U30*((-1*(INDEX(PMEHVAC[Base EER1],MATCH(C30,PMEHVAC[Measure Type],0))))-N30)*100*INDEX(PMEHVAC[Inc Rate Unit],MATCH(C30,PMEHVAC[Measure Type],0)),0)),
IF(OR(ISNUMBER(SEARCH("System",C30)),ISNUMBER(SEARCH("Heat Pump",C30))),MIN(AU30,ROUND(INDEX(PMEHVAC[Inc Rate Unit],MATCH(C30,PMEHVAC[Measure Type],0))*(Q30*U30)*(N30-INDEX(PMEHVAC[Base EER1],MATCH(C30,PMEHVAC[Measure Type],0))),0)))))))))))</f>
        <v>Update Install Status</v>
      </c>
      <c r="AP30" s="1690"/>
      <c r="AQ30" s="1690"/>
      <c r="AR30" s="69"/>
      <c r="AU30" s="1420" t="str">
        <f t="shared" ref="AU30" si="26">IF(OR(C30="",U30="",Y30="",AC30="",AF30="",AH30=""),"",(ROUND((AF30+AH30),2)))</f>
        <v/>
      </c>
      <c r="AV30" s="1387" t="str">
        <f>IF(OR(C30="",U30="",Y30="",AC30="",AF30="",AH30=""),"",ROUND(AL30*INDEX(ENDUSEALL[Factor],MATCH(INDEX(PMEHVAC[End Use Category],MATCH(C30,PMEHVAC[Measure Type],0)),ENDUSEALL[End Use to Coincident Peak Demand Factors],0)),4))</f>
        <v/>
      </c>
      <c r="AW30" s="1387" t="str">
        <f t="shared" ref="AW30" si="27">IF(OR(C30="",U30="",Y30="",AC30="",AF30="",AH30=""),"",IF(AO30&lt;&gt;AU30,"No","Yes"))</f>
        <v/>
      </c>
      <c r="AX30" s="1422">
        <f t="shared" ref="AX30" si="28">IFERROR(ROUND(AZ30*1.15,2),0)</f>
        <v>0</v>
      </c>
      <c r="AY30" s="1370" t="str">
        <f>IF(M02S02F44="","Update Install Status",IF(M02S02F49="Yes","Submit for Review",IF(OR(N30="",C30="",U30="",Y30="",AC30="",AF30="",AH30=""),"",ROUND(AX30*BONUSADJ,2))))</f>
        <v>Update Install Status</v>
      </c>
      <c r="AZ30" s="1370" t="str">
        <f>IF(M02S02F44="","Update Install Status",IF(M02S02F49="Yes","Submit for Review",IF(OR(N30="",C30="",U30="",Y30="",AC30="",AF30="",AH30=""),"",
IF(AND(ISNUMBER(SEARCH("Thermostat",C30)),ISNUMBER(SEARCH("&gt;= 4 tons",C30))),MIN(AU30,ROUND(U30*INDEX(PMEHVAC[Inc Rate Unit],MATCH(C30,PMEHVAC[Measure Type],0)),0)),
IF(AND(ISNUMBER(SEARCH("Thermostat",C30)),ISNUMBER(SEARCH("&lt; 4 tons",C30))),MIN(AU30,ROUND(Q30*U30*INDEX(PMEHVAC[Inc Rate Unit],MATCH(C30,PMEHVAC[Measure Type],0)),0)),
IF(ISNUMBER(SEARCH("Advanced RTU",C30)),MIN(AU30,ROUND(Q30*U30*INDEX(PMEHVAC[Inc Rate Unit],MATCH(C30,PMEHVAC[Measure Type],0)),0)),
IF(ISNUMBER(SEARCH("Demand Control",C30)),MIN(AU30,ROUND(U30*INDEX(PMEHVAC[Inc Rate Unit],MATCH(C30,PMEHVAC[Measure Type],0)),0)),
IF(ISNUMBER(SEARCH("Chiller",C30)),MIN(AU30,ROUND(Q30*U30*((-1*(INDEX(PMEHVAC[Base EER1],MATCH(C30,PMEHVAC[Measure Type],0))))-N30)*100*INDEX(PMEHVAC[Inc Rate Unit],MATCH(C30,PMEHVAC[Measure Type],0)),0)),
IF(OR(ISNUMBER(SEARCH("System",C30)),ISNUMBER(SEARCH("Heat Pump",C30))),MIN(AU30,ROUND(INDEX(PMEHVAC[Inc Rate Unit],MATCH(C30,PMEHVAC[Measure Type],0))*(Q30*U30)*(N30-INDEX(PMEHVAC[Base EER1],MATCH(C30,PMEHVAC[Measure Type],0))),0)))))))))))</f>
        <v>Update Install Status</v>
      </c>
    </row>
    <row r="31" spans="2:52" ht="15.95" customHeight="1" x14ac:dyDescent="0.25">
      <c r="B31" s="1204"/>
      <c r="C31" s="1676"/>
      <c r="D31" s="1676"/>
      <c r="E31" s="1676"/>
      <c r="F31" s="1676"/>
      <c r="G31" s="1676"/>
      <c r="H31" s="1676"/>
      <c r="I31" s="1703"/>
      <c r="J31" s="1703"/>
      <c r="K31" s="1703"/>
      <c r="L31" s="1703"/>
      <c r="M31" s="1703"/>
      <c r="N31" s="1680"/>
      <c r="O31" s="1681"/>
      <c r="P31" s="1682"/>
      <c r="Q31" s="1671"/>
      <c r="R31" s="1671"/>
      <c r="S31" s="1669"/>
      <c r="T31" s="1669"/>
      <c r="U31" s="1702"/>
      <c r="V31" s="1702"/>
      <c r="W31" s="1673"/>
      <c r="X31" s="1673"/>
      <c r="Y31" s="1684"/>
      <c r="Z31" s="1684"/>
      <c r="AA31" s="1684"/>
      <c r="AB31" s="1684"/>
      <c r="AC31" s="1684"/>
      <c r="AD31" s="1684"/>
      <c r="AE31" s="1684"/>
      <c r="AF31" s="1705"/>
      <c r="AG31" s="1705"/>
      <c r="AH31" s="1705"/>
      <c r="AI31" s="1705"/>
      <c r="AJ31" s="1687"/>
      <c r="AK31" s="1688"/>
      <c r="AL31" s="1696"/>
      <c r="AM31" s="1697"/>
      <c r="AN31" s="1698"/>
      <c r="AO31" s="1691"/>
      <c r="AP31" s="1692"/>
      <c r="AQ31" s="1692"/>
      <c r="AR31" s="69"/>
      <c r="AU31" s="1421"/>
      <c r="AV31" s="1388"/>
      <c r="AW31" s="1388"/>
      <c r="AX31" s="1423"/>
      <c r="AY31" s="1371"/>
      <c r="AZ31" s="1371"/>
    </row>
    <row r="32" spans="2:52" ht="15.95" customHeight="1" x14ac:dyDescent="0.25">
      <c r="B32" s="1204">
        <v>8</v>
      </c>
      <c r="C32" s="1676"/>
      <c r="D32" s="1676"/>
      <c r="E32" s="1676"/>
      <c r="F32" s="1676"/>
      <c r="G32" s="1676"/>
      <c r="H32" s="1676"/>
      <c r="I32" s="1703" t="str">
        <f>IF(C32="","",INDEX(PMEHVAC[Base Desc 1],MATCH(C32,PMEHVAC[Measure Type],0)))</f>
        <v/>
      </c>
      <c r="J32" s="1703"/>
      <c r="K32" s="1703"/>
      <c r="L32" s="1703"/>
      <c r="M32" s="1703"/>
      <c r="N32" s="1677" t="str">
        <f t="shared" ref="N32:N37" si="29">IF(C32="","",IF(ISNUMBER(SEARCH("SEER2",I32)),"Enter SEER2",IF(ISNUMBER(SEARCH("SEER",I32)),"Enter SEER",IF(ISNUMBER(SEARCH("IEER",I32)),"Enter IEER",IF(ISNUMBER(SEARCH("kW/ton",I32)),"Enter IPLV",IF(ISNUMBER(SEARCH("T-Stats",I32)),"N/A","N/A"))))))</f>
        <v/>
      </c>
      <c r="O32" s="1678"/>
      <c r="P32" s="1679"/>
      <c r="Q32" s="1670"/>
      <c r="R32" s="1670"/>
      <c r="S32" s="1668" t="s">
        <v>1992</v>
      </c>
      <c r="T32" s="1668"/>
      <c r="U32" s="1701"/>
      <c r="V32" s="1701"/>
      <c r="W32" s="1672" t="str">
        <f t="shared" ref="W32" si="30">IF(I32="","",IF(ISNUMBER(SEARCH("SEER",I32)),"Unit",IF(ISNUMBER(SEARCH("IEER",I32)),"Unit",IF(ISNUMBER(SEARCH("kW/ton",I32)),"Unit",IF(ISNUMBER(SEARCH("Constant",I32)),"Unit",IF(ISNUMBER(SEARCH("Thermostat",I32)),"T-Stats",IF(ISNUMBER(SEARCH("Demand Control",I32)),"1000 sq ft")))))))</f>
        <v/>
      </c>
      <c r="X32" s="1672"/>
      <c r="Y32" s="1674"/>
      <c r="Z32" s="1683"/>
      <c r="AA32" s="1683"/>
      <c r="AB32" s="1683"/>
      <c r="AC32" s="1674"/>
      <c r="AD32" s="1683"/>
      <c r="AE32" s="1683"/>
      <c r="AF32" s="1704"/>
      <c r="AG32" s="1704"/>
      <c r="AH32" s="1704"/>
      <c r="AI32" s="1704"/>
      <c r="AJ32" s="1685" t="str">
        <f>IF(C32="","",INDEX(PMEHVAC[Inc Rate Unit],MATCH(C32,PMEHVAC[Measure Type],0)))</f>
        <v/>
      </c>
      <c r="AK32" s="1686"/>
      <c r="AL32" s="1693" t="str">
        <f>IF(OR(N32="",C32="",U32="",Y32="",AC32="",AF32="",AH32=""),"",IF(ISNUMBER(SEARCH("Thermostat",C32)),ROUND(Q32*U32*INDEX(PMEHVAC[Savings per ton per EER kWh],MATCH(C32,PMEHVAC[Measure Type],0)),0),
IF(ISNUMBER(SEARCH("Advanced RTU",C32)),ROUND(U32*Q32*INDEX(PMEHVAC[Savings per ton per EER kWh],MATCH(C32,PMEHVAC[Measure Type],0)),0),
IF(ISNUMBER(SEARCH("Demand Control",C32)),ROUND(U32*INDEX(PMEHVAC[Savings per ton per EER kWh],MATCH(C32,PMEHVAC[Measure Type],0)),0),
IF(ISNUMBER(SEARCH("Chiller",C32)),ROUND(U32*Q32*1053*((-1*(INDEX(PMEHVAC[Base EER1],MATCH(C32,PMEHVAC[Measure Type],0))))-N32),0),
IF(OR(ISNUMBER(SEARCH("IEER",I32)),ISNUMBER(SEARCH("SEER",I32)),ISNUMBER(SEARCH("SEER2",I32))),ROUND(U32*Q32*12*1053*((1/(INDEX(PMEHVAC[Base EER1],MATCH(C32,PMEHVAC[Measure Type],0))))-(1/N32)),0)))))))</f>
        <v/>
      </c>
      <c r="AM32" s="1694"/>
      <c r="AN32" s="1695"/>
      <c r="AO32" s="1689" t="str">
        <f>IF(M02S02F44="","Update Install Status",IF(M02S02F49="Yes","Submit for Review",IF(OR(N32="",C32="",U32="",Y32="",AC32="",AF32="",AH32=""),"",
IF(AND(ISNUMBER(SEARCH("Thermostat",C32)),ISNUMBER(SEARCH("&gt;= 4 tons",C32))),MIN(AU32,ROUND(U32*INDEX(PMEHVAC[Inc Rate Unit],MATCH(C32,PMEHVAC[Measure Type],0)),0)),
IF(AND(ISNUMBER(SEARCH("Thermostat",C32)),ISNUMBER(SEARCH("&lt; 4 tons",C32))),MIN(AU32,ROUND(Q32*U32*INDEX(PMEHVAC[Inc Rate Unit],MATCH(C32,PMEHVAC[Measure Type],0)),0)),
IF(ISNUMBER(SEARCH("Advanced RTU",C32)),MIN(AU32,ROUND(Q32*U32*INDEX(PMEHVAC[Inc Rate Unit],MATCH(C32,PMEHVAC[Measure Type],0)),0)),
IF(ISNUMBER(SEARCH("Demand Control",C32)),MIN(AU32,ROUND(U32*INDEX(PMEHVAC[Inc Rate Unit],MATCH(C32,PMEHVAC[Measure Type],0)),0)),
IF(ISNUMBER(SEARCH("Chiller",C32)),MIN(AU32,ROUND(Q32*U32*((-1*(INDEX(PMEHVAC[Base EER1],MATCH(C32,PMEHVAC[Measure Type],0))))-N32)*100*INDEX(PMEHVAC[Inc Rate Unit],MATCH(C32,PMEHVAC[Measure Type],0)),0)),
IF(OR(ISNUMBER(SEARCH("System",C32)),ISNUMBER(SEARCH("Heat Pump",C32))),MIN(AU32,ROUND(INDEX(PMEHVAC[Inc Rate Unit],MATCH(C32,PMEHVAC[Measure Type],0))*(Q32*U32)*(N32-INDEX(PMEHVAC[Base EER1],MATCH(C32,PMEHVAC[Measure Type],0))),0)))))))))))</f>
        <v>Update Install Status</v>
      </c>
      <c r="AP32" s="1690"/>
      <c r="AQ32" s="1690"/>
      <c r="AR32" s="69"/>
      <c r="AU32" s="1420" t="str">
        <f t="shared" ref="AU32" si="31">IF(OR(C32="",U32="",Y32="",AC32="",AF32="",AH32=""),"",(ROUND((AF32+AH32),2)))</f>
        <v/>
      </c>
      <c r="AV32" s="1387" t="str">
        <f>IF(OR(C32="",U32="",Y32="",AC32="",AF32="",AH32=""),"",ROUND(AL32*INDEX(ENDUSEALL[Factor],MATCH(INDEX(PMEHVAC[End Use Category],MATCH(C32,PMEHVAC[Measure Type],0)),ENDUSEALL[End Use to Coincident Peak Demand Factors],0)),4))</f>
        <v/>
      </c>
      <c r="AW32" s="1387" t="str">
        <f t="shared" ref="AW32" si="32">IF(OR(C32="",U32="",Y32="",AC32="",AF32="",AH32=""),"",IF(AO32&lt;&gt;AU32,"No","Yes"))</f>
        <v/>
      </c>
      <c r="AX32" s="1422">
        <f t="shared" ref="AX32" si="33">IFERROR(ROUND(AZ32*1.15,2),0)</f>
        <v>0</v>
      </c>
      <c r="AY32" s="1370" t="str">
        <f>IF(M02S02F44="","Update Install Status",IF(M02S02F49="Yes","Submit for Review",IF(OR(N32="",C32="",U32="",Y32="",AC32="",AF32="",AH32=""),"",ROUND(AX32*BONUSADJ,2))))</f>
        <v>Update Install Status</v>
      </c>
      <c r="AZ32" s="1370" t="str">
        <f>IF(M02S02F44="","Update Install Status",IF(M02S02F49="Yes","Submit for Review",IF(OR(N32="",C32="",U32="",Y32="",AC32="",AF32="",AH32=""),"",
IF(AND(ISNUMBER(SEARCH("Thermostat",C32)),ISNUMBER(SEARCH("&gt;= 4 tons",C32))),MIN(AU32,ROUND(U32*INDEX(PMEHVAC[Inc Rate Unit],MATCH(C32,PMEHVAC[Measure Type],0)),0)),
IF(AND(ISNUMBER(SEARCH("Thermostat",C32)),ISNUMBER(SEARCH("&lt; 4 tons",C32))),MIN(AU32,ROUND(Q32*U32*INDEX(PMEHVAC[Inc Rate Unit],MATCH(C32,PMEHVAC[Measure Type],0)),0)),
IF(ISNUMBER(SEARCH("Advanced RTU",C32)),MIN(AU32,ROUND(Q32*U32*INDEX(PMEHVAC[Inc Rate Unit],MATCH(C32,PMEHVAC[Measure Type],0)),0)),
IF(ISNUMBER(SEARCH("Demand Control",C32)),MIN(AU32,ROUND(U32*INDEX(PMEHVAC[Inc Rate Unit],MATCH(C32,PMEHVAC[Measure Type],0)),0)),
IF(ISNUMBER(SEARCH("Chiller",C32)),MIN(AU32,ROUND(Q32*U32*((-1*(INDEX(PMEHVAC[Base EER1],MATCH(C32,PMEHVAC[Measure Type],0))))-N32)*100*INDEX(PMEHVAC[Inc Rate Unit],MATCH(C32,PMEHVAC[Measure Type],0)),0)),
IF(OR(ISNUMBER(SEARCH("System",C32)),ISNUMBER(SEARCH("Heat Pump",C32))),MIN(AU32,ROUND(INDEX(PMEHVAC[Inc Rate Unit],MATCH(C32,PMEHVAC[Measure Type],0))*(Q32*U32)*(N32-INDEX(PMEHVAC[Base EER1],MATCH(C32,PMEHVAC[Measure Type],0))),0)))))))))))</f>
        <v>Update Install Status</v>
      </c>
    </row>
    <row r="33" spans="2:52" ht="15.95" customHeight="1" x14ac:dyDescent="0.25">
      <c r="B33" s="1204"/>
      <c r="C33" s="1676"/>
      <c r="D33" s="1676"/>
      <c r="E33" s="1676"/>
      <c r="F33" s="1676"/>
      <c r="G33" s="1676"/>
      <c r="H33" s="1676"/>
      <c r="I33" s="1703"/>
      <c r="J33" s="1703"/>
      <c r="K33" s="1703"/>
      <c r="L33" s="1703"/>
      <c r="M33" s="1703"/>
      <c r="N33" s="1680"/>
      <c r="O33" s="1681"/>
      <c r="P33" s="1682"/>
      <c r="Q33" s="1671"/>
      <c r="R33" s="1671"/>
      <c r="S33" s="1669"/>
      <c r="T33" s="1669"/>
      <c r="U33" s="1702"/>
      <c r="V33" s="1702"/>
      <c r="W33" s="1673"/>
      <c r="X33" s="1673"/>
      <c r="Y33" s="1684"/>
      <c r="Z33" s="1684"/>
      <c r="AA33" s="1684"/>
      <c r="AB33" s="1684"/>
      <c r="AC33" s="1684"/>
      <c r="AD33" s="1684"/>
      <c r="AE33" s="1684"/>
      <c r="AF33" s="1705"/>
      <c r="AG33" s="1705"/>
      <c r="AH33" s="1705"/>
      <c r="AI33" s="1705"/>
      <c r="AJ33" s="1687"/>
      <c r="AK33" s="1688"/>
      <c r="AL33" s="1696"/>
      <c r="AM33" s="1697"/>
      <c r="AN33" s="1698"/>
      <c r="AO33" s="1691"/>
      <c r="AP33" s="1692"/>
      <c r="AQ33" s="1692"/>
      <c r="AR33" s="69"/>
      <c r="AU33" s="1421"/>
      <c r="AV33" s="1388"/>
      <c r="AW33" s="1388"/>
      <c r="AX33" s="1423"/>
      <c r="AY33" s="1371"/>
      <c r="AZ33" s="1371"/>
    </row>
    <row r="34" spans="2:52" ht="15.95" customHeight="1" x14ac:dyDescent="0.25">
      <c r="B34" s="1204">
        <v>9</v>
      </c>
      <c r="C34" s="1676"/>
      <c r="D34" s="1676"/>
      <c r="E34" s="1676"/>
      <c r="F34" s="1676"/>
      <c r="G34" s="1676"/>
      <c r="H34" s="1676"/>
      <c r="I34" s="1703" t="str">
        <f>IF(C34="","",INDEX(PMEHVAC[Base Desc 1],MATCH(C34,PMEHVAC[Measure Type],0)))</f>
        <v/>
      </c>
      <c r="J34" s="1703"/>
      <c r="K34" s="1703"/>
      <c r="L34" s="1703"/>
      <c r="M34" s="1703"/>
      <c r="N34" s="1677" t="str">
        <f t="shared" ref="N34:N37" si="34">IF(C34="","",IF(ISNUMBER(SEARCH("SEER2",I34)),"Enter SEER2",IF(ISNUMBER(SEARCH("SEER",I34)),"Enter SEER",IF(ISNUMBER(SEARCH("IEER",I34)),"Enter IEER",IF(ISNUMBER(SEARCH("kW/ton",I34)),"Enter IPLV",IF(ISNUMBER(SEARCH("T-Stats",I34)),"N/A","N/A"))))))</f>
        <v/>
      </c>
      <c r="O34" s="1678"/>
      <c r="P34" s="1679"/>
      <c r="Q34" s="1670"/>
      <c r="R34" s="1670"/>
      <c r="S34" s="1668" t="s">
        <v>1992</v>
      </c>
      <c r="T34" s="1668"/>
      <c r="U34" s="1701"/>
      <c r="V34" s="1701"/>
      <c r="W34" s="1672" t="str">
        <f t="shared" ref="W34" si="35">IF(I34="","",IF(ISNUMBER(SEARCH("SEER",I34)),"Unit",IF(ISNUMBER(SEARCH("IEER",I34)),"Unit",IF(ISNUMBER(SEARCH("kW/ton",I34)),"Unit",IF(ISNUMBER(SEARCH("Constant",I34)),"Unit",IF(ISNUMBER(SEARCH("Thermostat",I34)),"T-Stats",IF(ISNUMBER(SEARCH("Demand Control",I34)),"1000 sq ft")))))))</f>
        <v/>
      </c>
      <c r="X34" s="1672"/>
      <c r="Y34" s="1674"/>
      <c r="Z34" s="1683"/>
      <c r="AA34" s="1683"/>
      <c r="AB34" s="1683"/>
      <c r="AC34" s="1674"/>
      <c r="AD34" s="1683"/>
      <c r="AE34" s="1683"/>
      <c r="AF34" s="1704"/>
      <c r="AG34" s="1704"/>
      <c r="AH34" s="1704"/>
      <c r="AI34" s="1704"/>
      <c r="AJ34" s="1685" t="str">
        <f>IF(C34="","",INDEX(PMEHVAC[Inc Rate Unit],MATCH(C34,PMEHVAC[Measure Type],0)))</f>
        <v/>
      </c>
      <c r="AK34" s="1686"/>
      <c r="AL34" s="1693" t="str">
        <f>IF(OR(N34="",C34="",U34="",Y34="",AC34="",AF34="",AH34=""),"",IF(ISNUMBER(SEARCH("Thermostat",C34)),ROUND(Q34*U34*INDEX(PMEHVAC[Savings per ton per EER kWh],MATCH(C34,PMEHVAC[Measure Type],0)),0),
IF(ISNUMBER(SEARCH("Advanced RTU",C34)),ROUND(U34*Q34*INDEX(PMEHVAC[Savings per ton per EER kWh],MATCH(C34,PMEHVAC[Measure Type],0)),0),
IF(ISNUMBER(SEARCH("Demand Control",C34)),ROUND(U34*INDEX(PMEHVAC[Savings per ton per EER kWh],MATCH(C34,PMEHVAC[Measure Type],0)),0),
IF(ISNUMBER(SEARCH("Chiller",C34)),ROUND(U34*Q34*1053*((-1*(INDEX(PMEHVAC[Base EER1],MATCH(C34,PMEHVAC[Measure Type],0))))-N34),0),
IF(OR(ISNUMBER(SEARCH("IEER",I34)),ISNUMBER(SEARCH("SEER",I34)),ISNUMBER(SEARCH("SEER2",I34))),ROUND(U34*Q34*12*1053*((1/(INDEX(PMEHVAC[Base EER1],MATCH(C34,PMEHVAC[Measure Type],0))))-(1/N34)),0)))))))</f>
        <v/>
      </c>
      <c r="AM34" s="1694"/>
      <c r="AN34" s="1695"/>
      <c r="AO34" s="1689" t="str">
        <f>IF(M02S02F44="","Update Install Status",IF(M02S02F49="Yes","Submit for Review",IF(OR(N34="",C34="",U34="",Y34="",AC34="",AF34="",AH34=""),"",
IF(AND(ISNUMBER(SEARCH("Thermostat",C34)),ISNUMBER(SEARCH("&gt;= 4 tons",C34))),MIN(AU34,ROUND(U34*INDEX(PMEHVAC[Inc Rate Unit],MATCH(C34,PMEHVAC[Measure Type],0)),0)),
IF(AND(ISNUMBER(SEARCH("Thermostat",C34)),ISNUMBER(SEARCH("&lt; 4 tons",C34))),MIN(AU34,ROUND(Q34*U34*INDEX(PMEHVAC[Inc Rate Unit],MATCH(C34,PMEHVAC[Measure Type],0)),0)),
IF(ISNUMBER(SEARCH("Advanced RTU",C34)),MIN(AU34,ROUND(Q34*U34*INDEX(PMEHVAC[Inc Rate Unit],MATCH(C34,PMEHVAC[Measure Type],0)),0)),
IF(ISNUMBER(SEARCH("Demand Control",C34)),MIN(AU34,ROUND(U34*INDEX(PMEHVAC[Inc Rate Unit],MATCH(C34,PMEHVAC[Measure Type],0)),0)),
IF(ISNUMBER(SEARCH("Chiller",C34)),MIN(AU34,ROUND(Q34*U34*((-1*(INDEX(PMEHVAC[Base EER1],MATCH(C34,PMEHVAC[Measure Type],0))))-N34)*100*INDEX(PMEHVAC[Inc Rate Unit],MATCH(C34,PMEHVAC[Measure Type],0)),0)),
IF(OR(ISNUMBER(SEARCH("System",C34)),ISNUMBER(SEARCH("Heat Pump",C34))),MIN(AU34,ROUND(INDEX(PMEHVAC[Inc Rate Unit],MATCH(C34,PMEHVAC[Measure Type],0))*(Q34*U34)*(N34-INDEX(PMEHVAC[Base EER1],MATCH(C34,PMEHVAC[Measure Type],0))),0)))))))))))</f>
        <v>Update Install Status</v>
      </c>
      <c r="AP34" s="1690"/>
      <c r="AQ34" s="1690"/>
      <c r="AR34" s="69"/>
      <c r="AU34" s="1420" t="str">
        <f t="shared" ref="AU34" si="36">IF(OR(C34="",U34="",Y34="",AC34="",AF34="",AH34=""),"",(ROUND((AF34+AH34),2)))</f>
        <v/>
      </c>
      <c r="AV34" s="1387" t="str">
        <f>IF(OR(C34="",U34="",Y34="",AC34="",AF34="",AH34=""),"",ROUND(AL34*INDEX(ENDUSEALL[Factor],MATCH(INDEX(PMEHVAC[End Use Category],MATCH(C34,PMEHVAC[Measure Type],0)),ENDUSEALL[End Use to Coincident Peak Demand Factors],0)),4))</f>
        <v/>
      </c>
      <c r="AW34" s="1387" t="str">
        <f t="shared" ref="AW34" si="37">IF(OR(C34="",U34="",Y34="",AC34="",AF34="",AH34=""),"",IF(AO34&lt;&gt;AU34,"No","Yes"))</f>
        <v/>
      </c>
      <c r="AX34" s="1422">
        <f t="shared" ref="AX34" si="38">IFERROR(ROUND(AZ34*1.15,2),0)</f>
        <v>0</v>
      </c>
      <c r="AY34" s="1370" t="str">
        <f>IF(M02S02F44="","Update Install Status",IF(M02S02F49="Yes","Submit for Review",IF(OR(N34="",C34="",U34="",Y34="",AC34="",AF34="",AH34=""),"",ROUND(AX34*BONUSADJ,2))))</f>
        <v>Update Install Status</v>
      </c>
      <c r="AZ34" s="1370" t="str">
        <f>IF(M02S02F44="","Update Install Status",IF(M02S02F49="Yes","Submit for Review",IF(OR(N34="",C34="",U34="",Y34="",AC34="",AF34="",AH34=""),"",
IF(AND(ISNUMBER(SEARCH("Thermostat",C34)),ISNUMBER(SEARCH("&gt;= 4 tons",C34))),MIN(AU34,ROUND(U34*INDEX(PMEHVAC[Inc Rate Unit],MATCH(C34,PMEHVAC[Measure Type],0)),0)),
IF(AND(ISNUMBER(SEARCH("Thermostat",C34)),ISNUMBER(SEARCH("&lt; 4 tons",C34))),MIN(AU34,ROUND(Q34*U34*INDEX(PMEHVAC[Inc Rate Unit],MATCH(C34,PMEHVAC[Measure Type],0)),0)),
IF(ISNUMBER(SEARCH("Advanced RTU",C34)),MIN(AU34,ROUND(Q34*U34*INDEX(PMEHVAC[Inc Rate Unit],MATCH(C34,PMEHVAC[Measure Type],0)),0)),
IF(ISNUMBER(SEARCH("Demand Control",C34)),MIN(AU34,ROUND(U34*INDEX(PMEHVAC[Inc Rate Unit],MATCH(C34,PMEHVAC[Measure Type],0)),0)),
IF(ISNUMBER(SEARCH("Chiller",C34)),MIN(AU34,ROUND(Q34*U34*((-1*(INDEX(PMEHVAC[Base EER1],MATCH(C34,PMEHVAC[Measure Type],0))))-N34)*100*INDEX(PMEHVAC[Inc Rate Unit],MATCH(C34,PMEHVAC[Measure Type],0)),0)),
IF(OR(ISNUMBER(SEARCH("System",C34)),ISNUMBER(SEARCH("Heat Pump",C34))),MIN(AU34,ROUND(INDEX(PMEHVAC[Inc Rate Unit],MATCH(C34,PMEHVAC[Measure Type],0))*(Q34*U34)*(N34-INDEX(PMEHVAC[Base EER1],MATCH(C34,PMEHVAC[Measure Type],0))),0)))))))))))</f>
        <v>Update Install Status</v>
      </c>
    </row>
    <row r="35" spans="2:52" ht="15.95" customHeight="1" x14ac:dyDescent="0.25">
      <c r="B35" s="1204"/>
      <c r="C35" s="1676"/>
      <c r="D35" s="1676"/>
      <c r="E35" s="1676"/>
      <c r="F35" s="1676"/>
      <c r="G35" s="1676"/>
      <c r="H35" s="1676"/>
      <c r="I35" s="1703"/>
      <c r="J35" s="1703"/>
      <c r="K35" s="1703"/>
      <c r="L35" s="1703"/>
      <c r="M35" s="1703"/>
      <c r="N35" s="1680"/>
      <c r="O35" s="1681"/>
      <c r="P35" s="1682"/>
      <c r="Q35" s="1671"/>
      <c r="R35" s="1671"/>
      <c r="S35" s="1669"/>
      <c r="T35" s="1669"/>
      <c r="U35" s="1702"/>
      <c r="V35" s="1702"/>
      <c r="W35" s="1673"/>
      <c r="X35" s="1673"/>
      <c r="Y35" s="1684"/>
      <c r="Z35" s="1684"/>
      <c r="AA35" s="1684"/>
      <c r="AB35" s="1684"/>
      <c r="AC35" s="1684"/>
      <c r="AD35" s="1684"/>
      <c r="AE35" s="1684"/>
      <c r="AF35" s="1705"/>
      <c r="AG35" s="1705"/>
      <c r="AH35" s="1705"/>
      <c r="AI35" s="1705"/>
      <c r="AJ35" s="1687"/>
      <c r="AK35" s="1688"/>
      <c r="AL35" s="1696"/>
      <c r="AM35" s="1697"/>
      <c r="AN35" s="1698"/>
      <c r="AO35" s="1691"/>
      <c r="AP35" s="1692"/>
      <c r="AQ35" s="1692"/>
      <c r="AR35" s="69"/>
      <c r="AU35" s="1421"/>
      <c r="AV35" s="1388"/>
      <c r="AW35" s="1388"/>
      <c r="AX35" s="1423"/>
      <c r="AY35" s="1371"/>
      <c r="AZ35" s="1371"/>
    </row>
    <row r="36" spans="2:52" ht="15.95" customHeight="1" x14ac:dyDescent="0.25">
      <c r="B36" s="1204">
        <v>10</v>
      </c>
      <c r="C36" s="1676"/>
      <c r="D36" s="1676"/>
      <c r="E36" s="1676"/>
      <c r="F36" s="1676"/>
      <c r="G36" s="1676"/>
      <c r="H36" s="1676"/>
      <c r="I36" s="1703" t="str">
        <f>IF(C36="","",INDEX(PMEHVAC[Base Desc 1],MATCH(C36,PMEHVAC[Measure Type],0)))</f>
        <v/>
      </c>
      <c r="J36" s="1703"/>
      <c r="K36" s="1703"/>
      <c r="L36" s="1703"/>
      <c r="M36" s="1703"/>
      <c r="N36" s="1677" t="str">
        <f t="shared" ref="N36:N37" si="39">IF(C36="","",IF(ISNUMBER(SEARCH("SEER2",I36)),"Enter SEER2",IF(ISNUMBER(SEARCH("SEER",I36)),"Enter SEER",IF(ISNUMBER(SEARCH("IEER",I36)),"Enter IEER",IF(ISNUMBER(SEARCH("kW/ton",I36)),"Enter IPLV",IF(ISNUMBER(SEARCH("T-Stats",I36)),"N/A","N/A"))))))</f>
        <v/>
      </c>
      <c r="O36" s="1678"/>
      <c r="P36" s="1679"/>
      <c r="Q36" s="1670"/>
      <c r="R36" s="1670"/>
      <c r="S36" s="1668" t="s">
        <v>1992</v>
      </c>
      <c r="T36" s="1668"/>
      <c r="U36" s="1701"/>
      <c r="V36" s="1701"/>
      <c r="W36" s="1672" t="str">
        <f t="shared" ref="W36" si="40">IF(I36="","",IF(ISNUMBER(SEARCH("SEER",I36)),"Unit",IF(ISNUMBER(SEARCH("IEER",I36)),"Unit",IF(ISNUMBER(SEARCH("kW/ton",I36)),"Unit",IF(ISNUMBER(SEARCH("Constant",I36)),"Unit",IF(ISNUMBER(SEARCH("Thermostat",I36)),"T-Stats",IF(ISNUMBER(SEARCH("Demand Control",I36)),"1000 sq ft")))))))</f>
        <v/>
      </c>
      <c r="X36" s="1672"/>
      <c r="Y36" s="1683"/>
      <c r="Z36" s="1683"/>
      <c r="AA36" s="1683"/>
      <c r="AB36" s="1683"/>
      <c r="AC36" s="1683"/>
      <c r="AD36" s="1683"/>
      <c r="AE36" s="1683"/>
      <c r="AF36" s="1704"/>
      <c r="AG36" s="1704"/>
      <c r="AH36" s="1704"/>
      <c r="AI36" s="1704"/>
      <c r="AJ36" s="1685" t="str">
        <f>IF(C36="","",INDEX(PMEHVAC[Inc Rate Unit],MATCH(C36,PMEHVAC[Measure Type],0)))</f>
        <v/>
      </c>
      <c r="AK36" s="1686"/>
      <c r="AL36" s="1693" t="str">
        <f>IF(OR(N36="",C36="",U36="",Y36="",AC36="",AF36="",AH36=""),"",IF(ISNUMBER(SEARCH("Thermostat",C36)),ROUND(Q36*U36*INDEX(PMEHVAC[Savings per ton per EER kWh],MATCH(C36,PMEHVAC[Measure Type],0)),0),
IF(ISNUMBER(SEARCH("Advanced RTU",C36)),ROUND(U36*Q36*INDEX(PMEHVAC[Savings per ton per EER kWh],MATCH(C36,PMEHVAC[Measure Type],0)),0),
IF(ISNUMBER(SEARCH("Demand Control",C36)),ROUND(U36*INDEX(PMEHVAC[Savings per ton per EER kWh],MATCH(C36,PMEHVAC[Measure Type],0)),0),
IF(ISNUMBER(SEARCH("Chiller",C36)),ROUND(U36*Q36*1053*((-1*(INDEX(PMEHVAC[Base EER1],MATCH(C36,PMEHVAC[Measure Type],0))))-N36),0),
IF(OR(ISNUMBER(SEARCH("IEER",I36)),ISNUMBER(SEARCH("SEER",I36)),ISNUMBER(SEARCH("SEER2",I36))),ROUND(U36*Q36*12*1053*((1/(INDEX(PMEHVAC[Base EER1],MATCH(C36,PMEHVAC[Measure Type],0))))-(1/N36)),0)))))))</f>
        <v/>
      </c>
      <c r="AM36" s="1694"/>
      <c r="AN36" s="1695"/>
      <c r="AO36" s="1689" t="str">
        <f>IF(M02S02F44="","Update Install Status",IF(M02S02F49="Yes","Submit for Review",IF(OR(N36="",C36="",U36="",Y36="",AC36="",AF36="",AH36=""),"",
IF(AND(ISNUMBER(SEARCH("Thermostat",C36)),ISNUMBER(SEARCH("&gt;= 4 tons",C36))),MIN(AU36,ROUND(U36*INDEX(PMEHVAC[Inc Rate Unit],MATCH(C36,PMEHVAC[Measure Type],0)),0)),
IF(AND(ISNUMBER(SEARCH("Thermostat",C36)),ISNUMBER(SEARCH("&lt; 4 tons",C36))),MIN(AU36,ROUND(Q36*U36*INDEX(PMEHVAC[Inc Rate Unit],MATCH(C36,PMEHVAC[Measure Type],0)),0)),
IF(ISNUMBER(SEARCH("Advanced RTU",C36)),MIN(AU36,ROUND(Q36*U36*INDEX(PMEHVAC[Inc Rate Unit],MATCH(C36,PMEHVAC[Measure Type],0)),0)),
IF(ISNUMBER(SEARCH("Demand Control",C36)),MIN(AU36,ROUND(U36*INDEX(PMEHVAC[Inc Rate Unit],MATCH(C36,PMEHVAC[Measure Type],0)),0)),
IF(ISNUMBER(SEARCH("Chiller",C36)),MIN(AU36,ROUND(Q36*U36*((-1*(INDEX(PMEHVAC[Base EER1],MATCH(C36,PMEHVAC[Measure Type],0))))-N36)*100*INDEX(PMEHVAC[Inc Rate Unit],MATCH(C36,PMEHVAC[Measure Type],0)),0)),
IF(OR(ISNUMBER(SEARCH("System",C36)),ISNUMBER(SEARCH("Heat Pump",C36))),MIN(AU36,ROUND(INDEX(PMEHVAC[Inc Rate Unit],MATCH(C36,PMEHVAC[Measure Type],0))*(Q36*U36)*(N36-INDEX(PMEHVAC[Base EER1],MATCH(C36,PMEHVAC[Measure Type],0))),0)))))))))))</f>
        <v>Update Install Status</v>
      </c>
      <c r="AP36" s="1690"/>
      <c r="AQ36" s="1690"/>
      <c r="AR36" s="69"/>
      <c r="AU36" s="1420" t="str">
        <f t="shared" ref="AU36" si="41">IF(OR(C36="",U36="",Y36="",AC36="",AF36="",AH36=""),"",(ROUND((AF36+AH36),2)))</f>
        <v/>
      </c>
      <c r="AV36" s="1387" t="str">
        <f>IF(OR(C36="",U36="",Y36="",AC36="",AF36="",AH36=""),"",ROUND(AL36*INDEX(ENDUSEALL[Factor],MATCH(INDEX(PMEHVAC[End Use Category],MATCH(C36,PMEHVAC[Measure Type],0)),ENDUSEALL[End Use to Coincident Peak Demand Factors],0)),4))</f>
        <v/>
      </c>
      <c r="AW36" s="1387" t="str">
        <f t="shared" ref="AW36" si="42">IF(OR(C36="",U36="",Y36="",AC36="",AF36="",AH36=""),"",IF(AO36&lt;&gt;AU36,"No","Yes"))</f>
        <v/>
      </c>
      <c r="AX36" s="1422">
        <f t="shared" ref="AX36" si="43">IFERROR(ROUND(AZ36*1.15,2),0)</f>
        <v>0</v>
      </c>
      <c r="AY36" s="1370" t="str">
        <f>IF(M02S02F44="","Update Install Status",IF(M02S02F49="Yes","Submit for Review",IF(OR(N36="",C36="",U36="",Y36="",AC36="",AF36="",AH36=""),"",ROUND(AX36*BONUSADJ,2))))</f>
        <v>Update Install Status</v>
      </c>
      <c r="AZ36" s="1370" t="str">
        <f>IF(M02S02F44="","Update Install Status",IF(M02S02F49="Yes","Submit for Review",IF(OR(N36="",C36="",U36="",Y36="",AC36="",AF36="",AH36=""),"",
IF(AND(ISNUMBER(SEARCH("Thermostat",C36)),ISNUMBER(SEARCH("&gt;= 4 tons",C36))),MIN(AU36,ROUND(U36*INDEX(PMEHVAC[Inc Rate Unit],MATCH(C36,PMEHVAC[Measure Type],0)),0)),
IF(AND(ISNUMBER(SEARCH("Thermostat",C36)),ISNUMBER(SEARCH("&lt; 4 tons",C36))),MIN(AU36,ROUND(Q36*U36*INDEX(PMEHVAC[Inc Rate Unit],MATCH(C36,PMEHVAC[Measure Type],0)),0)),
IF(ISNUMBER(SEARCH("Advanced RTU",C36)),MIN(AU36,ROUND(Q36*U36*INDEX(PMEHVAC[Inc Rate Unit],MATCH(C36,PMEHVAC[Measure Type],0)),0)),
IF(ISNUMBER(SEARCH("Demand Control",C36)),MIN(AU36,ROUND(U36*INDEX(PMEHVAC[Inc Rate Unit],MATCH(C36,PMEHVAC[Measure Type],0)),0)),
IF(ISNUMBER(SEARCH("Chiller",C36)),MIN(AU36,ROUND(Q36*U36*((-1*(INDEX(PMEHVAC[Base EER1],MATCH(C36,PMEHVAC[Measure Type],0))))-N36)*100*INDEX(PMEHVAC[Inc Rate Unit],MATCH(C36,PMEHVAC[Measure Type],0)),0)),
IF(OR(ISNUMBER(SEARCH("System",C36)),ISNUMBER(SEARCH("Heat Pump",C36))),MIN(AU36,ROUND(INDEX(PMEHVAC[Inc Rate Unit],MATCH(C36,PMEHVAC[Measure Type],0))*(Q36*U36)*(N36-INDEX(PMEHVAC[Base EER1],MATCH(C36,PMEHVAC[Measure Type],0))),0)))))))))))</f>
        <v>Update Install Status</v>
      </c>
    </row>
    <row r="37" spans="2:52" ht="15.95" customHeight="1" x14ac:dyDescent="0.25">
      <c r="B37" s="1204"/>
      <c r="C37" s="1676"/>
      <c r="D37" s="1676"/>
      <c r="E37" s="1676"/>
      <c r="F37" s="1676"/>
      <c r="G37" s="1676"/>
      <c r="H37" s="1676"/>
      <c r="I37" s="1703"/>
      <c r="J37" s="1703"/>
      <c r="K37" s="1703"/>
      <c r="L37" s="1703"/>
      <c r="M37" s="1703"/>
      <c r="N37" s="1680"/>
      <c r="O37" s="1681"/>
      <c r="P37" s="1682"/>
      <c r="Q37" s="1671"/>
      <c r="R37" s="1671"/>
      <c r="S37" s="1669"/>
      <c r="T37" s="1669"/>
      <c r="U37" s="1702"/>
      <c r="V37" s="1702"/>
      <c r="W37" s="1673"/>
      <c r="X37" s="1673"/>
      <c r="Y37" s="1684"/>
      <c r="Z37" s="1684"/>
      <c r="AA37" s="1684"/>
      <c r="AB37" s="1684"/>
      <c r="AC37" s="1684"/>
      <c r="AD37" s="1684"/>
      <c r="AE37" s="1684"/>
      <c r="AF37" s="1705"/>
      <c r="AG37" s="1705"/>
      <c r="AH37" s="1705"/>
      <c r="AI37" s="1705"/>
      <c r="AJ37" s="1687"/>
      <c r="AK37" s="1688"/>
      <c r="AL37" s="1696"/>
      <c r="AM37" s="1697"/>
      <c r="AN37" s="1698"/>
      <c r="AO37" s="1691"/>
      <c r="AP37" s="1692"/>
      <c r="AQ37" s="1692"/>
      <c r="AR37" s="69"/>
      <c r="AU37" s="1421"/>
      <c r="AV37" s="1388"/>
      <c r="AW37" s="1388"/>
      <c r="AX37" s="1423"/>
      <c r="AY37" s="1371"/>
      <c r="AZ37" s="1371"/>
    </row>
    <row r="38" spans="2:52" ht="15.95" hidden="1" customHeight="1" x14ac:dyDescent="0.25">
      <c r="B38" s="1204">
        <v>11</v>
      </c>
      <c r="AR38" s="69"/>
      <c r="AU38" s="804" t="str">
        <f>IF(OR(,V38="",X38="",AB38="",AE38="",AG38=""),"",ROUND((AE38+AG38)*V38,2))</f>
        <v/>
      </c>
      <c r="AV38" s="750" t="str">
        <f>IF(OR(C38="",V38="",X38="",AB38="",AE38="",AG38=""),"",ROUND(V38*INDEX(PMEREFRI[Savings per Unit kW],MATCH(C38,PMEREFRI[Eff Desc 1],0)),10))</f>
        <v/>
      </c>
    </row>
    <row r="39" spans="2:52" ht="15.95" hidden="1" customHeight="1" x14ac:dyDescent="0.25">
      <c r="B39" s="1204"/>
      <c r="AR39" s="69"/>
      <c r="AU39" s="805"/>
      <c r="AV39" s="751"/>
    </row>
    <row r="40" spans="2:52" ht="15.95" hidden="1" customHeight="1" x14ac:dyDescent="0.25">
      <c r="B40" s="1204">
        <v>12</v>
      </c>
      <c r="AR40" s="69"/>
      <c r="AU40" s="804" t="str">
        <f>IF(OR(,V40="",X40="",AB40="",AE40="",AG40=""),"",ROUND((AE40+AG40)*V40,2))</f>
        <v/>
      </c>
      <c r="AV40" s="750" t="str">
        <f>IF(OR(C40="",V40="",X40="",AB40="",AE40="",AG40=""),"",ROUND(V40*INDEX(PMEREFRI[Savings per Unit kW],MATCH(C40,PMEREFRI[Eff Desc 1],0)),10))</f>
        <v/>
      </c>
    </row>
    <row r="41" spans="2:52" ht="15.95" hidden="1" customHeight="1" x14ac:dyDescent="0.25">
      <c r="B41" s="1204"/>
      <c r="AR41" s="69"/>
      <c r="AU41" s="805"/>
      <c r="AV41" s="751"/>
    </row>
    <row r="42" spans="2:52" ht="15.95" hidden="1" customHeight="1" x14ac:dyDescent="0.25">
      <c r="B42" s="1204">
        <v>13</v>
      </c>
      <c r="AR42" s="69"/>
      <c r="AU42" s="804" t="str">
        <f>IF(OR(,V42="",X42="",AB42="",AE42="",AG42=""),"",ROUND((AE42+AG42)*V42,2))</f>
        <v/>
      </c>
      <c r="AV42" s="750" t="str">
        <f>IF(OR(C42="",V42="",X42="",AB42="",AE42="",AG42=""),"",ROUND(V42*INDEX(PMEREFRI[Savings per Unit kW],MATCH(C42,PMEREFRI[Eff Desc 1],0)),10))</f>
        <v/>
      </c>
    </row>
    <row r="43" spans="2:52" ht="15.95" hidden="1" customHeight="1" x14ac:dyDescent="0.25">
      <c r="B43" s="1204"/>
      <c r="AR43" s="69"/>
      <c r="AU43" s="805"/>
      <c r="AV43" s="751"/>
    </row>
    <row r="44" spans="2:52" ht="15.95" hidden="1" customHeight="1" x14ac:dyDescent="0.25">
      <c r="B44" s="1204">
        <v>14</v>
      </c>
      <c r="AR44" s="69"/>
      <c r="AU44" s="804" t="str">
        <f>IF(OR(,V44="",X44="",AB44="",AE44="",AG44=""),"",ROUND((AE44+AG44)*V44,2))</f>
        <v/>
      </c>
      <c r="AV44" s="750" t="str">
        <f>IF(OR(C44="",V44="",X44="",AB44="",AE44="",AG44=""),"",ROUND(V44*INDEX(PMEREFRI[Savings per Unit kW],MATCH(C44,PMEREFRI[Eff Desc 1],0)),10))</f>
        <v/>
      </c>
    </row>
    <row r="45" spans="2:52" ht="15.95" hidden="1" customHeight="1" x14ac:dyDescent="0.25">
      <c r="B45" s="1204"/>
      <c r="AR45" s="69"/>
      <c r="AU45" s="805"/>
      <c r="AV45" s="751"/>
    </row>
    <row r="46" spans="2:52" ht="15.95" hidden="1" customHeight="1" x14ac:dyDescent="0.25">
      <c r="B46" s="1204">
        <v>15</v>
      </c>
      <c r="AR46" s="69"/>
      <c r="AU46" s="804" t="str">
        <f>IF(OR(,V46="",X46="",AB46="",AE46="",AG46=""),"",ROUND((AE46+AG46)*V46,2))</f>
        <v/>
      </c>
      <c r="AV46" s="750" t="str">
        <f>IF(OR(C46="",V46="",X46="",AB46="",AE46="",AG46=""),"",ROUND(V46*INDEX(PMEREFRI[Savings per Unit kW],MATCH(C46,PMEREFRI[Eff Desc 1],0)),10))</f>
        <v/>
      </c>
    </row>
    <row r="47" spans="2:52" ht="15.95" hidden="1" customHeight="1" x14ac:dyDescent="0.25">
      <c r="B47" s="1204"/>
      <c r="AR47" s="69"/>
      <c r="AU47" s="805"/>
      <c r="AV47" s="751"/>
    </row>
    <row r="48" spans="2:52" ht="15.95" hidden="1" customHeight="1" x14ac:dyDescent="0.25">
      <c r="B48" s="873">
        <v>16</v>
      </c>
    </row>
    <row r="49" spans="2:43" ht="15.95" hidden="1" customHeight="1" x14ac:dyDescent="0.25">
      <c r="B49" s="873"/>
    </row>
    <row r="50" spans="2:43" ht="15.95" hidden="1" customHeight="1" x14ac:dyDescent="0.25">
      <c r="B50" s="873">
        <v>17</v>
      </c>
    </row>
    <row r="51" spans="2:43" ht="15.95" hidden="1" customHeight="1" x14ac:dyDescent="0.25">
      <c r="B51" s="873"/>
    </row>
    <row r="52" spans="2:43" ht="15.95" hidden="1" customHeight="1" x14ac:dyDescent="0.25">
      <c r="B52" s="873">
        <v>18</v>
      </c>
    </row>
    <row r="53" spans="2:43" ht="15.95" hidden="1" customHeight="1" x14ac:dyDescent="0.25">
      <c r="B53" s="873"/>
    </row>
    <row r="54" spans="2:43" ht="15.95" hidden="1" customHeight="1" x14ac:dyDescent="0.25">
      <c r="B54" s="873">
        <v>19</v>
      </c>
    </row>
    <row r="55" spans="2:43" ht="15.95" hidden="1" customHeight="1" x14ac:dyDescent="0.25">
      <c r="B55" s="873"/>
    </row>
    <row r="56" spans="2:43" ht="15.95" hidden="1" customHeight="1" x14ac:dyDescent="0.25">
      <c r="B56" s="873">
        <v>20</v>
      </c>
    </row>
    <row r="57" spans="2:43" ht="15.95" hidden="1" customHeight="1" x14ac:dyDescent="0.25">
      <c r="B57" s="873"/>
    </row>
    <row r="58" spans="2:43" ht="15.95" hidden="1" customHeight="1" x14ac:dyDescent="0.25">
      <c r="B58" s="873">
        <v>21</v>
      </c>
    </row>
    <row r="59" spans="2:43" ht="15.95" hidden="1" customHeight="1" x14ac:dyDescent="0.25">
      <c r="B59" s="873"/>
    </row>
    <row r="60" spans="2:43" ht="15.95" hidden="1" customHeight="1" x14ac:dyDescent="0.25">
      <c r="B60" s="873">
        <v>22</v>
      </c>
    </row>
    <row r="61" spans="2:43" ht="15.95" hidden="1" customHeight="1" x14ac:dyDescent="0.25">
      <c r="B61" s="873"/>
    </row>
    <row r="62" spans="2:43" ht="15.95" hidden="1" customHeight="1" x14ac:dyDescent="0.25">
      <c r="B62" s="873">
        <v>23</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24</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25</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26</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27</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28</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29</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30</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31</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32</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33</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34</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35</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36</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37</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38</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39</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40</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41</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42</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43</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44</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45</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46</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47</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48</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49</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50</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51</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52</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53</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54</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55</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56</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57</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58</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59</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60</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61</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62</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63</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64</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65</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66</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67</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68</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69</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70</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71</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72</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73</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74</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75</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76</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77</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78</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79</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80</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81</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82</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83</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84</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85</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86</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87</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88</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73">
        <v>89</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73">
        <v>90</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73">
        <v>91</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hidden="1" customHeight="1" x14ac:dyDescent="0.25">
      <c r="B200" s="873">
        <v>92</v>
      </c>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row>
    <row r="201" spans="2:52" ht="15.95" hidden="1" customHeight="1" x14ac:dyDescent="0.25">
      <c r="B201" s="87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row>
    <row r="202" spans="2:52" ht="15.95" customHeight="1" x14ac:dyDescent="0.25">
      <c r="B202" s="70" t="str">
        <f>FOOT1</f>
        <v>Ameren Missouri BizSavers Program</v>
      </c>
      <c r="C202" s="70"/>
      <c r="D202" s="70"/>
      <c r="E202" s="70"/>
      <c r="F202" s="70"/>
      <c r="G202" s="70"/>
      <c r="H202" s="70"/>
      <c r="I202" s="70"/>
      <c r="J202" s="70"/>
      <c r="K202" s="70"/>
      <c r="L202" s="70"/>
      <c r="M202" s="595" t="str">
        <f>FOOTDISCLAIM</f>
        <v/>
      </c>
      <c r="N202" s="595"/>
      <c r="O202" s="595"/>
      <c r="P202" s="595"/>
      <c r="Q202" s="595"/>
      <c r="R202" s="595"/>
      <c r="S202" s="595"/>
      <c r="T202" s="595"/>
      <c r="U202" s="595"/>
      <c r="V202" s="595"/>
      <c r="W202" s="595"/>
      <c r="X202" s="595"/>
      <c r="Y202" s="595"/>
      <c r="Z202" s="595"/>
      <c r="AA202" s="595"/>
      <c r="AB202" s="595"/>
      <c r="AC202" s="595"/>
      <c r="AD202" s="595"/>
      <c r="AE202" s="595"/>
      <c r="AF202" s="595"/>
      <c r="AG202" s="595"/>
      <c r="AH202" s="70"/>
      <c r="AI202" s="70"/>
      <c r="AJ202" s="70"/>
      <c r="AK202" s="70"/>
      <c r="AL202" s="70"/>
      <c r="AM202" s="70"/>
      <c r="AN202" s="70"/>
      <c r="AO202" s="70"/>
      <c r="AP202" s="70"/>
      <c r="AQ202" s="70"/>
      <c r="AR202" s="163" t="str">
        <f>FOOT4</f>
        <v/>
      </c>
      <c r="AU202" s="804">
        <f>SUM(AU18:AU201)</f>
        <v>0</v>
      </c>
      <c r="AV202" s="750">
        <f>SUM(AV18:AV201)</f>
        <v>0</v>
      </c>
      <c r="AX202" s="804">
        <f>SUM(AX18:AX201)</f>
        <v>0</v>
      </c>
      <c r="AY202" s="804">
        <f t="shared" ref="AY202" si="44">SUM(AY18:AY201)</f>
        <v>0</v>
      </c>
      <c r="AZ202" s="804">
        <f>SUM(AZ18:AZ201)</f>
        <v>0</v>
      </c>
    </row>
    <row r="203" spans="2:52" ht="15.95" customHeight="1" x14ac:dyDescent="0.25">
      <c r="B203" s="70" t="str">
        <f>FOOT2</f>
        <v>Toll-Free 866-941-7299</v>
      </c>
      <c r="C203" s="70"/>
      <c r="D203" s="70"/>
      <c r="E203" s="70"/>
      <c r="F203" s="70"/>
      <c r="G203" s="70"/>
      <c r="H203" s="70"/>
      <c r="I203" s="70"/>
      <c r="J203" s="70"/>
      <c r="K203" s="70"/>
      <c r="L203" s="70"/>
      <c r="M203" s="595"/>
      <c r="N203" s="595"/>
      <c r="O203" s="595"/>
      <c r="P203" s="595"/>
      <c r="Q203" s="595"/>
      <c r="R203" s="595"/>
      <c r="S203" s="595"/>
      <c r="T203" s="595"/>
      <c r="U203" s="595"/>
      <c r="V203" s="595"/>
      <c r="W203" s="595"/>
      <c r="X203" s="595"/>
      <c r="Y203" s="595"/>
      <c r="Z203" s="595"/>
      <c r="AA203" s="595"/>
      <c r="AB203" s="595"/>
      <c r="AC203" s="595"/>
      <c r="AD203" s="595"/>
      <c r="AE203" s="595"/>
      <c r="AF203" s="595"/>
      <c r="AG203" s="595"/>
      <c r="AH203" s="70"/>
      <c r="AI203" s="70"/>
      <c r="AJ203" s="70"/>
      <c r="AK203" s="70"/>
      <c r="AL203" s="70"/>
      <c r="AM203" s="70"/>
      <c r="AN203" s="70"/>
      <c r="AO203" s="70"/>
      <c r="AP203" s="70"/>
      <c r="AQ203" s="70"/>
      <c r="AR203" s="163" t="str">
        <f>FOOT5</f>
        <v/>
      </c>
      <c r="AU203" s="805"/>
      <c r="AV203" s="751"/>
      <c r="AX203" s="805"/>
      <c r="AY203" s="805"/>
      <c r="AZ203" s="805"/>
    </row>
    <row r="204" spans="2:52" ht="15.95" customHeight="1" x14ac:dyDescent="0.25">
      <c r="B204" s="72" t="str">
        <f>FOOT3</f>
        <v>BizSavers@ameren.com</v>
      </c>
      <c r="C204" s="70"/>
      <c r="D204" s="70"/>
      <c r="E204" s="70"/>
      <c r="F204" s="70"/>
      <c r="G204" s="70"/>
      <c r="H204" s="70"/>
      <c r="I204" s="70"/>
      <c r="J204" s="70"/>
      <c r="K204" s="70"/>
      <c r="L204" s="70"/>
      <c r="M204" s="73"/>
      <c r="N204" s="70"/>
      <c r="O204" s="70"/>
      <c r="P204" s="73"/>
      <c r="Q204" s="73"/>
      <c r="R204" s="73"/>
      <c r="S204" s="73"/>
      <c r="T204" s="73"/>
      <c r="U204" s="73"/>
      <c r="V204" s="73"/>
      <c r="W204" s="74" t="str">
        <f>VERSION</f>
        <v>Custom and Standard v8.1.0</v>
      </c>
      <c r="X204" s="73"/>
      <c r="Y204" s="73"/>
      <c r="Z204" s="73"/>
      <c r="AA204" s="73"/>
      <c r="AB204" s="73"/>
      <c r="AC204" s="73"/>
      <c r="AD204" s="73"/>
      <c r="AE204" s="70"/>
      <c r="AF204" s="70"/>
      <c r="AG204" s="70"/>
      <c r="AH204" s="70"/>
      <c r="AI204" s="70"/>
      <c r="AJ204" s="70"/>
      <c r="AK204" s="70"/>
      <c r="AL204" s="70"/>
      <c r="AM204" s="70"/>
      <c r="AN204" s="70"/>
      <c r="AO204" s="70"/>
      <c r="AP204" s="70"/>
      <c r="AQ204" s="70"/>
      <c r="AR204" s="163" t="str">
        <f>FOOT6</f>
        <v>Product of TRC Companies</v>
      </c>
    </row>
    <row r="205" spans="2:52" ht="15" hidden="1" customHeight="1" x14ac:dyDescent="0.25"/>
  </sheetData>
  <sheetProtection algorithmName="SHA-512" hashValue="nTfrcbPbjF6vm1I494ABc+1qKr6rsWUFaez+El8gurNsJztu91B3W37VJXnHgyCIoKD2TV/8Q+CRVIi/Wo8GCA==" saltValue="nlSj0rzkwN8PMhc7SXjbxg==" spinCount="100000" sheet="1" objects="1" scenarios="1" selectLockedCells="1"/>
  <mergeCells count="346">
    <mergeCell ref="M14:AH15"/>
    <mergeCell ref="AY202:AY203"/>
    <mergeCell ref="AZ202:AZ203"/>
    <mergeCell ref="AX202:AX203"/>
    <mergeCell ref="AZ16:AZ17"/>
    <mergeCell ref="AZ18:AZ19"/>
    <mergeCell ref="AZ20:AZ21"/>
    <mergeCell ref="AZ22:AZ23"/>
    <mergeCell ref="AZ24:AZ25"/>
    <mergeCell ref="AZ26:AZ27"/>
    <mergeCell ref="AZ28:AZ29"/>
    <mergeCell ref="AZ30:AZ31"/>
    <mergeCell ref="AZ32:AZ33"/>
    <mergeCell ref="AZ34:AZ35"/>
    <mergeCell ref="AZ36:AZ37"/>
    <mergeCell ref="AX34:AX35"/>
    <mergeCell ref="AX36:AX37"/>
    <mergeCell ref="AY16:AY17"/>
    <mergeCell ref="AY18:AY19"/>
    <mergeCell ref="AY20:AY21"/>
    <mergeCell ref="AY22:AY23"/>
    <mergeCell ref="AY24:AY25"/>
    <mergeCell ref="AY26:AY27"/>
    <mergeCell ref="AY28:AY29"/>
    <mergeCell ref="AY30:AY31"/>
    <mergeCell ref="AY32:AY33"/>
    <mergeCell ref="AY34:AY35"/>
    <mergeCell ref="AY36:AY37"/>
    <mergeCell ref="AX16:AX17"/>
    <mergeCell ref="AX18:AX19"/>
    <mergeCell ref="AX20:AX21"/>
    <mergeCell ref="AX22:AX23"/>
    <mergeCell ref="AX24:AX25"/>
    <mergeCell ref="AX26:AX27"/>
    <mergeCell ref="AX28:AX29"/>
    <mergeCell ref="AX30:AX31"/>
    <mergeCell ref="AX32:AX33"/>
    <mergeCell ref="AL16:AN17"/>
    <mergeCell ref="AF17:AG17"/>
    <mergeCell ref="AH17:AI17"/>
    <mergeCell ref="AL18:AN19"/>
    <mergeCell ref="AL22:AN23"/>
    <mergeCell ref="AL24:AN25"/>
    <mergeCell ref="AL26:AN27"/>
    <mergeCell ref="AL28:AN29"/>
    <mergeCell ref="AL30:AN31"/>
    <mergeCell ref="AF26:AG27"/>
    <mergeCell ref="AH26:AI27"/>
    <mergeCell ref="AJ26:AK27"/>
    <mergeCell ref="AF28:AG29"/>
    <mergeCell ref="AH28:AI29"/>
    <mergeCell ref="AJ28:AK29"/>
    <mergeCell ref="AF30:AG31"/>
    <mergeCell ref="AH30:AI31"/>
    <mergeCell ref="AJ30:AK31"/>
    <mergeCell ref="AF18:AG19"/>
    <mergeCell ref="AH18:AI19"/>
    <mergeCell ref="AJ18:AK19"/>
    <mergeCell ref="AF22:AG23"/>
    <mergeCell ref="AH22:AI23"/>
    <mergeCell ref="AJ22:AK23"/>
    <mergeCell ref="AL32:AN33"/>
    <mergeCell ref="AL34:AN35"/>
    <mergeCell ref="AL36:AN37"/>
    <mergeCell ref="AF32:AG33"/>
    <mergeCell ref="AH32:AI33"/>
    <mergeCell ref="AJ32:AK33"/>
    <mergeCell ref="AF34:AG35"/>
    <mergeCell ref="AH34:AI35"/>
    <mergeCell ref="AJ34:AK35"/>
    <mergeCell ref="AF36:AG37"/>
    <mergeCell ref="AH36:AI37"/>
    <mergeCell ref="AJ36:AK37"/>
    <mergeCell ref="Y22:AB23"/>
    <mergeCell ref="Y24:AB25"/>
    <mergeCell ref="Y26:AB27"/>
    <mergeCell ref="Y28:AB29"/>
    <mergeCell ref="Y30:AB31"/>
    <mergeCell ref="AC20:AE21"/>
    <mergeCell ref="AF20:AG21"/>
    <mergeCell ref="AH20:AI21"/>
    <mergeCell ref="AC28:AE29"/>
    <mergeCell ref="AC30:AE31"/>
    <mergeCell ref="Y36:AB37"/>
    <mergeCell ref="S32:T33"/>
    <mergeCell ref="U32:V33"/>
    <mergeCell ref="W32:X33"/>
    <mergeCell ref="Q34:R35"/>
    <mergeCell ref="S34:T35"/>
    <mergeCell ref="U34:V35"/>
    <mergeCell ref="W34:X35"/>
    <mergeCell ref="Q36:R37"/>
    <mergeCell ref="S36:T37"/>
    <mergeCell ref="U36:V37"/>
    <mergeCell ref="W36:X37"/>
    <mergeCell ref="N36:P37"/>
    <mergeCell ref="Q18:R19"/>
    <mergeCell ref="Q26:R27"/>
    <mergeCell ref="Q32:R33"/>
    <mergeCell ref="W18:X19"/>
    <mergeCell ref="Q22:R23"/>
    <mergeCell ref="S22:T23"/>
    <mergeCell ref="U22:V23"/>
    <mergeCell ref="W22:X23"/>
    <mergeCell ref="Q24:R25"/>
    <mergeCell ref="S24:T25"/>
    <mergeCell ref="U24:V25"/>
    <mergeCell ref="W24:X25"/>
    <mergeCell ref="S18:T19"/>
    <mergeCell ref="U18:V19"/>
    <mergeCell ref="S26:T27"/>
    <mergeCell ref="U26:V27"/>
    <mergeCell ref="W26:X27"/>
    <mergeCell ref="Q28:R29"/>
    <mergeCell ref="S28:T29"/>
    <mergeCell ref="U28:V29"/>
    <mergeCell ref="W28:X29"/>
    <mergeCell ref="Q30:R31"/>
    <mergeCell ref="S30:T31"/>
    <mergeCell ref="C36:H37"/>
    <mergeCell ref="I18:M19"/>
    <mergeCell ref="I22:M23"/>
    <mergeCell ref="I24:M25"/>
    <mergeCell ref="I26:M27"/>
    <mergeCell ref="I28:M29"/>
    <mergeCell ref="I30:M31"/>
    <mergeCell ref="I32:M33"/>
    <mergeCell ref="I34:M35"/>
    <mergeCell ref="I36:M37"/>
    <mergeCell ref="C20:H21"/>
    <mergeCell ref="I20:M21"/>
    <mergeCell ref="AO22:AQ23"/>
    <mergeCell ref="AO24:AQ25"/>
    <mergeCell ref="C22:H23"/>
    <mergeCell ref="C24:H25"/>
    <mergeCell ref="C26:H27"/>
    <mergeCell ref="C28:H29"/>
    <mergeCell ref="C30:H31"/>
    <mergeCell ref="C32:H33"/>
    <mergeCell ref="C34:H35"/>
    <mergeCell ref="N22:P23"/>
    <mergeCell ref="N24:P25"/>
    <mergeCell ref="N26:P27"/>
    <mergeCell ref="N28:P29"/>
    <mergeCell ref="N30:P31"/>
    <mergeCell ref="N32:P33"/>
    <mergeCell ref="N34:P35"/>
    <mergeCell ref="U30:V31"/>
    <mergeCell ref="W30:X31"/>
    <mergeCell ref="Y32:AB33"/>
    <mergeCell ref="Y34:AB35"/>
    <mergeCell ref="AF24:AG25"/>
    <mergeCell ref="AH24:AI25"/>
    <mergeCell ref="AJ24:AK25"/>
    <mergeCell ref="AC26:AE27"/>
    <mergeCell ref="AW36:AW37"/>
    <mergeCell ref="AO34:AQ35"/>
    <mergeCell ref="AU26:AU27"/>
    <mergeCell ref="AV26:AV27"/>
    <mergeCell ref="AU28:AU29"/>
    <mergeCell ref="AV28:AV29"/>
    <mergeCell ref="AU30:AU31"/>
    <mergeCell ref="AV30:AV31"/>
    <mergeCell ref="AU32:AU33"/>
    <mergeCell ref="AO28:AQ29"/>
    <mergeCell ref="AO30:AQ31"/>
    <mergeCell ref="AO32:AQ33"/>
    <mergeCell ref="AO26:AQ27"/>
    <mergeCell ref="AO36:AQ37"/>
    <mergeCell ref="AQ1:AR1"/>
    <mergeCell ref="AQ2:AR3"/>
    <mergeCell ref="R12:U13"/>
    <mergeCell ref="V12:Y13"/>
    <mergeCell ref="Z12:AC13"/>
    <mergeCell ref="AH1:AK1"/>
    <mergeCell ref="AL1:AP1"/>
    <mergeCell ref="AH2:AK3"/>
    <mergeCell ref="AL2:AP3"/>
    <mergeCell ref="Q1:R1"/>
    <mergeCell ref="U1:V1"/>
    <mergeCell ref="Y1:Z1"/>
    <mergeCell ref="J11:Q13"/>
    <mergeCell ref="O9:AF10"/>
    <mergeCell ref="AC32:AE33"/>
    <mergeCell ref="AC34:AE35"/>
    <mergeCell ref="AC36:AE37"/>
    <mergeCell ref="AW16:AW17"/>
    <mergeCell ref="AW18:AW19"/>
    <mergeCell ref="AW20:AW21"/>
    <mergeCell ref="AU16:AU17"/>
    <mergeCell ref="AV16:AV17"/>
    <mergeCell ref="AU18:AU19"/>
    <mergeCell ref="AV18:AV19"/>
    <mergeCell ref="AO16:AQ17"/>
    <mergeCell ref="AO20:AQ21"/>
    <mergeCell ref="AO18:AQ19"/>
    <mergeCell ref="AW22:AW23"/>
    <mergeCell ref="AW24:AW25"/>
    <mergeCell ref="AW26:AW27"/>
    <mergeCell ref="AW28:AW29"/>
    <mergeCell ref="AW30:AW31"/>
    <mergeCell ref="AW32:AW33"/>
    <mergeCell ref="AW34:AW35"/>
    <mergeCell ref="AL20:AN21"/>
    <mergeCell ref="AC18:AE19"/>
    <mergeCell ref="AC22:AE23"/>
    <mergeCell ref="AC24:AE25"/>
    <mergeCell ref="AU44:AU45"/>
    <mergeCell ref="AV44:AV45"/>
    <mergeCell ref="AU46:AU47"/>
    <mergeCell ref="AV46:AV47"/>
    <mergeCell ref="AU42:AU43"/>
    <mergeCell ref="AV42:AV43"/>
    <mergeCell ref="AU20:AU21"/>
    <mergeCell ref="AV20:AV21"/>
    <mergeCell ref="AU22:AU23"/>
    <mergeCell ref="AV22:AV23"/>
    <mergeCell ref="AU24:AU25"/>
    <mergeCell ref="AV24:AV25"/>
    <mergeCell ref="AU40:AU41"/>
    <mergeCell ref="AV40:AV41"/>
    <mergeCell ref="AV38:AV39"/>
    <mergeCell ref="AU34:AU35"/>
    <mergeCell ref="AV34:AV35"/>
    <mergeCell ref="AU36:AU37"/>
    <mergeCell ref="AV36:AV37"/>
    <mergeCell ref="AU38:AU39"/>
    <mergeCell ref="AV32:AV33"/>
    <mergeCell ref="B200:B201"/>
    <mergeCell ref="B188:B189"/>
    <mergeCell ref="B190:B191"/>
    <mergeCell ref="B192:B193"/>
    <mergeCell ref="B194:B195"/>
    <mergeCell ref="B196:B197"/>
    <mergeCell ref="B198:B199"/>
    <mergeCell ref="B186:B187"/>
    <mergeCell ref="B164:B165"/>
    <mergeCell ref="B166:B167"/>
    <mergeCell ref="B168:B169"/>
    <mergeCell ref="B170:B171"/>
    <mergeCell ref="B172:B173"/>
    <mergeCell ref="B174:B175"/>
    <mergeCell ref="B176:B177"/>
    <mergeCell ref="B178:B179"/>
    <mergeCell ref="B180:B181"/>
    <mergeCell ref="B182:B183"/>
    <mergeCell ref="B184:B185"/>
    <mergeCell ref="B162:B163"/>
    <mergeCell ref="B140:B141"/>
    <mergeCell ref="B142:B143"/>
    <mergeCell ref="B144:B145"/>
    <mergeCell ref="B146:B147"/>
    <mergeCell ref="B148:B149"/>
    <mergeCell ref="B150:B151"/>
    <mergeCell ref="B152:B153"/>
    <mergeCell ref="B154:B155"/>
    <mergeCell ref="B156:B157"/>
    <mergeCell ref="B158:B159"/>
    <mergeCell ref="B160:B161"/>
    <mergeCell ref="B138:B139"/>
    <mergeCell ref="B116:B117"/>
    <mergeCell ref="B118:B119"/>
    <mergeCell ref="B120:B121"/>
    <mergeCell ref="B122:B123"/>
    <mergeCell ref="B124:B125"/>
    <mergeCell ref="B126:B127"/>
    <mergeCell ref="B128:B129"/>
    <mergeCell ref="B130:B131"/>
    <mergeCell ref="B132:B133"/>
    <mergeCell ref="B134:B135"/>
    <mergeCell ref="B136:B137"/>
    <mergeCell ref="B114:B115"/>
    <mergeCell ref="B92:B93"/>
    <mergeCell ref="B94:B95"/>
    <mergeCell ref="B96:B97"/>
    <mergeCell ref="B98:B99"/>
    <mergeCell ref="B100:B101"/>
    <mergeCell ref="B102:B103"/>
    <mergeCell ref="B104:B105"/>
    <mergeCell ref="B106:B107"/>
    <mergeCell ref="B108:B109"/>
    <mergeCell ref="B110:B111"/>
    <mergeCell ref="B112:B113"/>
    <mergeCell ref="B52:B53"/>
    <mergeCell ref="B54:B55"/>
    <mergeCell ref="B56:B57"/>
    <mergeCell ref="B58:B59"/>
    <mergeCell ref="B60:B61"/>
    <mergeCell ref="B62:B63"/>
    <mergeCell ref="B64:B65"/>
    <mergeCell ref="B90:B91"/>
    <mergeCell ref="B68:B69"/>
    <mergeCell ref="B70:B71"/>
    <mergeCell ref="B72:B73"/>
    <mergeCell ref="B74:B75"/>
    <mergeCell ref="B76:B77"/>
    <mergeCell ref="B78:B79"/>
    <mergeCell ref="B80:B81"/>
    <mergeCell ref="B82:B83"/>
    <mergeCell ref="B84:B85"/>
    <mergeCell ref="B86:B87"/>
    <mergeCell ref="B88:B89"/>
    <mergeCell ref="AV202:AV203"/>
    <mergeCell ref="B18:B19"/>
    <mergeCell ref="R11:U11"/>
    <mergeCell ref="V11:Y11"/>
    <mergeCell ref="Z11:AC11"/>
    <mergeCell ref="B42:B43"/>
    <mergeCell ref="B20:B21"/>
    <mergeCell ref="B22:B23"/>
    <mergeCell ref="B24:B25"/>
    <mergeCell ref="B26:B27"/>
    <mergeCell ref="B28:B29"/>
    <mergeCell ref="B30:B31"/>
    <mergeCell ref="B32:B33"/>
    <mergeCell ref="B34:B35"/>
    <mergeCell ref="B36:B37"/>
    <mergeCell ref="B38:B39"/>
    <mergeCell ref="B40:B41"/>
    <mergeCell ref="B66:B67"/>
    <mergeCell ref="B44:B45"/>
    <mergeCell ref="B46:B47"/>
    <mergeCell ref="AU202:AU203"/>
    <mergeCell ref="M202:AG203"/>
    <mergeCell ref="B48:B49"/>
    <mergeCell ref="B50:B51"/>
    <mergeCell ref="AC16:AE17"/>
    <mergeCell ref="AF16:AI16"/>
    <mergeCell ref="AJ16:AK17"/>
    <mergeCell ref="S20:T21"/>
    <mergeCell ref="U20:V21"/>
    <mergeCell ref="W20:X21"/>
    <mergeCell ref="Y20:AB21"/>
    <mergeCell ref="C18:H19"/>
    <mergeCell ref="N18:P19"/>
    <mergeCell ref="N20:P21"/>
    <mergeCell ref="Q20:R21"/>
    <mergeCell ref="C16:H17"/>
    <mergeCell ref="I16:M17"/>
    <mergeCell ref="N16:P17"/>
    <mergeCell ref="Q16:T17"/>
    <mergeCell ref="U16:V17"/>
    <mergeCell ref="W16:X17"/>
    <mergeCell ref="Y16:AB17"/>
    <mergeCell ref="Y18:AB19"/>
    <mergeCell ref="AJ20:AK21"/>
  </mergeCells>
  <conditionalFormatting sqref="N18 N20 N22 N24 N26 N28 N30 N32 N34 N36">
    <cfRule type="expression" dxfId="240" priority="1">
      <formula>OR(ISNUMBER(SEARCH("Demand Control",$C18)),ISNUMBER(SEARCH("Advanced RTU",$C18)),ISNUMBER(SEARCH("Thermostat",$C18)))</formula>
    </cfRule>
    <cfRule type="expression" dxfId="239" priority="7">
      <formula>ISNUMBER(SEARCH("kW/ton",$I18))</formula>
    </cfRule>
    <cfRule type="expression" dxfId="238" priority="9">
      <formula>ISNUMBER(SEARCH("SEER",$I18))</formula>
    </cfRule>
    <cfRule type="expression" dxfId="237" priority="12">
      <formula>ISNUMBER(SEARCH("IEER",$I18))</formula>
    </cfRule>
  </conditionalFormatting>
  <conditionalFormatting sqref="N18:P37">
    <cfRule type="expression" dxfId="236" priority="8">
      <formula>ISNUMBER(SEARCH("SEER2",$I18))</formula>
    </cfRule>
  </conditionalFormatting>
  <conditionalFormatting sqref="O9">
    <cfRule type="expression" dxfId="235" priority="327">
      <formula>ISNUMBER(SEARCH("Inspection",$O$9))</formula>
    </cfRule>
  </conditionalFormatting>
  <conditionalFormatting sqref="AH2 AL2">
    <cfRule type="expression" dxfId="234" priority="37">
      <formula>PROJSTATUS=PROJSTATELI</formula>
    </cfRule>
    <cfRule type="expression" dxfId="233" priority="38">
      <formula>PROJSTATUS=PROJSTATREVIEW</formula>
    </cfRule>
    <cfRule type="expression" dxfId="232" priority="39">
      <formula>PROJSTATUS=PROJSTATPREAPPROVE</formula>
    </cfRule>
    <cfRule type="expression" dxfId="231" priority="40">
      <formula>PROJSTATUS=PROJSTATSTANDARD</formula>
    </cfRule>
    <cfRule type="expression" dxfId="230" priority="41">
      <formula>PROJSTATUS=PROJSTATEXP</formula>
    </cfRule>
  </conditionalFormatting>
  <conditionalFormatting sqref="AO20 AO18 AO22 AO24 AO26 AO28 AO30 AO32 AO34 AO36">
    <cfRule type="expression" dxfId="229" priority="10">
      <formula>$AW18="Yes"</formula>
    </cfRule>
    <cfRule type="expression" dxfId="228" priority="11" stopIfTrue="1">
      <formula>ISNUMBER(AO18)=FALSE</formula>
    </cfRule>
  </conditionalFormatting>
  <conditionalFormatting sqref="AQ2:AR3">
    <cfRule type="cellIs" dxfId="227" priority="54" operator="equal">
      <formula>1</formula>
    </cfRule>
    <cfRule type="cellIs" dxfId="226" priority="55" operator="between">
      <formula>0.51</formula>
      <formula>0.99</formula>
    </cfRule>
    <cfRule type="cellIs" dxfId="225" priority="56" operator="lessThanOrEqual">
      <formula>0.5</formula>
    </cfRule>
  </conditionalFormatting>
  <dataValidations count="4">
    <dataValidation type="list" allowBlank="1" showInputMessage="1" showErrorMessage="1" sqref="C18:H37" xr:uid="{3D322E80-89FF-4B6B-ACF2-A1F3488F6C92}">
      <formula1>PMEHVACMEAS</formula1>
    </dataValidation>
    <dataValidation type="decimal" allowBlank="1" showInputMessage="1" showErrorMessage="1" sqref="N18:P37" xr:uid="{FB3305DF-AE37-4934-9D19-9564550BDA53}">
      <formula1>INDEX(PMEHVACEFFMIN,MATCH(C18,PMEHVACMEAS,0))</formula1>
      <formula2>INDEX(PMEHVACEFFMAX,MATCH(C18,PMEHVACMEAS,0))</formula2>
    </dataValidation>
    <dataValidation allowBlank="1" showInputMessage="1" showErrorMessage="1" prompt="Enter the number of new units, units being controlled, or the area of the ventilated space to the next thousand (for DCV measures)" sqref="U18:V37" xr:uid="{35D53979-1CAC-4E82-B666-29BB6F4C129C}"/>
    <dataValidation type="decimal" allowBlank="1" showInputMessage="1" showErrorMessage="1" prompt="Enter the net rated (not nominal) cooling capacity, in tons, of the equipment being installed or controlled._x000a__x000a_For thermostat measures, enter the capacity of the unit (or system) controlled by EACH thermostat on a per thermostat basis." sqref="Q18:R37" xr:uid="{58D84479-9CDE-4963-A1A2-E06D219F60F2}">
      <formula1>IF(S18="Tons",(INDEX(PMEHVACSIZEMIN,MATCH(C18,PMEHVACMEAS,0))/12),INDEX(PMEHVACSIZEMIN,MATCH(C18,PMEHVACMEAS,0)))</formula1>
      <formula2>IF(S18="Tons",(INDEX(PMEHVACSIZEMAX,MATCH(C18,PMEHVACMEAS,0))/12),INDEX(PMEHVACSIZEMAX,MATCH(C18,PMEHVACMEAS,0)))</formula2>
    </dataValidation>
  </dataValidations>
  <hyperlinks>
    <hyperlink ref="B204" r:id="rId1" display="NIPSCO.Savings@LMCO.com" xr:uid="{00000000-0004-0000-1800-000000000000}"/>
  </hyperlinks>
  <pageMargins left="0.25" right="0.25" top="0.25" bottom="0.25" header="0.25" footer="0.25"/>
  <pageSetup scale="64"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49" ht="15.95" customHeight="1" x14ac:dyDescent="0.3">
      <c r="Q1" s="616" t="str">
        <f>IF(OR('M03-S01'!AU13&lt;&gt;0,'M03-S02'!AU13&lt;&gt;0,'M03-S03'!AU13&lt;&gt;0,'M03-S04'!AU13&lt;&gt;0,'M03-S05'!AU13&lt;&gt;0, 'M03-S06'!AU11&lt;&gt;0,'M03-S07'!AW13&lt;&gt;0,'M03-S08'!AW13&lt;&gt;0,),"P","")</f>
        <v/>
      </c>
      <c r="R1" s="616"/>
      <c r="U1" s="615" t="str">
        <f>IF(OR('M03-S01'!AU13&lt;&gt;0,'M03-S02'!AU13&lt;&gt;0,'M03-S03'!AU13&lt;&gt;0,'M03-S04'!AU13&lt;&gt;0,'M03-S05'!AU13&lt;&gt;0, 'M03-S06'!AU11&lt;&gt;0,'M03-S07'!AW13&lt;&gt;0,'M03-S08'!AW13&lt;&gt;0,),"P","")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9" ht="15.95" customHeight="1" x14ac:dyDescent="0.25">
      <c r="AH3" s="604"/>
      <c r="AI3" s="605"/>
      <c r="AJ3" s="605"/>
      <c r="AK3" s="605"/>
      <c r="AL3" s="614"/>
      <c r="AM3" s="614"/>
      <c r="AN3" s="614"/>
      <c r="AO3" s="614"/>
      <c r="AP3" s="614"/>
      <c r="AQ3" s="610"/>
      <c r="AR3" s="611"/>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row r="9" spans="2:49" ht="15.95" customHeight="1" x14ac:dyDescent="0.25">
      <c r="B9" s="69"/>
      <c r="C9" s="69"/>
      <c r="D9" s="69"/>
      <c r="E9" s="69"/>
      <c r="F9" s="69"/>
      <c r="G9" s="69"/>
      <c r="H9" s="69"/>
      <c r="I9" s="69"/>
      <c r="J9" s="69"/>
      <c r="K9" s="69"/>
      <c r="L9" s="69"/>
      <c r="M9" s="69"/>
      <c r="N9" s="69"/>
      <c r="O9" s="794" t="str">
        <f>IF(INCENSTATUS="---",CONCATENATE(M4S2," ","Summary"),IF(INCENSTATUS&gt;15000,"This project may require an inspection. Please submit photos of existing equipment and of new efficient equipment once installed.",CONCATENATE(M4S2," ","Summary")))</f>
        <v>Refrigeration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49" ht="15.95" customHeight="1" x14ac:dyDescent="0.3">
      <c r="B11" s="69"/>
      <c r="C11" s="69"/>
      <c r="D11" s="69"/>
      <c r="E11" s="69"/>
      <c r="F11" s="69"/>
      <c r="G11" s="69"/>
      <c r="H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row>
    <row r="12" spans="2:49" ht="15.95" customHeight="1" x14ac:dyDescent="0.25">
      <c r="B12" s="69"/>
      <c r="C12" s="69"/>
      <c r="D12" s="69"/>
      <c r="E12" s="69"/>
      <c r="F12" s="69"/>
      <c r="G12" s="69"/>
      <c r="H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D13" s="69"/>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799" t="s">
        <v>1126</v>
      </c>
      <c r="D14" s="799"/>
      <c r="E14" s="799"/>
      <c r="F14" s="799"/>
      <c r="G14" s="799"/>
      <c r="H14" s="799"/>
      <c r="I14" s="799"/>
      <c r="J14" s="799"/>
      <c r="K14" s="799"/>
      <c r="L14" s="799"/>
      <c r="M14" s="799"/>
      <c r="N14" s="799" t="s">
        <v>91</v>
      </c>
      <c r="O14" s="799"/>
      <c r="P14" s="799"/>
      <c r="Q14" s="799"/>
      <c r="R14" s="799"/>
      <c r="S14" s="799"/>
      <c r="T14" s="799" t="s">
        <v>90</v>
      </c>
      <c r="U14" s="799"/>
      <c r="V14" s="799" t="s">
        <v>86</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U14" s="799" t="s">
        <v>191</v>
      </c>
      <c r="AV14" s="799" t="s">
        <v>192</v>
      </c>
      <c r="AW14" s="799" t="s">
        <v>1352</v>
      </c>
    </row>
    <row r="15" spans="2:49" ht="15.95" customHeight="1" thickBot="1" x14ac:dyDescent="0.3">
      <c r="B15" s="69"/>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U15" s="746"/>
      <c r="AV15" s="746"/>
      <c r="AW15" s="746"/>
    </row>
    <row r="16" spans="2:49" ht="15.95" customHeight="1" x14ac:dyDescent="0.25">
      <c r="B16" s="1193">
        <v>1</v>
      </c>
      <c r="C16" s="1470"/>
      <c r="D16" s="1471"/>
      <c r="E16" s="1471"/>
      <c r="F16" s="1471"/>
      <c r="G16" s="1471"/>
      <c r="H16" s="1471"/>
      <c r="I16" s="1471"/>
      <c r="J16" s="1471"/>
      <c r="K16" s="1471"/>
      <c r="L16" s="1471"/>
      <c r="M16" s="1472"/>
      <c r="N16" s="1707" t="str">
        <f>IF(C16="","",INDEX(PMEREFRI[Base Desc 1],MATCH(C16,PMEREFRI[Eff Desc 1],0)))</f>
        <v/>
      </c>
      <c r="O16" s="1708"/>
      <c r="P16" s="1708"/>
      <c r="Q16" s="1708"/>
      <c r="R16" s="1708"/>
      <c r="S16" s="1709"/>
      <c r="T16" s="1713" t="str">
        <f>IF(C16="","",INDEX(PMEREFRI[Unit of Measure],MATCH(C16,PMEREFRI[Eff Desc 1],0)))</f>
        <v/>
      </c>
      <c r="U16" s="1714"/>
      <c r="V16" s="1717"/>
      <c r="W16" s="1718"/>
      <c r="X16" s="1721"/>
      <c r="Y16" s="1471"/>
      <c r="Z16" s="1471"/>
      <c r="AA16" s="1472"/>
      <c r="AB16" s="1721"/>
      <c r="AC16" s="1471"/>
      <c r="AD16" s="1472"/>
      <c r="AE16" s="1722"/>
      <c r="AF16" s="1723"/>
      <c r="AG16" s="1722"/>
      <c r="AH16" s="1723"/>
      <c r="AI16" s="1726" t="str">
        <f>IF(C16="","",INDEX(PMEREFRI[Inc Rate Unit],MATCH(C16,PMEREFRI[Eff Desc 1],0)))</f>
        <v/>
      </c>
      <c r="AJ16" s="1727"/>
      <c r="AK16" s="1728" t="str">
        <f>IF(OR(C16="",V16="",X16="",AB16="",AE16="",AG16=""),"",ROUND(V16*INDEX(PMEREFRI[Savings per Unit kWh],MATCH(C16,PMEREFRI[Eff Desc 1],0)),0))</f>
        <v/>
      </c>
      <c r="AL16" s="1729"/>
      <c r="AM16" s="1729"/>
      <c r="AN16" s="1730"/>
      <c r="AO16" s="1731" t="str">
        <f>IF(M02S02F44="","Update Install Status",IF(M02S02F49="Yes","Not Eligible",IF(OR(C16="",V16="",X16="",AB16="",AE16="",AG16=""),"",MIN(AU16,ROUND(V16*AI16,2)))))</f>
        <v>Update Install Status</v>
      </c>
      <c r="AP16" s="1732"/>
      <c r="AQ16" s="1733"/>
      <c r="AR16" s="69"/>
      <c r="AU16" s="804" t="str">
        <f>IF(OR(,V16="",X16="",AB16="",AE16="",AG16=""),"",ROUND((AE16+AG16),2))</f>
        <v/>
      </c>
      <c r="AV16" s="752" t="str">
        <f>IF(OR(C16="",V16="",X16="",AB16="",AE16="",AG16=""),"",ROUND(AK16*INDEX(ENDUSEALL[Factor],MATCH(INDEX(PMEREFRI[End Use Category],MATCH(C16,PMEREFRI[Eff Desc 1],0)),ENDUSEALL[End Use to Coincident Peak Demand Factors],0)),4))</f>
        <v/>
      </c>
      <c r="AW16" s="752" t="str">
        <f>IFERROR(IF(AI16*V16&gt;AO16,"Yes","No"),"")</f>
        <v/>
      </c>
    </row>
    <row r="17" spans="2:49" ht="15.95" customHeight="1" x14ac:dyDescent="0.25">
      <c r="B17" s="1193"/>
      <c r="C17" s="824"/>
      <c r="D17" s="825"/>
      <c r="E17" s="825"/>
      <c r="F17" s="825"/>
      <c r="G17" s="825"/>
      <c r="H17" s="825"/>
      <c r="I17" s="825"/>
      <c r="J17" s="825"/>
      <c r="K17" s="825"/>
      <c r="L17" s="825"/>
      <c r="M17" s="826"/>
      <c r="N17" s="1710"/>
      <c r="O17" s="1711"/>
      <c r="P17" s="1711"/>
      <c r="Q17" s="1711"/>
      <c r="R17" s="1711"/>
      <c r="S17" s="1712"/>
      <c r="T17" s="1715"/>
      <c r="U17" s="1716"/>
      <c r="V17" s="1719"/>
      <c r="W17" s="1720"/>
      <c r="X17" s="824"/>
      <c r="Y17" s="825"/>
      <c r="Z17" s="825"/>
      <c r="AA17" s="826"/>
      <c r="AB17" s="824"/>
      <c r="AC17" s="825"/>
      <c r="AD17" s="826"/>
      <c r="AE17" s="1724"/>
      <c r="AF17" s="1725"/>
      <c r="AG17" s="1724"/>
      <c r="AH17" s="1725"/>
      <c r="AI17" s="1687"/>
      <c r="AJ17" s="1688"/>
      <c r="AK17" s="1696"/>
      <c r="AL17" s="1697"/>
      <c r="AM17" s="1697"/>
      <c r="AN17" s="1698"/>
      <c r="AO17" s="1731"/>
      <c r="AP17" s="1732"/>
      <c r="AQ17" s="1733"/>
      <c r="AR17" s="69"/>
      <c r="AU17" s="805"/>
      <c r="AV17" s="753"/>
      <c r="AW17" s="753"/>
    </row>
    <row r="18" spans="2:49" ht="15.95" customHeight="1" x14ac:dyDescent="0.25">
      <c r="B18" s="1204">
        <v>2</v>
      </c>
      <c r="C18" s="1470"/>
      <c r="D18" s="1471"/>
      <c r="E18" s="1471"/>
      <c r="F18" s="1471"/>
      <c r="G18" s="1471"/>
      <c r="H18" s="1471"/>
      <c r="I18" s="1471"/>
      <c r="J18" s="1471"/>
      <c r="K18" s="1471"/>
      <c r="L18" s="1471"/>
      <c r="M18" s="1472"/>
      <c r="N18" s="1707" t="str">
        <f>IF(C18="","",INDEX(PMEREFRI[Base Desc 1],MATCH(C18,PMEREFRI[Eff Desc 1],0)))</f>
        <v/>
      </c>
      <c r="O18" s="1708"/>
      <c r="P18" s="1708"/>
      <c r="Q18" s="1708"/>
      <c r="R18" s="1708"/>
      <c r="S18" s="1709"/>
      <c r="T18" s="1713" t="str">
        <f>IF(C18="","",INDEX(PMEREFRI[Unit of Measure],MATCH(C18,PMEREFRI[Eff Desc 1],0)))</f>
        <v/>
      </c>
      <c r="U18" s="1714"/>
      <c r="V18" s="1717"/>
      <c r="W18" s="1718"/>
      <c r="X18" s="1734"/>
      <c r="Y18" s="1471"/>
      <c r="Z18" s="1471"/>
      <c r="AA18" s="1472"/>
      <c r="AB18" s="1734"/>
      <c r="AC18" s="1471"/>
      <c r="AD18" s="1472"/>
      <c r="AE18" s="1722"/>
      <c r="AF18" s="1723"/>
      <c r="AG18" s="1722"/>
      <c r="AH18" s="1723"/>
      <c r="AI18" s="1726" t="str">
        <f>IF(C18="","",INDEX(PMEREFRI[Inc Rate Unit],MATCH(C18,PMEREFRI[Eff Desc 1],0)))</f>
        <v/>
      </c>
      <c r="AJ18" s="1727"/>
      <c r="AK18" s="1728" t="str">
        <f>IF(OR(C18="",V18="",X18="",AB18="",AE18="",AG18=""),"",ROUND(V18*INDEX(PMEREFRI[Savings per Unit kWh],MATCH(C18,PMEREFRI[Eff Desc 1],0)),0))</f>
        <v/>
      </c>
      <c r="AL18" s="1729"/>
      <c r="AM18" s="1729"/>
      <c r="AN18" s="1730"/>
      <c r="AO18" s="1731" t="str">
        <f>IF(M02S02F44="","Update Install Status",IF(M02S02F49="Yes","Not Eligible",IF(OR(C18="",V18="",X18="",AB18="",AE18="",AG18=""),"",MIN(AU18,ROUND(V18*AI18,2)))))</f>
        <v>Update Install Status</v>
      </c>
      <c r="AP18" s="1732"/>
      <c r="AQ18" s="1733"/>
      <c r="AR18" s="69"/>
      <c r="AU18" s="804" t="str">
        <f t="shared" ref="AU18" si="0">IF(OR(,V18="",X18="",AB18="",AE18="",AG18=""),"",ROUND((AE18+AG18),2))</f>
        <v/>
      </c>
      <c r="AV18" s="752" t="str">
        <f>IF(OR(C18="",V18="",X18="",AB18="",AE18="",AG18=""),"",ROUND(AK18*INDEX(ENDUSEALL[Factor],MATCH(INDEX(PMEREFRI[End Use Category],MATCH(C18,PMEREFRI[Eff Desc 1],0)),ENDUSEALL[End Use to Coincident Peak Demand Factors],0)),4))</f>
        <v/>
      </c>
      <c r="AW18" s="752" t="str">
        <f>IFERROR(IF(AI18*V18&gt;AO18,"Yes","No"),"")</f>
        <v/>
      </c>
    </row>
    <row r="19" spans="2:49" ht="15.95" customHeight="1" x14ac:dyDescent="0.25">
      <c r="B19" s="1204"/>
      <c r="C19" s="824"/>
      <c r="D19" s="825"/>
      <c r="E19" s="825"/>
      <c r="F19" s="825"/>
      <c r="G19" s="825"/>
      <c r="H19" s="825"/>
      <c r="I19" s="825"/>
      <c r="J19" s="825"/>
      <c r="K19" s="825"/>
      <c r="L19" s="825"/>
      <c r="M19" s="826"/>
      <c r="N19" s="1710"/>
      <c r="O19" s="1711"/>
      <c r="P19" s="1711"/>
      <c r="Q19" s="1711"/>
      <c r="R19" s="1711"/>
      <c r="S19" s="1712"/>
      <c r="T19" s="1715"/>
      <c r="U19" s="1716"/>
      <c r="V19" s="1719"/>
      <c r="W19" s="1720"/>
      <c r="X19" s="824"/>
      <c r="Y19" s="825"/>
      <c r="Z19" s="825"/>
      <c r="AA19" s="826"/>
      <c r="AB19" s="824"/>
      <c r="AC19" s="825"/>
      <c r="AD19" s="826"/>
      <c r="AE19" s="1724"/>
      <c r="AF19" s="1725"/>
      <c r="AG19" s="1724"/>
      <c r="AH19" s="1725"/>
      <c r="AI19" s="1687"/>
      <c r="AJ19" s="1688"/>
      <c r="AK19" s="1696"/>
      <c r="AL19" s="1697"/>
      <c r="AM19" s="1697"/>
      <c r="AN19" s="1698"/>
      <c r="AO19" s="1731"/>
      <c r="AP19" s="1732"/>
      <c r="AQ19" s="1733"/>
      <c r="AR19" s="69"/>
      <c r="AU19" s="805"/>
      <c r="AV19" s="753"/>
      <c r="AW19" s="753"/>
    </row>
    <row r="20" spans="2:49" ht="15.95" customHeight="1" x14ac:dyDescent="0.25">
      <c r="B20" s="1204">
        <v>3</v>
      </c>
      <c r="C20" s="1470"/>
      <c r="D20" s="1471"/>
      <c r="E20" s="1471"/>
      <c r="F20" s="1471"/>
      <c r="G20" s="1471"/>
      <c r="H20" s="1471"/>
      <c r="I20" s="1471"/>
      <c r="J20" s="1471"/>
      <c r="K20" s="1471"/>
      <c r="L20" s="1471"/>
      <c r="M20" s="1472"/>
      <c r="N20" s="1707" t="str">
        <f>IF(C20="","",INDEX(PMEREFRI[Base Desc 1],MATCH(C20,PMEREFRI[Eff Desc 1],0)))</f>
        <v/>
      </c>
      <c r="O20" s="1708"/>
      <c r="P20" s="1708"/>
      <c r="Q20" s="1708"/>
      <c r="R20" s="1708"/>
      <c r="S20" s="1709"/>
      <c r="T20" s="1713" t="str">
        <f>IF(C20="","",INDEX(PMEREFRI[Unit of Measure],MATCH(C20,PMEREFRI[Eff Desc 1],0)))</f>
        <v/>
      </c>
      <c r="U20" s="1714"/>
      <c r="V20" s="1717"/>
      <c r="W20" s="1718"/>
      <c r="X20" s="1470"/>
      <c r="Y20" s="1471"/>
      <c r="Z20" s="1471"/>
      <c r="AA20" s="1472"/>
      <c r="AB20" s="1470"/>
      <c r="AC20" s="1471"/>
      <c r="AD20" s="1472"/>
      <c r="AE20" s="1722"/>
      <c r="AF20" s="1723"/>
      <c r="AG20" s="1722"/>
      <c r="AH20" s="1723"/>
      <c r="AI20" s="1726" t="str">
        <f>IF(C20="","",INDEX(PMEREFRI[Inc Rate Unit],MATCH(C20,PMEREFRI[Eff Desc 1],0)))</f>
        <v/>
      </c>
      <c r="AJ20" s="1727"/>
      <c r="AK20" s="1728" t="str">
        <f>IF(OR(C20="",V20="",X20="",AB20="",AE20="",AG20=""),"",ROUND(V20*INDEX(PMEREFRI[Savings per Unit kWh],MATCH(C20,PMEREFRI[Eff Desc 1],0)),0))</f>
        <v/>
      </c>
      <c r="AL20" s="1729"/>
      <c r="AM20" s="1729"/>
      <c r="AN20" s="1730"/>
      <c r="AO20" s="1731" t="str">
        <f>IF(M02S02F44="","Update Install Status",IF(M02S02F49="Yes","Not Eligible",IF(OR(C20="",V20="",X20="",AB20="",AE20="",AG20=""),"",MIN(AU20,ROUND(V20*AI20,2)))))</f>
        <v>Update Install Status</v>
      </c>
      <c r="AP20" s="1732"/>
      <c r="AQ20" s="1733"/>
      <c r="AR20" s="69"/>
      <c r="AU20" s="804" t="str">
        <f t="shared" ref="AU20" si="1">IF(OR(,V20="",X20="",AB20="",AE20="",AG20=""),"",ROUND((AE20+AG20),2))</f>
        <v/>
      </c>
      <c r="AV20" s="752" t="str">
        <f>IF(OR(C20="",V20="",X20="",AB20="",AE20="",AG20=""),"",ROUND(AK20*INDEX(ENDUSEALL[Factor],MATCH(INDEX(PMEREFRI[End Use Category],MATCH(C20,PMEREFRI[Eff Desc 1],0)),ENDUSEALL[End Use to Coincident Peak Demand Factors],0)),4))</f>
        <v/>
      </c>
      <c r="AW20" s="752" t="str">
        <f>IFERROR(IF(AI20*V20&gt;AO20,"Yes","No"),"")</f>
        <v/>
      </c>
    </row>
    <row r="21" spans="2:49" ht="15.95" customHeight="1" x14ac:dyDescent="0.25">
      <c r="B21" s="1204"/>
      <c r="C21" s="824"/>
      <c r="D21" s="825"/>
      <c r="E21" s="825"/>
      <c r="F21" s="825"/>
      <c r="G21" s="825"/>
      <c r="H21" s="825"/>
      <c r="I21" s="825"/>
      <c r="J21" s="825"/>
      <c r="K21" s="825"/>
      <c r="L21" s="825"/>
      <c r="M21" s="826"/>
      <c r="N21" s="1710"/>
      <c r="O21" s="1711"/>
      <c r="P21" s="1711"/>
      <c r="Q21" s="1711"/>
      <c r="R21" s="1711"/>
      <c r="S21" s="1712"/>
      <c r="T21" s="1715"/>
      <c r="U21" s="1716"/>
      <c r="V21" s="1719"/>
      <c r="W21" s="1720"/>
      <c r="X21" s="824"/>
      <c r="Y21" s="825"/>
      <c r="Z21" s="825"/>
      <c r="AA21" s="826"/>
      <c r="AB21" s="824"/>
      <c r="AC21" s="825"/>
      <c r="AD21" s="826"/>
      <c r="AE21" s="1724"/>
      <c r="AF21" s="1725"/>
      <c r="AG21" s="1724"/>
      <c r="AH21" s="1725"/>
      <c r="AI21" s="1687"/>
      <c r="AJ21" s="1688"/>
      <c r="AK21" s="1696"/>
      <c r="AL21" s="1697"/>
      <c r="AM21" s="1697"/>
      <c r="AN21" s="1698"/>
      <c r="AO21" s="1731"/>
      <c r="AP21" s="1732"/>
      <c r="AQ21" s="1733"/>
      <c r="AR21" s="69"/>
      <c r="AU21" s="805"/>
      <c r="AV21" s="753"/>
      <c r="AW21" s="753"/>
    </row>
    <row r="22" spans="2:49" ht="15.95" customHeight="1" x14ac:dyDescent="0.25">
      <c r="B22" s="1204">
        <v>4</v>
      </c>
      <c r="C22" s="1470"/>
      <c r="D22" s="1471"/>
      <c r="E22" s="1471"/>
      <c r="F22" s="1471"/>
      <c r="G22" s="1471"/>
      <c r="H22" s="1471"/>
      <c r="I22" s="1471"/>
      <c r="J22" s="1471"/>
      <c r="K22" s="1471"/>
      <c r="L22" s="1471"/>
      <c r="M22" s="1472"/>
      <c r="N22" s="1707" t="str">
        <f>IF(C22="","",INDEX(PMEREFRI[Base Desc 1],MATCH(C22,PMEREFRI[Eff Desc 1],0)))</f>
        <v/>
      </c>
      <c r="O22" s="1708"/>
      <c r="P22" s="1708"/>
      <c r="Q22" s="1708"/>
      <c r="R22" s="1708"/>
      <c r="S22" s="1709"/>
      <c r="T22" s="1713" t="str">
        <f>IF(C22="","",INDEX(PMEREFRI[Unit of Measure],MATCH(C22,PMEREFRI[Eff Desc 1],0)))</f>
        <v/>
      </c>
      <c r="U22" s="1714"/>
      <c r="V22" s="1717"/>
      <c r="W22" s="1718"/>
      <c r="X22" s="1470"/>
      <c r="Y22" s="1471"/>
      <c r="Z22" s="1471"/>
      <c r="AA22" s="1472"/>
      <c r="AB22" s="1470"/>
      <c r="AC22" s="1471"/>
      <c r="AD22" s="1472"/>
      <c r="AE22" s="1722"/>
      <c r="AF22" s="1723"/>
      <c r="AG22" s="1722"/>
      <c r="AH22" s="1723"/>
      <c r="AI22" s="1726" t="str">
        <f>IF(C22="","",INDEX(PMEREFRI[Inc Rate Unit],MATCH(C22,PMEREFRI[Eff Desc 1],0)))</f>
        <v/>
      </c>
      <c r="AJ22" s="1727"/>
      <c r="AK22" s="1728" t="str">
        <f>IF(OR(C22="",V22="",X22="",AB22="",AE22="",AG22=""),"",ROUND(V22*INDEX(PMEREFRI[Savings per Unit kWh],MATCH(C22,PMEREFRI[Eff Desc 1],0)),0))</f>
        <v/>
      </c>
      <c r="AL22" s="1729"/>
      <c r="AM22" s="1729"/>
      <c r="AN22" s="1730"/>
      <c r="AO22" s="1731" t="str">
        <f>IF(M02S02F44="","Update Install Status",IF(M02S02F49="Yes","Not Eligible",IF(OR(C22="",V22="",X22="",AB22="",AE22="",AG22=""),"",MIN(AU22,ROUND(V22*AI22,2)))))</f>
        <v>Update Install Status</v>
      </c>
      <c r="AP22" s="1732"/>
      <c r="AQ22" s="1733"/>
      <c r="AR22" s="69"/>
      <c r="AU22" s="804" t="str">
        <f t="shared" ref="AU22" si="2">IF(OR(,V22="",X22="",AB22="",AE22="",AG22=""),"",ROUND((AE22+AG22),2))</f>
        <v/>
      </c>
      <c r="AV22" s="752" t="str">
        <f>IF(OR(C22="",V22="",X22="",AB22="",AE22="",AG22=""),"",ROUND(AK22*INDEX(ENDUSEALL[Factor],MATCH(INDEX(PMEREFRI[End Use Category],MATCH(C22,PMEREFRI[Eff Desc 1],0)),ENDUSEALL[End Use to Coincident Peak Demand Factors],0)),4))</f>
        <v/>
      </c>
      <c r="AW22" s="752" t="str">
        <f>IFERROR(IF(AI22*V22&gt;AO22,"Yes","No"),"")</f>
        <v/>
      </c>
    </row>
    <row r="23" spans="2:49" ht="15.95" customHeight="1" x14ac:dyDescent="0.25">
      <c r="B23" s="1204"/>
      <c r="C23" s="824"/>
      <c r="D23" s="825"/>
      <c r="E23" s="825"/>
      <c r="F23" s="825"/>
      <c r="G23" s="825"/>
      <c r="H23" s="825"/>
      <c r="I23" s="825"/>
      <c r="J23" s="825"/>
      <c r="K23" s="825"/>
      <c r="L23" s="825"/>
      <c r="M23" s="826"/>
      <c r="N23" s="1710"/>
      <c r="O23" s="1711"/>
      <c r="P23" s="1711"/>
      <c r="Q23" s="1711"/>
      <c r="R23" s="1711"/>
      <c r="S23" s="1712"/>
      <c r="T23" s="1715"/>
      <c r="U23" s="1716"/>
      <c r="V23" s="1719"/>
      <c r="W23" s="1720"/>
      <c r="X23" s="824"/>
      <c r="Y23" s="825"/>
      <c r="Z23" s="825"/>
      <c r="AA23" s="826"/>
      <c r="AB23" s="824"/>
      <c r="AC23" s="825"/>
      <c r="AD23" s="826"/>
      <c r="AE23" s="1724"/>
      <c r="AF23" s="1725"/>
      <c r="AG23" s="1724"/>
      <c r="AH23" s="1725"/>
      <c r="AI23" s="1687"/>
      <c r="AJ23" s="1688"/>
      <c r="AK23" s="1696"/>
      <c r="AL23" s="1697"/>
      <c r="AM23" s="1697"/>
      <c r="AN23" s="1698"/>
      <c r="AO23" s="1731"/>
      <c r="AP23" s="1732"/>
      <c r="AQ23" s="1733"/>
      <c r="AR23" s="69"/>
      <c r="AU23" s="805"/>
      <c r="AV23" s="753"/>
      <c r="AW23" s="753"/>
    </row>
    <row r="24" spans="2:49" ht="15.95" customHeight="1" x14ac:dyDescent="0.25">
      <c r="B24" s="1204">
        <v>5</v>
      </c>
      <c r="C24" s="1470"/>
      <c r="D24" s="1471"/>
      <c r="E24" s="1471"/>
      <c r="F24" s="1471"/>
      <c r="G24" s="1471"/>
      <c r="H24" s="1471"/>
      <c r="I24" s="1471"/>
      <c r="J24" s="1471"/>
      <c r="K24" s="1471"/>
      <c r="L24" s="1471"/>
      <c r="M24" s="1472"/>
      <c r="N24" s="1707" t="str">
        <f>IF(C24="","",INDEX(PMEREFRI[Base Desc 1],MATCH(C24,PMEREFRI[Eff Desc 1],0)))</f>
        <v/>
      </c>
      <c r="O24" s="1708"/>
      <c r="P24" s="1708"/>
      <c r="Q24" s="1708"/>
      <c r="R24" s="1708"/>
      <c r="S24" s="1709"/>
      <c r="T24" s="1713" t="str">
        <f>IF(C24="","",INDEX(PMEREFRI[Unit of Measure],MATCH(C24,PMEREFRI[Eff Desc 1],0)))</f>
        <v/>
      </c>
      <c r="U24" s="1714"/>
      <c r="V24" s="1717"/>
      <c r="W24" s="1718"/>
      <c r="X24" s="1470"/>
      <c r="Y24" s="1471"/>
      <c r="Z24" s="1471"/>
      <c r="AA24" s="1472"/>
      <c r="AB24" s="1470"/>
      <c r="AC24" s="1471"/>
      <c r="AD24" s="1472"/>
      <c r="AE24" s="1722"/>
      <c r="AF24" s="1723"/>
      <c r="AG24" s="1722"/>
      <c r="AH24" s="1723"/>
      <c r="AI24" s="1726" t="str">
        <f>IF(C24="","",INDEX(PMEREFRI[Inc Rate Unit],MATCH(C24,PMEREFRI[Eff Desc 1],0)))</f>
        <v/>
      </c>
      <c r="AJ24" s="1727"/>
      <c r="AK24" s="1728" t="str">
        <f>IF(OR(C24="",V24="",X24="",AB24="",AE24="",AG24=""),"",ROUND(V24*INDEX(PMEREFRI[Savings per Unit kWh],MATCH(C24,PMEREFRI[Eff Desc 1],0)),0))</f>
        <v/>
      </c>
      <c r="AL24" s="1729"/>
      <c r="AM24" s="1729"/>
      <c r="AN24" s="1730"/>
      <c r="AO24" s="1731" t="str">
        <f>IF(M02S02F44="","Update Install Status",IF(M02S02F49="Yes","Not Eligible",IF(OR(C24="",V24="",X24="",AB24="",AE24="",AG24=""),"",MIN(AU24,ROUND(V24*AI24,2)))))</f>
        <v>Update Install Status</v>
      </c>
      <c r="AP24" s="1732"/>
      <c r="AQ24" s="1733"/>
      <c r="AR24" s="69"/>
      <c r="AU24" s="804" t="str">
        <f t="shared" ref="AU24" si="3">IF(OR(,V24="",X24="",AB24="",AE24="",AG24=""),"",ROUND((AE24+AG24),2))</f>
        <v/>
      </c>
      <c r="AV24" s="752" t="str">
        <f>IF(OR(C24="",V24="",X24="",AB24="",AE24="",AG24=""),"",ROUND(AK24*INDEX(ENDUSEALL[Factor],MATCH(INDEX(PMEREFRI[End Use Category],MATCH(C24,PMEREFRI[Eff Desc 1],0)),ENDUSEALL[End Use to Coincident Peak Demand Factors],0)),4))</f>
        <v/>
      </c>
      <c r="AW24" s="752" t="str">
        <f>IFERROR(IF(AI24*V24&gt;AO24,"Yes","No"),"")</f>
        <v/>
      </c>
    </row>
    <row r="25" spans="2:49" ht="15.95" customHeight="1" x14ac:dyDescent="0.25">
      <c r="B25" s="1204"/>
      <c r="C25" s="824"/>
      <c r="D25" s="825"/>
      <c r="E25" s="825"/>
      <c r="F25" s="825"/>
      <c r="G25" s="825"/>
      <c r="H25" s="825"/>
      <c r="I25" s="825"/>
      <c r="J25" s="825"/>
      <c r="K25" s="825"/>
      <c r="L25" s="825"/>
      <c r="M25" s="826"/>
      <c r="N25" s="1710"/>
      <c r="O25" s="1711"/>
      <c r="P25" s="1711"/>
      <c r="Q25" s="1711"/>
      <c r="R25" s="1711"/>
      <c r="S25" s="1712"/>
      <c r="T25" s="1715"/>
      <c r="U25" s="1716"/>
      <c r="V25" s="1719"/>
      <c r="W25" s="1720"/>
      <c r="X25" s="824"/>
      <c r="Y25" s="825"/>
      <c r="Z25" s="825"/>
      <c r="AA25" s="826"/>
      <c r="AB25" s="824"/>
      <c r="AC25" s="825"/>
      <c r="AD25" s="826"/>
      <c r="AE25" s="1724"/>
      <c r="AF25" s="1725"/>
      <c r="AG25" s="1724"/>
      <c r="AH25" s="1725"/>
      <c r="AI25" s="1687"/>
      <c r="AJ25" s="1688"/>
      <c r="AK25" s="1696"/>
      <c r="AL25" s="1697"/>
      <c r="AM25" s="1697"/>
      <c r="AN25" s="1698"/>
      <c r="AO25" s="1731"/>
      <c r="AP25" s="1732"/>
      <c r="AQ25" s="1733"/>
      <c r="AR25" s="69"/>
      <c r="AU25" s="805"/>
      <c r="AV25" s="753"/>
      <c r="AW25" s="753"/>
    </row>
    <row r="26" spans="2:49" ht="15.95" customHeight="1" x14ac:dyDescent="0.25">
      <c r="B26" s="1204">
        <v>6</v>
      </c>
      <c r="C26" s="1470"/>
      <c r="D26" s="1471"/>
      <c r="E26" s="1471"/>
      <c r="F26" s="1471"/>
      <c r="G26" s="1471"/>
      <c r="H26" s="1471"/>
      <c r="I26" s="1471"/>
      <c r="J26" s="1471"/>
      <c r="K26" s="1471"/>
      <c r="L26" s="1471"/>
      <c r="M26" s="1472"/>
      <c r="N26" s="1707" t="str">
        <f>IF(C26="","",INDEX(PMEREFRI[Base Desc 1],MATCH(C26,PMEREFRI[Eff Desc 1],0)))</f>
        <v/>
      </c>
      <c r="O26" s="1708"/>
      <c r="P26" s="1708"/>
      <c r="Q26" s="1708"/>
      <c r="R26" s="1708"/>
      <c r="S26" s="1709"/>
      <c r="T26" s="1713" t="str">
        <f>IF(C26="","",INDEX(PMEREFRI[Unit of Measure],MATCH(C26,PMEREFRI[Eff Desc 1],0)))</f>
        <v/>
      </c>
      <c r="U26" s="1714"/>
      <c r="V26" s="1717"/>
      <c r="W26" s="1718"/>
      <c r="X26" s="1470"/>
      <c r="Y26" s="1471"/>
      <c r="Z26" s="1471"/>
      <c r="AA26" s="1472"/>
      <c r="AB26" s="1470"/>
      <c r="AC26" s="1471"/>
      <c r="AD26" s="1472"/>
      <c r="AE26" s="1722"/>
      <c r="AF26" s="1723"/>
      <c r="AG26" s="1722"/>
      <c r="AH26" s="1723"/>
      <c r="AI26" s="1726" t="str">
        <f>IF(C26="","",INDEX(PMEREFRI[Inc Rate Unit],MATCH(C26,PMEREFRI[Eff Desc 1],0)))</f>
        <v/>
      </c>
      <c r="AJ26" s="1727"/>
      <c r="AK26" s="1728" t="str">
        <f>IF(OR(C26="",V26="",X26="",AB26="",AE26="",AG26=""),"",ROUND(V26*INDEX(PMEREFRI[Savings per Unit kWh],MATCH(C26,PMEREFRI[Eff Desc 1],0)),0))</f>
        <v/>
      </c>
      <c r="AL26" s="1729"/>
      <c r="AM26" s="1729"/>
      <c r="AN26" s="1730"/>
      <c r="AO26" s="1731" t="str">
        <f>IF(M02S02F44="","Update Install Status",IF(M02S02F49="Yes","Not Eligible",IF(OR(C26="",V26="",X26="",AB26="",AE26="",AG26=""),"",MIN(AU26,ROUND(V26*AI26,2)))))</f>
        <v>Update Install Status</v>
      </c>
      <c r="AP26" s="1732"/>
      <c r="AQ26" s="1733"/>
      <c r="AR26" s="69"/>
      <c r="AU26" s="804" t="str">
        <f t="shared" ref="AU26" si="4">IF(OR(,V26="",X26="",AB26="",AE26="",AG26=""),"",ROUND((AE26+AG26),2))</f>
        <v/>
      </c>
      <c r="AV26" s="752" t="str">
        <f>IF(OR(C26="",V26="",X26="",AB26="",AE26="",AG26=""),"",ROUND(AK26*INDEX(ENDUSEALL[Factor],MATCH(INDEX(PMEREFRI[End Use Category],MATCH(C26,PMEREFRI[Eff Desc 1],0)),ENDUSEALL[End Use to Coincident Peak Demand Factors],0)),4))</f>
        <v/>
      </c>
      <c r="AW26" s="752" t="str">
        <f>IFERROR(IF(AI26*V26&gt;AO26,"Yes","No"),"")</f>
        <v/>
      </c>
    </row>
    <row r="27" spans="2:49" ht="15.95" customHeight="1" x14ac:dyDescent="0.25">
      <c r="B27" s="1204"/>
      <c r="C27" s="824"/>
      <c r="D27" s="825"/>
      <c r="E27" s="825"/>
      <c r="F27" s="825"/>
      <c r="G27" s="825"/>
      <c r="H27" s="825"/>
      <c r="I27" s="825"/>
      <c r="J27" s="825"/>
      <c r="K27" s="825"/>
      <c r="L27" s="825"/>
      <c r="M27" s="826"/>
      <c r="N27" s="1710"/>
      <c r="O27" s="1711"/>
      <c r="P27" s="1711"/>
      <c r="Q27" s="1711"/>
      <c r="R27" s="1711"/>
      <c r="S27" s="1712"/>
      <c r="T27" s="1715"/>
      <c r="U27" s="1716"/>
      <c r="V27" s="1719"/>
      <c r="W27" s="1720"/>
      <c r="X27" s="824"/>
      <c r="Y27" s="825"/>
      <c r="Z27" s="825"/>
      <c r="AA27" s="826"/>
      <c r="AB27" s="824"/>
      <c r="AC27" s="825"/>
      <c r="AD27" s="826"/>
      <c r="AE27" s="1724"/>
      <c r="AF27" s="1725"/>
      <c r="AG27" s="1724"/>
      <c r="AH27" s="1725"/>
      <c r="AI27" s="1687"/>
      <c r="AJ27" s="1688"/>
      <c r="AK27" s="1696"/>
      <c r="AL27" s="1697"/>
      <c r="AM27" s="1697"/>
      <c r="AN27" s="1698"/>
      <c r="AO27" s="1731"/>
      <c r="AP27" s="1732"/>
      <c r="AQ27" s="1733"/>
      <c r="AR27" s="69"/>
      <c r="AU27" s="805"/>
      <c r="AV27" s="753"/>
      <c r="AW27" s="753"/>
    </row>
    <row r="28" spans="2:49" ht="15.95" customHeight="1" x14ac:dyDescent="0.25">
      <c r="B28" s="1204">
        <v>7</v>
      </c>
      <c r="C28" s="1470"/>
      <c r="D28" s="1471"/>
      <c r="E28" s="1471"/>
      <c r="F28" s="1471"/>
      <c r="G28" s="1471"/>
      <c r="H28" s="1471"/>
      <c r="I28" s="1471"/>
      <c r="J28" s="1471"/>
      <c r="K28" s="1471"/>
      <c r="L28" s="1471"/>
      <c r="M28" s="1472"/>
      <c r="N28" s="1707" t="str">
        <f>IF(C28="","",INDEX(PMEREFRI[Base Desc 1],MATCH(C28,PMEREFRI[Eff Desc 1],0)))</f>
        <v/>
      </c>
      <c r="O28" s="1708"/>
      <c r="P28" s="1708"/>
      <c r="Q28" s="1708"/>
      <c r="R28" s="1708"/>
      <c r="S28" s="1709"/>
      <c r="T28" s="1713" t="str">
        <f>IF(C28="","",INDEX(PMEREFRI[Unit of Measure],MATCH(C28,PMEREFRI[Eff Desc 1],0)))</f>
        <v/>
      </c>
      <c r="U28" s="1714"/>
      <c r="V28" s="1717"/>
      <c r="W28" s="1718"/>
      <c r="X28" s="1470"/>
      <c r="Y28" s="1471"/>
      <c r="Z28" s="1471"/>
      <c r="AA28" s="1472"/>
      <c r="AB28" s="1470"/>
      <c r="AC28" s="1471"/>
      <c r="AD28" s="1472"/>
      <c r="AE28" s="1722"/>
      <c r="AF28" s="1723"/>
      <c r="AG28" s="1722"/>
      <c r="AH28" s="1723"/>
      <c r="AI28" s="1726" t="str">
        <f>IF(C28="","",INDEX(PMEREFRI[Inc Rate Unit],MATCH(C28,PMEREFRI[Eff Desc 1],0)))</f>
        <v/>
      </c>
      <c r="AJ28" s="1727"/>
      <c r="AK28" s="1728" t="str">
        <f>IF(OR(C28="",V28="",X28="",AB28="",AE28="",AG28=""),"",ROUND(V28*INDEX(PMEREFRI[Savings per Unit kWh],MATCH(C28,PMEREFRI[Eff Desc 1],0)),0))</f>
        <v/>
      </c>
      <c r="AL28" s="1729"/>
      <c r="AM28" s="1729"/>
      <c r="AN28" s="1730"/>
      <c r="AO28" s="1731" t="str">
        <f>IF(M02S02F44="","Update Install Status",IF(M02S02F49="Yes","Not Eligible",IF(OR(C28="",V28="",X28="",AB28="",AE28="",AG28=""),"",MIN(AU28,ROUND(V28*AI28,2)))))</f>
        <v>Update Install Status</v>
      </c>
      <c r="AP28" s="1732"/>
      <c r="AQ28" s="1733"/>
      <c r="AR28" s="69"/>
      <c r="AU28" s="804" t="str">
        <f t="shared" ref="AU28" si="5">IF(OR(,V28="",X28="",AB28="",AE28="",AG28=""),"",ROUND((AE28+AG28),2))</f>
        <v/>
      </c>
      <c r="AV28" s="752" t="str">
        <f>IF(OR(C28="",V28="",X28="",AB28="",AE28="",AG28=""),"",ROUND(AK28*INDEX(ENDUSEALL[Factor],MATCH(INDEX(PMEREFRI[End Use Category],MATCH(C28,PMEREFRI[Eff Desc 1],0)),ENDUSEALL[End Use to Coincident Peak Demand Factors],0)),4))</f>
        <v/>
      </c>
      <c r="AW28" s="752" t="str">
        <f>IFERROR(IF(AI28*V28&gt;AO28,"Yes","No"),"")</f>
        <v/>
      </c>
    </row>
    <row r="29" spans="2:49" ht="15.95" customHeight="1" x14ac:dyDescent="0.25">
      <c r="B29" s="1204"/>
      <c r="C29" s="824"/>
      <c r="D29" s="825"/>
      <c r="E29" s="825"/>
      <c r="F29" s="825"/>
      <c r="G29" s="825"/>
      <c r="H29" s="825"/>
      <c r="I29" s="825"/>
      <c r="J29" s="825"/>
      <c r="K29" s="825"/>
      <c r="L29" s="825"/>
      <c r="M29" s="826"/>
      <c r="N29" s="1710"/>
      <c r="O29" s="1711"/>
      <c r="P29" s="1711"/>
      <c r="Q29" s="1711"/>
      <c r="R29" s="1711"/>
      <c r="S29" s="1712"/>
      <c r="T29" s="1715"/>
      <c r="U29" s="1716"/>
      <c r="V29" s="1719"/>
      <c r="W29" s="1720"/>
      <c r="X29" s="824"/>
      <c r="Y29" s="825"/>
      <c r="Z29" s="825"/>
      <c r="AA29" s="826"/>
      <c r="AB29" s="824"/>
      <c r="AC29" s="825"/>
      <c r="AD29" s="826"/>
      <c r="AE29" s="1724"/>
      <c r="AF29" s="1725"/>
      <c r="AG29" s="1724"/>
      <c r="AH29" s="1725"/>
      <c r="AI29" s="1687"/>
      <c r="AJ29" s="1688"/>
      <c r="AK29" s="1696"/>
      <c r="AL29" s="1697"/>
      <c r="AM29" s="1697"/>
      <c r="AN29" s="1698"/>
      <c r="AO29" s="1731"/>
      <c r="AP29" s="1732"/>
      <c r="AQ29" s="1733"/>
      <c r="AR29" s="69"/>
      <c r="AU29" s="805"/>
      <c r="AV29" s="753"/>
      <c r="AW29" s="753"/>
    </row>
    <row r="30" spans="2:49" ht="15.95" customHeight="1" x14ac:dyDescent="0.25">
      <c r="B30" s="1204">
        <v>8</v>
      </c>
      <c r="C30" s="1470"/>
      <c r="D30" s="1471"/>
      <c r="E30" s="1471"/>
      <c r="F30" s="1471"/>
      <c r="G30" s="1471"/>
      <c r="H30" s="1471"/>
      <c r="I30" s="1471"/>
      <c r="J30" s="1471"/>
      <c r="K30" s="1471"/>
      <c r="L30" s="1471"/>
      <c r="M30" s="1472"/>
      <c r="N30" s="1707" t="str">
        <f>IF(C30="","",INDEX(PMEREFRI[Base Desc 1],MATCH(C30,PMEREFRI[Eff Desc 1],0)))</f>
        <v/>
      </c>
      <c r="O30" s="1708"/>
      <c r="P30" s="1708"/>
      <c r="Q30" s="1708"/>
      <c r="R30" s="1708"/>
      <c r="S30" s="1709"/>
      <c r="T30" s="1713" t="str">
        <f>IF(C30="","",INDEX(PMEREFRI[Unit of Measure],MATCH(C30,PMEREFRI[Eff Desc 1],0)))</f>
        <v/>
      </c>
      <c r="U30" s="1714"/>
      <c r="V30" s="1717"/>
      <c r="W30" s="1718"/>
      <c r="X30" s="1470"/>
      <c r="Y30" s="1471"/>
      <c r="Z30" s="1471"/>
      <c r="AA30" s="1472"/>
      <c r="AB30" s="1470"/>
      <c r="AC30" s="1471"/>
      <c r="AD30" s="1472"/>
      <c r="AE30" s="1722"/>
      <c r="AF30" s="1723"/>
      <c r="AG30" s="1722"/>
      <c r="AH30" s="1723"/>
      <c r="AI30" s="1726" t="str">
        <f>IF(C30="","",INDEX(PMEREFRI[Inc Rate Unit],MATCH(C30,PMEREFRI[Eff Desc 1],0)))</f>
        <v/>
      </c>
      <c r="AJ30" s="1727"/>
      <c r="AK30" s="1728" t="str">
        <f>IF(OR(C30="",V30="",X30="",AB30="",AE30="",AG30=""),"",ROUND(V30*INDEX(PMEREFRI[Savings per Unit kWh],MATCH(C30,PMEREFRI[Eff Desc 1],0)),0))</f>
        <v/>
      </c>
      <c r="AL30" s="1729"/>
      <c r="AM30" s="1729"/>
      <c r="AN30" s="1730"/>
      <c r="AO30" s="1731" t="str">
        <f>IF(M02S02F44="","Update Install Status",IF(M02S02F49="Yes","Not Eligible",IF(OR(C30="",V30="",X30="",AB30="",AE30="",AG30=""),"",MIN(AU30,ROUND(V30*AI30,2)))))</f>
        <v>Update Install Status</v>
      </c>
      <c r="AP30" s="1732"/>
      <c r="AQ30" s="1733"/>
      <c r="AR30" s="69"/>
      <c r="AU30" s="804" t="str">
        <f t="shared" ref="AU30" si="6">IF(OR(,V30="",X30="",AB30="",AE30="",AG30=""),"",ROUND((AE30+AG30),2))</f>
        <v/>
      </c>
      <c r="AV30" s="752" t="str">
        <f>IF(OR(C30="",V30="",X30="",AB30="",AE30="",AG30=""),"",ROUND(AK30*INDEX(ENDUSEALL[Factor],MATCH(INDEX(PMEREFRI[End Use Category],MATCH(C30,PMEREFRI[Eff Desc 1],0)),ENDUSEALL[End Use to Coincident Peak Demand Factors],0)),4))</f>
        <v/>
      </c>
      <c r="AW30" s="752" t="str">
        <f>IFERROR(IF(AI30*V30&gt;AO30,"Yes","No"),"")</f>
        <v/>
      </c>
    </row>
    <row r="31" spans="2:49" ht="15.95" customHeight="1" x14ac:dyDescent="0.25">
      <c r="B31" s="1204"/>
      <c r="C31" s="824"/>
      <c r="D31" s="825"/>
      <c r="E31" s="825"/>
      <c r="F31" s="825"/>
      <c r="G31" s="825"/>
      <c r="H31" s="825"/>
      <c r="I31" s="825"/>
      <c r="J31" s="825"/>
      <c r="K31" s="825"/>
      <c r="L31" s="825"/>
      <c r="M31" s="826"/>
      <c r="N31" s="1710"/>
      <c r="O31" s="1711"/>
      <c r="P31" s="1711"/>
      <c r="Q31" s="1711"/>
      <c r="R31" s="1711"/>
      <c r="S31" s="1712"/>
      <c r="T31" s="1715"/>
      <c r="U31" s="1716"/>
      <c r="V31" s="1719"/>
      <c r="W31" s="1720"/>
      <c r="X31" s="824"/>
      <c r="Y31" s="825"/>
      <c r="Z31" s="825"/>
      <c r="AA31" s="826"/>
      <c r="AB31" s="824"/>
      <c r="AC31" s="825"/>
      <c r="AD31" s="826"/>
      <c r="AE31" s="1724"/>
      <c r="AF31" s="1725"/>
      <c r="AG31" s="1724"/>
      <c r="AH31" s="1725"/>
      <c r="AI31" s="1687"/>
      <c r="AJ31" s="1688"/>
      <c r="AK31" s="1696"/>
      <c r="AL31" s="1697"/>
      <c r="AM31" s="1697"/>
      <c r="AN31" s="1698"/>
      <c r="AO31" s="1731"/>
      <c r="AP31" s="1732"/>
      <c r="AQ31" s="1733"/>
      <c r="AR31" s="69"/>
      <c r="AU31" s="805"/>
      <c r="AV31" s="753"/>
      <c r="AW31" s="753"/>
    </row>
    <row r="32" spans="2:49" ht="15.95" customHeight="1" x14ac:dyDescent="0.25">
      <c r="B32" s="1204">
        <v>9</v>
      </c>
      <c r="C32" s="1470"/>
      <c r="D32" s="1471"/>
      <c r="E32" s="1471"/>
      <c r="F32" s="1471"/>
      <c r="G32" s="1471"/>
      <c r="H32" s="1471"/>
      <c r="I32" s="1471"/>
      <c r="J32" s="1471"/>
      <c r="K32" s="1471"/>
      <c r="L32" s="1471"/>
      <c r="M32" s="1472"/>
      <c r="N32" s="1707" t="str">
        <f>IF(C32="","",INDEX(PMEREFRI[Base Desc 1],MATCH(C32,PMEREFRI[Eff Desc 1],0)))</f>
        <v/>
      </c>
      <c r="O32" s="1708"/>
      <c r="P32" s="1708"/>
      <c r="Q32" s="1708"/>
      <c r="R32" s="1708"/>
      <c r="S32" s="1709"/>
      <c r="T32" s="1713" t="str">
        <f>IF(C32="","",INDEX(PMEREFRI[Unit of Measure],MATCH(C32,PMEREFRI[Eff Desc 1],0)))</f>
        <v/>
      </c>
      <c r="U32" s="1714"/>
      <c r="V32" s="1717"/>
      <c r="W32" s="1718"/>
      <c r="X32" s="1721"/>
      <c r="Y32" s="1471"/>
      <c r="Z32" s="1471"/>
      <c r="AA32" s="1472"/>
      <c r="AB32" s="1721"/>
      <c r="AC32" s="1471"/>
      <c r="AD32" s="1472"/>
      <c r="AE32" s="1722"/>
      <c r="AF32" s="1723"/>
      <c r="AG32" s="1722"/>
      <c r="AH32" s="1723"/>
      <c r="AI32" s="1726" t="str">
        <f>IF(C32="","",INDEX(PMEREFRI[Inc Rate Unit],MATCH(C32,PMEREFRI[Eff Desc 1],0)))</f>
        <v/>
      </c>
      <c r="AJ32" s="1727"/>
      <c r="AK32" s="1728" t="str">
        <f>IF(OR(C32="",V32="",X32="",AB32="",AE32="",AG32=""),"",ROUND(V32*INDEX(PMEREFRI[Savings per Unit kWh],MATCH(C32,PMEREFRI[Eff Desc 1],0)),0))</f>
        <v/>
      </c>
      <c r="AL32" s="1729"/>
      <c r="AM32" s="1729"/>
      <c r="AN32" s="1730"/>
      <c r="AO32" s="1731" t="str">
        <f>IF(M02S02F44="","Update Install Status",IF(M02S02F49="Yes","Not Eligible",IF(OR(C32="",V32="",X32="",AB32="",AE32="",AG32=""),"",MIN(AU32,ROUND(V32*AI32,2)))))</f>
        <v>Update Install Status</v>
      </c>
      <c r="AP32" s="1732"/>
      <c r="AQ32" s="1733"/>
      <c r="AR32" s="69"/>
      <c r="AU32" s="804" t="str">
        <f t="shared" ref="AU32" si="7">IF(OR(,V32="",X32="",AB32="",AE32="",AG32=""),"",ROUND((AE32+AG32),2))</f>
        <v/>
      </c>
      <c r="AV32" s="752" t="str">
        <f>IF(OR(C32="",V32="",X32="",AB32="",AE32="",AG32=""),"",ROUND(AK32*INDEX(ENDUSEALL[Factor],MATCH(INDEX(PMEREFRI[End Use Category],MATCH(C32,PMEREFRI[Eff Desc 1],0)),ENDUSEALL[End Use to Coincident Peak Demand Factors],0)),4))</f>
        <v/>
      </c>
      <c r="AW32" s="752" t="str">
        <f>IFERROR(IF(AI32*V32&gt;AO32,"Yes","No"),"")</f>
        <v/>
      </c>
    </row>
    <row r="33" spans="2:49" ht="15.95" customHeight="1" x14ac:dyDescent="0.25">
      <c r="B33" s="1204"/>
      <c r="C33" s="824"/>
      <c r="D33" s="825"/>
      <c r="E33" s="825"/>
      <c r="F33" s="825"/>
      <c r="G33" s="825"/>
      <c r="H33" s="825"/>
      <c r="I33" s="825"/>
      <c r="J33" s="825"/>
      <c r="K33" s="825"/>
      <c r="L33" s="825"/>
      <c r="M33" s="826"/>
      <c r="N33" s="1710"/>
      <c r="O33" s="1711"/>
      <c r="P33" s="1711"/>
      <c r="Q33" s="1711"/>
      <c r="R33" s="1711"/>
      <c r="S33" s="1712"/>
      <c r="T33" s="1715"/>
      <c r="U33" s="1716"/>
      <c r="V33" s="1719"/>
      <c r="W33" s="1720"/>
      <c r="X33" s="824"/>
      <c r="Y33" s="825"/>
      <c r="Z33" s="825"/>
      <c r="AA33" s="826"/>
      <c r="AB33" s="824"/>
      <c r="AC33" s="825"/>
      <c r="AD33" s="826"/>
      <c r="AE33" s="1724"/>
      <c r="AF33" s="1725"/>
      <c r="AG33" s="1724"/>
      <c r="AH33" s="1725"/>
      <c r="AI33" s="1687"/>
      <c r="AJ33" s="1688"/>
      <c r="AK33" s="1696"/>
      <c r="AL33" s="1697"/>
      <c r="AM33" s="1697"/>
      <c r="AN33" s="1698"/>
      <c r="AO33" s="1731"/>
      <c r="AP33" s="1732"/>
      <c r="AQ33" s="1733"/>
      <c r="AR33" s="69"/>
      <c r="AU33" s="805"/>
      <c r="AV33" s="753"/>
      <c r="AW33" s="753"/>
    </row>
    <row r="34" spans="2:49" ht="15.95" customHeight="1" x14ac:dyDescent="0.25">
      <c r="B34" s="1204">
        <v>10</v>
      </c>
      <c r="C34" s="1470"/>
      <c r="D34" s="1471"/>
      <c r="E34" s="1471"/>
      <c r="F34" s="1471"/>
      <c r="G34" s="1471"/>
      <c r="H34" s="1471"/>
      <c r="I34" s="1471"/>
      <c r="J34" s="1471"/>
      <c r="K34" s="1471"/>
      <c r="L34" s="1471"/>
      <c r="M34" s="1472"/>
      <c r="N34" s="1707" t="str">
        <f>IF(C34="","",INDEX(PMEREFRI[Base Desc 1],MATCH(C34,PMEREFRI[Eff Desc 1],0)))</f>
        <v/>
      </c>
      <c r="O34" s="1708"/>
      <c r="P34" s="1708"/>
      <c r="Q34" s="1708"/>
      <c r="R34" s="1708"/>
      <c r="S34" s="1709"/>
      <c r="T34" s="1713" t="str">
        <f>IF(C34="","",INDEX(PMEREFRI[Unit of Measure],MATCH(C34,PMEREFRI[Eff Desc 1],0)))</f>
        <v/>
      </c>
      <c r="U34" s="1714"/>
      <c r="V34" s="1717"/>
      <c r="W34" s="1718"/>
      <c r="X34" s="1470"/>
      <c r="Y34" s="1471"/>
      <c r="Z34" s="1471"/>
      <c r="AA34" s="1472"/>
      <c r="AB34" s="1470"/>
      <c r="AC34" s="1471"/>
      <c r="AD34" s="1472"/>
      <c r="AE34" s="1722"/>
      <c r="AF34" s="1723"/>
      <c r="AG34" s="1722"/>
      <c r="AH34" s="1723"/>
      <c r="AI34" s="1726" t="str">
        <f>IF(C34="","",INDEX(PMEREFRI[Inc Rate Unit],MATCH(C34,PMEREFRI[Eff Desc 1],0)))</f>
        <v/>
      </c>
      <c r="AJ34" s="1727"/>
      <c r="AK34" s="1728" t="str">
        <f>IF(OR(C34="",V34="",X34="",AB34="",AE34="",AG34=""),"",ROUND(V34*INDEX(PMEREFRI[Savings per Unit kWh],MATCH(C34,PMEREFRI[Eff Desc 1],0)),0))</f>
        <v/>
      </c>
      <c r="AL34" s="1729"/>
      <c r="AM34" s="1729"/>
      <c r="AN34" s="1730"/>
      <c r="AO34" s="1731" t="str">
        <f>IF(M02S02F44="","Update Install Status",IF(M02S02F49="Yes","Not Eligible",IF(OR(C34="",V34="",X34="",AB34="",AE34="",AG34=""),"",MIN(AU34,ROUND(V34*AI34,2)))))</f>
        <v>Update Install Status</v>
      </c>
      <c r="AP34" s="1732"/>
      <c r="AQ34" s="1733"/>
      <c r="AR34" s="69"/>
      <c r="AU34" s="804" t="str">
        <f t="shared" ref="AU34" si="8">IF(OR(,V34="",X34="",AB34="",AE34="",AG34=""),"",ROUND((AE34+AG34),2))</f>
        <v/>
      </c>
      <c r="AV34" s="752" t="str">
        <f>IF(OR(C34="",V34="",X34="",AB34="",AE34="",AG34=""),"",ROUND(AK34*INDEX(ENDUSEALL[Factor],MATCH(INDEX(PMEREFRI[End Use Category],MATCH(C34,PMEREFRI[Eff Desc 1],0)),ENDUSEALL[End Use to Coincident Peak Demand Factors],0)),4))</f>
        <v/>
      </c>
      <c r="AW34" s="752" t="str">
        <f>IFERROR(IF(AI34*V34&gt;AO34,"Yes","No"),"")</f>
        <v/>
      </c>
    </row>
    <row r="35" spans="2:49" ht="15.95" customHeight="1" x14ac:dyDescent="0.25">
      <c r="B35" s="1204"/>
      <c r="C35" s="824"/>
      <c r="D35" s="825"/>
      <c r="E35" s="825"/>
      <c r="F35" s="825"/>
      <c r="G35" s="825"/>
      <c r="H35" s="825"/>
      <c r="I35" s="825"/>
      <c r="J35" s="825"/>
      <c r="K35" s="825"/>
      <c r="L35" s="825"/>
      <c r="M35" s="826"/>
      <c r="N35" s="1710"/>
      <c r="O35" s="1711"/>
      <c r="P35" s="1711"/>
      <c r="Q35" s="1711"/>
      <c r="R35" s="1711"/>
      <c r="S35" s="1712"/>
      <c r="T35" s="1715"/>
      <c r="U35" s="1716"/>
      <c r="V35" s="1719"/>
      <c r="W35" s="1720"/>
      <c r="X35" s="824"/>
      <c r="Y35" s="825"/>
      <c r="Z35" s="825"/>
      <c r="AA35" s="826"/>
      <c r="AB35" s="824"/>
      <c r="AC35" s="825"/>
      <c r="AD35" s="826"/>
      <c r="AE35" s="1724"/>
      <c r="AF35" s="1725"/>
      <c r="AG35" s="1724"/>
      <c r="AH35" s="1725"/>
      <c r="AI35" s="1687"/>
      <c r="AJ35" s="1688"/>
      <c r="AK35" s="1696"/>
      <c r="AL35" s="1697"/>
      <c r="AM35" s="1697"/>
      <c r="AN35" s="1698"/>
      <c r="AO35" s="1731"/>
      <c r="AP35" s="1732"/>
      <c r="AQ35" s="1733"/>
      <c r="AR35" s="69"/>
      <c r="AU35" s="805"/>
      <c r="AV35" s="753"/>
      <c r="AW35" s="753"/>
    </row>
    <row r="36" spans="2:49" ht="15.95" hidden="1" customHeight="1" x14ac:dyDescent="0.25">
      <c r="B36" s="1204">
        <v>11</v>
      </c>
      <c r="C36" s="1470"/>
      <c r="D36" s="1471"/>
      <c r="E36" s="1471"/>
      <c r="F36" s="1471"/>
      <c r="G36" s="1471"/>
      <c r="H36" s="1471"/>
      <c r="I36" s="1471"/>
      <c r="J36" s="1471"/>
      <c r="K36" s="1471"/>
      <c r="L36" s="1471"/>
      <c r="M36" s="1472"/>
      <c r="N36" s="1707" t="str">
        <f>IF(C36="","",INDEX(PMEKITCHEN[Base Desc 1],MATCH(C36,PMEKITCHEN[Eff Desc 1],0)))</f>
        <v/>
      </c>
      <c r="O36" s="1708"/>
      <c r="P36" s="1708"/>
      <c r="Q36" s="1708"/>
      <c r="R36" s="1708"/>
      <c r="S36" s="1709"/>
      <c r="T36" s="1713" t="str">
        <f>IF(C36="","",INDEX(PMEKITCHEN[Unit of Measure],MATCH(C36,PMEKITCHEN[Eff Desc 1],0)))</f>
        <v/>
      </c>
      <c r="U36" s="1714"/>
      <c r="V36" s="1717"/>
      <c r="W36" s="1718"/>
      <c r="X36" s="1470"/>
      <c r="Y36" s="1471"/>
      <c r="Z36" s="1471"/>
      <c r="AA36" s="1472"/>
      <c r="AB36" s="1470"/>
      <c r="AC36" s="1471"/>
      <c r="AD36" s="1472"/>
      <c r="AE36" s="1722"/>
      <c r="AF36" s="1723"/>
      <c r="AG36" s="1722"/>
      <c r="AH36" s="1723"/>
      <c r="AI36" s="1735" t="str">
        <f>IF(C36="","",INDEX(PMEKITCHEN[Inc Rate Unit],MATCH(C36,PMEKITCHEN[Eff Desc 1],0)))</f>
        <v/>
      </c>
      <c r="AJ36" s="1736"/>
      <c r="AK36" s="1728" t="str">
        <f>IF(OR(C36="",V36="",X36="",AB36="",AE36="",AG36=""),"",ROUND(V36*INDEX(PMEKITCHEN[Savings per Unit kWh],MATCH(C36,PMEKITCHEN[Eff Desc 1],0)),0))</f>
        <v/>
      </c>
      <c r="AL36" s="1729"/>
      <c r="AM36" s="1729"/>
      <c r="AN36" s="1730"/>
      <c r="AO36" s="1726" t="str">
        <f>IF(OR(C36="",V36="",X36="",AB36="",AE36="",AG36=""),"",MIN(AU36,ROUND(V36*AI36,2)))</f>
        <v/>
      </c>
      <c r="AP36" s="1739"/>
      <c r="AQ36" s="1727"/>
      <c r="AR36" s="69"/>
      <c r="AU36" s="804" t="str">
        <f>IF(OR(,V36="",X36="",AB36="",AE36="",AG36=""),"",ROUND((AE36+AG36)*V36,2))</f>
        <v/>
      </c>
      <c r="AV36" s="750" t="str">
        <f>IF(OR(C36="",V36="",X36="",AB36="",AE36="",AG36=""),"",ROUND(V36*INDEX(PMEKITCHEN[Savings per Unit kW],MATCH(C36,PMEKITCHEN[Eff Desc 1],0)),10))</f>
        <v/>
      </c>
    </row>
    <row r="37" spans="2:49" ht="15.95" hidden="1" customHeight="1" x14ac:dyDescent="0.25">
      <c r="B37" s="1204"/>
      <c r="C37" s="824"/>
      <c r="D37" s="825"/>
      <c r="E37" s="825"/>
      <c r="F37" s="825"/>
      <c r="G37" s="825"/>
      <c r="H37" s="825"/>
      <c r="I37" s="825"/>
      <c r="J37" s="825"/>
      <c r="K37" s="825"/>
      <c r="L37" s="825"/>
      <c r="M37" s="826"/>
      <c r="N37" s="1710"/>
      <c r="O37" s="1711"/>
      <c r="P37" s="1711"/>
      <c r="Q37" s="1711"/>
      <c r="R37" s="1711"/>
      <c r="S37" s="1712"/>
      <c r="T37" s="1715"/>
      <c r="U37" s="1716"/>
      <c r="V37" s="1719"/>
      <c r="W37" s="1720"/>
      <c r="X37" s="824"/>
      <c r="Y37" s="825"/>
      <c r="Z37" s="825"/>
      <c r="AA37" s="826"/>
      <c r="AB37" s="824"/>
      <c r="AC37" s="825"/>
      <c r="AD37" s="826"/>
      <c r="AE37" s="1724"/>
      <c r="AF37" s="1725"/>
      <c r="AG37" s="1724"/>
      <c r="AH37" s="1725"/>
      <c r="AI37" s="1737"/>
      <c r="AJ37" s="1738"/>
      <c r="AK37" s="1696"/>
      <c r="AL37" s="1697"/>
      <c r="AM37" s="1697"/>
      <c r="AN37" s="1698"/>
      <c r="AO37" s="1687"/>
      <c r="AP37" s="1740"/>
      <c r="AQ37" s="1688"/>
      <c r="AR37" s="69"/>
      <c r="AU37" s="805"/>
      <c r="AV37" s="751"/>
    </row>
    <row r="38" spans="2:49" ht="15.95" hidden="1" customHeight="1" x14ac:dyDescent="0.25">
      <c r="B38" s="1204">
        <v>12</v>
      </c>
      <c r="C38" s="1470"/>
      <c r="D38" s="1471"/>
      <c r="E38" s="1471"/>
      <c r="F38" s="1471"/>
      <c r="G38" s="1471"/>
      <c r="H38" s="1471"/>
      <c r="I38" s="1471"/>
      <c r="J38" s="1471"/>
      <c r="K38" s="1471"/>
      <c r="L38" s="1471"/>
      <c r="M38" s="1472"/>
      <c r="N38" s="1707" t="str">
        <f>IF(C38="","",INDEX(PMEKITCHEN[Base Desc 1],MATCH(C38,PMEKITCHEN[Eff Desc 1],0)))</f>
        <v/>
      </c>
      <c r="O38" s="1708"/>
      <c r="P38" s="1708"/>
      <c r="Q38" s="1708"/>
      <c r="R38" s="1708"/>
      <c r="S38" s="1709"/>
      <c r="T38" s="1713" t="str">
        <f>IF(C38="","",INDEX(PMEKITCHEN[Unit of Measure],MATCH(C38,PMEKITCHEN[Eff Desc 1],0)))</f>
        <v/>
      </c>
      <c r="U38" s="1714"/>
      <c r="V38" s="1717"/>
      <c r="W38" s="1718"/>
      <c r="X38" s="1470"/>
      <c r="Y38" s="1471"/>
      <c r="Z38" s="1471"/>
      <c r="AA38" s="1472"/>
      <c r="AB38" s="1470"/>
      <c r="AC38" s="1471"/>
      <c r="AD38" s="1472"/>
      <c r="AE38" s="1722"/>
      <c r="AF38" s="1723"/>
      <c r="AG38" s="1722"/>
      <c r="AH38" s="1723"/>
      <c r="AI38" s="1735" t="str">
        <f>IF(C38="","",INDEX(PMEKITCHEN[Inc Rate Unit],MATCH(C38,PMEKITCHEN[Eff Desc 1],0)))</f>
        <v/>
      </c>
      <c r="AJ38" s="1736"/>
      <c r="AK38" s="1728" t="str">
        <f>IF(OR(C38="",V38="",X38="",AB38="",AE38="",AG38=""),"",ROUND(V38*INDEX(PMEKITCHEN[Savings per Unit kWh],MATCH(C38,PMEKITCHEN[Eff Desc 1],0)),0))</f>
        <v/>
      </c>
      <c r="AL38" s="1729"/>
      <c r="AM38" s="1729"/>
      <c r="AN38" s="1730"/>
      <c r="AO38" s="1726" t="str">
        <f>IF(OR(C38="",V38="",X38="",AB38="",AE38="",AG38=""),"",MIN(AU38,ROUND(V38*AI38,2)))</f>
        <v/>
      </c>
      <c r="AP38" s="1739"/>
      <c r="AQ38" s="1727"/>
      <c r="AR38" s="69"/>
      <c r="AU38" s="804" t="str">
        <f>IF(OR(,V38="",X38="",AB38="",AE38="",AG38=""),"",ROUND((AE38+AG38)*V38,2))</f>
        <v/>
      </c>
      <c r="AV38" s="750" t="str">
        <f>IF(OR(C38="",V38="",X38="",AB38="",AE38="",AG38=""),"",ROUND(V38*INDEX(PMEKITCHEN[Savings per Unit kW],MATCH(C38,PMEKITCHEN[Eff Desc 1],0)),10))</f>
        <v/>
      </c>
    </row>
    <row r="39" spans="2:49" ht="15.95" hidden="1" customHeight="1" x14ac:dyDescent="0.25">
      <c r="B39" s="1204"/>
      <c r="C39" s="824"/>
      <c r="D39" s="825"/>
      <c r="E39" s="825"/>
      <c r="F39" s="825"/>
      <c r="G39" s="825"/>
      <c r="H39" s="825"/>
      <c r="I39" s="825"/>
      <c r="J39" s="825"/>
      <c r="K39" s="825"/>
      <c r="L39" s="825"/>
      <c r="M39" s="826"/>
      <c r="N39" s="1710"/>
      <c r="O39" s="1711"/>
      <c r="P39" s="1711"/>
      <c r="Q39" s="1711"/>
      <c r="R39" s="1711"/>
      <c r="S39" s="1712"/>
      <c r="T39" s="1715"/>
      <c r="U39" s="1716"/>
      <c r="V39" s="1719"/>
      <c r="W39" s="1720"/>
      <c r="X39" s="824"/>
      <c r="Y39" s="825"/>
      <c r="Z39" s="825"/>
      <c r="AA39" s="826"/>
      <c r="AB39" s="824"/>
      <c r="AC39" s="825"/>
      <c r="AD39" s="826"/>
      <c r="AE39" s="1724"/>
      <c r="AF39" s="1725"/>
      <c r="AG39" s="1724"/>
      <c r="AH39" s="1725"/>
      <c r="AI39" s="1737"/>
      <c r="AJ39" s="1738"/>
      <c r="AK39" s="1696"/>
      <c r="AL39" s="1697"/>
      <c r="AM39" s="1697"/>
      <c r="AN39" s="1698"/>
      <c r="AO39" s="1687"/>
      <c r="AP39" s="1740"/>
      <c r="AQ39" s="1688"/>
      <c r="AR39" s="69"/>
      <c r="AU39" s="805"/>
      <c r="AV39" s="751"/>
    </row>
    <row r="40" spans="2:49" ht="15.95" hidden="1" customHeight="1" x14ac:dyDescent="0.25">
      <c r="B40" s="1204">
        <v>13</v>
      </c>
      <c r="C40" s="1470"/>
      <c r="D40" s="1471"/>
      <c r="E40" s="1471"/>
      <c r="F40" s="1471"/>
      <c r="G40" s="1471"/>
      <c r="H40" s="1471"/>
      <c r="I40" s="1471"/>
      <c r="J40" s="1471"/>
      <c r="K40" s="1471"/>
      <c r="L40" s="1471"/>
      <c r="M40" s="1472"/>
      <c r="N40" s="1707" t="str">
        <f>IF(C40="","",INDEX(PMEKITCHEN[Base Desc 1],MATCH(C40,PMEKITCHEN[Eff Desc 1],0)))</f>
        <v/>
      </c>
      <c r="O40" s="1708"/>
      <c r="P40" s="1708"/>
      <c r="Q40" s="1708"/>
      <c r="R40" s="1708"/>
      <c r="S40" s="1709"/>
      <c r="T40" s="1713" t="str">
        <f>IF(C40="","",INDEX(PMEKITCHEN[Unit of Measure],MATCH(C40,PMEKITCHEN[Eff Desc 1],0)))</f>
        <v/>
      </c>
      <c r="U40" s="1714"/>
      <c r="V40" s="1717"/>
      <c r="W40" s="1718"/>
      <c r="X40" s="1470"/>
      <c r="Y40" s="1471"/>
      <c r="Z40" s="1471"/>
      <c r="AA40" s="1472"/>
      <c r="AB40" s="1470"/>
      <c r="AC40" s="1471"/>
      <c r="AD40" s="1472"/>
      <c r="AE40" s="1722"/>
      <c r="AF40" s="1723"/>
      <c r="AG40" s="1722"/>
      <c r="AH40" s="1723"/>
      <c r="AI40" s="1735" t="str">
        <f>IF(C40="","",INDEX(PMEKITCHEN[Inc Rate Unit],MATCH(C40,PMEKITCHEN[Eff Desc 1],0)))</f>
        <v/>
      </c>
      <c r="AJ40" s="1736"/>
      <c r="AK40" s="1728" t="str">
        <f>IF(OR(C40="",V40="",X40="",AB40="",AE40="",AG40=""),"",ROUND(V40*INDEX(PMEKITCHEN[Savings per Unit kWh],MATCH(C40,PMEKITCHEN[Eff Desc 1],0)),0))</f>
        <v/>
      </c>
      <c r="AL40" s="1729"/>
      <c r="AM40" s="1729"/>
      <c r="AN40" s="1730"/>
      <c r="AO40" s="1726" t="str">
        <f>IF(OR(C40="",V40="",X40="",AB40="",AE40="",AG40=""),"",MIN(AU40,ROUND(V40*AI40,2)))</f>
        <v/>
      </c>
      <c r="AP40" s="1739"/>
      <c r="AQ40" s="1727"/>
      <c r="AR40" s="69"/>
      <c r="AU40" s="804" t="str">
        <f>IF(OR(,V40="",X40="",AB40="",AE40="",AG40=""),"",ROUND((AE40+AG40)*V40,2))</f>
        <v/>
      </c>
      <c r="AV40" s="750" t="str">
        <f>IF(OR(C40="",V40="",X40="",AB40="",AE40="",AG40=""),"",ROUND(V40*INDEX(PMEKITCHEN[Savings per Unit kW],MATCH(C40,PMEKITCHEN[Eff Desc 1],0)),10))</f>
        <v/>
      </c>
    </row>
    <row r="41" spans="2:49" ht="15.95" hidden="1" customHeight="1" x14ac:dyDescent="0.25">
      <c r="B41" s="1204"/>
      <c r="C41" s="824"/>
      <c r="D41" s="825"/>
      <c r="E41" s="825"/>
      <c r="F41" s="825"/>
      <c r="G41" s="825"/>
      <c r="H41" s="825"/>
      <c r="I41" s="825"/>
      <c r="J41" s="825"/>
      <c r="K41" s="825"/>
      <c r="L41" s="825"/>
      <c r="M41" s="826"/>
      <c r="N41" s="1710"/>
      <c r="O41" s="1711"/>
      <c r="P41" s="1711"/>
      <c r="Q41" s="1711"/>
      <c r="R41" s="1711"/>
      <c r="S41" s="1712"/>
      <c r="T41" s="1715"/>
      <c r="U41" s="1716"/>
      <c r="V41" s="1719"/>
      <c r="W41" s="1720"/>
      <c r="X41" s="824"/>
      <c r="Y41" s="825"/>
      <c r="Z41" s="825"/>
      <c r="AA41" s="826"/>
      <c r="AB41" s="824"/>
      <c r="AC41" s="825"/>
      <c r="AD41" s="826"/>
      <c r="AE41" s="1724"/>
      <c r="AF41" s="1725"/>
      <c r="AG41" s="1724"/>
      <c r="AH41" s="1725"/>
      <c r="AI41" s="1737"/>
      <c r="AJ41" s="1738"/>
      <c r="AK41" s="1696"/>
      <c r="AL41" s="1697"/>
      <c r="AM41" s="1697"/>
      <c r="AN41" s="1698"/>
      <c r="AO41" s="1687"/>
      <c r="AP41" s="1740"/>
      <c r="AQ41" s="1688"/>
      <c r="AR41" s="69"/>
      <c r="AU41" s="805"/>
      <c r="AV41" s="751"/>
    </row>
    <row r="42" spans="2:49" ht="15.95" hidden="1" customHeight="1" x14ac:dyDescent="0.25">
      <c r="B42" s="1204">
        <v>14</v>
      </c>
      <c r="C42" s="1470"/>
      <c r="D42" s="1471"/>
      <c r="E42" s="1471"/>
      <c r="F42" s="1471"/>
      <c r="G42" s="1471"/>
      <c r="H42" s="1471"/>
      <c r="I42" s="1471"/>
      <c r="J42" s="1471"/>
      <c r="K42" s="1471"/>
      <c r="L42" s="1471"/>
      <c r="M42" s="1472"/>
      <c r="N42" s="1707" t="str">
        <f>IF(C42="","",INDEX(PMEKITCHEN[Base Desc 1],MATCH(C42,PMEKITCHEN[Eff Desc 1],0)))</f>
        <v/>
      </c>
      <c r="O42" s="1708"/>
      <c r="P42" s="1708"/>
      <c r="Q42" s="1708"/>
      <c r="R42" s="1708"/>
      <c r="S42" s="1709"/>
      <c r="T42" s="1713" t="str">
        <f>IF(C42="","",INDEX(PMEKITCHEN[Unit of Measure],MATCH(C42,PMEKITCHEN[Eff Desc 1],0)))</f>
        <v/>
      </c>
      <c r="U42" s="1714"/>
      <c r="V42" s="1717"/>
      <c r="W42" s="1718"/>
      <c r="X42" s="1470"/>
      <c r="Y42" s="1471"/>
      <c r="Z42" s="1471"/>
      <c r="AA42" s="1472"/>
      <c r="AB42" s="1470"/>
      <c r="AC42" s="1471"/>
      <c r="AD42" s="1472"/>
      <c r="AE42" s="1722"/>
      <c r="AF42" s="1723"/>
      <c r="AG42" s="1722"/>
      <c r="AH42" s="1723"/>
      <c r="AI42" s="1735" t="str">
        <f>IF(C42="","",INDEX(PMEKITCHEN[Inc Rate Unit],MATCH(C42,PMEKITCHEN[Eff Desc 1],0)))</f>
        <v/>
      </c>
      <c r="AJ42" s="1736"/>
      <c r="AK42" s="1728" t="str">
        <f>IF(OR(C42="",V42="",X42="",AB42="",AE42="",AG42=""),"",ROUND(V42*INDEX(PMEKITCHEN[Savings per Unit kWh],MATCH(C42,PMEKITCHEN[Eff Desc 1],0)),0))</f>
        <v/>
      </c>
      <c r="AL42" s="1729"/>
      <c r="AM42" s="1729"/>
      <c r="AN42" s="1730"/>
      <c r="AO42" s="1726" t="str">
        <f>IF(OR(C42="",V42="",X42="",AB42="",AE42="",AG42=""),"",MIN(AU42,ROUND(V42*AI42,2)))</f>
        <v/>
      </c>
      <c r="AP42" s="1739"/>
      <c r="AQ42" s="1727"/>
      <c r="AR42" s="69"/>
      <c r="AU42" s="804" t="str">
        <f>IF(OR(,V42="",X42="",AB42="",AE42="",AG42=""),"",ROUND((AE42+AG42)*V42,2))</f>
        <v/>
      </c>
      <c r="AV42" s="750" t="str">
        <f>IF(OR(C42="",V42="",X42="",AB42="",AE42="",AG42=""),"",ROUND(V42*INDEX(PMEKITCHEN[Savings per Unit kW],MATCH(C42,PMEKITCHEN[Eff Desc 1],0)),10))</f>
        <v/>
      </c>
    </row>
    <row r="43" spans="2:49" ht="15.95" hidden="1" customHeight="1" x14ac:dyDescent="0.25">
      <c r="B43" s="1204"/>
      <c r="C43" s="824"/>
      <c r="D43" s="825"/>
      <c r="E43" s="825"/>
      <c r="F43" s="825"/>
      <c r="G43" s="825"/>
      <c r="H43" s="825"/>
      <c r="I43" s="825"/>
      <c r="J43" s="825"/>
      <c r="K43" s="825"/>
      <c r="L43" s="825"/>
      <c r="M43" s="826"/>
      <c r="N43" s="1710"/>
      <c r="O43" s="1711"/>
      <c r="P43" s="1711"/>
      <c r="Q43" s="1711"/>
      <c r="R43" s="1711"/>
      <c r="S43" s="1712"/>
      <c r="T43" s="1715"/>
      <c r="U43" s="1716"/>
      <c r="V43" s="1719"/>
      <c r="W43" s="1720"/>
      <c r="X43" s="824"/>
      <c r="Y43" s="825"/>
      <c r="Z43" s="825"/>
      <c r="AA43" s="826"/>
      <c r="AB43" s="824"/>
      <c r="AC43" s="825"/>
      <c r="AD43" s="826"/>
      <c r="AE43" s="1724"/>
      <c r="AF43" s="1725"/>
      <c r="AG43" s="1724"/>
      <c r="AH43" s="1725"/>
      <c r="AI43" s="1737"/>
      <c r="AJ43" s="1738"/>
      <c r="AK43" s="1696"/>
      <c r="AL43" s="1697"/>
      <c r="AM43" s="1697"/>
      <c r="AN43" s="1698"/>
      <c r="AO43" s="1687"/>
      <c r="AP43" s="1740"/>
      <c r="AQ43" s="1688"/>
      <c r="AR43" s="69"/>
      <c r="AU43" s="805"/>
      <c r="AV43" s="751"/>
    </row>
    <row r="44" spans="2:49" ht="15.95" hidden="1" customHeight="1" x14ac:dyDescent="0.25">
      <c r="B44" s="1204">
        <v>15</v>
      </c>
      <c r="C44" s="1470"/>
      <c r="D44" s="1471"/>
      <c r="E44" s="1471"/>
      <c r="F44" s="1471"/>
      <c r="G44" s="1471"/>
      <c r="H44" s="1471"/>
      <c r="I44" s="1471"/>
      <c r="J44" s="1471"/>
      <c r="K44" s="1471"/>
      <c r="L44" s="1471"/>
      <c r="M44" s="1472"/>
      <c r="N44" s="1707" t="str">
        <f>IF(C44="","",INDEX(PMEKITCHEN[Base Desc 1],MATCH(C44,PMEKITCHEN[Eff Desc 1],0)))</f>
        <v/>
      </c>
      <c r="O44" s="1708"/>
      <c r="P44" s="1708"/>
      <c r="Q44" s="1708"/>
      <c r="R44" s="1708"/>
      <c r="S44" s="1709"/>
      <c r="T44" s="1713" t="str">
        <f>IF(C44="","",INDEX(PMEKITCHEN[Unit of Measure],MATCH(C44,PMEKITCHEN[Eff Desc 1],0)))</f>
        <v/>
      </c>
      <c r="U44" s="1714"/>
      <c r="V44" s="1717"/>
      <c r="W44" s="1718"/>
      <c r="X44" s="1470"/>
      <c r="Y44" s="1471"/>
      <c r="Z44" s="1471"/>
      <c r="AA44" s="1472"/>
      <c r="AB44" s="1470"/>
      <c r="AC44" s="1471"/>
      <c r="AD44" s="1472"/>
      <c r="AE44" s="1722"/>
      <c r="AF44" s="1723"/>
      <c r="AG44" s="1722"/>
      <c r="AH44" s="1723"/>
      <c r="AI44" s="1735" t="str">
        <f>IF(C44="","",INDEX(PMEKITCHEN[Inc Rate Unit],MATCH(C44,PMEKITCHEN[Eff Desc 1],0)))</f>
        <v/>
      </c>
      <c r="AJ44" s="1736"/>
      <c r="AK44" s="1728" t="str">
        <f>IF(OR(C44="",V44="",X44="",AB44="",AE44="",AG44=""),"",ROUND(V44*INDEX(PMEKITCHEN[Savings per Unit kWh],MATCH(C44,PMEKITCHEN[Eff Desc 1],0)),0))</f>
        <v/>
      </c>
      <c r="AL44" s="1729"/>
      <c r="AM44" s="1729"/>
      <c r="AN44" s="1730"/>
      <c r="AO44" s="1726" t="str">
        <f>IF(OR(C44="",V44="",X44="",AB44="",AE44="",AG44=""),"",MIN(AU44,ROUND(V44*AI44,2)))</f>
        <v/>
      </c>
      <c r="AP44" s="1739"/>
      <c r="AQ44" s="1727"/>
      <c r="AR44" s="69"/>
      <c r="AU44" s="804" t="str">
        <f>IF(OR(,V44="",X44="",AB44="",AE44="",AG44=""),"",ROUND((AE44+AG44)*V44,2))</f>
        <v/>
      </c>
      <c r="AV44" s="750" t="str">
        <f>IF(OR(C44="",V44="",X44="",AB44="",AE44="",AG44=""),"",ROUND(V44*INDEX(PMEKITCHEN[Savings per Unit kW],MATCH(C44,PMEKITCHEN[Eff Desc 1],0)),10))</f>
        <v/>
      </c>
    </row>
    <row r="45" spans="2:49" ht="15.95" hidden="1" customHeight="1" x14ac:dyDescent="0.25">
      <c r="B45" s="1204"/>
      <c r="C45" s="824"/>
      <c r="D45" s="825"/>
      <c r="E45" s="825"/>
      <c r="F45" s="825"/>
      <c r="G45" s="825"/>
      <c r="H45" s="825"/>
      <c r="I45" s="825"/>
      <c r="J45" s="825"/>
      <c r="K45" s="825"/>
      <c r="L45" s="825"/>
      <c r="M45" s="826"/>
      <c r="N45" s="1710"/>
      <c r="O45" s="1711"/>
      <c r="P45" s="1711"/>
      <c r="Q45" s="1711"/>
      <c r="R45" s="1711"/>
      <c r="S45" s="1712"/>
      <c r="T45" s="1715"/>
      <c r="U45" s="1716"/>
      <c r="V45" s="1719"/>
      <c r="W45" s="1720"/>
      <c r="X45" s="824"/>
      <c r="Y45" s="825"/>
      <c r="Z45" s="825"/>
      <c r="AA45" s="826"/>
      <c r="AB45" s="824"/>
      <c r="AC45" s="825"/>
      <c r="AD45" s="826"/>
      <c r="AE45" s="1724"/>
      <c r="AF45" s="1725"/>
      <c r="AG45" s="1724"/>
      <c r="AH45" s="1725"/>
      <c r="AI45" s="1737"/>
      <c r="AJ45" s="1738"/>
      <c r="AK45" s="1696"/>
      <c r="AL45" s="1697"/>
      <c r="AM45" s="1697"/>
      <c r="AN45" s="1698"/>
      <c r="AO45" s="1687"/>
      <c r="AP45" s="1740"/>
      <c r="AQ45" s="1688"/>
      <c r="AR45" s="69"/>
      <c r="AU45" s="805"/>
      <c r="AV45" s="751"/>
    </row>
    <row r="46" spans="2:49"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row>
    <row r="201" spans="2:48"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48" ht="15" hidden="1" customHeight="1" x14ac:dyDescent="0.25"/>
  </sheetData>
  <sheetProtection algorithmName="SHA-512" hashValue="UJ0mpohRtgCoGN3BERVGbnoPqWd+5/5qBdDaYCN3qwnaA1DrKh5Ob+XlQ/aeVTRBcP2KMEM7X4gmzUXuIPFfMQ==" saltValue="/97QX0LxVyCHbm7FadnIWQ==" spinCount="100000" sheet="1" objects="1" scenarios="1" selectLockedCells="1"/>
  <mergeCells count="332">
    <mergeCell ref="C34:M35"/>
    <mergeCell ref="N34:S35"/>
    <mergeCell ref="T34:U35"/>
    <mergeCell ref="V34:W35"/>
    <mergeCell ref="X34:AA35"/>
    <mergeCell ref="AB34:AD35"/>
    <mergeCell ref="AE34:AF35"/>
    <mergeCell ref="AG34:AH35"/>
    <mergeCell ref="AI34:AJ35"/>
    <mergeCell ref="U1:V1"/>
    <mergeCell ref="Y1:Z1"/>
    <mergeCell ref="AW32:AW33"/>
    <mergeCell ref="AW34:AW35"/>
    <mergeCell ref="AW14:AW15"/>
    <mergeCell ref="AW16:AW17"/>
    <mergeCell ref="AW18:AW19"/>
    <mergeCell ref="AW20:AW21"/>
    <mergeCell ref="AW22:AW23"/>
    <mergeCell ref="AW24:AW25"/>
    <mergeCell ref="AW26:AW27"/>
    <mergeCell ref="AW28:AW29"/>
    <mergeCell ref="AW30:AW31"/>
    <mergeCell ref="AK34:AN35"/>
    <mergeCell ref="AO34:AQ35"/>
    <mergeCell ref="AK28:AN29"/>
    <mergeCell ref="AO28:AQ29"/>
    <mergeCell ref="AK30:AN31"/>
    <mergeCell ref="AB28:AD29"/>
    <mergeCell ref="AE28:AF29"/>
    <mergeCell ref="AG28:AH29"/>
    <mergeCell ref="AI28:AJ29"/>
    <mergeCell ref="AK24:AN25"/>
    <mergeCell ref="AO24:AQ25"/>
    <mergeCell ref="C32:M33"/>
    <mergeCell ref="N32:S33"/>
    <mergeCell ref="T32:U33"/>
    <mergeCell ref="AH1:AK1"/>
    <mergeCell ref="AL1:AP1"/>
    <mergeCell ref="AH2:AK3"/>
    <mergeCell ref="AL2:AP3"/>
    <mergeCell ref="AQ1:AR1"/>
    <mergeCell ref="AQ2:AR3"/>
    <mergeCell ref="AK32:AN33"/>
    <mergeCell ref="AO32:AQ33"/>
    <mergeCell ref="V32:W33"/>
    <mergeCell ref="X32:AA33"/>
    <mergeCell ref="AB32:AD33"/>
    <mergeCell ref="AE32:AF33"/>
    <mergeCell ref="AG32:AH33"/>
    <mergeCell ref="AI32:AJ33"/>
    <mergeCell ref="AO30:AQ31"/>
    <mergeCell ref="C28:M29"/>
    <mergeCell ref="N28:S29"/>
    <mergeCell ref="T28:U29"/>
    <mergeCell ref="V28:W29"/>
    <mergeCell ref="X28:AA29"/>
    <mergeCell ref="Q1:R1"/>
    <mergeCell ref="AK44:AN45"/>
    <mergeCell ref="AO44:AQ45"/>
    <mergeCell ref="AK40:AN41"/>
    <mergeCell ref="AO40:AQ41"/>
    <mergeCell ref="AK42:AN43"/>
    <mergeCell ref="AO42:AQ43"/>
    <mergeCell ref="AK36:AN37"/>
    <mergeCell ref="AO36:AQ37"/>
    <mergeCell ref="AK38:AN39"/>
    <mergeCell ref="AO38:AQ39"/>
    <mergeCell ref="C44:M45"/>
    <mergeCell ref="N44:S45"/>
    <mergeCell ref="T44:U45"/>
    <mergeCell ref="V44:W45"/>
    <mergeCell ref="X44:AA45"/>
    <mergeCell ref="AB44:AD45"/>
    <mergeCell ref="AE44:AF45"/>
    <mergeCell ref="AG44:AH45"/>
    <mergeCell ref="AI44:AJ45"/>
    <mergeCell ref="C42:M43"/>
    <mergeCell ref="N42:S43"/>
    <mergeCell ref="T42:U43"/>
    <mergeCell ref="V42:W43"/>
    <mergeCell ref="X42:AA43"/>
    <mergeCell ref="AB42:AD43"/>
    <mergeCell ref="AE42:AF43"/>
    <mergeCell ref="AG42:AH43"/>
    <mergeCell ref="AI42:AJ43"/>
    <mergeCell ref="C40:M41"/>
    <mergeCell ref="N40:S41"/>
    <mergeCell ref="T40:U41"/>
    <mergeCell ref="V40:W41"/>
    <mergeCell ref="X40:AA41"/>
    <mergeCell ref="AB40:AD41"/>
    <mergeCell ref="AE40:AF41"/>
    <mergeCell ref="AG40:AH41"/>
    <mergeCell ref="AI40:AJ41"/>
    <mergeCell ref="C38:M39"/>
    <mergeCell ref="N38:S39"/>
    <mergeCell ref="T38:U39"/>
    <mergeCell ref="V38:W39"/>
    <mergeCell ref="X38:AA39"/>
    <mergeCell ref="AB38:AD39"/>
    <mergeCell ref="AE38:AF39"/>
    <mergeCell ref="AG38:AH39"/>
    <mergeCell ref="AI38:AJ39"/>
    <mergeCell ref="C36:M37"/>
    <mergeCell ref="N36:S37"/>
    <mergeCell ref="T36:U37"/>
    <mergeCell ref="V36:W37"/>
    <mergeCell ref="X36:AA37"/>
    <mergeCell ref="AB36:AD37"/>
    <mergeCell ref="AE36:AF37"/>
    <mergeCell ref="AG36:AH37"/>
    <mergeCell ref="AI36:AJ37"/>
    <mergeCell ref="C30:M31"/>
    <mergeCell ref="N30:S31"/>
    <mergeCell ref="T30:U31"/>
    <mergeCell ref="V30:W31"/>
    <mergeCell ref="X30:AA31"/>
    <mergeCell ref="AB30:AD31"/>
    <mergeCell ref="AE30:AF31"/>
    <mergeCell ref="AG30:AH31"/>
    <mergeCell ref="AI30:AJ31"/>
    <mergeCell ref="AK26:AN27"/>
    <mergeCell ref="AO26:AQ27"/>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J11:Q13"/>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O9:AF10"/>
    <mergeCell ref="AE14:AH14"/>
    <mergeCell ref="AE15:AF15"/>
    <mergeCell ref="AG15:AH15"/>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s>
  <conditionalFormatting sqref="O9">
    <cfRule type="expression" dxfId="224" priority="323">
      <formula>ISNUMBER(SEARCH("Inspection",$O$9))</formula>
    </cfRule>
  </conditionalFormatting>
  <conditionalFormatting sqref="AH2 AL2">
    <cfRule type="expression" dxfId="223" priority="4">
      <formula>PROJSTATUS=PROJSTATELI</formula>
    </cfRule>
    <cfRule type="expression" dxfId="222" priority="5">
      <formula>PROJSTATUS=PROJSTATREVIEW</formula>
    </cfRule>
    <cfRule type="expression" dxfId="221" priority="6">
      <formula>PROJSTATUS=PROJSTATPREAPPROVE</formula>
    </cfRule>
    <cfRule type="expression" dxfId="220" priority="7">
      <formula>PROJSTATUS=PROJSTATSTANDARD</formula>
    </cfRule>
    <cfRule type="expression" dxfId="219" priority="8">
      <formula>PROJSTATUS=PROJSTATEXP</formula>
    </cfRule>
  </conditionalFormatting>
  <conditionalFormatting sqref="AO16:AQ35">
    <cfRule type="expression" dxfId="218" priority="2">
      <formula>ISNUMBER($AO16)=FALSE</formula>
    </cfRule>
    <cfRule type="expression" dxfId="217" priority="3">
      <formula>$AW16="Yes"</formula>
    </cfRule>
  </conditionalFormatting>
  <conditionalFormatting sqref="AQ2:AR3">
    <cfRule type="cellIs" dxfId="216" priority="19" operator="equal">
      <formula>1</formula>
    </cfRule>
    <cfRule type="cellIs" dxfId="215" priority="20" operator="between">
      <formula>0.51</formula>
      <formula>0.99</formula>
    </cfRule>
    <cfRule type="cellIs" dxfId="214" priority="21" operator="lessThanOrEqual">
      <formula>0.5</formula>
    </cfRule>
  </conditionalFormatting>
  <dataValidations count="4">
    <dataValidation type="list" allowBlank="1" showInputMessage="1" showErrorMessage="1" sqref="C36:M45" xr:uid="{00000000-0002-0000-1900-000000000000}">
      <formula1>PMEKITCHENEFF1</formula1>
    </dataValidation>
    <dataValidation type="whole" allowBlank="1" showInputMessage="1" showErrorMessage="1" error="Please enter a numerical value" prompt="Reference the &quot;Unit of Measure&quot; column to ensure you enter the correct value based on unit type." sqref="V16:W45" xr:uid="{00000000-0002-0000-1900-000001000000}">
      <formula1>0</formula1>
      <formula2>99999</formula2>
    </dataValidation>
    <dataValidation type="decimal" allowBlank="1" showInputMessage="1" showErrorMessage="1" error="Please enter a numerical value" sqref="AE16:AH45" xr:uid="{00000000-0002-0000-1900-000002000000}">
      <formula1>0</formula1>
      <formula2>999999</formula2>
    </dataValidation>
    <dataValidation type="list" allowBlank="1" showInputMessage="1" showErrorMessage="1" sqref="C16:M35" xr:uid="{00000000-0002-0000-1900-000003000000}">
      <formula1>PMEREFRIEFF1</formula1>
    </dataValidation>
  </dataValidations>
  <hyperlinks>
    <hyperlink ref="B202" r:id="rId1" display="NIPSCO.Savings@LMCO.com" xr:uid="{00000000-0004-0000-1900-000000000000}"/>
  </hyperlinks>
  <pageMargins left="0.25" right="0.25" top="0.25" bottom="0.25" header="0.25" footer="0.25"/>
  <pageSetup scale="64"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pageSetUpPr fitToPage="1"/>
  </sheetPr>
  <dimension ref="A1:BZ203"/>
  <sheetViews>
    <sheetView showGridLines="0" showRowColHeaders="0" zoomScale="85" zoomScaleNormal="85" workbookViewId="0">
      <selection activeCell="C16" sqref="C16:L17"/>
    </sheetView>
  </sheetViews>
  <sheetFormatPr defaultColWidth="0" defaultRowHeight="0"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49"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9" ht="15.95" customHeight="1" x14ac:dyDescent="0.25">
      <c r="AH3" s="604"/>
      <c r="AI3" s="605"/>
      <c r="AJ3" s="605"/>
      <c r="AK3" s="605"/>
      <c r="AL3" s="614"/>
      <c r="AM3" s="614"/>
      <c r="AN3" s="614"/>
      <c r="AO3" s="614"/>
      <c r="AP3" s="614"/>
      <c r="AQ3" s="610"/>
      <c r="AR3" s="611"/>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row r="9" spans="2:49" ht="15.95" customHeight="1" x14ac:dyDescent="0.25">
      <c r="B9" s="69"/>
      <c r="C9" s="69"/>
      <c r="D9" s="69"/>
      <c r="E9" s="69"/>
      <c r="F9" s="69"/>
      <c r="G9" s="69"/>
      <c r="H9" s="69"/>
      <c r="I9" s="69"/>
      <c r="J9" s="69"/>
      <c r="K9" s="69"/>
      <c r="L9" s="69"/>
      <c r="M9" s="69"/>
      <c r="N9" s="69"/>
      <c r="O9" s="794" t="str">
        <f>IF(INCENSTATUS="---",CONCATENATE(M4S3," ","Summary"),IF(INCENSTATUS&gt;15000,"This project may require an inspection. Please submit photos of existing equipment and of new efficient equipment once installed.",CONCATENATE(M4S3," ","Summary")))</f>
        <v>Commercial Cooking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49" ht="15.95" customHeight="1" x14ac:dyDescent="0.3">
      <c r="B11" s="69"/>
      <c r="C11" s="69"/>
      <c r="D11" s="69"/>
      <c r="E11" s="69"/>
      <c r="F11" s="69"/>
      <c r="G11" s="69"/>
      <c r="H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row>
    <row r="12" spans="2:49" ht="15.95" customHeight="1" x14ac:dyDescent="0.25">
      <c r="B12" s="69"/>
      <c r="C12" s="69"/>
      <c r="D12" s="69"/>
      <c r="E12" s="69"/>
      <c r="F12" s="69"/>
      <c r="G12" s="69"/>
      <c r="H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D12" s="69"/>
      <c r="AE12" s="69"/>
      <c r="AF12" s="69"/>
      <c r="AG12" s="69"/>
      <c r="AH12" s="69"/>
      <c r="AI12" s="69"/>
      <c r="AJ12" s="69"/>
      <c r="AK12" s="69"/>
      <c r="AL12" s="69"/>
      <c r="AM12" s="69"/>
      <c r="AN12" s="69"/>
      <c r="AO12" s="69"/>
      <c r="AP12" s="69"/>
      <c r="AQ12" s="69"/>
      <c r="AR12" s="69"/>
      <c r="AU12" s="69"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D13" s="69"/>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799" t="s">
        <v>1126</v>
      </c>
      <c r="D14" s="799"/>
      <c r="E14" s="799"/>
      <c r="F14" s="799"/>
      <c r="G14" s="799"/>
      <c r="H14" s="799"/>
      <c r="I14" s="799"/>
      <c r="J14" s="799"/>
      <c r="K14" s="799"/>
      <c r="L14" s="799"/>
      <c r="M14" s="745" t="s">
        <v>2058</v>
      </c>
      <c r="N14" s="745"/>
      <c r="O14" s="745"/>
      <c r="P14" s="745"/>
      <c r="Q14" s="745"/>
      <c r="R14" s="745"/>
      <c r="S14" s="745"/>
      <c r="T14" s="745"/>
      <c r="U14" s="745"/>
      <c r="V14" s="745" t="s">
        <v>2059</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U14" s="799" t="s">
        <v>191</v>
      </c>
      <c r="AV14" s="799" t="s">
        <v>192</v>
      </c>
      <c r="AW14" s="799" t="s">
        <v>1352</v>
      </c>
    </row>
    <row r="15" spans="2:49" ht="15.95" customHeight="1" thickBot="1" x14ac:dyDescent="0.3">
      <c r="B15" s="69"/>
      <c r="C15" s="746"/>
      <c r="D15" s="746"/>
      <c r="E15" s="746"/>
      <c r="F15" s="746"/>
      <c r="G15" s="746"/>
      <c r="H15" s="746"/>
      <c r="I15" s="746"/>
      <c r="J15" s="746"/>
      <c r="K15" s="746"/>
      <c r="L15" s="746"/>
      <c r="M15" s="1414"/>
      <c r="N15" s="1414"/>
      <c r="O15" s="1414"/>
      <c r="P15" s="1414"/>
      <c r="Q15" s="1414"/>
      <c r="R15" s="1414"/>
      <c r="S15" s="1414"/>
      <c r="T15" s="1414"/>
      <c r="U15" s="1414"/>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U15" s="746"/>
      <c r="AV15" s="746"/>
      <c r="AW15" s="746"/>
    </row>
    <row r="16" spans="2:49" ht="15.95" customHeight="1" x14ac:dyDescent="0.25">
      <c r="B16" s="1193">
        <v>1</v>
      </c>
      <c r="C16" s="842"/>
      <c r="D16" s="822"/>
      <c r="E16" s="822"/>
      <c r="F16" s="822"/>
      <c r="G16" s="822"/>
      <c r="H16" s="822"/>
      <c r="I16" s="822"/>
      <c r="J16" s="822"/>
      <c r="K16" s="822"/>
      <c r="L16" s="822"/>
      <c r="M16" s="1741" t="str">
        <f>IF(C16="","",INDEX(PMEKITCHEN[Base Desc 1],MATCH(C16,PMEKITCHEN[Eff Desc 1],0)))</f>
        <v/>
      </c>
      <c r="N16" s="1741"/>
      <c r="O16" s="1741"/>
      <c r="P16" s="1741"/>
      <c r="Q16" s="1741"/>
      <c r="R16" s="1741"/>
      <c r="S16" s="1742" t="str">
        <f t="shared" ref="S16" si="0">IF(C16="","",IF(ISNUMBER(SEARCH("Demand Control",C16)),"Enter Fan HP",""))</f>
        <v/>
      </c>
      <c r="T16" s="1742"/>
      <c r="U16" s="1743"/>
      <c r="V16" s="1746"/>
      <c r="W16" s="1747"/>
      <c r="X16" s="1750"/>
      <c r="Y16" s="1471"/>
      <c r="Z16" s="1471"/>
      <c r="AA16" s="1472"/>
      <c r="AB16" s="1750"/>
      <c r="AC16" s="1471"/>
      <c r="AD16" s="1472"/>
      <c r="AE16" s="1722"/>
      <c r="AF16" s="1723"/>
      <c r="AG16" s="1722"/>
      <c r="AH16" s="1723"/>
      <c r="AI16" s="1735" t="str">
        <f>IF(C16="","",INDEX(PMEKITCHEN[Inc Rate Unit],MATCH(C16,PMEKITCHEN[Eff Desc 1],0)))</f>
        <v/>
      </c>
      <c r="AJ16" s="1736"/>
      <c r="AK16" s="1728" t="str">
        <f>IF(OR(C16="",V16="",X16="",AB16="",AE16="",AG16=""),"",IF(ISNUMBER(SEARCH("Demand Control",C16)),S16*V16*INDEX(PMEKITCHEN[Savings per Unit kWh],MATCH(C16,PMEKITCHEN[Eff Desc 1],0)),ROUND(V16*INDEX(PMEKITCHEN[Savings per Unit kWh],MATCH(C16,PMEKITCHEN[Eff Desc 1],0)),0)))</f>
        <v/>
      </c>
      <c r="AL16" s="1729"/>
      <c r="AM16" s="1729"/>
      <c r="AN16" s="1730"/>
      <c r="AO16" s="1751" t="str">
        <f>IFERROR(IF(M02S02F44="","Update Install Status",IF(M02S02F49="Yes","Not Eligible",IF(OR(C16="",V16="",X16="",AB16="",AE16="",AG16=""),"",IF(ISNUMBER(SEARCH("Demand Control",C16)),MIN(AU16,ROUND(AI16*S16*V16,2)),MIN(AU16,ROUND(V16*AI16,2)))))),0)</f>
        <v>Update Install Status</v>
      </c>
      <c r="AP16" s="1752"/>
      <c r="AQ16" s="1753"/>
      <c r="AR16" s="69"/>
      <c r="AU16" s="804" t="str">
        <f>IF(OR(C16="",V16="",X16="",AB16="",AE16="",AG16=""),"",ROUND((AE16+AG16),2))</f>
        <v/>
      </c>
      <c r="AV16" s="752" t="str">
        <f>IF(OR(C16="",V16="",X16="",AB16="",AE16="",AG16=""),"",ROUND(AK16*INDEX(ENDUSEALL[Factor],MATCH(INDEX(PMEKITCHEN[End Use Category],MATCH(C16,PMEKITCHEN[Eff Desc 1],0)),ENDUSEALL[End Use to Coincident Peak Demand Factors],0)),4))</f>
        <v/>
      </c>
      <c r="AW16" s="752" t="str">
        <f>IF(OR(C16="",V16="",X16="",AB16="",AE16="",AG16=""),"",IF(AO16&lt;&gt;AU16,"No","Yes"))</f>
        <v/>
      </c>
    </row>
    <row r="17" spans="2:49" ht="15.95" customHeight="1" x14ac:dyDescent="0.25">
      <c r="B17" s="1193"/>
      <c r="C17" s="824"/>
      <c r="D17" s="825"/>
      <c r="E17" s="825"/>
      <c r="F17" s="825"/>
      <c r="G17" s="825"/>
      <c r="H17" s="825"/>
      <c r="I17" s="825"/>
      <c r="J17" s="825"/>
      <c r="K17" s="825"/>
      <c r="L17" s="825"/>
      <c r="M17" s="1711"/>
      <c r="N17" s="1711"/>
      <c r="O17" s="1711"/>
      <c r="P17" s="1711"/>
      <c r="Q17" s="1711"/>
      <c r="R17" s="1711"/>
      <c r="S17" s="1744"/>
      <c r="T17" s="1744"/>
      <c r="U17" s="1745"/>
      <c r="V17" s="1748"/>
      <c r="W17" s="1749"/>
      <c r="X17" s="824"/>
      <c r="Y17" s="825"/>
      <c r="Z17" s="825"/>
      <c r="AA17" s="826"/>
      <c r="AB17" s="824"/>
      <c r="AC17" s="825"/>
      <c r="AD17" s="826"/>
      <c r="AE17" s="1724"/>
      <c r="AF17" s="1725"/>
      <c r="AG17" s="1724"/>
      <c r="AH17" s="1725"/>
      <c r="AI17" s="1737"/>
      <c r="AJ17" s="1738"/>
      <c r="AK17" s="1696"/>
      <c r="AL17" s="1697"/>
      <c r="AM17" s="1697"/>
      <c r="AN17" s="1698"/>
      <c r="AO17" s="1754"/>
      <c r="AP17" s="1755"/>
      <c r="AQ17" s="1756"/>
      <c r="AR17" s="69"/>
      <c r="AU17" s="805"/>
      <c r="AV17" s="753"/>
      <c r="AW17" s="753"/>
    </row>
    <row r="18" spans="2:49" ht="15.95" customHeight="1" x14ac:dyDescent="0.25">
      <c r="B18" s="1204">
        <v>2</v>
      </c>
      <c r="C18" s="842"/>
      <c r="D18" s="822"/>
      <c r="E18" s="822"/>
      <c r="F18" s="822"/>
      <c r="G18" s="822"/>
      <c r="H18" s="822"/>
      <c r="I18" s="822"/>
      <c r="J18" s="822"/>
      <c r="K18" s="822"/>
      <c r="L18" s="822"/>
      <c r="M18" s="1741" t="str">
        <f>IF(C18="","",INDEX(PMEKITCHEN[Base Desc 1],MATCH(C18,PMEKITCHEN[Eff Desc 1],0)))</f>
        <v/>
      </c>
      <c r="N18" s="1741"/>
      <c r="O18" s="1741"/>
      <c r="P18" s="1741"/>
      <c r="Q18" s="1741"/>
      <c r="R18" s="1741"/>
      <c r="S18" s="1742" t="str">
        <f t="shared" ref="S18" si="1">IF(C18="","",IF(ISNUMBER(SEARCH("Demand Control",C18)),"Enter Fan HP",""))</f>
        <v/>
      </c>
      <c r="T18" s="1742"/>
      <c r="U18" s="1743"/>
      <c r="V18" s="1748"/>
      <c r="W18" s="1749"/>
      <c r="X18" s="1750"/>
      <c r="Y18" s="1471"/>
      <c r="Z18" s="1471"/>
      <c r="AA18" s="1472"/>
      <c r="AB18" s="1750"/>
      <c r="AC18" s="1471"/>
      <c r="AD18" s="1472"/>
      <c r="AE18" s="1722"/>
      <c r="AF18" s="1723"/>
      <c r="AG18" s="1722"/>
      <c r="AH18" s="1723"/>
      <c r="AI18" s="1735" t="str">
        <f>IF(C18="","",INDEX(PMEKITCHEN[Inc Rate Unit],MATCH(C18,PMEKITCHEN[Eff Desc 1],0)))</f>
        <v/>
      </c>
      <c r="AJ18" s="1736"/>
      <c r="AK18" s="1728" t="str">
        <f>IF(OR(C18="",V18="",X18="",AB18="",AE18="",AG18=""),"",IF(ISNUMBER(SEARCH("Demand Control",C18)),S18*V18*INDEX(PMEKITCHEN[Savings per Unit kWh],MATCH(C18,PMEKITCHEN[Eff Desc 1],0)),ROUND(V18*INDEX(PMEKITCHEN[Savings per Unit kWh],MATCH(C18,PMEKITCHEN[Eff Desc 1],0)),0)))</f>
        <v/>
      </c>
      <c r="AL18" s="1729"/>
      <c r="AM18" s="1729"/>
      <c r="AN18" s="1730"/>
      <c r="AO18" s="1751" t="str">
        <f>IFERROR(IF(M02S02F44="","Update Install Status",IF(M02S02F49="Yes","Not Eligible",IF(OR(C18="",V18="",X18="",AB18="",AE18="",AG18=""),"",IF(ISNUMBER(SEARCH("Demand Control",C18)),MIN(AU18,ROUND(AI18*S18*V18,2)),MIN(AU18,ROUND(V18*AI18,2)))))),0)</f>
        <v>Update Install Status</v>
      </c>
      <c r="AP18" s="1752"/>
      <c r="AQ18" s="1753"/>
      <c r="AR18" s="69"/>
      <c r="AU18" s="804" t="str">
        <f t="shared" ref="AU18" si="2">IF(OR(C18="",V18="",X18="",AB18="",AE18="",AG18=""),"",ROUND((AE18+AG18),2))</f>
        <v/>
      </c>
      <c r="AV18" s="752" t="str">
        <f>IF(OR(C18="",V18="",X18="",AB18="",AE18="",AG18=""),"",ROUND(AK18*INDEX(ENDUSEALL[Factor],MATCH(INDEX(PMEKITCHEN[End Use Category],MATCH(C18,PMEKITCHEN[Eff Desc 1],0)),ENDUSEALL[End Use to Coincident Peak Demand Factors],0)),4))</f>
        <v/>
      </c>
      <c r="AW18" s="1757" t="str">
        <f t="shared" ref="AW18" si="3">IF(OR(C18="",V18="",X18="",AB18="",AE18="",AG18=""),"",IF(AO18&lt;&gt;AU18,"No","Yes"))</f>
        <v/>
      </c>
    </row>
    <row r="19" spans="2:49" ht="15.95" customHeight="1" x14ac:dyDescent="0.25">
      <c r="B19" s="1204"/>
      <c r="C19" s="824"/>
      <c r="D19" s="825"/>
      <c r="E19" s="825"/>
      <c r="F19" s="825"/>
      <c r="G19" s="825"/>
      <c r="H19" s="825"/>
      <c r="I19" s="825"/>
      <c r="J19" s="825"/>
      <c r="K19" s="825"/>
      <c r="L19" s="825"/>
      <c r="M19" s="1711"/>
      <c r="N19" s="1711"/>
      <c r="O19" s="1711"/>
      <c r="P19" s="1711"/>
      <c r="Q19" s="1711"/>
      <c r="R19" s="1711"/>
      <c r="S19" s="1744"/>
      <c r="T19" s="1744"/>
      <c r="U19" s="1745"/>
      <c r="V19" s="1748"/>
      <c r="W19" s="1749"/>
      <c r="X19" s="824"/>
      <c r="Y19" s="825"/>
      <c r="Z19" s="825"/>
      <c r="AA19" s="826"/>
      <c r="AB19" s="824"/>
      <c r="AC19" s="825"/>
      <c r="AD19" s="826"/>
      <c r="AE19" s="1724"/>
      <c r="AF19" s="1725"/>
      <c r="AG19" s="1724"/>
      <c r="AH19" s="1725"/>
      <c r="AI19" s="1737"/>
      <c r="AJ19" s="1738"/>
      <c r="AK19" s="1696"/>
      <c r="AL19" s="1697"/>
      <c r="AM19" s="1697"/>
      <c r="AN19" s="1698"/>
      <c r="AO19" s="1754"/>
      <c r="AP19" s="1755"/>
      <c r="AQ19" s="1756"/>
      <c r="AR19" s="69"/>
      <c r="AU19" s="805"/>
      <c r="AV19" s="753"/>
      <c r="AW19" s="753"/>
    </row>
    <row r="20" spans="2:49" ht="15.95" customHeight="1" x14ac:dyDescent="0.25">
      <c r="B20" s="1204">
        <v>3</v>
      </c>
      <c r="C20" s="842"/>
      <c r="D20" s="822"/>
      <c r="E20" s="822"/>
      <c r="F20" s="822"/>
      <c r="G20" s="822"/>
      <c r="H20" s="822"/>
      <c r="I20" s="822"/>
      <c r="J20" s="822"/>
      <c r="K20" s="822"/>
      <c r="L20" s="822"/>
      <c r="M20" s="1741" t="str">
        <f>IF(C20="","",INDEX(PMEKITCHEN[Base Desc 1],MATCH(C20,PMEKITCHEN[Eff Desc 1],0)))</f>
        <v/>
      </c>
      <c r="N20" s="1741"/>
      <c r="O20" s="1741"/>
      <c r="P20" s="1741"/>
      <c r="Q20" s="1741"/>
      <c r="R20" s="1741"/>
      <c r="S20" s="1742" t="str">
        <f t="shared" ref="S20" si="4">IF(C20="","",IF(ISNUMBER(SEARCH("Demand Control",C20)),"Enter Fan HP",""))</f>
        <v/>
      </c>
      <c r="T20" s="1742"/>
      <c r="U20" s="1743"/>
      <c r="V20" s="1748"/>
      <c r="W20" s="1749"/>
      <c r="X20" s="1750"/>
      <c r="Y20" s="1471"/>
      <c r="Z20" s="1471"/>
      <c r="AA20" s="1472"/>
      <c r="AB20" s="1750"/>
      <c r="AC20" s="1471"/>
      <c r="AD20" s="1472"/>
      <c r="AE20" s="1722"/>
      <c r="AF20" s="1723"/>
      <c r="AG20" s="1722"/>
      <c r="AH20" s="1723"/>
      <c r="AI20" s="1735" t="str">
        <f>IF(C20="","",INDEX(PMEKITCHEN[Inc Rate Unit],MATCH(C20,PMEKITCHEN[Eff Desc 1],0)))</f>
        <v/>
      </c>
      <c r="AJ20" s="1736"/>
      <c r="AK20" s="1728" t="str">
        <f>IF(OR(C20="",V20="",X20="",AB20="",AE20="",AG20=""),"",IF(ISNUMBER(SEARCH("Demand Control",C20)),S20*V20*INDEX(PMEKITCHEN[Savings per Unit kWh],MATCH(C20,PMEKITCHEN[Eff Desc 1],0)),ROUND(V20*INDEX(PMEKITCHEN[Savings per Unit kWh],MATCH(C20,PMEKITCHEN[Eff Desc 1],0)),0)))</f>
        <v/>
      </c>
      <c r="AL20" s="1729"/>
      <c r="AM20" s="1729"/>
      <c r="AN20" s="1730"/>
      <c r="AO20" s="1751" t="str">
        <f>IFERROR(IF(M02S02F44="","Update Install Status",IF(M02S02F49="Yes","Not Eligible",IF(OR(C20="",V20="",X20="",AB20="",AE20="",AG20=""),"",IF(ISNUMBER(SEARCH("Demand Control",C20)),MIN(AU20,ROUND(AI20*S20*V20,2)),MIN(AU20,ROUND(V20*AI20,2)))))),0)</f>
        <v>Update Install Status</v>
      </c>
      <c r="AP20" s="1752"/>
      <c r="AQ20" s="1753"/>
      <c r="AR20" s="69"/>
      <c r="AU20" s="804" t="str">
        <f t="shared" ref="AU20" si="5">IF(OR(C20="",V20="",X20="",AB20="",AE20="",AG20=""),"",ROUND((AE20+AG20),2))</f>
        <v/>
      </c>
      <c r="AV20" s="752" t="str">
        <f>IF(OR(C20="",V20="",X20="",AB20="",AE20="",AG20=""),"",ROUND(AK20*INDEX(ENDUSEALL[Factor],MATCH(INDEX(PMEKITCHEN[End Use Category],MATCH(C20,PMEKITCHEN[Eff Desc 1],0)),ENDUSEALL[End Use to Coincident Peak Demand Factors],0)),4))</f>
        <v/>
      </c>
      <c r="AW20" s="1757" t="str">
        <f t="shared" ref="AW20" si="6">IF(OR(C20="",V20="",X20="",AB20="",AE20="",AG20=""),"",IF(AO20&lt;&gt;AU20,"No","Yes"))</f>
        <v/>
      </c>
    </row>
    <row r="21" spans="2:49" ht="15.95" customHeight="1" x14ac:dyDescent="0.25">
      <c r="B21" s="1204"/>
      <c r="C21" s="824"/>
      <c r="D21" s="825"/>
      <c r="E21" s="825"/>
      <c r="F21" s="825"/>
      <c r="G21" s="825"/>
      <c r="H21" s="825"/>
      <c r="I21" s="825"/>
      <c r="J21" s="825"/>
      <c r="K21" s="825"/>
      <c r="L21" s="825"/>
      <c r="M21" s="1711"/>
      <c r="N21" s="1711"/>
      <c r="O21" s="1711"/>
      <c r="P21" s="1711"/>
      <c r="Q21" s="1711"/>
      <c r="R21" s="1711"/>
      <c r="S21" s="1744"/>
      <c r="T21" s="1744"/>
      <c r="U21" s="1745"/>
      <c r="V21" s="1748"/>
      <c r="W21" s="1749"/>
      <c r="X21" s="824"/>
      <c r="Y21" s="825"/>
      <c r="Z21" s="825"/>
      <c r="AA21" s="826"/>
      <c r="AB21" s="824"/>
      <c r="AC21" s="825"/>
      <c r="AD21" s="826"/>
      <c r="AE21" s="1724"/>
      <c r="AF21" s="1725"/>
      <c r="AG21" s="1724"/>
      <c r="AH21" s="1725"/>
      <c r="AI21" s="1737"/>
      <c r="AJ21" s="1738"/>
      <c r="AK21" s="1696"/>
      <c r="AL21" s="1697"/>
      <c r="AM21" s="1697"/>
      <c r="AN21" s="1698"/>
      <c r="AO21" s="1754"/>
      <c r="AP21" s="1755"/>
      <c r="AQ21" s="1756"/>
      <c r="AR21" s="69"/>
      <c r="AU21" s="805"/>
      <c r="AV21" s="753"/>
      <c r="AW21" s="753"/>
    </row>
    <row r="22" spans="2:49" ht="15.95" customHeight="1" x14ac:dyDescent="0.25">
      <c r="B22" s="1204">
        <v>4</v>
      </c>
      <c r="C22" s="842"/>
      <c r="D22" s="822"/>
      <c r="E22" s="822"/>
      <c r="F22" s="822"/>
      <c r="G22" s="822"/>
      <c r="H22" s="822"/>
      <c r="I22" s="822"/>
      <c r="J22" s="822"/>
      <c r="K22" s="822"/>
      <c r="L22" s="822"/>
      <c r="M22" s="1741" t="str">
        <f>IF(C22="","",INDEX(PMEKITCHEN[Base Desc 1],MATCH(C22,PMEKITCHEN[Eff Desc 1],0)))</f>
        <v/>
      </c>
      <c r="N22" s="1741"/>
      <c r="O22" s="1741"/>
      <c r="P22" s="1741"/>
      <c r="Q22" s="1741"/>
      <c r="R22" s="1741"/>
      <c r="S22" s="1742" t="str">
        <f t="shared" ref="S22" si="7">IF(C22="","",IF(ISNUMBER(SEARCH("Demand Control",C22)),"Enter Fan HP",""))</f>
        <v/>
      </c>
      <c r="T22" s="1742"/>
      <c r="U22" s="1743"/>
      <c r="V22" s="1748"/>
      <c r="W22" s="1749"/>
      <c r="X22" s="1470"/>
      <c r="Y22" s="1471"/>
      <c r="Z22" s="1471"/>
      <c r="AA22" s="1472"/>
      <c r="AB22" s="1470"/>
      <c r="AC22" s="1471"/>
      <c r="AD22" s="1472"/>
      <c r="AE22" s="1722"/>
      <c r="AF22" s="1723"/>
      <c r="AG22" s="1722"/>
      <c r="AH22" s="1723"/>
      <c r="AI22" s="1735" t="str">
        <f>IF(C22="","",INDEX(PMEKITCHEN[Inc Rate Unit],MATCH(C22,PMEKITCHEN[Eff Desc 1],0)))</f>
        <v/>
      </c>
      <c r="AJ22" s="1736"/>
      <c r="AK22" s="1728" t="str">
        <f>IF(OR(C22="",V22="",X22="",AB22="",AE22="",AG22=""),"",IF(ISNUMBER(SEARCH("Demand Control",C22)),S22*V22*INDEX(PMEKITCHEN[Savings per Unit kWh],MATCH(C22,PMEKITCHEN[Eff Desc 1],0)),ROUND(V22*INDEX(PMEKITCHEN[Savings per Unit kWh],MATCH(C22,PMEKITCHEN[Eff Desc 1],0)),0)))</f>
        <v/>
      </c>
      <c r="AL22" s="1729"/>
      <c r="AM22" s="1729"/>
      <c r="AN22" s="1730"/>
      <c r="AO22" s="1751" t="str">
        <f>IFERROR(IF(M02S02F44="","Update Install Status",IF(M02S02F49="Yes","Not Eligible",IF(OR(C22="",V22="",X22="",AB22="",AE22="",AG22=""),"",IF(ISNUMBER(SEARCH("Demand Control",C22)),MIN(AU22,ROUND(AI22*S22*V22,2)),MIN(AU22,ROUND(V22*AI22,2)))))),0)</f>
        <v>Update Install Status</v>
      </c>
      <c r="AP22" s="1752"/>
      <c r="AQ22" s="1753"/>
      <c r="AR22" s="69"/>
      <c r="AU22" s="804" t="str">
        <f t="shared" ref="AU22" si="8">IF(OR(C22="",V22="",X22="",AB22="",AE22="",AG22=""),"",ROUND((AE22+AG22),2))</f>
        <v/>
      </c>
      <c r="AV22" s="752" t="str">
        <f>IF(OR(C22="",V22="",X22="",AB22="",AE22="",AG22=""),"",ROUND(AK22*INDEX(ENDUSEALL[Factor],MATCH(INDEX(PMEKITCHEN[End Use Category],MATCH(C22,PMEKITCHEN[Eff Desc 1],0)),ENDUSEALL[End Use to Coincident Peak Demand Factors],0)),4))</f>
        <v/>
      </c>
      <c r="AW22" s="1757" t="str">
        <f t="shared" ref="AW22" si="9">IF(OR(C22="",V22="",X22="",AB22="",AE22="",AG22=""),"",IF(AO22&lt;&gt;AU22,"No","Yes"))</f>
        <v/>
      </c>
    </row>
    <row r="23" spans="2:49" ht="15.95" customHeight="1" x14ac:dyDescent="0.25">
      <c r="B23" s="1204"/>
      <c r="C23" s="824"/>
      <c r="D23" s="825"/>
      <c r="E23" s="825"/>
      <c r="F23" s="825"/>
      <c r="G23" s="825"/>
      <c r="H23" s="825"/>
      <c r="I23" s="825"/>
      <c r="J23" s="825"/>
      <c r="K23" s="825"/>
      <c r="L23" s="825"/>
      <c r="M23" s="1711"/>
      <c r="N23" s="1711"/>
      <c r="O23" s="1711"/>
      <c r="P23" s="1711"/>
      <c r="Q23" s="1711"/>
      <c r="R23" s="1711"/>
      <c r="S23" s="1744"/>
      <c r="T23" s="1744"/>
      <c r="U23" s="1745"/>
      <c r="V23" s="1748"/>
      <c r="W23" s="1749"/>
      <c r="X23" s="824"/>
      <c r="Y23" s="825"/>
      <c r="Z23" s="825"/>
      <c r="AA23" s="826"/>
      <c r="AB23" s="824"/>
      <c r="AC23" s="825"/>
      <c r="AD23" s="826"/>
      <c r="AE23" s="1724"/>
      <c r="AF23" s="1725"/>
      <c r="AG23" s="1724"/>
      <c r="AH23" s="1725"/>
      <c r="AI23" s="1737"/>
      <c r="AJ23" s="1738"/>
      <c r="AK23" s="1696"/>
      <c r="AL23" s="1697"/>
      <c r="AM23" s="1697"/>
      <c r="AN23" s="1698"/>
      <c r="AO23" s="1754"/>
      <c r="AP23" s="1755"/>
      <c r="AQ23" s="1756"/>
      <c r="AR23" s="69"/>
      <c r="AU23" s="805"/>
      <c r="AV23" s="753"/>
      <c r="AW23" s="753"/>
    </row>
    <row r="24" spans="2:49" ht="15.95" customHeight="1" x14ac:dyDescent="0.25">
      <c r="B24" s="1204">
        <v>5</v>
      </c>
      <c r="C24" s="842"/>
      <c r="D24" s="822"/>
      <c r="E24" s="822"/>
      <c r="F24" s="822"/>
      <c r="G24" s="822"/>
      <c r="H24" s="822"/>
      <c r="I24" s="822"/>
      <c r="J24" s="822"/>
      <c r="K24" s="822"/>
      <c r="L24" s="822"/>
      <c r="M24" s="1741" t="str">
        <f>IF(C24="","",INDEX(PMEKITCHEN[Base Desc 1],MATCH(C24,PMEKITCHEN[Eff Desc 1],0)))</f>
        <v/>
      </c>
      <c r="N24" s="1741"/>
      <c r="O24" s="1741"/>
      <c r="P24" s="1741"/>
      <c r="Q24" s="1741"/>
      <c r="R24" s="1741"/>
      <c r="S24" s="1742" t="str">
        <f t="shared" ref="S24" si="10">IF(C24="","",IF(ISNUMBER(SEARCH("Demand Control",C24)),"Enter Fan HP",""))</f>
        <v/>
      </c>
      <c r="T24" s="1742"/>
      <c r="U24" s="1743"/>
      <c r="V24" s="1748"/>
      <c r="W24" s="1749"/>
      <c r="X24" s="1470"/>
      <c r="Y24" s="1471"/>
      <c r="Z24" s="1471"/>
      <c r="AA24" s="1472"/>
      <c r="AB24" s="1470"/>
      <c r="AC24" s="1471"/>
      <c r="AD24" s="1472"/>
      <c r="AE24" s="1722"/>
      <c r="AF24" s="1723"/>
      <c r="AG24" s="1722"/>
      <c r="AH24" s="1723"/>
      <c r="AI24" s="1735" t="str">
        <f>IF(C24="","",INDEX(PMEKITCHEN[Inc Rate Unit],MATCH(C24,PMEKITCHEN[Eff Desc 1],0)))</f>
        <v/>
      </c>
      <c r="AJ24" s="1736"/>
      <c r="AK24" s="1728" t="str">
        <f>IF(OR(C24="",V24="",X24="",AB24="",AE24="",AG24=""),"",IF(ISNUMBER(SEARCH("Demand Control",C24)),S24*V24*INDEX(PMEKITCHEN[Savings per Unit kWh],MATCH(C24,PMEKITCHEN[Eff Desc 1],0)),ROUND(V24*INDEX(PMEKITCHEN[Savings per Unit kWh],MATCH(C24,PMEKITCHEN[Eff Desc 1],0)),0)))</f>
        <v/>
      </c>
      <c r="AL24" s="1729"/>
      <c r="AM24" s="1729"/>
      <c r="AN24" s="1730"/>
      <c r="AO24" s="1751" t="str">
        <f>IFERROR(IF(M02S02F44="","Update Install Status",IF(M02S02F49="Yes","Not Eligible",IF(OR(C24="",V24="",X24="",AB24="",AE24="",AG24=""),"",IF(ISNUMBER(SEARCH("Demand Control",C24)),MIN(AU24,ROUND(AI24*S24*V24,2)),MIN(AU24,ROUND(V24*AI24,2)))))),0)</f>
        <v>Update Install Status</v>
      </c>
      <c r="AP24" s="1752"/>
      <c r="AQ24" s="1753"/>
      <c r="AR24" s="69"/>
      <c r="AU24" s="804" t="str">
        <f t="shared" ref="AU24" si="11">IF(OR(C24="",V24="",X24="",AB24="",AE24="",AG24=""),"",ROUND((AE24+AG24),2))</f>
        <v/>
      </c>
      <c r="AV24" s="752" t="str">
        <f>IF(OR(C24="",V24="",X24="",AB24="",AE24="",AG24=""),"",ROUND(AK24*INDEX(ENDUSEALL[Factor],MATCH(INDEX(PMEKITCHEN[End Use Category],MATCH(C24,PMEKITCHEN[Eff Desc 1],0)),ENDUSEALL[End Use to Coincident Peak Demand Factors],0)),4))</f>
        <v/>
      </c>
      <c r="AW24" s="1757" t="str">
        <f t="shared" ref="AW24" si="12">IF(OR(C24="",V24="",X24="",AB24="",AE24="",AG24=""),"",IF(AO24&lt;&gt;AU24,"No","Yes"))</f>
        <v/>
      </c>
    </row>
    <row r="25" spans="2:49" ht="15.95" customHeight="1" x14ac:dyDescent="0.25">
      <c r="B25" s="1204"/>
      <c r="C25" s="824"/>
      <c r="D25" s="825"/>
      <c r="E25" s="825"/>
      <c r="F25" s="825"/>
      <c r="G25" s="825"/>
      <c r="H25" s="825"/>
      <c r="I25" s="825"/>
      <c r="J25" s="825"/>
      <c r="K25" s="825"/>
      <c r="L25" s="825"/>
      <c r="M25" s="1711"/>
      <c r="N25" s="1711"/>
      <c r="O25" s="1711"/>
      <c r="P25" s="1711"/>
      <c r="Q25" s="1711"/>
      <c r="R25" s="1711"/>
      <c r="S25" s="1744"/>
      <c r="T25" s="1744"/>
      <c r="U25" s="1745"/>
      <c r="V25" s="1748"/>
      <c r="W25" s="1749"/>
      <c r="X25" s="824"/>
      <c r="Y25" s="825"/>
      <c r="Z25" s="825"/>
      <c r="AA25" s="826"/>
      <c r="AB25" s="824"/>
      <c r="AC25" s="825"/>
      <c r="AD25" s="826"/>
      <c r="AE25" s="1724"/>
      <c r="AF25" s="1725"/>
      <c r="AG25" s="1724"/>
      <c r="AH25" s="1725"/>
      <c r="AI25" s="1737"/>
      <c r="AJ25" s="1738"/>
      <c r="AK25" s="1696"/>
      <c r="AL25" s="1697"/>
      <c r="AM25" s="1697"/>
      <c r="AN25" s="1698"/>
      <c r="AO25" s="1754"/>
      <c r="AP25" s="1755"/>
      <c r="AQ25" s="1756"/>
      <c r="AR25" s="69"/>
      <c r="AU25" s="805"/>
      <c r="AV25" s="753"/>
      <c r="AW25" s="753"/>
    </row>
    <row r="26" spans="2:49" ht="15.95" customHeight="1" x14ac:dyDescent="0.25">
      <c r="B26" s="1204">
        <v>6</v>
      </c>
      <c r="C26" s="842"/>
      <c r="D26" s="822"/>
      <c r="E26" s="822"/>
      <c r="F26" s="822"/>
      <c r="G26" s="822"/>
      <c r="H26" s="822"/>
      <c r="I26" s="822"/>
      <c r="J26" s="822"/>
      <c r="K26" s="822"/>
      <c r="L26" s="822"/>
      <c r="M26" s="1741" t="str">
        <f>IF(C26="","",INDEX(PMEKITCHEN[Base Desc 1],MATCH(C26,PMEKITCHEN[Eff Desc 1],0)))</f>
        <v/>
      </c>
      <c r="N26" s="1741"/>
      <c r="O26" s="1741"/>
      <c r="P26" s="1741"/>
      <c r="Q26" s="1741"/>
      <c r="R26" s="1741"/>
      <c r="S26" s="1742" t="str">
        <f t="shared" ref="S26" si="13">IF(C26="","",IF(ISNUMBER(SEARCH("Demand Control",C26)),"Enter Fan HP",""))</f>
        <v/>
      </c>
      <c r="T26" s="1742"/>
      <c r="U26" s="1743"/>
      <c r="V26" s="1748"/>
      <c r="W26" s="1749"/>
      <c r="X26" s="1470"/>
      <c r="Y26" s="1471"/>
      <c r="Z26" s="1471"/>
      <c r="AA26" s="1472"/>
      <c r="AB26" s="1470"/>
      <c r="AC26" s="1471"/>
      <c r="AD26" s="1472"/>
      <c r="AE26" s="1722"/>
      <c r="AF26" s="1723"/>
      <c r="AG26" s="1722"/>
      <c r="AH26" s="1723"/>
      <c r="AI26" s="1735" t="str">
        <f>IF(C26="","",INDEX(PMEKITCHEN[Inc Rate Unit],MATCH(C26,PMEKITCHEN[Eff Desc 1],0)))</f>
        <v/>
      </c>
      <c r="AJ26" s="1736"/>
      <c r="AK26" s="1728" t="str">
        <f>IF(OR(C26="",V26="",X26="",AB26="",AE26="",AG26=""),"",IF(ISNUMBER(SEARCH("Demand Control",C26)),S26*V26*INDEX(PMEKITCHEN[Savings per Unit kWh],MATCH(C26,PMEKITCHEN[Eff Desc 1],0)),ROUND(V26*INDEX(PMEKITCHEN[Savings per Unit kWh],MATCH(C26,PMEKITCHEN[Eff Desc 1],0)),0)))</f>
        <v/>
      </c>
      <c r="AL26" s="1729"/>
      <c r="AM26" s="1729"/>
      <c r="AN26" s="1730"/>
      <c r="AO26" s="1751" t="str">
        <f>IFERROR(IF(M02S02F44="","Update Install Status",IF(M02S02F49="Yes","Not Eligible",IF(OR(C26="",V26="",X26="",AB26="",AE26="",AG26=""),"",IF(ISNUMBER(SEARCH("Demand Control",C26)),MIN(AU26,ROUND(AI26*S26*V26,2)),MIN(AU26,ROUND(V26*AI26,2)))))),0)</f>
        <v>Update Install Status</v>
      </c>
      <c r="AP26" s="1752"/>
      <c r="AQ26" s="1753"/>
      <c r="AR26" s="69"/>
      <c r="AU26" s="804" t="str">
        <f t="shared" ref="AU26" si="14">IF(OR(C26="",V26="",X26="",AB26="",AE26="",AG26=""),"",ROUND((AE26+AG26),2))</f>
        <v/>
      </c>
      <c r="AV26" s="752" t="str">
        <f>IF(OR(C26="",V26="",X26="",AB26="",AE26="",AG26=""),"",ROUND(AK26*INDEX(ENDUSEALL[Factor],MATCH(INDEX(PMEKITCHEN[End Use Category],MATCH(C26,PMEKITCHEN[Eff Desc 1],0)),ENDUSEALL[End Use to Coincident Peak Demand Factors],0)),4))</f>
        <v/>
      </c>
      <c r="AW26" s="1757" t="str">
        <f t="shared" ref="AW26" si="15">IF(OR(C26="",V26="",X26="",AB26="",AE26="",AG26=""),"",IF(AO26&lt;&gt;AU26,"No","Yes"))</f>
        <v/>
      </c>
    </row>
    <row r="27" spans="2:49" ht="15.95" customHeight="1" x14ac:dyDescent="0.25">
      <c r="B27" s="1204"/>
      <c r="C27" s="824"/>
      <c r="D27" s="825"/>
      <c r="E27" s="825"/>
      <c r="F27" s="825"/>
      <c r="G27" s="825"/>
      <c r="H27" s="825"/>
      <c r="I27" s="825"/>
      <c r="J27" s="825"/>
      <c r="K27" s="825"/>
      <c r="L27" s="825"/>
      <c r="M27" s="1711"/>
      <c r="N27" s="1711"/>
      <c r="O27" s="1711"/>
      <c r="P27" s="1711"/>
      <c r="Q27" s="1711"/>
      <c r="R27" s="1711"/>
      <c r="S27" s="1744"/>
      <c r="T27" s="1744"/>
      <c r="U27" s="1745"/>
      <c r="V27" s="1748"/>
      <c r="W27" s="1749"/>
      <c r="X27" s="824"/>
      <c r="Y27" s="825"/>
      <c r="Z27" s="825"/>
      <c r="AA27" s="826"/>
      <c r="AB27" s="824"/>
      <c r="AC27" s="825"/>
      <c r="AD27" s="826"/>
      <c r="AE27" s="1724"/>
      <c r="AF27" s="1725"/>
      <c r="AG27" s="1724"/>
      <c r="AH27" s="1725"/>
      <c r="AI27" s="1737"/>
      <c r="AJ27" s="1738"/>
      <c r="AK27" s="1696"/>
      <c r="AL27" s="1697"/>
      <c r="AM27" s="1697"/>
      <c r="AN27" s="1698"/>
      <c r="AO27" s="1754"/>
      <c r="AP27" s="1755"/>
      <c r="AQ27" s="1756"/>
      <c r="AR27" s="69"/>
      <c r="AU27" s="805"/>
      <c r="AV27" s="753"/>
      <c r="AW27" s="753"/>
    </row>
    <row r="28" spans="2:49" ht="15.95" customHeight="1" x14ac:dyDescent="0.25">
      <c r="B28" s="1204">
        <v>7</v>
      </c>
      <c r="C28" s="842"/>
      <c r="D28" s="822"/>
      <c r="E28" s="822"/>
      <c r="F28" s="822"/>
      <c r="G28" s="822"/>
      <c r="H28" s="822"/>
      <c r="I28" s="822"/>
      <c r="J28" s="822"/>
      <c r="K28" s="822"/>
      <c r="L28" s="822"/>
      <c r="M28" s="1741" t="str">
        <f>IF(C28="","",INDEX(PMEKITCHEN[Base Desc 1],MATCH(C28,PMEKITCHEN[Eff Desc 1],0)))</f>
        <v/>
      </c>
      <c r="N28" s="1741"/>
      <c r="O28" s="1741"/>
      <c r="P28" s="1741"/>
      <c r="Q28" s="1741"/>
      <c r="R28" s="1741"/>
      <c r="S28" s="1742" t="str">
        <f t="shared" ref="S28" si="16">IF(C28="","",IF(ISNUMBER(SEARCH("Demand Control",C28)),"Enter Fan HP",""))</f>
        <v/>
      </c>
      <c r="T28" s="1742"/>
      <c r="U28" s="1743"/>
      <c r="V28" s="1748"/>
      <c r="W28" s="1749"/>
      <c r="X28" s="1470"/>
      <c r="Y28" s="1471"/>
      <c r="Z28" s="1471"/>
      <c r="AA28" s="1472"/>
      <c r="AB28" s="1470"/>
      <c r="AC28" s="1471"/>
      <c r="AD28" s="1472"/>
      <c r="AE28" s="1722"/>
      <c r="AF28" s="1723"/>
      <c r="AG28" s="1722"/>
      <c r="AH28" s="1723"/>
      <c r="AI28" s="1735" t="str">
        <f>IF(C28="","",INDEX(PMEKITCHEN[Inc Rate Unit],MATCH(C28,PMEKITCHEN[Eff Desc 1],0)))</f>
        <v/>
      </c>
      <c r="AJ28" s="1736"/>
      <c r="AK28" s="1728" t="str">
        <f>IF(OR(C28="",V28="",X28="",AB28="",AE28="",AG28=""),"",IF(ISNUMBER(SEARCH("Demand Control",C28)),S28*V28*INDEX(PMEKITCHEN[Savings per Unit kWh],MATCH(C28,PMEKITCHEN[Eff Desc 1],0)),ROUND(V28*INDEX(PMEKITCHEN[Savings per Unit kWh],MATCH(C28,PMEKITCHEN[Eff Desc 1],0)),0)))</f>
        <v/>
      </c>
      <c r="AL28" s="1729"/>
      <c r="AM28" s="1729"/>
      <c r="AN28" s="1730"/>
      <c r="AO28" s="1751" t="str">
        <f>IFERROR(IF(M02S02F44="","Update Install Status",IF(M02S02F49="Yes","Not Eligible",IF(OR(C28="",V28="",X28="",AB28="",AE28="",AG28=""),"",IF(ISNUMBER(SEARCH("Demand Control",C28)),MIN(AU28,ROUND(AI28*S28*V28,2)),MIN(AU28,ROUND(V28*AI28,2)))))),0)</f>
        <v>Update Install Status</v>
      </c>
      <c r="AP28" s="1752"/>
      <c r="AQ28" s="1753"/>
      <c r="AR28" s="69"/>
      <c r="AU28" s="804" t="str">
        <f t="shared" ref="AU28" si="17">IF(OR(C28="",V28="",X28="",AB28="",AE28="",AG28=""),"",ROUND((AE28+AG28),2))</f>
        <v/>
      </c>
      <c r="AV28" s="752" t="str">
        <f>IF(OR(C28="",V28="",X28="",AB28="",AE28="",AG28=""),"",ROUND(AK28*INDEX(ENDUSEALL[Factor],MATCH(INDEX(PMEKITCHEN[End Use Category],MATCH(C28,PMEKITCHEN[Eff Desc 1],0)),ENDUSEALL[End Use to Coincident Peak Demand Factors],0)),4))</f>
        <v/>
      </c>
      <c r="AW28" s="1757" t="str">
        <f t="shared" ref="AW28" si="18">IF(OR(C28="",V28="",X28="",AB28="",AE28="",AG28=""),"",IF(AO28&lt;&gt;AU28,"No","Yes"))</f>
        <v/>
      </c>
    </row>
    <row r="29" spans="2:49" ht="15.95" customHeight="1" x14ac:dyDescent="0.25">
      <c r="B29" s="1204"/>
      <c r="C29" s="824"/>
      <c r="D29" s="825"/>
      <c r="E29" s="825"/>
      <c r="F29" s="825"/>
      <c r="G29" s="825"/>
      <c r="H29" s="825"/>
      <c r="I29" s="825"/>
      <c r="J29" s="825"/>
      <c r="K29" s="825"/>
      <c r="L29" s="825"/>
      <c r="M29" s="1711"/>
      <c r="N29" s="1711"/>
      <c r="O29" s="1711"/>
      <c r="P29" s="1711"/>
      <c r="Q29" s="1711"/>
      <c r="R29" s="1711"/>
      <c r="S29" s="1744"/>
      <c r="T29" s="1744"/>
      <c r="U29" s="1745"/>
      <c r="V29" s="1748"/>
      <c r="W29" s="1749"/>
      <c r="X29" s="824"/>
      <c r="Y29" s="825"/>
      <c r="Z29" s="825"/>
      <c r="AA29" s="826"/>
      <c r="AB29" s="824"/>
      <c r="AC29" s="825"/>
      <c r="AD29" s="826"/>
      <c r="AE29" s="1724"/>
      <c r="AF29" s="1725"/>
      <c r="AG29" s="1724"/>
      <c r="AH29" s="1725"/>
      <c r="AI29" s="1737"/>
      <c r="AJ29" s="1738"/>
      <c r="AK29" s="1696"/>
      <c r="AL29" s="1697"/>
      <c r="AM29" s="1697"/>
      <c r="AN29" s="1698"/>
      <c r="AO29" s="1754"/>
      <c r="AP29" s="1755"/>
      <c r="AQ29" s="1756"/>
      <c r="AR29" s="69"/>
      <c r="AU29" s="805"/>
      <c r="AV29" s="753"/>
      <c r="AW29" s="753"/>
    </row>
    <row r="30" spans="2:49" ht="15.95" customHeight="1" x14ac:dyDescent="0.25">
      <c r="B30" s="1204">
        <v>8</v>
      </c>
      <c r="C30" s="842"/>
      <c r="D30" s="822"/>
      <c r="E30" s="822"/>
      <c r="F30" s="822"/>
      <c r="G30" s="822"/>
      <c r="H30" s="822"/>
      <c r="I30" s="822"/>
      <c r="J30" s="822"/>
      <c r="K30" s="822"/>
      <c r="L30" s="822"/>
      <c r="M30" s="1741" t="str">
        <f>IF(C30="","",INDEX(PMEKITCHEN[Base Desc 1],MATCH(C30,PMEKITCHEN[Eff Desc 1],0)))</f>
        <v/>
      </c>
      <c r="N30" s="1741"/>
      <c r="O30" s="1741"/>
      <c r="P30" s="1741"/>
      <c r="Q30" s="1741"/>
      <c r="R30" s="1741"/>
      <c r="S30" s="1742" t="str">
        <f t="shared" ref="S30" si="19">IF(C30="","",IF(ISNUMBER(SEARCH("Demand Control",C30)),"Enter Fan HP",""))</f>
        <v/>
      </c>
      <c r="T30" s="1742"/>
      <c r="U30" s="1743"/>
      <c r="V30" s="1748"/>
      <c r="W30" s="1749"/>
      <c r="X30" s="1470"/>
      <c r="Y30" s="1471"/>
      <c r="Z30" s="1471"/>
      <c r="AA30" s="1472"/>
      <c r="AB30" s="1470"/>
      <c r="AC30" s="1471"/>
      <c r="AD30" s="1472"/>
      <c r="AE30" s="1722"/>
      <c r="AF30" s="1723"/>
      <c r="AG30" s="1722"/>
      <c r="AH30" s="1723"/>
      <c r="AI30" s="1735" t="str">
        <f>IF(C30="","",INDEX(PMEKITCHEN[Inc Rate Unit],MATCH(C30,PMEKITCHEN[Eff Desc 1],0)))</f>
        <v/>
      </c>
      <c r="AJ30" s="1736"/>
      <c r="AK30" s="1728" t="str">
        <f>IF(OR(C30="",V30="",X30="",AB30="",AE30="",AG30=""),"",IF(ISNUMBER(SEARCH("Demand Control",C30)),S30*V30*INDEX(PMEKITCHEN[Savings per Unit kWh],MATCH(C30,PMEKITCHEN[Eff Desc 1],0)),ROUND(V30*INDEX(PMEKITCHEN[Savings per Unit kWh],MATCH(C30,PMEKITCHEN[Eff Desc 1],0)),0)))</f>
        <v/>
      </c>
      <c r="AL30" s="1729"/>
      <c r="AM30" s="1729"/>
      <c r="AN30" s="1730"/>
      <c r="AO30" s="1751" t="str">
        <f>IFERROR(IF(M02S02F44="","Update Install Status",IF(M02S02F49="Yes","Not Eligible",IF(OR(C30="",V30="",X30="",AB30="",AE30="",AG30=""),"",IF(ISNUMBER(SEARCH("Demand Control",C30)),MIN(AU30,ROUND(AI30*S30*V30,2)),MIN(AU30,ROUND(V30*AI30,2)))))),0)</f>
        <v>Update Install Status</v>
      </c>
      <c r="AP30" s="1752"/>
      <c r="AQ30" s="1753"/>
      <c r="AR30" s="69"/>
      <c r="AU30" s="804" t="str">
        <f t="shared" ref="AU30" si="20">IF(OR(C30="",V30="",X30="",AB30="",AE30="",AG30=""),"",ROUND((AE30+AG30),2))</f>
        <v/>
      </c>
      <c r="AV30" s="752" t="str">
        <f>IF(OR(C30="",V30="",X30="",AB30="",AE30="",AG30=""),"",ROUND(AK30*INDEX(ENDUSEALL[Factor],MATCH(INDEX(PMEKITCHEN[End Use Category],MATCH(C30,PMEKITCHEN[Eff Desc 1],0)),ENDUSEALL[End Use to Coincident Peak Demand Factors],0)),4))</f>
        <v/>
      </c>
      <c r="AW30" s="1757" t="str">
        <f t="shared" ref="AW30" si="21">IF(OR(C30="",V30="",X30="",AB30="",AE30="",AG30=""),"",IF(AO30&lt;&gt;AU30,"No","Yes"))</f>
        <v/>
      </c>
    </row>
    <row r="31" spans="2:49" ht="15.95" customHeight="1" x14ac:dyDescent="0.25">
      <c r="B31" s="1204"/>
      <c r="C31" s="824"/>
      <c r="D31" s="825"/>
      <c r="E31" s="825"/>
      <c r="F31" s="825"/>
      <c r="G31" s="825"/>
      <c r="H31" s="825"/>
      <c r="I31" s="825"/>
      <c r="J31" s="825"/>
      <c r="K31" s="825"/>
      <c r="L31" s="825"/>
      <c r="M31" s="1711"/>
      <c r="N31" s="1711"/>
      <c r="O31" s="1711"/>
      <c r="P31" s="1711"/>
      <c r="Q31" s="1711"/>
      <c r="R31" s="1711"/>
      <c r="S31" s="1744"/>
      <c r="T31" s="1744"/>
      <c r="U31" s="1745"/>
      <c r="V31" s="1748"/>
      <c r="W31" s="1749"/>
      <c r="X31" s="824"/>
      <c r="Y31" s="825"/>
      <c r="Z31" s="825"/>
      <c r="AA31" s="826"/>
      <c r="AB31" s="824"/>
      <c r="AC31" s="825"/>
      <c r="AD31" s="826"/>
      <c r="AE31" s="1724"/>
      <c r="AF31" s="1725"/>
      <c r="AG31" s="1724"/>
      <c r="AH31" s="1725"/>
      <c r="AI31" s="1737"/>
      <c r="AJ31" s="1738"/>
      <c r="AK31" s="1696"/>
      <c r="AL31" s="1697"/>
      <c r="AM31" s="1697"/>
      <c r="AN31" s="1698"/>
      <c r="AO31" s="1754"/>
      <c r="AP31" s="1755"/>
      <c r="AQ31" s="1756"/>
      <c r="AR31" s="69"/>
      <c r="AU31" s="805"/>
      <c r="AV31" s="753"/>
      <c r="AW31" s="753"/>
    </row>
    <row r="32" spans="2:49" ht="15.95" customHeight="1" x14ac:dyDescent="0.25">
      <c r="B32" s="1204">
        <v>9</v>
      </c>
      <c r="C32" s="842"/>
      <c r="D32" s="822"/>
      <c r="E32" s="822"/>
      <c r="F32" s="822"/>
      <c r="G32" s="822"/>
      <c r="H32" s="822"/>
      <c r="I32" s="822"/>
      <c r="J32" s="822"/>
      <c r="K32" s="822"/>
      <c r="L32" s="822"/>
      <c r="M32" s="1741" t="str">
        <f>IF(C32="","",INDEX(PMEKITCHEN[Base Desc 1],MATCH(C32,PMEKITCHEN[Eff Desc 1],0)))</f>
        <v/>
      </c>
      <c r="N32" s="1741"/>
      <c r="O32" s="1741"/>
      <c r="P32" s="1741"/>
      <c r="Q32" s="1741"/>
      <c r="R32" s="1741"/>
      <c r="S32" s="1742" t="str">
        <f t="shared" ref="S32" si="22">IF(C32="","",IF(ISNUMBER(SEARCH("Demand Control",C32)),"Enter Fan HP",""))</f>
        <v/>
      </c>
      <c r="T32" s="1742"/>
      <c r="U32" s="1743"/>
      <c r="V32" s="1748"/>
      <c r="W32" s="1749"/>
      <c r="X32" s="1470"/>
      <c r="Y32" s="1471"/>
      <c r="Z32" s="1471"/>
      <c r="AA32" s="1472"/>
      <c r="AB32" s="1470"/>
      <c r="AC32" s="1471"/>
      <c r="AD32" s="1472"/>
      <c r="AE32" s="1722"/>
      <c r="AF32" s="1723"/>
      <c r="AG32" s="1722"/>
      <c r="AH32" s="1723"/>
      <c r="AI32" s="1735" t="str">
        <f>IF(C32="","",INDEX(PMEKITCHEN[Inc Rate Unit],MATCH(C32,PMEKITCHEN[Eff Desc 1],0)))</f>
        <v/>
      </c>
      <c r="AJ32" s="1736"/>
      <c r="AK32" s="1728" t="str">
        <f>IF(OR(C32="",V32="",X32="",AB32="",AE32="",AG32=""),"",IF(ISNUMBER(SEARCH("Demand Control",C32)),S32*V32*INDEX(PMEKITCHEN[Savings per Unit kWh],MATCH(C32,PMEKITCHEN[Eff Desc 1],0)),ROUND(V32*INDEX(PMEKITCHEN[Savings per Unit kWh],MATCH(C32,PMEKITCHEN[Eff Desc 1],0)),0)))</f>
        <v/>
      </c>
      <c r="AL32" s="1729"/>
      <c r="AM32" s="1729"/>
      <c r="AN32" s="1730"/>
      <c r="AO32" s="1751" t="str">
        <f>IFERROR(IF(M02S02F44="","Update Install Status",IF(M02S02F49="Yes","Not Eligible",IF(OR(C32="",V32="",X32="",AB32="",AE32="",AG32=""),"",IF(ISNUMBER(SEARCH("Demand Control",C32)),MIN(AU32,ROUND(AI32*S32*V32,2)),MIN(AU32,ROUND(V32*AI32,2)))))),0)</f>
        <v>Update Install Status</v>
      </c>
      <c r="AP32" s="1752"/>
      <c r="AQ32" s="1753"/>
      <c r="AR32" s="69"/>
      <c r="AU32" s="804" t="str">
        <f t="shared" ref="AU32" si="23">IF(OR(C32="",V32="",X32="",AB32="",AE32="",AG32=""),"",ROUND((AE32+AG32),2))</f>
        <v/>
      </c>
      <c r="AV32" s="752" t="str">
        <f>IF(OR(C32="",V32="",X32="",AB32="",AE32="",AG32=""),"",ROUND(AK32*INDEX(ENDUSEALL[Factor],MATCH(INDEX(PMEKITCHEN[End Use Category],MATCH(C32,PMEKITCHEN[Eff Desc 1],0)),ENDUSEALL[End Use to Coincident Peak Demand Factors],0)),4))</f>
        <v/>
      </c>
      <c r="AW32" s="1757" t="str">
        <f t="shared" ref="AW32" si="24">IF(OR(C32="",V32="",X32="",AB32="",AE32="",AG32=""),"",IF(AO32&lt;&gt;AU32,"No","Yes"))</f>
        <v/>
      </c>
    </row>
    <row r="33" spans="2:49" ht="15.95" customHeight="1" x14ac:dyDescent="0.25">
      <c r="B33" s="1204"/>
      <c r="C33" s="824"/>
      <c r="D33" s="825"/>
      <c r="E33" s="825"/>
      <c r="F33" s="825"/>
      <c r="G33" s="825"/>
      <c r="H33" s="825"/>
      <c r="I33" s="825"/>
      <c r="J33" s="825"/>
      <c r="K33" s="825"/>
      <c r="L33" s="825"/>
      <c r="M33" s="1711"/>
      <c r="N33" s="1711"/>
      <c r="O33" s="1711"/>
      <c r="P33" s="1711"/>
      <c r="Q33" s="1711"/>
      <c r="R33" s="1711"/>
      <c r="S33" s="1744"/>
      <c r="T33" s="1744"/>
      <c r="U33" s="1745"/>
      <c r="V33" s="1748"/>
      <c r="W33" s="1749"/>
      <c r="X33" s="824"/>
      <c r="Y33" s="825"/>
      <c r="Z33" s="825"/>
      <c r="AA33" s="826"/>
      <c r="AB33" s="824"/>
      <c r="AC33" s="825"/>
      <c r="AD33" s="826"/>
      <c r="AE33" s="1724"/>
      <c r="AF33" s="1725"/>
      <c r="AG33" s="1724"/>
      <c r="AH33" s="1725"/>
      <c r="AI33" s="1737"/>
      <c r="AJ33" s="1738"/>
      <c r="AK33" s="1696"/>
      <c r="AL33" s="1697"/>
      <c r="AM33" s="1697"/>
      <c r="AN33" s="1698"/>
      <c r="AO33" s="1754"/>
      <c r="AP33" s="1755"/>
      <c r="AQ33" s="1756"/>
      <c r="AR33" s="69"/>
      <c r="AU33" s="805"/>
      <c r="AV33" s="753"/>
      <c r="AW33" s="753"/>
    </row>
    <row r="34" spans="2:49" ht="15.95" customHeight="1" x14ac:dyDescent="0.25">
      <c r="B34" s="1204">
        <v>10</v>
      </c>
      <c r="C34" s="842"/>
      <c r="D34" s="822"/>
      <c r="E34" s="822"/>
      <c r="F34" s="822"/>
      <c r="G34" s="822"/>
      <c r="H34" s="822"/>
      <c r="I34" s="822"/>
      <c r="J34" s="822"/>
      <c r="K34" s="822"/>
      <c r="L34" s="822"/>
      <c r="M34" s="1741" t="str">
        <f>IF(C34="","",INDEX(PMEKITCHEN[Base Desc 1],MATCH(C34,PMEKITCHEN[Eff Desc 1],0)))</f>
        <v/>
      </c>
      <c r="N34" s="1741"/>
      <c r="O34" s="1741"/>
      <c r="P34" s="1741"/>
      <c r="Q34" s="1741"/>
      <c r="R34" s="1741"/>
      <c r="S34" s="1742" t="str">
        <f t="shared" ref="S34" si="25">IF(C34="","",IF(ISNUMBER(SEARCH("Demand Control",C34)),"Enter Fan HP",""))</f>
        <v/>
      </c>
      <c r="T34" s="1742"/>
      <c r="U34" s="1743"/>
      <c r="V34" s="1748"/>
      <c r="W34" s="1749"/>
      <c r="X34" s="1470"/>
      <c r="Y34" s="1471"/>
      <c r="Z34" s="1471"/>
      <c r="AA34" s="1472"/>
      <c r="AB34" s="1470"/>
      <c r="AC34" s="1471"/>
      <c r="AD34" s="1472"/>
      <c r="AE34" s="1722"/>
      <c r="AF34" s="1723"/>
      <c r="AG34" s="1722"/>
      <c r="AH34" s="1723"/>
      <c r="AI34" s="1735" t="str">
        <f>IF(C34="","",INDEX(PMEKITCHEN[Inc Rate Unit],MATCH(C34,PMEKITCHEN[Eff Desc 1],0)))</f>
        <v/>
      </c>
      <c r="AJ34" s="1736"/>
      <c r="AK34" s="1728" t="str">
        <f>IF(OR(C34="",V34="",X34="",AB34="",AE34="",AG34=""),"",IF(ISNUMBER(SEARCH("Demand Control",C34)),S34*V34*INDEX(PMEKITCHEN[Savings per Unit kWh],MATCH(C34,PMEKITCHEN[Eff Desc 1],0)),ROUND(V34*INDEX(PMEKITCHEN[Savings per Unit kWh],MATCH(C34,PMEKITCHEN[Eff Desc 1],0)),0)))</f>
        <v/>
      </c>
      <c r="AL34" s="1729"/>
      <c r="AM34" s="1729"/>
      <c r="AN34" s="1730"/>
      <c r="AO34" s="1751" t="str">
        <f>IFERROR(IF(M02S02F44="","Update Install Status",IF(M02S02F49="Yes","Not Eligible",IF(OR(C34="",V34="",X34="",AB34="",AE34="",AG34=""),"",IF(ISNUMBER(SEARCH("Demand Control",C34)),MIN(AU34,ROUND(AI34*S34*V34,2)),MIN(AU34,ROUND(V34*AI34,2)))))),0)</f>
        <v>Update Install Status</v>
      </c>
      <c r="AP34" s="1752"/>
      <c r="AQ34" s="1753"/>
      <c r="AR34" s="69"/>
      <c r="AU34" s="804" t="str">
        <f t="shared" ref="AU34" si="26">IF(OR(C34="",V34="",X34="",AB34="",AE34="",AG34=""),"",ROUND((AE34+AG34),2))</f>
        <v/>
      </c>
      <c r="AV34" s="752" t="str">
        <f>IF(OR(C34="",V34="",X34="",AB34="",AE34="",AG34=""),"",ROUND(AK34*INDEX(ENDUSEALL[Factor],MATCH(INDEX(PMEKITCHEN[End Use Category],MATCH(C34,PMEKITCHEN[Eff Desc 1],0)),ENDUSEALL[End Use to Coincident Peak Demand Factors],0)),4))</f>
        <v/>
      </c>
      <c r="AW34" s="1757" t="str">
        <f t="shared" ref="AW34" si="27">IF(OR(C34="",V34="",X34="",AB34="",AE34="",AG34=""),"",IF(AO34&lt;&gt;AU34,"No","Yes"))</f>
        <v/>
      </c>
    </row>
    <row r="35" spans="2:49" ht="15.95" customHeight="1" x14ac:dyDescent="0.25">
      <c r="B35" s="1204"/>
      <c r="C35" s="824"/>
      <c r="D35" s="825"/>
      <c r="E35" s="825"/>
      <c r="F35" s="825"/>
      <c r="G35" s="825"/>
      <c r="H35" s="825"/>
      <c r="I35" s="825"/>
      <c r="J35" s="825"/>
      <c r="K35" s="825"/>
      <c r="L35" s="825"/>
      <c r="M35" s="1711"/>
      <c r="N35" s="1711"/>
      <c r="O35" s="1711"/>
      <c r="P35" s="1711"/>
      <c r="Q35" s="1711"/>
      <c r="R35" s="1711"/>
      <c r="S35" s="1744"/>
      <c r="T35" s="1744"/>
      <c r="U35" s="1745"/>
      <c r="V35" s="1748"/>
      <c r="W35" s="1749"/>
      <c r="X35" s="824"/>
      <c r="Y35" s="825"/>
      <c r="Z35" s="825"/>
      <c r="AA35" s="826"/>
      <c r="AB35" s="824"/>
      <c r="AC35" s="825"/>
      <c r="AD35" s="826"/>
      <c r="AE35" s="1724"/>
      <c r="AF35" s="1725"/>
      <c r="AG35" s="1724"/>
      <c r="AH35" s="1725"/>
      <c r="AI35" s="1737"/>
      <c r="AJ35" s="1738"/>
      <c r="AK35" s="1696"/>
      <c r="AL35" s="1697"/>
      <c r="AM35" s="1697"/>
      <c r="AN35" s="1698"/>
      <c r="AO35" s="1754"/>
      <c r="AP35" s="1755"/>
      <c r="AQ35" s="1756"/>
      <c r="AR35" s="69"/>
      <c r="AU35" s="805"/>
      <c r="AV35" s="753"/>
      <c r="AW35" s="753"/>
    </row>
    <row r="36" spans="2:49" ht="15.95" hidden="1" customHeight="1" x14ac:dyDescent="0.25">
      <c r="B36" s="1204">
        <v>11</v>
      </c>
      <c r="C36" s="1470"/>
      <c r="D36" s="1471"/>
      <c r="E36" s="1471"/>
      <c r="F36" s="1471"/>
      <c r="G36" s="1471"/>
      <c r="H36" s="1471"/>
      <c r="I36" s="1471"/>
      <c r="J36" s="1471"/>
      <c r="K36" s="1471"/>
      <c r="L36" s="1471"/>
      <c r="M36" s="1472"/>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70"/>
      <c r="Y36" s="1471"/>
      <c r="Z36" s="1471"/>
      <c r="AA36" s="1472"/>
      <c r="AB36" s="1470"/>
      <c r="AC36" s="1471"/>
      <c r="AD36" s="1472"/>
      <c r="AE36" s="1722"/>
      <c r="AF36" s="1723"/>
      <c r="AG36" s="1722"/>
      <c r="AH36" s="1723"/>
      <c r="AI36" s="1735" t="str">
        <f>IF(C36="","",INDEX(PMEMOTOR[Inc Rate Unit],MATCH(C36,PMEMOTOR[Eff Desc 1],0)))</f>
        <v/>
      </c>
      <c r="AJ36" s="1736"/>
      <c r="AK36" s="1728" t="str">
        <f>IF(OR(C36="",V36="",X36="",AB36="",AE36="",AG36=""),"",ROUND(V36*INDEX(PMEMOTOR[Savings per Unit kWh],MATCH(C36,PMEMOTOR[Eff Desc 1],0)),0))</f>
        <v/>
      </c>
      <c r="AL36" s="1729"/>
      <c r="AM36" s="1729"/>
      <c r="AN36" s="1730"/>
      <c r="AO36" s="1726" t="str">
        <f>IF(OR(C36="",V36="",X36="",AB36="",AE36="",AG36=""),"",MIN(AU36,ROUND(V36*AI36,2)))</f>
        <v/>
      </c>
      <c r="AP36" s="1739"/>
      <c r="AQ36" s="1727"/>
      <c r="AR36" s="69"/>
      <c r="AU36" s="804" t="str">
        <f>IF(OR(,V36="",X36="",AB36="",AE36="",AG36=""),"",ROUND((AE36+AG36)*V36,2))</f>
        <v/>
      </c>
      <c r="AV36" s="750" t="str">
        <f>IF(OR(C36="",V36="",X36="",AB36="",AE36="",AG36=""),"",ROUND(V36*INDEX(PMEMOTOR[Savings per Unit kW],MATCH(C36,PMEMOTOR[Eff Desc 1],0)),10))</f>
        <v/>
      </c>
    </row>
    <row r="37" spans="2:49" ht="15.95" hidden="1" customHeight="1" x14ac:dyDescent="0.25">
      <c r="B37" s="1204"/>
      <c r="C37" s="824"/>
      <c r="D37" s="825"/>
      <c r="E37" s="825"/>
      <c r="F37" s="825"/>
      <c r="G37" s="825"/>
      <c r="H37" s="825"/>
      <c r="I37" s="825"/>
      <c r="J37" s="825"/>
      <c r="K37" s="825"/>
      <c r="L37" s="825"/>
      <c r="M37" s="826"/>
      <c r="N37" s="1710"/>
      <c r="O37" s="1711"/>
      <c r="P37" s="1711"/>
      <c r="Q37" s="1711"/>
      <c r="R37" s="1711"/>
      <c r="S37" s="1712"/>
      <c r="T37" s="1715"/>
      <c r="U37" s="1716"/>
      <c r="V37" s="1719"/>
      <c r="W37" s="1720"/>
      <c r="X37" s="824"/>
      <c r="Y37" s="825"/>
      <c r="Z37" s="825"/>
      <c r="AA37" s="826"/>
      <c r="AB37" s="824"/>
      <c r="AC37" s="825"/>
      <c r="AD37" s="826"/>
      <c r="AE37" s="1724"/>
      <c r="AF37" s="1725"/>
      <c r="AG37" s="1724"/>
      <c r="AH37" s="1725"/>
      <c r="AI37" s="1737"/>
      <c r="AJ37" s="1738"/>
      <c r="AK37" s="1696"/>
      <c r="AL37" s="1697"/>
      <c r="AM37" s="1697"/>
      <c r="AN37" s="1698"/>
      <c r="AO37" s="1687"/>
      <c r="AP37" s="1740"/>
      <c r="AQ37" s="1688"/>
      <c r="AR37" s="69"/>
      <c r="AU37" s="805"/>
      <c r="AV37" s="751"/>
    </row>
    <row r="38" spans="2:49" ht="15.95" hidden="1" customHeight="1" x14ac:dyDescent="0.25">
      <c r="B38" s="1204">
        <v>12</v>
      </c>
      <c r="C38" s="1470"/>
      <c r="D38" s="1471"/>
      <c r="E38" s="1471"/>
      <c r="F38" s="1471"/>
      <c r="G38" s="1471"/>
      <c r="H38" s="1471"/>
      <c r="I38" s="1471"/>
      <c r="J38" s="1471"/>
      <c r="K38" s="1471"/>
      <c r="L38" s="1471"/>
      <c r="M38" s="1472"/>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70"/>
      <c r="Y38" s="1471"/>
      <c r="Z38" s="1471"/>
      <c r="AA38" s="1472"/>
      <c r="AB38" s="1470"/>
      <c r="AC38" s="1471"/>
      <c r="AD38" s="1472"/>
      <c r="AE38" s="1722"/>
      <c r="AF38" s="1723"/>
      <c r="AG38" s="1722"/>
      <c r="AH38" s="1723"/>
      <c r="AI38" s="1735" t="str">
        <f>IF(C38="","",INDEX(PMEMOTOR[Inc Rate Unit],MATCH(C38,PMEMOTOR[Eff Desc 1],0)))</f>
        <v/>
      </c>
      <c r="AJ38" s="1736"/>
      <c r="AK38" s="1728" t="str">
        <f>IF(OR(C38="",V38="",X38="",AB38="",AE38="",AG38=""),"",ROUND(V38*INDEX(PMEMOTOR[Savings per Unit kWh],MATCH(C38,PMEMOTOR[Eff Desc 1],0)),0))</f>
        <v/>
      </c>
      <c r="AL38" s="1729"/>
      <c r="AM38" s="1729"/>
      <c r="AN38" s="1730"/>
      <c r="AO38" s="1726" t="str">
        <f>IF(OR(C38="",V38="",X38="",AB38="",AE38="",AG38=""),"",MIN(AU38,ROUND(V38*AI38,2)))</f>
        <v/>
      </c>
      <c r="AP38" s="1739"/>
      <c r="AQ38" s="1727"/>
      <c r="AR38" s="69"/>
      <c r="AU38" s="804" t="str">
        <f>IF(OR(,V38="",X38="",AB38="",AE38="",AG38=""),"",ROUND((AE38+AG38)*V38,2))</f>
        <v/>
      </c>
      <c r="AV38" s="750" t="str">
        <f>IF(OR(C38="",V38="",X38="",AB38="",AE38="",AG38=""),"",ROUND(V38*INDEX(PMEMOTOR[Savings per Unit kW],MATCH(C38,PMEMOTOR[Eff Desc 1],0)),10))</f>
        <v/>
      </c>
    </row>
    <row r="39" spans="2:49" ht="15.95" hidden="1" customHeight="1" x14ac:dyDescent="0.25">
      <c r="B39" s="1204"/>
      <c r="C39" s="824"/>
      <c r="D39" s="825"/>
      <c r="E39" s="825"/>
      <c r="F39" s="825"/>
      <c r="G39" s="825"/>
      <c r="H39" s="825"/>
      <c r="I39" s="825"/>
      <c r="J39" s="825"/>
      <c r="K39" s="825"/>
      <c r="L39" s="825"/>
      <c r="M39" s="826"/>
      <c r="N39" s="1710"/>
      <c r="O39" s="1711"/>
      <c r="P39" s="1711"/>
      <c r="Q39" s="1711"/>
      <c r="R39" s="1711"/>
      <c r="S39" s="1712"/>
      <c r="T39" s="1715"/>
      <c r="U39" s="1716"/>
      <c r="V39" s="1719"/>
      <c r="W39" s="1720"/>
      <c r="X39" s="824"/>
      <c r="Y39" s="825"/>
      <c r="Z39" s="825"/>
      <c r="AA39" s="826"/>
      <c r="AB39" s="824"/>
      <c r="AC39" s="825"/>
      <c r="AD39" s="826"/>
      <c r="AE39" s="1724"/>
      <c r="AF39" s="1725"/>
      <c r="AG39" s="1724"/>
      <c r="AH39" s="1725"/>
      <c r="AI39" s="1737"/>
      <c r="AJ39" s="1738"/>
      <c r="AK39" s="1696"/>
      <c r="AL39" s="1697"/>
      <c r="AM39" s="1697"/>
      <c r="AN39" s="1698"/>
      <c r="AO39" s="1687"/>
      <c r="AP39" s="1740"/>
      <c r="AQ39" s="1688"/>
      <c r="AR39" s="69"/>
      <c r="AU39" s="805"/>
      <c r="AV39" s="751"/>
    </row>
    <row r="40" spans="2:49" ht="15.95" hidden="1" customHeight="1" x14ac:dyDescent="0.25">
      <c r="B40" s="1204">
        <v>13</v>
      </c>
      <c r="C40" s="1470"/>
      <c r="D40" s="1471"/>
      <c r="E40" s="1471"/>
      <c r="F40" s="1471"/>
      <c r="G40" s="1471"/>
      <c r="H40" s="1471"/>
      <c r="I40" s="1471"/>
      <c r="J40" s="1471"/>
      <c r="K40" s="1471"/>
      <c r="L40" s="1471"/>
      <c r="M40" s="1472"/>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70"/>
      <c r="Y40" s="1471"/>
      <c r="Z40" s="1471"/>
      <c r="AA40" s="1472"/>
      <c r="AB40" s="1470"/>
      <c r="AC40" s="1471"/>
      <c r="AD40" s="1472"/>
      <c r="AE40" s="1722"/>
      <c r="AF40" s="1723"/>
      <c r="AG40" s="1722"/>
      <c r="AH40" s="1723"/>
      <c r="AI40" s="1735" t="str">
        <f>IF(C40="","",INDEX(PMEMOTOR[Inc Rate Unit],MATCH(C40,PMEMOTOR[Eff Desc 1],0)))</f>
        <v/>
      </c>
      <c r="AJ40" s="1736"/>
      <c r="AK40" s="1728" t="str">
        <f>IF(OR(C40="",V40="",X40="",AB40="",AE40="",AG40=""),"",ROUND(V40*INDEX(PMEMOTOR[Savings per Unit kWh],MATCH(C40,PMEMOTOR[Eff Desc 1],0)),0))</f>
        <v/>
      </c>
      <c r="AL40" s="1729"/>
      <c r="AM40" s="1729"/>
      <c r="AN40" s="1730"/>
      <c r="AO40" s="1726" t="str">
        <f>IF(OR(C40="",V40="",X40="",AB40="",AE40="",AG40=""),"",MIN(AU40,ROUND(V40*AI40,2)))</f>
        <v/>
      </c>
      <c r="AP40" s="1739"/>
      <c r="AQ40" s="1727"/>
      <c r="AR40" s="69"/>
      <c r="AU40" s="804" t="str">
        <f>IF(OR(,V40="",X40="",AB40="",AE40="",AG40=""),"",ROUND((AE40+AG40)*V40,2))</f>
        <v/>
      </c>
      <c r="AV40" s="750" t="str">
        <f>IF(OR(C40="",V40="",X40="",AB40="",AE40="",AG40=""),"",ROUND(V40*INDEX(PMEMOTOR[Savings per Unit kW],MATCH(C40,PMEMOTOR[Eff Desc 1],0)),10))</f>
        <v/>
      </c>
    </row>
    <row r="41" spans="2:49" ht="15.95" hidden="1" customHeight="1" x14ac:dyDescent="0.25">
      <c r="B41" s="1204"/>
      <c r="C41" s="824"/>
      <c r="D41" s="825"/>
      <c r="E41" s="825"/>
      <c r="F41" s="825"/>
      <c r="G41" s="825"/>
      <c r="H41" s="825"/>
      <c r="I41" s="825"/>
      <c r="J41" s="825"/>
      <c r="K41" s="825"/>
      <c r="L41" s="825"/>
      <c r="M41" s="826"/>
      <c r="N41" s="1710"/>
      <c r="O41" s="1711"/>
      <c r="P41" s="1711"/>
      <c r="Q41" s="1711"/>
      <c r="R41" s="1711"/>
      <c r="S41" s="1712"/>
      <c r="T41" s="1715"/>
      <c r="U41" s="1716"/>
      <c r="V41" s="1719"/>
      <c r="W41" s="1720"/>
      <c r="X41" s="824"/>
      <c r="Y41" s="825"/>
      <c r="Z41" s="825"/>
      <c r="AA41" s="826"/>
      <c r="AB41" s="824"/>
      <c r="AC41" s="825"/>
      <c r="AD41" s="826"/>
      <c r="AE41" s="1724"/>
      <c r="AF41" s="1725"/>
      <c r="AG41" s="1724"/>
      <c r="AH41" s="1725"/>
      <c r="AI41" s="1737"/>
      <c r="AJ41" s="1738"/>
      <c r="AK41" s="1696"/>
      <c r="AL41" s="1697"/>
      <c r="AM41" s="1697"/>
      <c r="AN41" s="1698"/>
      <c r="AO41" s="1687"/>
      <c r="AP41" s="1740"/>
      <c r="AQ41" s="1688"/>
      <c r="AR41" s="69"/>
      <c r="AU41" s="805"/>
      <c r="AV41" s="751"/>
    </row>
    <row r="42" spans="2:49" ht="15.95" hidden="1" customHeight="1" x14ac:dyDescent="0.25">
      <c r="B42" s="1204">
        <v>14</v>
      </c>
      <c r="C42" s="1470"/>
      <c r="D42" s="1471"/>
      <c r="E42" s="1471"/>
      <c r="F42" s="1471"/>
      <c r="G42" s="1471"/>
      <c r="H42" s="1471"/>
      <c r="I42" s="1471"/>
      <c r="J42" s="1471"/>
      <c r="K42" s="1471"/>
      <c r="L42" s="1471"/>
      <c r="M42" s="1472"/>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70"/>
      <c r="Y42" s="1471"/>
      <c r="Z42" s="1471"/>
      <c r="AA42" s="1472"/>
      <c r="AB42" s="1470"/>
      <c r="AC42" s="1471"/>
      <c r="AD42" s="1472"/>
      <c r="AE42" s="1722"/>
      <c r="AF42" s="1723"/>
      <c r="AG42" s="1722"/>
      <c r="AH42" s="1723"/>
      <c r="AI42" s="1735" t="str">
        <f>IF(C42="","",INDEX(PMEMOTOR[Inc Rate Unit],MATCH(C42,PMEMOTOR[Eff Desc 1],0)))</f>
        <v/>
      </c>
      <c r="AJ42" s="1736"/>
      <c r="AK42" s="1728" t="str">
        <f>IF(OR(C42="",V42="",X42="",AB42="",AE42="",AG42=""),"",ROUND(V42*INDEX(PMEMOTOR[Savings per Unit kWh],MATCH(C42,PMEMOTOR[Eff Desc 1],0)),0))</f>
        <v/>
      </c>
      <c r="AL42" s="1729"/>
      <c r="AM42" s="1729"/>
      <c r="AN42" s="1730"/>
      <c r="AO42" s="1726" t="str">
        <f>IF(OR(C42="",V42="",X42="",AB42="",AE42="",AG42=""),"",MIN(AU42,ROUND(V42*AI42,2)))</f>
        <v/>
      </c>
      <c r="AP42" s="1739"/>
      <c r="AQ42" s="1727"/>
      <c r="AR42" s="69"/>
      <c r="AU42" s="804" t="str">
        <f>IF(OR(,V42="",X42="",AB42="",AE42="",AG42=""),"",ROUND((AE42+AG42)*V42,2))</f>
        <v/>
      </c>
      <c r="AV42" s="750" t="str">
        <f>IF(OR(C42="",V42="",X42="",AB42="",AE42="",AG42=""),"",ROUND(V42*INDEX(PMEMOTOR[Savings per Unit kW],MATCH(C42,PMEMOTOR[Eff Desc 1],0)),10))</f>
        <v/>
      </c>
    </row>
    <row r="43" spans="2:49" ht="15.95" hidden="1" customHeight="1" x14ac:dyDescent="0.25">
      <c r="B43" s="1204"/>
      <c r="C43" s="824"/>
      <c r="D43" s="825"/>
      <c r="E43" s="825"/>
      <c r="F43" s="825"/>
      <c r="G43" s="825"/>
      <c r="H43" s="825"/>
      <c r="I43" s="825"/>
      <c r="J43" s="825"/>
      <c r="K43" s="825"/>
      <c r="L43" s="825"/>
      <c r="M43" s="826"/>
      <c r="N43" s="1710"/>
      <c r="O43" s="1711"/>
      <c r="P43" s="1711"/>
      <c r="Q43" s="1711"/>
      <c r="R43" s="1711"/>
      <c r="S43" s="1712"/>
      <c r="T43" s="1715"/>
      <c r="U43" s="1716"/>
      <c r="V43" s="1719"/>
      <c r="W43" s="1720"/>
      <c r="X43" s="824"/>
      <c r="Y43" s="825"/>
      <c r="Z43" s="825"/>
      <c r="AA43" s="826"/>
      <c r="AB43" s="824"/>
      <c r="AC43" s="825"/>
      <c r="AD43" s="826"/>
      <c r="AE43" s="1724"/>
      <c r="AF43" s="1725"/>
      <c r="AG43" s="1724"/>
      <c r="AH43" s="1725"/>
      <c r="AI43" s="1737"/>
      <c r="AJ43" s="1738"/>
      <c r="AK43" s="1696"/>
      <c r="AL43" s="1697"/>
      <c r="AM43" s="1697"/>
      <c r="AN43" s="1698"/>
      <c r="AO43" s="1687"/>
      <c r="AP43" s="1740"/>
      <c r="AQ43" s="1688"/>
      <c r="AR43" s="69"/>
      <c r="AU43" s="805"/>
      <c r="AV43" s="751"/>
    </row>
    <row r="44" spans="2:49" ht="15.95" hidden="1" customHeight="1" x14ac:dyDescent="0.25">
      <c r="B44" s="1204">
        <v>15</v>
      </c>
      <c r="C44" s="1470"/>
      <c r="D44" s="1471"/>
      <c r="E44" s="1471"/>
      <c r="F44" s="1471"/>
      <c r="G44" s="1471"/>
      <c r="H44" s="1471"/>
      <c r="I44" s="1471"/>
      <c r="J44" s="1471"/>
      <c r="K44" s="1471"/>
      <c r="L44" s="1471"/>
      <c r="M44" s="1472"/>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70"/>
      <c r="Y44" s="1471"/>
      <c r="Z44" s="1471"/>
      <c r="AA44" s="1472"/>
      <c r="AB44" s="1470"/>
      <c r="AC44" s="1471"/>
      <c r="AD44" s="1472"/>
      <c r="AE44" s="1722"/>
      <c r="AF44" s="1723"/>
      <c r="AG44" s="1722"/>
      <c r="AH44" s="1723"/>
      <c r="AI44" s="1735" t="str">
        <f>IF(C44="","",INDEX(PMEMOTOR[Inc Rate Unit],MATCH(C44,PMEMOTOR[Eff Desc 1],0)))</f>
        <v/>
      </c>
      <c r="AJ44" s="1736"/>
      <c r="AK44" s="1728" t="str">
        <f>IF(OR(C44="",V44="",X44="",AB44="",AE44="",AG44=""),"",ROUND(V44*INDEX(PMEMOTOR[Savings per Unit kWh],MATCH(C44,PMEMOTOR[Eff Desc 1],0)),0))</f>
        <v/>
      </c>
      <c r="AL44" s="1729"/>
      <c r="AM44" s="1729"/>
      <c r="AN44" s="1730"/>
      <c r="AO44" s="1726" t="str">
        <f>IF(OR(C44="",V44="",X44="",AB44="",AE44="",AG44=""),"",MIN(AU44,ROUND(V44*AI44,2)))</f>
        <v/>
      </c>
      <c r="AP44" s="1739"/>
      <c r="AQ44" s="1727"/>
      <c r="AR44" s="69"/>
      <c r="AU44" s="804" t="str">
        <f>IF(OR(,V44="",X44="",AB44="",AE44="",AG44=""),"",ROUND((AE44+AG44)*V44,2))</f>
        <v/>
      </c>
      <c r="AV44" s="750" t="str">
        <f>IF(OR(C44="",V44="",X44="",AB44="",AE44="",AG44=""),"",ROUND(V44*INDEX(PMEMOTOR[Savings per Unit kW],MATCH(C44,PMEMOTOR[Eff Desc 1],0)),10))</f>
        <v/>
      </c>
    </row>
    <row r="45" spans="2:49" ht="15.95" hidden="1" customHeight="1" x14ac:dyDescent="0.25">
      <c r="B45" s="1204"/>
      <c r="C45" s="824"/>
      <c r="D45" s="825"/>
      <c r="E45" s="825"/>
      <c r="F45" s="825"/>
      <c r="G45" s="825"/>
      <c r="H45" s="825"/>
      <c r="I45" s="825"/>
      <c r="J45" s="825"/>
      <c r="K45" s="825"/>
      <c r="L45" s="825"/>
      <c r="M45" s="826"/>
      <c r="N45" s="1710"/>
      <c r="O45" s="1711"/>
      <c r="P45" s="1711"/>
      <c r="Q45" s="1711"/>
      <c r="R45" s="1711"/>
      <c r="S45" s="1712"/>
      <c r="T45" s="1715"/>
      <c r="U45" s="1716"/>
      <c r="V45" s="1719"/>
      <c r="W45" s="1720"/>
      <c r="X45" s="824"/>
      <c r="Y45" s="825"/>
      <c r="Z45" s="825"/>
      <c r="AA45" s="826"/>
      <c r="AB45" s="824"/>
      <c r="AC45" s="825"/>
      <c r="AD45" s="826"/>
      <c r="AE45" s="1724"/>
      <c r="AF45" s="1725"/>
      <c r="AG45" s="1724"/>
      <c r="AH45" s="1725"/>
      <c r="AI45" s="1737"/>
      <c r="AJ45" s="1738"/>
      <c r="AK45" s="1696"/>
      <c r="AL45" s="1697"/>
      <c r="AM45" s="1697"/>
      <c r="AN45" s="1698"/>
      <c r="AO45" s="1687"/>
      <c r="AP45" s="1740"/>
      <c r="AQ45" s="1688"/>
      <c r="AR45" s="69"/>
      <c r="AU45" s="805"/>
      <c r="AV45" s="751"/>
    </row>
    <row r="46" spans="2:49"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804">
        <f>SUM(AU16:AU199)</f>
        <v>0</v>
      </c>
      <c r="AV200" s="750">
        <f>SUM(AV16:AV199)</f>
        <v>0</v>
      </c>
    </row>
    <row r="201" spans="2:48"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805"/>
      <c r="AV201" s="751"/>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row r="203" spans="2:48" ht="15" hidden="1" customHeight="1" x14ac:dyDescent="0.25"/>
  </sheetData>
  <sheetProtection algorithmName="SHA-512" hashValue="UrJOKP3srxPXPiF38FTsSYPOEMqh1QrsoFKa3un4qN9skG0vm44wm/Oga6jHWt57MI7LbGjxwBD01F899m+s3A==" saltValue="j88LdaUYUKPnqHrIxQvhcg==" spinCount="100000" sheet="1" objects="1" scenarios="1" selectLockedCells="1"/>
  <mergeCells count="331">
    <mergeCell ref="AL2:AP3"/>
    <mergeCell ref="AQ1:AR1"/>
    <mergeCell ref="AQ2:AR3"/>
    <mergeCell ref="AW32:AW33"/>
    <mergeCell ref="AW34:AW35"/>
    <mergeCell ref="AW14:AW15"/>
    <mergeCell ref="AW16:AW17"/>
    <mergeCell ref="AW18:AW19"/>
    <mergeCell ref="AW20:AW21"/>
    <mergeCell ref="AW22:AW23"/>
    <mergeCell ref="AW24:AW25"/>
    <mergeCell ref="AW26:AW27"/>
    <mergeCell ref="AW28:AW29"/>
    <mergeCell ref="AW30:AW31"/>
    <mergeCell ref="AK24:AN25"/>
    <mergeCell ref="AO24:AQ25"/>
    <mergeCell ref="AK20:AN21"/>
    <mergeCell ref="AO20:AQ21"/>
    <mergeCell ref="AV18:AV19"/>
    <mergeCell ref="AU20:AU21"/>
    <mergeCell ref="AV20:AV21"/>
    <mergeCell ref="AU22:AU23"/>
    <mergeCell ref="AV22:AV23"/>
    <mergeCell ref="AG32:AH33"/>
    <mergeCell ref="AI32:AJ33"/>
    <mergeCell ref="AO30:AQ31"/>
    <mergeCell ref="Q1:R1"/>
    <mergeCell ref="U1:V1"/>
    <mergeCell ref="Y1:Z1"/>
    <mergeCell ref="AK28:AN29"/>
    <mergeCell ref="AO28:AQ29"/>
    <mergeCell ref="V34:W35"/>
    <mergeCell ref="X34:AA35"/>
    <mergeCell ref="AB34:AD35"/>
    <mergeCell ref="AE34:AF35"/>
    <mergeCell ref="AG34:AH35"/>
    <mergeCell ref="AI34:AJ35"/>
    <mergeCell ref="AK34:AN35"/>
    <mergeCell ref="AO34:AQ35"/>
    <mergeCell ref="AK30:AN31"/>
    <mergeCell ref="AB28:AD29"/>
    <mergeCell ref="AE28:AF29"/>
    <mergeCell ref="AG28:AH29"/>
    <mergeCell ref="AI28:AJ29"/>
    <mergeCell ref="AH1:AK1"/>
    <mergeCell ref="AL1:AP1"/>
    <mergeCell ref="AH2:AK3"/>
    <mergeCell ref="V28:W29"/>
    <mergeCell ref="X28:AA29"/>
    <mergeCell ref="AK44:AN45"/>
    <mergeCell ref="AO44:AQ45"/>
    <mergeCell ref="AK40:AN41"/>
    <mergeCell ref="AO40:AQ41"/>
    <mergeCell ref="AK42:AN43"/>
    <mergeCell ref="AO42:AQ43"/>
    <mergeCell ref="AK36:AN37"/>
    <mergeCell ref="AO36:AQ37"/>
    <mergeCell ref="AK38:AN39"/>
    <mergeCell ref="AO38:AQ39"/>
    <mergeCell ref="V30:W31"/>
    <mergeCell ref="X30:AA31"/>
    <mergeCell ref="AB30:AD31"/>
    <mergeCell ref="AE30:AF31"/>
    <mergeCell ref="AG30:AH31"/>
    <mergeCell ref="AI30:AJ31"/>
    <mergeCell ref="AK32:AN33"/>
    <mergeCell ref="AO32:AQ33"/>
    <mergeCell ref="V32:W33"/>
    <mergeCell ref="X32:AA33"/>
    <mergeCell ref="AB32:AD33"/>
    <mergeCell ref="AE32:AF33"/>
    <mergeCell ref="C44:M45"/>
    <mergeCell ref="N44:S45"/>
    <mergeCell ref="T44:U45"/>
    <mergeCell ref="V44:W45"/>
    <mergeCell ref="X44:AA45"/>
    <mergeCell ref="AB44:AD45"/>
    <mergeCell ref="AE44:AF45"/>
    <mergeCell ref="AG44:AH45"/>
    <mergeCell ref="AI44:AJ45"/>
    <mergeCell ref="C42:M43"/>
    <mergeCell ref="N42:S43"/>
    <mergeCell ref="T42:U43"/>
    <mergeCell ref="V42:W43"/>
    <mergeCell ref="X42:AA43"/>
    <mergeCell ref="AB42:AD43"/>
    <mergeCell ref="AE42:AF43"/>
    <mergeCell ref="AG42:AH43"/>
    <mergeCell ref="AI42:AJ43"/>
    <mergeCell ref="C40:M41"/>
    <mergeCell ref="N40:S41"/>
    <mergeCell ref="T40:U41"/>
    <mergeCell ref="V40:W41"/>
    <mergeCell ref="X40:AA41"/>
    <mergeCell ref="AB40:AD41"/>
    <mergeCell ref="AE40:AF41"/>
    <mergeCell ref="AG40:AH41"/>
    <mergeCell ref="AI40:AJ41"/>
    <mergeCell ref="C38:M39"/>
    <mergeCell ref="N38:S39"/>
    <mergeCell ref="T38:U39"/>
    <mergeCell ref="V38:W39"/>
    <mergeCell ref="X38:AA39"/>
    <mergeCell ref="AB38:AD39"/>
    <mergeCell ref="AE38:AF39"/>
    <mergeCell ref="AG38:AH39"/>
    <mergeCell ref="AI38:AJ39"/>
    <mergeCell ref="C36:M37"/>
    <mergeCell ref="N36:S37"/>
    <mergeCell ref="T36:U37"/>
    <mergeCell ref="V36:W37"/>
    <mergeCell ref="X36:AA37"/>
    <mergeCell ref="AB36:AD37"/>
    <mergeCell ref="AE36:AF37"/>
    <mergeCell ref="AG36:AH37"/>
    <mergeCell ref="AI36:AJ37"/>
    <mergeCell ref="V26:W27"/>
    <mergeCell ref="X26:AA27"/>
    <mergeCell ref="AB26:AD27"/>
    <mergeCell ref="AE26:AF27"/>
    <mergeCell ref="AG26:AH27"/>
    <mergeCell ref="AI26:AJ27"/>
    <mergeCell ref="AK26:AN27"/>
    <mergeCell ref="AO26:AQ27"/>
    <mergeCell ref="V24:W25"/>
    <mergeCell ref="X24:AA25"/>
    <mergeCell ref="AB24:AD25"/>
    <mergeCell ref="AE24:AF25"/>
    <mergeCell ref="AG24:AH25"/>
    <mergeCell ref="AI24:AJ25"/>
    <mergeCell ref="V22:W23"/>
    <mergeCell ref="X22:AA23"/>
    <mergeCell ref="AB22:AD23"/>
    <mergeCell ref="AE22:AF23"/>
    <mergeCell ref="AG22:AH23"/>
    <mergeCell ref="AI22:AJ23"/>
    <mergeCell ref="AK22:AN23"/>
    <mergeCell ref="AO22:AQ23"/>
    <mergeCell ref="V20:W21"/>
    <mergeCell ref="X20:AA21"/>
    <mergeCell ref="AB20:AD21"/>
    <mergeCell ref="AE20:AF21"/>
    <mergeCell ref="AG20:AH21"/>
    <mergeCell ref="AI20:AJ21"/>
    <mergeCell ref="AI16:AJ17"/>
    <mergeCell ref="AK16:AN17"/>
    <mergeCell ref="AO16:AQ17"/>
    <mergeCell ref="V18:W19"/>
    <mergeCell ref="X18:AA19"/>
    <mergeCell ref="AB18:AD19"/>
    <mergeCell ref="AE18:AF19"/>
    <mergeCell ref="AG18:AH19"/>
    <mergeCell ref="AI18:AJ19"/>
    <mergeCell ref="AK18:AN19"/>
    <mergeCell ref="AO18:AQ19"/>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V14:W15"/>
    <mergeCell ref="X14:AA15"/>
    <mergeCell ref="AB14:AD15"/>
    <mergeCell ref="V16:W17"/>
    <mergeCell ref="X16:AA17"/>
    <mergeCell ref="AB16:AD17"/>
    <mergeCell ref="R12:U13"/>
    <mergeCell ref="V12:Y13"/>
    <mergeCell ref="Z12:AC13"/>
    <mergeCell ref="J11:Q13"/>
    <mergeCell ref="C16:L17"/>
    <mergeCell ref="M16:R17"/>
    <mergeCell ref="S16:U17"/>
    <mergeCell ref="C14:L15"/>
    <mergeCell ref="M14:U1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S26:U27"/>
    <mergeCell ref="S28:U29"/>
    <mergeCell ref="S30:U31"/>
    <mergeCell ref="S32:U33"/>
    <mergeCell ref="AE14:AH14"/>
    <mergeCell ref="AE15:AF15"/>
    <mergeCell ref="AG15:AH15"/>
    <mergeCell ref="AU44:AU45"/>
    <mergeCell ref="AV44:AV45"/>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O9:AF10"/>
    <mergeCell ref="C18:L19"/>
    <mergeCell ref="M18:R19"/>
    <mergeCell ref="S18:U19"/>
    <mergeCell ref="S34:U35"/>
    <mergeCell ref="C34:L35"/>
    <mergeCell ref="M20:R21"/>
    <mergeCell ref="M22:R23"/>
    <mergeCell ref="M24:R25"/>
    <mergeCell ref="M26:R27"/>
    <mergeCell ref="M28:R29"/>
    <mergeCell ref="M30:R31"/>
    <mergeCell ref="M32:R33"/>
    <mergeCell ref="M34:R35"/>
    <mergeCell ref="C20:L21"/>
    <mergeCell ref="C22:L23"/>
    <mergeCell ref="C24:L25"/>
    <mergeCell ref="C26:L27"/>
    <mergeCell ref="C28:L29"/>
    <mergeCell ref="C30:L31"/>
    <mergeCell ref="C32:L33"/>
    <mergeCell ref="S20:U21"/>
    <mergeCell ref="S22:U23"/>
    <mergeCell ref="S24:U25"/>
  </mergeCells>
  <conditionalFormatting sqref="O9">
    <cfRule type="expression" dxfId="213" priority="324">
      <formula>ISNUMBER(SEARCH("Inspection",$O$9))</formula>
    </cfRule>
  </conditionalFormatting>
  <conditionalFormatting sqref="S16:U35">
    <cfRule type="expression" dxfId="212" priority="2">
      <formula>ISNUMBER(SEARCH("Demand Control",$C16))</formula>
    </cfRule>
  </conditionalFormatting>
  <conditionalFormatting sqref="AH2 AL2">
    <cfRule type="expression" dxfId="211" priority="4">
      <formula>PROJSTATUS=PROJSTATELI</formula>
    </cfRule>
    <cfRule type="expression" dxfId="210" priority="5">
      <formula>PROJSTATUS=PROJSTATREVIEW</formula>
    </cfRule>
    <cfRule type="expression" dxfId="209" priority="6">
      <formula>PROJSTATUS=PROJSTATPREAPPROVE</formula>
    </cfRule>
    <cfRule type="expression" dxfId="208" priority="7">
      <formula>PROJSTATUS=PROJSTATSTANDARD</formula>
    </cfRule>
    <cfRule type="expression" dxfId="207" priority="8">
      <formula>PROJSTATUS=PROJSTATEXP</formula>
    </cfRule>
  </conditionalFormatting>
  <conditionalFormatting sqref="AO16:AQ35">
    <cfRule type="expression" dxfId="206" priority="3">
      <formula>ISNUMBER($AO16)=FALSE</formula>
    </cfRule>
    <cfRule type="expression" dxfId="205" priority="9">
      <formula>AW16="Yes"</formula>
    </cfRule>
  </conditionalFormatting>
  <conditionalFormatting sqref="AQ2:AR3">
    <cfRule type="cellIs" dxfId="204" priority="18" operator="equal">
      <formula>1</formula>
    </cfRule>
    <cfRule type="cellIs" dxfId="203" priority="19" operator="between">
      <formula>0.51</formula>
      <formula>0.99</formula>
    </cfRule>
    <cfRule type="cellIs" dxfId="202" priority="20" operator="lessThanOrEqual">
      <formula>0.5</formula>
    </cfRule>
  </conditionalFormatting>
  <dataValidations count="6">
    <dataValidation type="list" allowBlank="1" showInputMessage="1" showErrorMessage="1" sqref="C36:M45" xr:uid="{00000000-0002-0000-1A00-000000000000}">
      <formula1>PMEMOTOREFF1</formula1>
    </dataValidation>
    <dataValidation type="decimal" allowBlank="1" showInputMessage="1" showErrorMessage="1" error="Please enter a numerical value" prompt="Reference the &quot;Unit of Measure&quot; column to ensure you enter the correct value based on unit type." sqref="V36:W45" xr:uid="{00000000-0002-0000-1A00-000001000000}">
      <formula1>0</formula1>
      <formula2>99999</formula2>
    </dataValidation>
    <dataValidation type="decimal" allowBlank="1" showInputMessage="1" showErrorMessage="1" error="Please enter a numerical value" sqref="AE16:AH45" xr:uid="{00000000-0002-0000-1A00-000002000000}">
      <formula1>0</formula1>
      <formula2>999999</formula2>
    </dataValidation>
    <dataValidation type="list" allowBlank="1" showInputMessage="1" showErrorMessage="1" sqref="C18 M16 C16 C34 C20 C22 C24 C26 C28 C30 C32" xr:uid="{00000000-0002-0000-1A00-000004000000}">
      <formula1>PMEKITCHENEFF1</formula1>
    </dataValidation>
    <dataValidation type="whole" allowBlank="1" showInputMessage="1" showErrorMessage="1" error="Please enter a numerical value" prompt="Enter the cookers, holding cabinets, or DCV fans being installed._x000a_" sqref="V16:W35" xr:uid="{49D5AA58-BC1E-4A94-BCD8-6AD3AEC6AE12}">
      <formula1>0</formula1>
      <formula2>99999</formula2>
    </dataValidation>
    <dataValidation type="decimal" operator="greaterThanOrEqual" allowBlank="1" showInputMessage="1" showErrorMessage="1" prompt="If installing demand control ventilation, enter the HP of EACH fan." sqref="S16:U35" xr:uid="{8A776A5B-9903-455F-BF93-A68E9A58578A}">
      <formula1>1</formula1>
    </dataValidation>
  </dataValidations>
  <hyperlinks>
    <hyperlink ref="B202" r:id="rId1" display="NIPSCO.Savings@LMCO.com" xr:uid="{00000000-0004-0000-1A00-000000000000}"/>
  </hyperlinks>
  <pageMargins left="0.25" right="0.25" top="0.25" bottom="0.25" header="0.25" footer="0.25"/>
  <pageSetup scale="64"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6">
    <tabColor theme="4" tint="-0.249977111117893"/>
  </sheetPr>
  <dimension ref="A1:AT147"/>
  <sheetViews>
    <sheetView topLeftCell="K1" zoomScale="85" zoomScaleNormal="85" workbookViewId="0">
      <selection activeCell="Y50" sqref="Y50"/>
    </sheetView>
  </sheetViews>
  <sheetFormatPr defaultColWidth="9.140625" defaultRowHeight="15" x14ac:dyDescent="0.25"/>
  <cols>
    <col min="1" max="1" width="10.5703125" style="66" customWidth="1"/>
    <col min="2" max="2" width="23.42578125" customWidth="1"/>
    <col min="3" max="3" width="35.28515625" bestFit="1" customWidth="1"/>
    <col min="4" max="4" width="13.85546875" customWidth="1"/>
    <col min="5" max="5" width="6.85546875" customWidth="1"/>
    <col min="6" max="6" width="11.28515625" customWidth="1"/>
    <col min="7" max="7" width="9.7109375" customWidth="1"/>
    <col min="8" max="8" width="13" customWidth="1"/>
    <col min="9" max="9" width="11.140625" customWidth="1"/>
    <col min="10" max="10" width="6.140625" customWidth="1"/>
    <col min="11" max="11" width="13.28515625" customWidth="1"/>
    <col min="12" max="12" width="7" customWidth="1"/>
    <col min="13" max="13" width="8.5703125" customWidth="1"/>
    <col min="14" max="14" width="17.7109375" style="66" customWidth="1"/>
    <col min="15" max="15" width="24.140625" customWidth="1"/>
    <col min="16" max="16" width="11.5703125" customWidth="1"/>
    <col min="17" max="17" width="12.140625" customWidth="1"/>
    <col min="18" max="18" width="11.7109375" customWidth="1"/>
    <col min="19" max="19" width="16" customWidth="1"/>
    <col min="20" max="21" width="20.140625" customWidth="1"/>
    <col min="22" max="22" width="11" customWidth="1"/>
    <col min="23" max="23" width="7.85546875" customWidth="1"/>
    <col min="24" max="24" width="30.7109375" customWidth="1"/>
    <col min="25" max="25" width="9.85546875" customWidth="1"/>
    <col min="26" max="26" width="17" customWidth="1"/>
    <col min="27" max="27" width="15.42578125" customWidth="1"/>
    <col min="28" max="28" width="18.85546875" customWidth="1"/>
    <col min="29" max="29" width="9.140625" customWidth="1"/>
    <col min="30" max="30" width="13.85546875" style="66" customWidth="1"/>
    <col min="31" max="31" width="34.85546875" customWidth="1"/>
    <col min="32" max="32" width="17.85546875" customWidth="1"/>
    <col min="33" max="33" width="21.5703125" customWidth="1"/>
    <col min="34" max="34" width="9.140625" customWidth="1"/>
    <col min="35" max="35" width="8.28515625" customWidth="1"/>
    <col min="36" max="36" width="7" customWidth="1"/>
    <col min="37" max="37" width="7.5703125" customWidth="1"/>
    <col min="38" max="38" width="6.7109375" customWidth="1"/>
    <col min="39" max="39" width="5.85546875" customWidth="1"/>
    <col min="40" max="40" width="6.5703125" customWidth="1"/>
    <col min="41" max="41" width="10.85546875" customWidth="1"/>
    <col min="42" max="42" width="13.140625" customWidth="1"/>
    <col min="43" max="46" width="9.140625" customWidth="1"/>
  </cols>
  <sheetData>
    <row r="1" spans="1:46" ht="24.75" customHeight="1" x14ac:dyDescent="0.25">
      <c r="A1" s="112" t="s">
        <v>125</v>
      </c>
      <c r="B1" s="113" t="s">
        <v>156</v>
      </c>
      <c r="C1" s="113" t="s">
        <v>157</v>
      </c>
      <c r="D1" s="113" t="s">
        <v>173</v>
      </c>
      <c r="E1" s="113" t="s">
        <v>209</v>
      </c>
      <c r="F1" s="111" t="s">
        <v>127</v>
      </c>
      <c r="G1" s="111" t="s">
        <v>572</v>
      </c>
      <c r="H1" s="111" t="s">
        <v>573</v>
      </c>
      <c r="I1" s="113" t="s">
        <v>130</v>
      </c>
      <c r="J1" s="113" t="s">
        <v>578</v>
      </c>
      <c r="K1" s="113" t="s">
        <v>808</v>
      </c>
      <c r="L1" s="113" t="s">
        <v>939</v>
      </c>
      <c r="M1" s="113" t="s">
        <v>1429</v>
      </c>
      <c r="N1" s="112" t="s">
        <v>125</v>
      </c>
      <c r="O1" s="113" t="s">
        <v>158</v>
      </c>
      <c r="P1" s="113" t="s">
        <v>159</v>
      </c>
      <c r="Q1" s="113" t="s">
        <v>174</v>
      </c>
      <c r="R1" s="113" t="s">
        <v>175</v>
      </c>
      <c r="S1" s="113" t="s">
        <v>127</v>
      </c>
      <c r="T1" s="113" t="s">
        <v>572</v>
      </c>
      <c r="U1" s="113" t="s">
        <v>573</v>
      </c>
      <c r="V1" s="113" t="s">
        <v>130</v>
      </c>
      <c r="W1" s="113" t="s">
        <v>578</v>
      </c>
      <c r="X1" s="113" t="s">
        <v>808</v>
      </c>
      <c r="Y1" s="113" t="s">
        <v>939</v>
      </c>
      <c r="Z1" s="251" t="s">
        <v>1332</v>
      </c>
      <c r="AA1" s="106"/>
      <c r="AB1" s="108" t="s">
        <v>0</v>
      </c>
      <c r="AC1" s="107"/>
      <c r="AD1" s="109" t="s">
        <v>125</v>
      </c>
      <c r="AE1" s="109" t="s">
        <v>922</v>
      </c>
      <c r="AF1" s="107" t="s">
        <v>748</v>
      </c>
      <c r="AG1" s="107" t="s">
        <v>749</v>
      </c>
      <c r="AH1" t="s">
        <v>939</v>
      </c>
      <c r="AI1" s="107" t="s">
        <v>133</v>
      </c>
      <c r="AJ1" s="107" t="s">
        <v>127</v>
      </c>
      <c r="AK1" s="107" t="s">
        <v>572</v>
      </c>
      <c r="AL1" s="107" t="s">
        <v>573</v>
      </c>
      <c r="AM1" s="107" t="s">
        <v>717</v>
      </c>
      <c r="AN1" s="107" t="s">
        <v>578</v>
      </c>
      <c r="AO1" s="107" t="s">
        <v>716</v>
      </c>
      <c r="AP1" s="107" t="s">
        <v>558</v>
      </c>
      <c r="AQ1" t="s">
        <v>991</v>
      </c>
      <c r="AR1" s="107" t="s">
        <v>715</v>
      </c>
      <c r="AS1" s="107"/>
      <c r="AT1" t="s">
        <v>940</v>
      </c>
    </row>
    <row r="2" spans="1:46" x14ac:dyDescent="0.25">
      <c r="A2" s="287" t="s">
        <v>580</v>
      </c>
      <c r="B2" s="288" t="s">
        <v>1920</v>
      </c>
      <c r="C2" s="288"/>
      <c r="D2" s="288" t="str">
        <f>""</f>
        <v/>
      </c>
      <c r="E2" s="288"/>
      <c r="F2" s="288" t="s">
        <v>657</v>
      </c>
      <c r="G2" s="288"/>
      <c r="H2" s="288"/>
      <c r="I2" s="288" t="s">
        <v>141</v>
      </c>
      <c r="J2" s="288">
        <v>1</v>
      </c>
      <c r="K2" s="288"/>
      <c r="L2" s="288"/>
      <c r="N2" s="66">
        <v>40616</v>
      </c>
      <c r="O2" s="107" t="s">
        <v>824</v>
      </c>
      <c r="P2" s="107"/>
      <c r="Q2" s="107" t="str">
        <f>""</f>
        <v/>
      </c>
      <c r="R2" s="107"/>
      <c r="S2" s="107" t="s">
        <v>139</v>
      </c>
      <c r="T2" s="107" t="s">
        <v>710</v>
      </c>
      <c r="U2" s="107"/>
      <c r="V2" s="107" t="s">
        <v>141</v>
      </c>
      <c r="W2" s="110">
        <v>1</v>
      </c>
      <c r="X2" s="107"/>
      <c r="Y2" s="110">
        <v>0.1</v>
      </c>
      <c r="Z2" s="589">
        <v>7.0000000000000007E-2</v>
      </c>
      <c r="AA2" s="107"/>
      <c r="AB2" s="34" t="s">
        <v>937</v>
      </c>
      <c r="AC2" s="107"/>
      <c r="AD2" s="109">
        <v>4050701</v>
      </c>
      <c r="AE2" s="109" t="s">
        <v>920</v>
      </c>
      <c r="AF2" s="107" t="s">
        <v>931</v>
      </c>
      <c r="AG2" s="107"/>
      <c r="AH2" s="107"/>
      <c r="AI2" s="107">
        <v>15</v>
      </c>
      <c r="AJ2" s="107"/>
      <c r="AK2" s="107"/>
      <c r="AL2" s="107"/>
      <c r="AM2" s="107"/>
      <c r="AN2" s="107">
        <v>1</v>
      </c>
      <c r="AO2" s="107" t="s">
        <v>144</v>
      </c>
      <c r="AP2" s="109"/>
      <c r="AQ2" t="s">
        <v>828</v>
      </c>
      <c r="AR2" s="107" t="s">
        <v>144</v>
      </c>
      <c r="AS2" s="107"/>
    </row>
    <row r="3" spans="1:46" x14ac:dyDescent="0.25">
      <c r="A3" s="287" t="s">
        <v>580</v>
      </c>
      <c r="B3" s="288" t="s">
        <v>1921</v>
      </c>
      <c r="C3" s="288"/>
      <c r="D3" s="288" t="str">
        <f>""</f>
        <v/>
      </c>
      <c r="E3" s="288"/>
      <c r="F3" s="288" t="s">
        <v>1487</v>
      </c>
      <c r="G3" s="288"/>
      <c r="H3" s="288"/>
      <c r="I3" s="288" t="s">
        <v>141</v>
      </c>
      <c r="J3" s="288">
        <v>2</v>
      </c>
      <c r="K3" s="288"/>
      <c r="L3" s="288"/>
      <c r="N3" s="66">
        <v>40617</v>
      </c>
      <c r="O3" s="107" t="s">
        <v>825</v>
      </c>
      <c r="P3" s="107"/>
      <c r="Q3" s="107" t="str">
        <f>""</f>
        <v/>
      </c>
      <c r="R3" s="107"/>
      <c r="S3" s="107" t="s">
        <v>139</v>
      </c>
      <c r="T3" s="107" t="s">
        <v>711</v>
      </c>
      <c r="U3" s="107"/>
      <c r="V3" s="107" t="s">
        <v>141</v>
      </c>
      <c r="W3" s="110">
        <v>2</v>
      </c>
      <c r="X3" s="107"/>
      <c r="Y3" s="110">
        <v>0.1</v>
      </c>
      <c r="Z3" s="589">
        <v>7.0000000000000007E-2</v>
      </c>
      <c r="AA3" s="107"/>
      <c r="AB3" s="34" t="s">
        <v>920</v>
      </c>
      <c r="AC3" s="107"/>
      <c r="AD3" s="109">
        <v>4051001</v>
      </c>
      <c r="AE3" s="109" t="s">
        <v>920</v>
      </c>
      <c r="AF3" s="107" t="s">
        <v>933</v>
      </c>
      <c r="AG3" s="107"/>
      <c r="AH3" s="107"/>
      <c r="AI3" s="107">
        <v>15</v>
      </c>
      <c r="AJ3" s="107"/>
      <c r="AK3" s="107"/>
      <c r="AL3" s="107"/>
      <c r="AM3" s="107"/>
      <c r="AN3" s="107">
        <v>2</v>
      </c>
      <c r="AO3" s="107" t="s">
        <v>144</v>
      </c>
      <c r="AP3" s="109"/>
      <c r="AQ3" t="s">
        <v>828</v>
      </c>
      <c r="AR3" s="107" t="s">
        <v>144</v>
      </c>
      <c r="AS3" s="107"/>
    </row>
    <row r="4" spans="1:46" x14ac:dyDescent="0.25">
      <c r="A4" s="287" t="s">
        <v>655</v>
      </c>
      <c r="B4" s="288" t="s">
        <v>1922</v>
      </c>
      <c r="C4" s="288"/>
      <c r="D4" s="288" t="str">
        <f>""</f>
        <v/>
      </c>
      <c r="E4" s="288"/>
      <c r="F4" s="288" t="s">
        <v>658</v>
      </c>
      <c r="G4" s="288"/>
      <c r="H4" s="288"/>
      <c r="I4" s="288" t="s">
        <v>141</v>
      </c>
      <c r="J4" s="288">
        <v>3</v>
      </c>
      <c r="K4" s="288"/>
      <c r="L4" s="288"/>
      <c r="N4" s="109"/>
      <c r="O4" t="s">
        <v>1227</v>
      </c>
      <c r="P4" s="107"/>
      <c r="Q4" s="107" t="s">
        <v>761</v>
      </c>
      <c r="R4" s="107"/>
      <c r="S4" s="107"/>
      <c r="T4" s="107"/>
      <c r="U4" s="107"/>
      <c r="V4" s="107"/>
      <c r="W4" s="110">
        <v>3</v>
      </c>
      <c r="X4" s="107"/>
      <c r="Y4">
        <v>0.1</v>
      </c>
      <c r="Z4" s="589"/>
      <c r="AA4" s="107"/>
      <c r="AB4" s="34"/>
      <c r="AC4" s="107"/>
      <c r="AD4" s="66">
        <v>4050101</v>
      </c>
      <c r="AE4" s="109" t="s">
        <v>920</v>
      </c>
      <c r="AF4" t="s">
        <v>1222</v>
      </c>
      <c r="AG4" s="201"/>
      <c r="AH4" s="201"/>
      <c r="AI4" s="201">
        <v>15</v>
      </c>
      <c r="AJ4" s="201"/>
      <c r="AK4" s="201"/>
      <c r="AL4" s="201"/>
      <c r="AM4" s="201"/>
      <c r="AN4" s="107">
        <v>3</v>
      </c>
      <c r="AO4" s="107" t="s">
        <v>144</v>
      </c>
      <c r="AP4" s="200"/>
      <c r="AQ4" t="s">
        <v>828</v>
      </c>
      <c r="AR4" s="107" t="s">
        <v>144</v>
      </c>
      <c r="AS4" s="107"/>
    </row>
    <row r="5" spans="1:46" x14ac:dyDescent="0.25">
      <c r="A5" s="289"/>
      <c r="B5" s="288" t="s">
        <v>1227</v>
      </c>
      <c r="C5" s="288"/>
      <c r="D5" s="288" t="s">
        <v>761</v>
      </c>
      <c r="E5" s="288"/>
      <c r="F5" s="288"/>
      <c r="G5" s="288"/>
      <c r="H5" s="288"/>
      <c r="I5" s="288" t="s">
        <v>141</v>
      </c>
      <c r="J5" s="288">
        <v>4</v>
      </c>
      <c r="K5" s="288"/>
      <c r="L5" s="288"/>
      <c r="N5" s="66">
        <v>40618</v>
      </c>
      <c r="O5" s="107" t="s">
        <v>818</v>
      </c>
      <c r="P5" s="107"/>
      <c r="Q5" s="107">
        <v>16</v>
      </c>
      <c r="R5" s="107"/>
      <c r="S5" s="107" t="s">
        <v>820</v>
      </c>
      <c r="T5" s="107" t="s">
        <v>571</v>
      </c>
      <c r="U5" s="107" t="s">
        <v>574</v>
      </c>
      <c r="V5" s="107" t="s">
        <v>141</v>
      </c>
      <c r="W5" s="110">
        <v>4</v>
      </c>
      <c r="X5" s="107" t="s">
        <v>810</v>
      </c>
      <c r="Y5" s="110">
        <v>0.1</v>
      </c>
      <c r="Z5" s="589">
        <v>7.0000000000000007E-2</v>
      </c>
      <c r="AA5" s="107"/>
      <c r="AB5" s="34"/>
      <c r="AC5" s="107"/>
      <c r="AD5" s="109">
        <v>4050201</v>
      </c>
      <c r="AE5" s="109" t="s">
        <v>920</v>
      </c>
      <c r="AF5" s="107" t="s">
        <v>927</v>
      </c>
      <c r="AG5" s="107"/>
      <c r="AH5" s="107"/>
      <c r="AI5" s="107">
        <v>20</v>
      </c>
      <c r="AJ5" s="107"/>
      <c r="AK5" s="107"/>
      <c r="AL5" s="107"/>
      <c r="AM5" s="107"/>
      <c r="AN5" s="107">
        <v>4</v>
      </c>
      <c r="AO5" s="107" t="s">
        <v>515</v>
      </c>
      <c r="AP5" s="109"/>
      <c r="AQ5" t="s">
        <v>828</v>
      </c>
      <c r="AR5" s="107" t="s">
        <v>144</v>
      </c>
      <c r="AS5" s="107"/>
    </row>
    <row r="6" spans="1:46" x14ac:dyDescent="0.25">
      <c r="A6" s="287" t="s">
        <v>581</v>
      </c>
      <c r="B6" s="288" t="s">
        <v>582</v>
      </c>
      <c r="C6" s="288" t="s">
        <v>1451</v>
      </c>
      <c r="D6" s="288">
        <v>28</v>
      </c>
      <c r="E6" s="288"/>
      <c r="F6" s="288" t="s">
        <v>155</v>
      </c>
      <c r="G6" s="288" t="s">
        <v>571</v>
      </c>
      <c r="H6" s="288" t="s">
        <v>574</v>
      </c>
      <c r="I6" s="288" t="s">
        <v>141</v>
      </c>
      <c r="J6" s="288">
        <v>5</v>
      </c>
      <c r="K6" s="288" t="s">
        <v>809</v>
      </c>
      <c r="L6" s="288"/>
      <c r="N6" s="66">
        <v>40618</v>
      </c>
      <c r="O6" s="107" t="s">
        <v>819</v>
      </c>
      <c r="P6" s="107"/>
      <c r="Q6" s="107">
        <v>32</v>
      </c>
      <c r="R6" s="107"/>
      <c r="S6" s="107" t="s">
        <v>820</v>
      </c>
      <c r="T6" s="107" t="s">
        <v>571</v>
      </c>
      <c r="U6" s="107" t="s">
        <v>659</v>
      </c>
      <c r="V6" s="107" t="s">
        <v>141</v>
      </c>
      <c r="W6" s="110">
        <v>5</v>
      </c>
      <c r="X6" s="107" t="s">
        <v>810</v>
      </c>
      <c r="Y6" s="110">
        <v>0.1</v>
      </c>
      <c r="Z6" s="589">
        <v>7.0000000000000007E-2</v>
      </c>
      <c r="AA6" s="107"/>
      <c r="AB6" s="34"/>
      <c r="AC6" s="107"/>
      <c r="AD6" s="109">
        <v>4052201</v>
      </c>
      <c r="AE6" s="109" t="s">
        <v>920</v>
      </c>
      <c r="AF6" s="107" t="s">
        <v>928</v>
      </c>
      <c r="AG6" s="107"/>
      <c r="AH6" s="107"/>
      <c r="AI6" s="107">
        <v>20</v>
      </c>
      <c r="AJ6" s="107"/>
      <c r="AK6" s="107"/>
      <c r="AL6" s="107"/>
      <c r="AM6" s="107"/>
      <c r="AN6" s="107">
        <v>5</v>
      </c>
      <c r="AO6" s="107" t="s">
        <v>515</v>
      </c>
      <c r="AP6" s="109"/>
      <c r="AQ6" t="s">
        <v>828</v>
      </c>
      <c r="AR6" s="107" t="s">
        <v>144</v>
      </c>
      <c r="AS6" s="107"/>
    </row>
    <row r="7" spans="1:46" x14ac:dyDescent="0.25">
      <c r="A7" s="287" t="s">
        <v>581</v>
      </c>
      <c r="B7" s="288" t="s">
        <v>583</v>
      </c>
      <c r="C7" s="288" t="s">
        <v>1452</v>
      </c>
      <c r="D7" s="288">
        <v>56</v>
      </c>
      <c r="E7" s="288"/>
      <c r="F7" s="288" t="s">
        <v>155</v>
      </c>
      <c r="G7" s="288" t="s">
        <v>571</v>
      </c>
      <c r="H7" s="288" t="s">
        <v>659</v>
      </c>
      <c r="I7" s="288" t="s">
        <v>141</v>
      </c>
      <c r="J7" s="288">
        <v>6</v>
      </c>
      <c r="K7" s="288" t="s">
        <v>810</v>
      </c>
      <c r="L7" s="288"/>
      <c r="N7" s="66">
        <v>40621</v>
      </c>
      <c r="O7" s="107" t="s">
        <v>690</v>
      </c>
      <c r="P7" s="107"/>
      <c r="Q7" s="107">
        <v>23</v>
      </c>
      <c r="R7" s="107"/>
      <c r="S7" s="107" t="s">
        <v>712</v>
      </c>
      <c r="T7" s="107" t="s">
        <v>660</v>
      </c>
      <c r="U7" s="107" t="s">
        <v>574</v>
      </c>
      <c r="V7" s="107" t="s">
        <v>141</v>
      </c>
      <c r="W7" s="110">
        <v>6</v>
      </c>
      <c r="X7" s="107" t="s">
        <v>810</v>
      </c>
      <c r="Y7">
        <v>0.1</v>
      </c>
      <c r="Z7" s="589">
        <v>7.0000000000000007E-2</v>
      </c>
      <c r="AA7" s="107"/>
      <c r="AB7" s="34"/>
      <c r="AC7" s="107"/>
      <c r="AD7" s="66">
        <v>4050501</v>
      </c>
      <c r="AE7" s="109" t="s">
        <v>920</v>
      </c>
      <c r="AF7" t="s">
        <v>1231</v>
      </c>
      <c r="AG7" s="204"/>
      <c r="AH7" s="204"/>
      <c r="AI7" s="204">
        <v>15</v>
      </c>
      <c r="AJ7" s="204"/>
      <c r="AK7" s="204"/>
      <c r="AL7" s="204"/>
      <c r="AM7" s="204"/>
      <c r="AN7" s="107">
        <v>6</v>
      </c>
      <c r="AO7" s="107" t="s">
        <v>515</v>
      </c>
      <c r="AP7" s="203"/>
      <c r="AQ7" t="s">
        <v>828</v>
      </c>
      <c r="AR7" s="107" t="s">
        <v>144</v>
      </c>
      <c r="AS7" s="107"/>
    </row>
    <row r="8" spans="1:46" x14ac:dyDescent="0.25">
      <c r="A8" s="287" t="s">
        <v>581</v>
      </c>
      <c r="B8" s="288" t="s">
        <v>1425</v>
      </c>
      <c r="C8" s="288" t="s">
        <v>1453</v>
      </c>
      <c r="D8" s="288">
        <v>62</v>
      </c>
      <c r="E8" s="288"/>
      <c r="F8" s="288" t="s">
        <v>155</v>
      </c>
      <c r="G8" s="288" t="s">
        <v>571</v>
      </c>
      <c r="H8" s="288" t="s">
        <v>662</v>
      </c>
      <c r="I8" s="288" t="s">
        <v>141</v>
      </c>
      <c r="J8" s="288">
        <v>7</v>
      </c>
      <c r="K8" s="288" t="s">
        <v>810</v>
      </c>
      <c r="L8" s="288"/>
      <c r="N8" s="66">
        <v>40621</v>
      </c>
      <c r="O8" s="107" t="s">
        <v>691</v>
      </c>
      <c r="P8" s="107"/>
      <c r="Q8" s="107">
        <v>46</v>
      </c>
      <c r="R8" s="107"/>
      <c r="S8" s="107" t="s">
        <v>712</v>
      </c>
      <c r="T8" s="107" t="s">
        <v>660</v>
      </c>
      <c r="U8" s="107" t="s">
        <v>659</v>
      </c>
      <c r="V8" s="107" t="s">
        <v>141</v>
      </c>
      <c r="W8" s="110">
        <v>7</v>
      </c>
      <c r="X8" s="107" t="s">
        <v>810</v>
      </c>
      <c r="Y8" s="110">
        <v>0.1</v>
      </c>
      <c r="Z8" s="589">
        <v>7.0000000000000007E-2</v>
      </c>
      <c r="AA8" s="107"/>
      <c r="AB8" s="34"/>
      <c r="AC8" s="107"/>
      <c r="AD8" s="109">
        <v>4051801</v>
      </c>
      <c r="AE8" s="109" t="s">
        <v>920</v>
      </c>
      <c r="AF8" s="107" t="s">
        <v>921</v>
      </c>
      <c r="AG8" s="107"/>
      <c r="AH8" s="107"/>
      <c r="AI8" s="107">
        <v>15</v>
      </c>
      <c r="AJ8" s="107"/>
      <c r="AK8" s="107"/>
      <c r="AL8" s="107"/>
      <c r="AM8" s="107"/>
      <c r="AN8" s="107">
        <v>7</v>
      </c>
      <c r="AO8" s="107" t="s">
        <v>144</v>
      </c>
      <c r="AP8" s="109"/>
      <c r="AQ8" t="s">
        <v>828</v>
      </c>
      <c r="AR8" s="107" t="s">
        <v>144</v>
      </c>
      <c r="AS8" s="107"/>
    </row>
    <row r="9" spans="1:46" x14ac:dyDescent="0.25">
      <c r="A9" s="287" t="s">
        <v>581</v>
      </c>
      <c r="B9" s="288" t="s">
        <v>1426</v>
      </c>
      <c r="C9" s="288" t="s">
        <v>1454</v>
      </c>
      <c r="D9" s="288">
        <v>112</v>
      </c>
      <c r="E9" s="288"/>
      <c r="F9" s="288" t="s">
        <v>155</v>
      </c>
      <c r="G9" s="288" t="s">
        <v>571</v>
      </c>
      <c r="H9" s="288" t="s">
        <v>663</v>
      </c>
      <c r="I9" s="288" t="s">
        <v>141</v>
      </c>
      <c r="J9" s="288">
        <v>8</v>
      </c>
      <c r="K9" s="288" t="s">
        <v>810</v>
      </c>
      <c r="L9" s="288"/>
      <c r="N9" s="66">
        <v>40621</v>
      </c>
      <c r="O9" s="107" t="s">
        <v>692</v>
      </c>
      <c r="P9" s="107" t="s">
        <v>176</v>
      </c>
      <c r="Q9" s="107">
        <v>24</v>
      </c>
      <c r="R9" s="107"/>
      <c r="S9" s="107" t="s">
        <v>712</v>
      </c>
      <c r="T9" s="107" t="s">
        <v>661</v>
      </c>
      <c r="U9" s="107" t="s">
        <v>574</v>
      </c>
      <c r="V9" s="107" t="s">
        <v>141</v>
      </c>
      <c r="W9" s="110">
        <v>8</v>
      </c>
      <c r="X9" s="107" t="s">
        <v>810</v>
      </c>
      <c r="Y9" s="110">
        <v>0.1</v>
      </c>
      <c r="Z9" s="589">
        <v>7.0000000000000007E-2</v>
      </c>
      <c r="AA9" s="107"/>
      <c r="AB9" s="34"/>
      <c r="AC9" s="107"/>
      <c r="AD9" s="66">
        <v>4050401</v>
      </c>
      <c r="AE9" s="109" t="s">
        <v>920</v>
      </c>
      <c r="AF9" t="s">
        <v>1220</v>
      </c>
      <c r="AG9" s="201"/>
      <c r="AH9" s="201"/>
      <c r="AI9" s="201">
        <v>15</v>
      </c>
      <c r="AJ9" s="201"/>
      <c r="AK9" s="201"/>
      <c r="AL9" s="201"/>
      <c r="AM9" s="201"/>
      <c r="AN9" s="107">
        <v>8</v>
      </c>
      <c r="AO9" s="107" t="s">
        <v>515</v>
      </c>
      <c r="AP9" s="200"/>
      <c r="AQ9" t="s">
        <v>828</v>
      </c>
      <c r="AR9" s="107" t="s">
        <v>144</v>
      </c>
      <c r="AS9" s="107"/>
    </row>
    <row r="10" spans="1:46" x14ac:dyDescent="0.25">
      <c r="A10" s="287" t="s">
        <v>581</v>
      </c>
      <c r="B10" s="288" t="s">
        <v>584</v>
      </c>
      <c r="C10" s="288" t="s">
        <v>1455</v>
      </c>
      <c r="D10" s="288">
        <v>37</v>
      </c>
      <c r="E10" s="288"/>
      <c r="F10" s="288" t="s">
        <v>155</v>
      </c>
      <c r="G10" s="288" t="s">
        <v>660</v>
      </c>
      <c r="H10" s="288" t="s">
        <v>574</v>
      </c>
      <c r="I10" s="288" t="s">
        <v>141</v>
      </c>
      <c r="J10" s="288">
        <v>9</v>
      </c>
      <c r="K10" s="288" t="s">
        <v>810</v>
      </c>
      <c r="L10" s="288"/>
      <c r="N10" s="66">
        <v>40621</v>
      </c>
      <c r="O10" s="107" t="s">
        <v>693</v>
      </c>
      <c r="P10" s="107" t="s">
        <v>178</v>
      </c>
      <c r="Q10" s="107">
        <v>44</v>
      </c>
      <c r="R10" s="107"/>
      <c r="S10" s="107" t="s">
        <v>712</v>
      </c>
      <c r="T10" s="107" t="s">
        <v>661</v>
      </c>
      <c r="U10" s="107" t="s">
        <v>659</v>
      </c>
      <c r="V10" s="107" t="s">
        <v>141</v>
      </c>
      <c r="W10" s="110">
        <v>9</v>
      </c>
      <c r="X10" s="107" t="s">
        <v>810</v>
      </c>
      <c r="Y10">
        <v>0.1</v>
      </c>
      <c r="Z10" s="589">
        <v>7.0000000000000007E-2</v>
      </c>
      <c r="AA10" s="107"/>
      <c r="AB10" s="34"/>
      <c r="AC10" s="107"/>
      <c r="AD10" s="109">
        <v>4052111</v>
      </c>
      <c r="AE10" s="109" t="s">
        <v>920</v>
      </c>
      <c r="AF10" s="107" t="s">
        <v>930</v>
      </c>
      <c r="AG10" s="107"/>
      <c r="AH10" s="107"/>
      <c r="AI10" s="107">
        <v>15</v>
      </c>
      <c r="AJ10" s="107"/>
      <c r="AK10" s="107"/>
      <c r="AL10" s="107"/>
      <c r="AM10" s="107"/>
      <c r="AN10" s="107">
        <v>9</v>
      </c>
      <c r="AO10" s="107" t="s">
        <v>515</v>
      </c>
      <c r="AP10" s="109"/>
      <c r="AQ10" t="s">
        <v>828</v>
      </c>
      <c r="AR10" s="107" t="s">
        <v>144</v>
      </c>
      <c r="AS10" s="107"/>
    </row>
    <row r="11" spans="1:46" x14ac:dyDescent="0.25">
      <c r="A11" s="287" t="s">
        <v>581</v>
      </c>
      <c r="B11" s="288" t="s">
        <v>585</v>
      </c>
      <c r="C11" s="288" t="s">
        <v>1456</v>
      </c>
      <c r="D11" s="288">
        <v>74</v>
      </c>
      <c r="E11" s="288"/>
      <c r="F11" s="288" t="s">
        <v>155</v>
      </c>
      <c r="G11" s="288" t="s">
        <v>660</v>
      </c>
      <c r="H11" s="288" t="s">
        <v>659</v>
      </c>
      <c r="I11" s="288" t="s">
        <v>141</v>
      </c>
      <c r="J11" s="288">
        <v>10</v>
      </c>
      <c r="K11" s="288" t="s">
        <v>810</v>
      </c>
      <c r="L11" s="288"/>
      <c r="N11" s="66">
        <v>40621</v>
      </c>
      <c r="O11" s="107" t="s">
        <v>694</v>
      </c>
      <c r="P11" s="107" t="s">
        <v>180</v>
      </c>
      <c r="Q11" s="107">
        <v>66</v>
      </c>
      <c r="R11" s="107"/>
      <c r="S11" s="107" t="s">
        <v>712</v>
      </c>
      <c r="T11" s="107" t="s">
        <v>661</v>
      </c>
      <c r="U11" s="107" t="s">
        <v>662</v>
      </c>
      <c r="V11" s="107" t="s">
        <v>141</v>
      </c>
      <c r="W11" s="110">
        <v>10</v>
      </c>
      <c r="X11" s="107" t="s">
        <v>810</v>
      </c>
      <c r="Y11" s="110">
        <v>0.1</v>
      </c>
      <c r="Z11" s="589">
        <v>7.0000000000000007E-2</v>
      </c>
      <c r="AA11" s="107"/>
      <c r="AB11" s="34"/>
      <c r="AC11" s="107"/>
      <c r="AD11" s="109">
        <v>4052121</v>
      </c>
      <c r="AE11" s="109" t="s">
        <v>920</v>
      </c>
      <c r="AF11" s="107" t="s">
        <v>929</v>
      </c>
      <c r="AG11" s="107"/>
      <c r="AH11" s="107"/>
      <c r="AI11" s="107">
        <v>10</v>
      </c>
      <c r="AJ11" s="107"/>
      <c r="AK11" s="107"/>
      <c r="AL11" s="107"/>
      <c r="AM11" s="107"/>
      <c r="AN11" s="107">
        <v>10</v>
      </c>
      <c r="AO11" s="107" t="s">
        <v>144</v>
      </c>
      <c r="AP11" s="109"/>
      <c r="AQ11" t="s">
        <v>828</v>
      </c>
      <c r="AR11" s="107" t="s">
        <v>144</v>
      </c>
      <c r="AS11" s="107"/>
    </row>
    <row r="12" spans="1:46" x14ac:dyDescent="0.25">
      <c r="A12" s="287" t="s">
        <v>581</v>
      </c>
      <c r="B12" s="288" t="s">
        <v>1427</v>
      </c>
      <c r="C12" s="288" t="s">
        <v>1457</v>
      </c>
      <c r="D12" s="288">
        <v>111</v>
      </c>
      <c r="E12" s="288"/>
      <c r="F12" s="288" t="s">
        <v>155</v>
      </c>
      <c r="G12" s="288" t="s">
        <v>660</v>
      </c>
      <c r="H12" s="288" t="s">
        <v>662</v>
      </c>
      <c r="I12" s="288" t="s">
        <v>141</v>
      </c>
      <c r="J12" s="288">
        <v>11</v>
      </c>
      <c r="K12" s="288" t="s">
        <v>810</v>
      </c>
      <c r="L12" s="288"/>
      <c r="N12" s="66">
        <v>40621</v>
      </c>
      <c r="O12" s="107" t="s">
        <v>695</v>
      </c>
      <c r="P12" s="107" t="s">
        <v>182</v>
      </c>
      <c r="Q12" s="107">
        <v>90</v>
      </c>
      <c r="R12" s="107"/>
      <c r="S12" s="107" t="s">
        <v>712</v>
      </c>
      <c r="T12" s="107" t="s">
        <v>661</v>
      </c>
      <c r="U12" s="107" t="s">
        <v>663</v>
      </c>
      <c r="V12" s="107" t="s">
        <v>141</v>
      </c>
      <c r="W12" s="110">
        <v>11</v>
      </c>
      <c r="X12" s="107" t="s">
        <v>810</v>
      </c>
      <c r="Y12" s="110">
        <v>0.1</v>
      </c>
      <c r="Z12" s="589">
        <v>7.0000000000000007E-2</v>
      </c>
      <c r="AA12" s="107"/>
      <c r="AB12" s="34"/>
      <c r="AC12" s="107"/>
      <c r="AD12" s="109">
        <v>4052001</v>
      </c>
      <c r="AE12" s="109" t="s">
        <v>920</v>
      </c>
      <c r="AF12" s="107" t="s">
        <v>924</v>
      </c>
      <c r="AG12" s="107"/>
      <c r="AH12" s="107"/>
      <c r="AI12" s="107">
        <v>15</v>
      </c>
      <c r="AJ12" s="107"/>
      <c r="AK12" s="107"/>
      <c r="AL12" s="107"/>
      <c r="AM12" s="107"/>
      <c r="AN12" s="107">
        <v>11</v>
      </c>
      <c r="AO12" s="107" t="s">
        <v>144</v>
      </c>
      <c r="AP12" s="109"/>
      <c r="AQ12" t="s">
        <v>828</v>
      </c>
      <c r="AR12" s="107" t="s">
        <v>144</v>
      </c>
      <c r="AS12" s="107"/>
    </row>
    <row r="13" spans="1:46" x14ac:dyDescent="0.25">
      <c r="A13" s="287" t="s">
        <v>581</v>
      </c>
      <c r="B13" s="288" t="s">
        <v>1428</v>
      </c>
      <c r="C13" s="288" t="s">
        <v>1458</v>
      </c>
      <c r="D13" s="288">
        <v>148</v>
      </c>
      <c r="E13" s="288"/>
      <c r="F13" s="288" t="s">
        <v>155</v>
      </c>
      <c r="G13" s="288" t="s">
        <v>660</v>
      </c>
      <c r="H13" s="288" t="s">
        <v>663</v>
      </c>
      <c r="I13" s="288" t="s">
        <v>141</v>
      </c>
      <c r="J13" s="288">
        <v>12</v>
      </c>
      <c r="K13" s="288" t="s">
        <v>810</v>
      </c>
      <c r="L13" s="288"/>
      <c r="N13" s="66">
        <v>40621</v>
      </c>
      <c r="O13" t="s">
        <v>1188</v>
      </c>
      <c r="Q13">
        <v>134</v>
      </c>
      <c r="S13" s="107" t="s">
        <v>712</v>
      </c>
      <c r="T13" t="s">
        <v>661</v>
      </c>
      <c r="U13" t="s">
        <v>669</v>
      </c>
      <c r="V13" s="107" t="s">
        <v>141</v>
      </c>
      <c r="W13" s="110">
        <v>12</v>
      </c>
      <c r="X13" s="107" t="s">
        <v>810</v>
      </c>
      <c r="Y13">
        <v>0.1</v>
      </c>
      <c r="Z13" s="589">
        <v>7.0000000000000007E-2</v>
      </c>
      <c r="AA13" s="107"/>
      <c r="AB13" s="34"/>
      <c r="AC13" s="107"/>
      <c r="AD13" s="109">
        <v>4050601</v>
      </c>
      <c r="AE13" s="109" t="s">
        <v>920</v>
      </c>
      <c r="AF13" s="107" t="s">
        <v>932</v>
      </c>
      <c r="AG13" s="107"/>
      <c r="AH13" s="107"/>
      <c r="AI13" s="107">
        <v>15</v>
      </c>
      <c r="AJ13" s="107"/>
      <c r="AK13" s="107"/>
      <c r="AL13" s="107"/>
      <c r="AM13" s="107"/>
      <c r="AN13" s="107">
        <v>12</v>
      </c>
      <c r="AO13" s="107" t="s">
        <v>515</v>
      </c>
      <c r="AP13" s="109"/>
      <c r="AQ13" t="s">
        <v>828</v>
      </c>
      <c r="AR13" s="107" t="s">
        <v>144</v>
      </c>
      <c r="AS13" s="107"/>
    </row>
    <row r="14" spans="1:46" x14ac:dyDescent="0.25">
      <c r="A14" s="287" t="s">
        <v>581</v>
      </c>
      <c r="B14" s="288" t="s">
        <v>586</v>
      </c>
      <c r="C14" s="288" t="s">
        <v>1459</v>
      </c>
      <c r="D14" s="288">
        <v>48</v>
      </c>
      <c r="E14" s="288"/>
      <c r="F14" s="288" t="s">
        <v>155</v>
      </c>
      <c r="G14" s="288" t="s">
        <v>661</v>
      </c>
      <c r="H14" s="288" t="s">
        <v>574</v>
      </c>
      <c r="I14" s="288" t="s">
        <v>141</v>
      </c>
      <c r="J14" s="288">
        <v>13</v>
      </c>
      <c r="K14" s="288" t="s">
        <v>810</v>
      </c>
      <c r="L14" s="288"/>
      <c r="N14" s="66">
        <v>40621</v>
      </c>
      <c r="O14" s="107" t="s">
        <v>696</v>
      </c>
      <c r="P14" s="107"/>
      <c r="Q14" s="107">
        <v>24</v>
      </c>
      <c r="R14" s="107"/>
      <c r="S14" s="107" t="s">
        <v>712</v>
      </c>
      <c r="T14" s="107" t="s">
        <v>667</v>
      </c>
      <c r="U14" s="107" t="s">
        <v>574</v>
      </c>
      <c r="V14" s="107" t="s">
        <v>141</v>
      </c>
      <c r="W14" s="110">
        <v>13</v>
      </c>
      <c r="X14" s="107" t="s">
        <v>821</v>
      </c>
      <c r="Y14" s="110">
        <v>0.1</v>
      </c>
      <c r="Z14" s="589">
        <v>7.0000000000000007E-2</v>
      </c>
      <c r="AA14" s="107"/>
      <c r="AB14" s="34"/>
      <c r="AC14" s="107"/>
      <c r="AD14" s="109">
        <v>4050901</v>
      </c>
      <c r="AE14" s="109" t="s">
        <v>920</v>
      </c>
      <c r="AF14" s="107" t="s">
        <v>925</v>
      </c>
      <c r="AG14" s="107"/>
      <c r="AH14" s="107"/>
      <c r="AI14" s="107">
        <v>15</v>
      </c>
      <c r="AJ14" s="107"/>
      <c r="AK14" s="107"/>
      <c r="AL14" s="107"/>
      <c r="AM14" s="107"/>
      <c r="AN14" s="107">
        <v>13</v>
      </c>
      <c r="AO14" s="107" t="s">
        <v>144</v>
      </c>
      <c r="AP14" s="109"/>
      <c r="AQ14" t="s">
        <v>828</v>
      </c>
      <c r="AR14" s="107" t="s">
        <v>144</v>
      </c>
      <c r="AS14" s="107"/>
    </row>
    <row r="15" spans="1:46" x14ac:dyDescent="0.25">
      <c r="A15" s="287" t="s">
        <v>581</v>
      </c>
      <c r="B15" s="288" t="s">
        <v>587</v>
      </c>
      <c r="C15" s="288" t="s">
        <v>1460</v>
      </c>
      <c r="D15" s="288">
        <v>82</v>
      </c>
      <c r="E15" s="288"/>
      <c r="F15" s="288" t="s">
        <v>155</v>
      </c>
      <c r="G15" s="288" t="s">
        <v>661</v>
      </c>
      <c r="H15" s="288" t="s">
        <v>659</v>
      </c>
      <c r="I15" s="288" t="s">
        <v>141</v>
      </c>
      <c r="J15" s="288">
        <v>14</v>
      </c>
      <c r="K15" s="288" t="s">
        <v>810</v>
      </c>
      <c r="L15" s="288"/>
      <c r="N15" s="66">
        <v>40621</v>
      </c>
      <c r="O15" s="107" t="s">
        <v>697</v>
      </c>
      <c r="P15" s="107"/>
      <c r="Q15" s="107">
        <v>44</v>
      </c>
      <c r="R15" s="107"/>
      <c r="S15" s="107" t="s">
        <v>712</v>
      </c>
      <c r="T15" s="107" t="s">
        <v>667</v>
      </c>
      <c r="U15" s="107" t="s">
        <v>659</v>
      </c>
      <c r="V15" s="107" t="s">
        <v>141</v>
      </c>
      <c r="W15" s="110">
        <v>14</v>
      </c>
      <c r="X15" s="107" t="s">
        <v>821</v>
      </c>
      <c r="Y15" s="110">
        <v>0.1</v>
      </c>
      <c r="Z15" s="589">
        <v>7.0000000000000007E-2</v>
      </c>
      <c r="AA15" s="107"/>
      <c r="AB15" s="34"/>
      <c r="AC15" s="107"/>
      <c r="AD15" s="109">
        <v>4052301</v>
      </c>
      <c r="AE15" s="109" t="s">
        <v>920</v>
      </c>
      <c r="AF15" s="107" t="s">
        <v>926</v>
      </c>
      <c r="AG15" s="107"/>
      <c r="AH15" s="107"/>
      <c r="AI15" s="107">
        <v>15</v>
      </c>
      <c r="AJ15" s="107"/>
      <c r="AK15" s="107"/>
      <c r="AL15" s="107"/>
      <c r="AM15" s="107"/>
      <c r="AN15" s="107">
        <v>14</v>
      </c>
      <c r="AO15" s="107" t="s">
        <v>144</v>
      </c>
      <c r="AP15" s="109"/>
      <c r="AQ15" t="s">
        <v>828</v>
      </c>
      <c r="AR15" s="107" t="s">
        <v>144</v>
      </c>
      <c r="AS15" s="107"/>
    </row>
    <row r="16" spans="1:46" x14ac:dyDescent="0.25">
      <c r="A16" s="287" t="s">
        <v>581</v>
      </c>
      <c r="B16" s="288" t="s">
        <v>588</v>
      </c>
      <c r="C16" s="288" t="s">
        <v>1461</v>
      </c>
      <c r="D16" s="288">
        <v>122</v>
      </c>
      <c r="E16" s="288"/>
      <c r="F16" s="288" t="s">
        <v>155</v>
      </c>
      <c r="G16" s="288" t="s">
        <v>661</v>
      </c>
      <c r="H16" s="288" t="s">
        <v>662</v>
      </c>
      <c r="I16" s="288" t="s">
        <v>141</v>
      </c>
      <c r="J16" s="288">
        <v>15</v>
      </c>
      <c r="K16" s="288" t="s">
        <v>810</v>
      </c>
      <c r="L16" s="288"/>
      <c r="N16" s="109">
        <v>40620</v>
      </c>
      <c r="O16" s="107" t="s">
        <v>698</v>
      </c>
      <c r="P16" s="107" t="s">
        <v>177</v>
      </c>
      <c r="Q16" s="107">
        <v>26</v>
      </c>
      <c r="R16" s="107"/>
      <c r="S16" s="107" t="s">
        <v>713</v>
      </c>
      <c r="T16" s="107" t="s">
        <v>661</v>
      </c>
      <c r="U16" s="107" t="s">
        <v>574</v>
      </c>
      <c r="V16" s="107" t="s">
        <v>141</v>
      </c>
      <c r="W16" s="110">
        <v>15</v>
      </c>
      <c r="X16" s="107" t="s">
        <v>810</v>
      </c>
      <c r="Y16">
        <v>0.1</v>
      </c>
      <c r="Z16" s="589">
        <v>7.0000000000000007E-2</v>
      </c>
      <c r="AA16" s="107"/>
      <c r="AB16" s="34"/>
      <c r="AC16" s="107"/>
      <c r="AD16" s="109">
        <v>4050801</v>
      </c>
      <c r="AE16" s="109" t="s">
        <v>920</v>
      </c>
      <c r="AF16" t="s">
        <v>962</v>
      </c>
      <c r="AG16" s="107"/>
      <c r="AH16" s="107"/>
      <c r="AI16" s="107">
        <v>15</v>
      </c>
      <c r="AJ16" s="107"/>
      <c r="AK16" s="107"/>
      <c r="AL16" s="107"/>
      <c r="AM16" s="107"/>
      <c r="AN16" s="107">
        <v>15</v>
      </c>
      <c r="AO16" s="107" t="s">
        <v>144</v>
      </c>
      <c r="AP16" s="109"/>
      <c r="AQ16" t="s">
        <v>828</v>
      </c>
      <c r="AR16" s="107" t="s">
        <v>144</v>
      </c>
      <c r="AS16" s="107"/>
    </row>
    <row r="17" spans="1:45" x14ac:dyDescent="0.25">
      <c r="A17" s="287" t="s">
        <v>581</v>
      </c>
      <c r="B17" s="288" t="s">
        <v>589</v>
      </c>
      <c r="C17" s="288" t="s">
        <v>762</v>
      </c>
      <c r="D17" s="288">
        <v>164</v>
      </c>
      <c r="E17" s="288"/>
      <c r="F17" s="288" t="s">
        <v>155</v>
      </c>
      <c r="G17" s="288" t="s">
        <v>661</v>
      </c>
      <c r="H17" s="288" t="s">
        <v>663</v>
      </c>
      <c r="I17" s="288" t="s">
        <v>141</v>
      </c>
      <c r="J17" s="288">
        <v>16</v>
      </c>
      <c r="K17" s="288" t="s">
        <v>810</v>
      </c>
      <c r="L17" s="288"/>
      <c r="N17" s="109">
        <v>40620</v>
      </c>
      <c r="O17" s="107" t="s">
        <v>699</v>
      </c>
      <c r="P17" s="107" t="s">
        <v>179</v>
      </c>
      <c r="Q17" s="107">
        <v>50</v>
      </c>
      <c r="R17" s="107"/>
      <c r="S17" s="107" t="s">
        <v>713</v>
      </c>
      <c r="T17" s="107" t="s">
        <v>661</v>
      </c>
      <c r="U17" s="107" t="s">
        <v>659</v>
      </c>
      <c r="V17" s="107" t="s">
        <v>141</v>
      </c>
      <c r="W17" s="110">
        <v>16</v>
      </c>
      <c r="X17" s="107" t="s">
        <v>810</v>
      </c>
      <c r="Y17" s="110">
        <v>0.1</v>
      </c>
      <c r="Z17" s="589">
        <v>7.0000000000000007E-2</v>
      </c>
      <c r="AA17" s="107"/>
      <c r="AB17" s="34"/>
      <c r="AC17" s="107"/>
      <c r="AD17" s="109">
        <v>4010101</v>
      </c>
      <c r="AE17" s="109" t="s">
        <v>920</v>
      </c>
      <c r="AF17" s="107" t="s">
        <v>934</v>
      </c>
      <c r="AG17" s="107"/>
      <c r="AH17" s="107"/>
      <c r="AI17" s="107">
        <v>20</v>
      </c>
      <c r="AJ17" s="107"/>
      <c r="AK17" s="107"/>
      <c r="AL17" s="107"/>
      <c r="AM17" s="107"/>
      <c r="AN17" s="107">
        <v>16</v>
      </c>
      <c r="AO17" s="107" t="s">
        <v>513</v>
      </c>
      <c r="AP17" s="109"/>
      <c r="AQ17" t="s">
        <v>828</v>
      </c>
      <c r="AR17" s="107" t="s">
        <v>144</v>
      </c>
      <c r="AS17" s="107"/>
    </row>
    <row r="18" spans="1:45" x14ac:dyDescent="0.25">
      <c r="A18" s="287" t="s">
        <v>581</v>
      </c>
      <c r="B18" s="288" t="s">
        <v>1531</v>
      </c>
      <c r="C18" s="288" t="s">
        <v>1462</v>
      </c>
      <c r="D18" s="288">
        <v>258</v>
      </c>
      <c r="E18" s="288"/>
      <c r="F18" s="288" t="s">
        <v>155</v>
      </c>
      <c r="G18" s="288" t="s">
        <v>661</v>
      </c>
      <c r="H18" s="288" t="s">
        <v>1336</v>
      </c>
      <c r="I18" s="288" t="s">
        <v>141</v>
      </c>
      <c r="J18" s="288">
        <v>17</v>
      </c>
      <c r="K18" s="288" t="s">
        <v>810</v>
      </c>
      <c r="L18" s="288"/>
      <c r="N18" s="109">
        <v>40620</v>
      </c>
      <c r="O18" s="107" t="s">
        <v>700</v>
      </c>
      <c r="P18" s="107" t="s">
        <v>181</v>
      </c>
      <c r="Q18" s="107">
        <v>74</v>
      </c>
      <c r="R18" s="107"/>
      <c r="S18" s="107" t="s">
        <v>713</v>
      </c>
      <c r="T18" s="107" t="s">
        <v>661</v>
      </c>
      <c r="U18" s="107" t="s">
        <v>662</v>
      </c>
      <c r="V18" s="107" t="s">
        <v>141</v>
      </c>
      <c r="W18" s="110">
        <v>17</v>
      </c>
      <c r="X18" s="107" t="s">
        <v>810</v>
      </c>
      <c r="Y18" s="110">
        <v>0.1</v>
      </c>
      <c r="Z18" s="589">
        <v>7.0000000000000007E-2</v>
      </c>
      <c r="AA18" s="107"/>
      <c r="AB18" s="34"/>
      <c r="AC18" s="107"/>
      <c r="AD18" s="109">
        <v>4010201</v>
      </c>
      <c r="AE18" s="109" t="s">
        <v>920</v>
      </c>
      <c r="AF18" s="107" t="s">
        <v>935</v>
      </c>
      <c r="AG18" s="107"/>
      <c r="AH18" s="107"/>
      <c r="AI18" s="107">
        <v>10</v>
      </c>
      <c r="AJ18" s="107"/>
      <c r="AK18" s="107"/>
      <c r="AL18" s="107"/>
      <c r="AM18" s="107"/>
      <c r="AN18" s="107">
        <v>17</v>
      </c>
      <c r="AO18" s="107" t="s">
        <v>513</v>
      </c>
      <c r="AP18" s="109"/>
      <c r="AQ18" t="s">
        <v>828</v>
      </c>
      <c r="AR18" s="107" t="s">
        <v>144</v>
      </c>
      <c r="AS18" s="107"/>
    </row>
    <row r="19" spans="1:45" x14ac:dyDescent="0.25">
      <c r="A19" s="66" t="s">
        <v>581</v>
      </c>
      <c r="B19" t="s">
        <v>1515</v>
      </c>
      <c r="C19" t="s">
        <v>1517</v>
      </c>
      <c r="D19">
        <v>72</v>
      </c>
      <c r="F19" t="s">
        <v>155</v>
      </c>
      <c r="G19" t="s">
        <v>1501</v>
      </c>
      <c r="H19" t="s">
        <v>574</v>
      </c>
      <c r="I19" t="s">
        <v>141</v>
      </c>
      <c r="J19" s="288">
        <v>18</v>
      </c>
      <c r="K19" t="s">
        <v>1445</v>
      </c>
      <c r="N19" s="109">
        <v>40620</v>
      </c>
      <c r="O19" s="107" t="s">
        <v>701</v>
      </c>
      <c r="P19" s="107" t="s">
        <v>183</v>
      </c>
      <c r="Q19" s="107">
        <v>99</v>
      </c>
      <c r="R19" s="107"/>
      <c r="S19" s="107" t="s">
        <v>713</v>
      </c>
      <c r="T19" s="107" t="s">
        <v>661</v>
      </c>
      <c r="U19" s="107" t="s">
        <v>663</v>
      </c>
      <c r="V19" s="107" t="s">
        <v>141</v>
      </c>
      <c r="W19" s="110">
        <v>18</v>
      </c>
      <c r="X19" s="107" t="s">
        <v>810</v>
      </c>
      <c r="Y19">
        <v>0.1</v>
      </c>
      <c r="Z19" s="589">
        <v>7.0000000000000007E-2</v>
      </c>
      <c r="AA19" s="107"/>
      <c r="AB19" s="34"/>
      <c r="AC19" s="107"/>
      <c r="AD19" s="109">
        <v>4010301</v>
      </c>
      <c r="AE19" s="109" t="s">
        <v>920</v>
      </c>
      <c r="AF19" s="107" t="s">
        <v>936</v>
      </c>
      <c r="AG19" s="107"/>
      <c r="AH19" s="107"/>
      <c r="AI19" s="107">
        <v>15</v>
      </c>
      <c r="AJ19" s="107"/>
      <c r="AK19" s="107"/>
      <c r="AL19" s="107"/>
      <c r="AM19" s="107"/>
      <c r="AN19" s="107">
        <v>18</v>
      </c>
      <c r="AO19" s="107" t="s">
        <v>513</v>
      </c>
      <c r="AP19" s="109"/>
      <c r="AQ19" t="s">
        <v>828</v>
      </c>
      <c r="AR19" s="107" t="s">
        <v>144</v>
      </c>
      <c r="AS19" s="107"/>
    </row>
    <row r="20" spans="1:45" x14ac:dyDescent="0.25">
      <c r="A20" s="66" t="s">
        <v>581</v>
      </c>
      <c r="B20" t="s">
        <v>1516</v>
      </c>
      <c r="C20" t="s">
        <v>1518</v>
      </c>
      <c r="D20">
        <v>111</v>
      </c>
      <c r="F20" t="s">
        <v>155</v>
      </c>
      <c r="G20" t="s">
        <v>1501</v>
      </c>
      <c r="H20" t="s">
        <v>659</v>
      </c>
      <c r="I20" t="s">
        <v>141</v>
      </c>
      <c r="J20" s="288">
        <v>19</v>
      </c>
      <c r="K20" t="s">
        <v>1445</v>
      </c>
      <c r="N20" s="109">
        <v>40620</v>
      </c>
      <c r="O20" t="s">
        <v>1189</v>
      </c>
      <c r="Q20">
        <v>151</v>
      </c>
      <c r="S20" s="107" t="s">
        <v>713</v>
      </c>
      <c r="T20" t="s">
        <v>661</v>
      </c>
      <c r="U20" t="s">
        <v>669</v>
      </c>
      <c r="V20" s="107" t="s">
        <v>141</v>
      </c>
      <c r="W20" s="110">
        <v>19</v>
      </c>
      <c r="X20" t="s">
        <v>1191</v>
      </c>
      <c r="Y20" s="110">
        <v>0.1</v>
      </c>
      <c r="Z20" s="589">
        <v>7.0000000000000007E-2</v>
      </c>
      <c r="AA20" s="107"/>
      <c r="AB20" s="34"/>
      <c r="AC20" s="107"/>
      <c r="AD20" s="66">
        <v>4051701</v>
      </c>
      <c r="AE20" s="66" t="s">
        <v>920</v>
      </c>
      <c r="AF20" t="s">
        <v>1403</v>
      </c>
      <c r="AI20">
        <v>15</v>
      </c>
      <c r="AN20">
        <v>19</v>
      </c>
      <c r="AO20" t="s">
        <v>144</v>
      </c>
      <c r="AP20" s="66"/>
      <c r="AQ20" t="s">
        <v>828</v>
      </c>
      <c r="AR20" t="s">
        <v>144</v>
      </c>
      <c r="AS20" s="107"/>
    </row>
    <row r="21" spans="1:45" x14ac:dyDescent="0.25">
      <c r="A21" s="290" t="s">
        <v>581</v>
      </c>
      <c r="B21" s="291" t="s">
        <v>1494</v>
      </c>
      <c r="C21" s="288" t="s">
        <v>1496</v>
      </c>
      <c r="D21" s="291">
        <v>80</v>
      </c>
      <c r="E21" s="291"/>
      <c r="F21" s="291" t="s">
        <v>155</v>
      </c>
      <c r="G21" s="291" t="s">
        <v>1498</v>
      </c>
      <c r="H21" s="291" t="s">
        <v>574</v>
      </c>
      <c r="I21" s="291" t="s">
        <v>141</v>
      </c>
      <c r="J21" s="288">
        <v>20</v>
      </c>
      <c r="K21" s="291" t="s">
        <v>1445</v>
      </c>
      <c r="L21" s="291"/>
      <c r="N21" s="109">
        <v>40620</v>
      </c>
      <c r="O21" s="107" t="s">
        <v>702</v>
      </c>
      <c r="P21" s="107"/>
      <c r="Q21" s="107">
        <v>26</v>
      </c>
      <c r="R21" s="107"/>
      <c r="S21" s="107" t="s">
        <v>713</v>
      </c>
      <c r="T21" s="107" t="s">
        <v>667</v>
      </c>
      <c r="U21" s="107" t="s">
        <v>574</v>
      </c>
      <c r="V21" s="107" t="s">
        <v>141</v>
      </c>
      <c r="W21" s="110">
        <v>20</v>
      </c>
      <c r="X21" s="107" t="s">
        <v>821</v>
      </c>
      <c r="Y21" s="110">
        <v>0.1</v>
      </c>
      <c r="Z21" s="589">
        <v>7.0000000000000007E-2</v>
      </c>
      <c r="AA21" s="107"/>
      <c r="AB21" s="34"/>
      <c r="AC21" s="107"/>
      <c r="AD21" s="109">
        <v>4040101</v>
      </c>
      <c r="AE21" s="109" t="s">
        <v>920</v>
      </c>
      <c r="AF21" t="s">
        <v>946</v>
      </c>
      <c r="AG21" s="107"/>
      <c r="AH21" s="107"/>
      <c r="AI21" s="107">
        <v>10</v>
      </c>
      <c r="AJ21" s="107"/>
      <c r="AK21" s="107"/>
      <c r="AL21" s="107"/>
      <c r="AM21" s="107"/>
      <c r="AN21" s="107">
        <v>21</v>
      </c>
      <c r="AO21" s="107" t="s">
        <v>515</v>
      </c>
      <c r="AP21" s="109"/>
      <c r="AQ21" t="s">
        <v>828</v>
      </c>
      <c r="AR21" s="107" t="s">
        <v>144</v>
      </c>
      <c r="AS21" s="107"/>
    </row>
    <row r="22" spans="1:45" x14ac:dyDescent="0.25">
      <c r="A22" s="290" t="s">
        <v>581</v>
      </c>
      <c r="B22" s="291" t="s">
        <v>1495</v>
      </c>
      <c r="C22" s="288" t="s">
        <v>1497</v>
      </c>
      <c r="D22" s="291">
        <v>122</v>
      </c>
      <c r="E22" s="291"/>
      <c r="F22" s="291" t="s">
        <v>155</v>
      </c>
      <c r="G22" s="291" t="s">
        <v>1498</v>
      </c>
      <c r="H22" s="291" t="s">
        <v>659</v>
      </c>
      <c r="I22" s="291" t="s">
        <v>141</v>
      </c>
      <c r="J22" s="288">
        <v>21</v>
      </c>
      <c r="K22" s="291" t="s">
        <v>1445</v>
      </c>
      <c r="L22" s="291"/>
      <c r="N22" s="109">
        <v>40620</v>
      </c>
      <c r="O22" s="107" t="s">
        <v>703</v>
      </c>
      <c r="P22" s="107"/>
      <c r="Q22" s="107">
        <v>50</v>
      </c>
      <c r="R22" s="107"/>
      <c r="S22" s="107" t="s">
        <v>713</v>
      </c>
      <c r="T22" s="107" t="s">
        <v>667</v>
      </c>
      <c r="U22" s="107" t="s">
        <v>659</v>
      </c>
      <c r="V22" s="107" t="s">
        <v>141</v>
      </c>
      <c r="W22" s="110">
        <v>21</v>
      </c>
      <c r="X22" s="107" t="s">
        <v>821</v>
      </c>
      <c r="Y22">
        <v>0.1</v>
      </c>
      <c r="Z22" s="589">
        <v>7.0000000000000007E-2</v>
      </c>
      <c r="AA22" s="107"/>
      <c r="AB22" s="34"/>
      <c r="AC22" s="107"/>
      <c r="AD22" s="109">
        <v>4050700</v>
      </c>
      <c r="AE22" s="34" t="s">
        <v>937</v>
      </c>
      <c r="AF22" s="107" t="s">
        <v>721</v>
      </c>
      <c r="AG22" s="107"/>
      <c r="AH22" s="107"/>
      <c r="AI22" s="107">
        <v>15</v>
      </c>
      <c r="AJ22" s="107"/>
      <c r="AK22" s="107"/>
      <c r="AL22" s="107"/>
      <c r="AM22" s="107"/>
      <c r="AN22">
        <v>22</v>
      </c>
      <c r="AO22" s="107" t="s">
        <v>144</v>
      </c>
      <c r="AP22" s="109"/>
      <c r="AQ22" t="s">
        <v>119</v>
      </c>
      <c r="AR22" s="107" t="s">
        <v>144</v>
      </c>
      <c r="AS22" s="107"/>
    </row>
    <row r="23" spans="1:45" x14ac:dyDescent="0.25">
      <c r="A23" s="287" t="s">
        <v>581</v>
      </c>
      <c r="B23" s="288" t="s">
        <v>590</v>
      </c>
      <c r="C23" s="288" t="s">
        <v>763</v>
      </c>
      <c r="D23" s="288">
        <v>83</v>
      </c>
      <c r="E23" s="288"/>
      <c r="F23" s="288" t="s">
        <v>155</v>
      </c>
      <c r="G23" s="288" t="s">
        <v>664</v>
      </c>
      <c r="H23" s="288" t="s">
        <v>574</v>
      </c>
      <c r="I23" s="288" t="s">
        <v>141</v>
      </c>
      <c r="J23" s="288">
        <v>22</v>
      </c>
      <c r="K23" s="288" t="s">
        <v>809</v>
      </c>
      <c r="L23" s="288"/>
      <c r="N23" s="66">
        <v>40619</v>
      </c>
      <c r="O23" s="107" t="s">
        <v>704</v>
      </c>
      <c r="P23" s="107" t="s">
        <v>169</v>
      </c>
      <c r="Q23" s="107">
        <v>32</v>
      </c>
      <c r="R23" s="107"/>
      <c r="S23" s="107" t="s">
        <v>714</v>
      </c>
      <c r="T23" s="107" t="s">
        <v>661</v>
      </c>
      <c r="U23" s="107" t="s">
        <v>574</v>
      </c>
      <c r="V23" s="107" t="s">
        <v>141</v>
      </c>
      <c r="W23" s="110">
        <v>22</v>
      </c>
      <c r="X23" s="107" t="s">
        <v>810</v>
      </c>
      <c r="Y23" s="110">
        <v>0.1</v>
      </c>
      <c r="Z23" s="589">
        <v>7.0000000000000007E-2</v>
      </c>
      <c r="AA23" s="107"/>
      <c r="AB23" s="34"/>
      <c r="AC23" s="107"/>
      <c r="AD23" s="109">
        <v>4051000</v>
      </c>
      <c r="AE23" s="34" t="s">
        <v>937</v>
      </c>
      <c r="AF23" s="107" t="s">
        <v>758</v>
      </c>
      <c r="AG23" s="107"/>
      <c r="AH23" s="107"/>
      <c r="AI23" s="107">
        <v>15</v>
      </c>
      <c r="AJ23" s="107"/>
      <c r="AK23" s="107"/>
      <c r="AL23" s="107"/>
      <c r="AM23" s="107"/>
      <c r="AN23" s="107">
        <v>23</v>
      </c>
      <c r="AO23" s="107" t="s">
        <v>144</v>
      </c>
      <c r="AP23" s="109"/>
      <c r="AQ23" t="s">
        <v>119</v>
      </c>
      <c r="AR23" s="107" t="s">
        <v>144</v>
      </c>
      <c r="AS23" s="107"/>
    </row>
    <row r="24" spans="1:45" x14ac:dyDescent="0.25">
      <c r="A24" s="287" t="s">
        <v>581</v>
      </c>
      <c r="B24" s="288" t="s">
        <v>591</v>
      </c>
      <c r="C24" s="288" t="s">
        <v>764</v>
      </c>
      <c r="D24" s="288">
        <v>138</v>
      </c>
      <c r="E24" s="288"/>
      <c r="F24" s="288" t="s">
        <v>155</v>
      </c>
      <c r="G24" s="288" t="s">
        <v>664</v>
      </c>
      <c r="H24" s="288" t="s">
        <v>659</v>
      </c>
      <c r="I24" s="288" t="s">
        <v>141</v>
      </c>
      <c r="J24" s="288">
        <v>23</v>
      </c>
      <c r="K24" s="288" t="s">
        <v>809</v>
      </c>
      <c r="L24" s="288"/>
      <c r="N24" s="66">
        <v>40619</v>
      </c>
      <c r="O24" s="107" t="s">
        <v>705</v>
      </c>
      <c r="P24" s="107" t="s">
        <v>170</v>
      </c>
      <c r="Q24" s="107">
        <v>59</v>
      </c>
      <c r="R24" s="107"/>
      <c r="S24" s="107" t="s">
        <v>714</v>
      </c>
      <c r="T24" s="107" t="s">
        <v>661</v>
      </c>
      <c r="U24" s="107" t="s">
        <v>659</v>
      </c>
      <c r="V24" s="107" t="s">
        <v>141</v>
      </c>
      <c r="W24" s="110">
        <v>23</v>
      </c>
      <c r="X24" s="107" t="s">
        <v>810</v>
      </c>
      <c r="Y24" s="110">
        <v>0.1</v>
      </c>
      <c r="Z24" s="589">
        <v>7.0000000000000007E-2</v>
      </c>
      <c r="AA24" s="107"/>
      <c r="AB24" s="34"/>
      <c r="AC24" s="107"/>
      <c r="AD24" s="200">
        <v>4050100</v>
      </c>
      <c r="AE24" s="34" t="s">
        <v>937</v>
      </c>
      <c r="AF24" s="201" t="s">
        <v>1221</v>
      </c>
      <c r="AG24" s="201"/>
      <c r="AH24" s="201"/>
      <c r="AI24" s="201">
        <v>15</v>
      </c>
      <c r="AJ24" s="201"/>
      <c r="AK24" s="201"/>
      <c r="AL24" s="201"/>
      <c r="AM24" s="201"/>
      <c r="AN24" s="107">
        <v>24</v>
      </c>
      <c r="AO24" s="107" t="s">
        <v>144</v>
      </c>
      <c r="AP24" s="200"/>
      <c r="AQ24" t="s">
        <v>119</v>
      </c>
      <c r="AR24" s="107" t="s">
        <v>144</v>
      </c>
      <c r="AS24" s="107"/>
    </row>
    <row r="25" spans="1:45" x14ac:dyDescent="0.25">
      <c r="A25" s="287" t="s">
        <v>581</v>
      </c>
      <c r="B25" s="288" t="s">
        <v>592</v>
      </c>
      <c r="C25" s="288" t="s">
        <v>765</v>
      </c>
      <c r="D25" s="288">
        <v>221</v>
      </c>
      <c r="E25" s="288"/>
      <c r="F25" s="288" t="s">
        <v>155</v>
      </c>
      <c r="G25" s="288" t="s">
        <v>664</v>
      </c>
      <c r="H25" s="288" t="s">
        <v>662</v>
      </c>
      <c r="I25" s="288" t="s">
        <v>141</v>
      </c>
      <c r="J25" s="288">
        <v>24</v>
      </c>
      <c r="K25" s="288" t="s">
        <v>809</v>
      </c>
      <c r="L25" s="288"/>
      <c r="N25" s="66">
        <v>40619</v>
      </c>
      <c r="O25" s="107" t="s">
        <v>706</v>
      </c>
      <c r="P25" s="107" t="s">
        <v>171</v>
      </c>
      <c r="Q25" s="107">
        <v>88</v>
      </c>
      <c r="R25" s="107"/>
      <c r="S25" s="107" t="s">
        <v>714</v>
      </c>
      <c r="T25" s="107" t="s">
        <v>661</v>
      </c>
      <c r="U25" s="107" t="s">
        <v>662</v>
      </c>
      <c r="V25" s="107" t="s">
        <v>141</v>
      </c>
      <c r="W25" s="110">
        <v>24</v>
      </c>
      <c r="X25" s="107" t="s">
        <v>810</v>
      </c>
      <c r="Y25">
        <v>0.1</v>
      </c>
      <c r="Z25" s="589">
        <v>7.0000000000000007E-2</v>
      </c>
      <c r="AA25" s="107"/>
      <c r="AB25" s="34"/>
      <c r="AC25" s="107"/>
      <c r="AD25" s="109">
        <v>4050200</v>
      </c>
      <c r="AE25" s="34" t="s">
        <v>937</v>
      </c>
      <c r="AF25" s="107" t="s">
        <v>722</v>
      </c>
      <c r="AG25" s="107"/>
      <c r="AH25" s="107"/>
      <c r="AI25" s="107">
        <v>20</v>
      </c>
      <c r="AJ25" s="107"/>
      <c r="AK25" s="107"/>
      <c r="AL25" s="107"/>
      <c r="AM25" s="107"/>
      <c r="AN25">
        <v>25</v>
      </c>
      <c r="AO25" s="107" t="s">
        <v>515</v>
      </c>
      <c r="AP25" s="109"/>
      <c r="AQ25" t="s">
        <v>119</v>
      </c>
      <c r="AR25" s="107" t="s">
        <v>144</v>
      </c>
      <c r="AS25" s="107"/>
    </row>
    <row r="26" spans="1:45" x14ac:dyDescent="0.25">
      <c r="A26" s="287" t="s">
        <v>581</v>
      </c>
      <c r="B26" s="288" t="s">
        <v>593</v>
      </c>
      <c r="C26" s="288" t="s">
        <v>766</v>
      </c>
      <c r="D26" s="288">
        <v>276</v>
      </c>
      <c r="E26" s="288"/>
      <c r="F26" s="288" t="s">
        <v>155</v>
      </c>
      <c r="G26" s="288" t="s">
        <v>664</v>
      </c>
      <c r="H26" s="288" t="s">
        <v>663</v>
      </c>
      <c r="I26" s="288" t="s">
        <v>141</v>
      </c>
      <c r="J26" s="288">
        <v>25</v>
      </c>
      <c r="K26" s="288" t="s">
        <v>809</v>
      </c>
      <c r="L26" s="288"/>
      <c r="N26" s="66">
        <v>40619</v>
      </c>
      <c r="O26" s="107" t="s">
        <v>707</v>
      </c>
      <c r="P26" s="107" t="s">
        <v>172</v>
      </c>
      <c r="Q26" s="107">
        <v>114</v>
      </c>
      <c r="R26" s="107"/>
      <c r="S26" s="107" t="s">
        <v>714</v>
      </c>
      <c r="T26" s="107" t="s">
        <v>661</v>
      </c>
      <c r="U26" s="107" t="s">
        <v>663</v>
      </c>
      <c r="V26" s="107" t="s">
        <v>141</v>
      </c>
      <c r="W26" s="110">
        <v>25</v>
      </c>
      <c r="X26" s="107" t="s">
        <v>810</v>
      </c>
      <c r="Y26" s="110">
        <v>0.1</v>
      </c>
      <c r="Z26" s="589">
        <v>7.0000000000000007E-2</v>
      </c>
      <c r="AA26" s="107"/>
      <c r="AB26" s="34"/>
      <c r="AC26" s="107"/>
      <c r="AD26" s="109">
        <v>4052200</v>
      </c>
      <c r="AE26" s="34" t="s">
        <v>937</v>
      </c>
      <c r="AF26" s="107" t="s">
        <v>723</v>
      </c>
      <c r="AG26" s="107"/>
      <c r="AH26" s="107"/>
      <c r="AI26" s="107">
        <v>20</v>
      </c>
      <c r="AJ26" s="107"/>
      <c r="AK26" s="107"/>
      <c r="AL26" s="107"/>
      <c r="AM26" s="107"/>
      <c r="AN26" s="107">
        <v>26</v>
      </c>
      <c r="AO26" s="107" t="s">
        <v>515</v>
      </c>
      <c r="AP26" s="109"/>
      <c r="AQ26" t="s">
        <v>119</v>
      </c>
      <c r="AR26" s="107" t="s">
        <v>144</v>
      </c>
      <c r="AS26" s="107"/>
    </row>
    <row r="27" spans="1:45" x14ac:dyDescent="0.25">
      <c r="A27" s="449" t="s">
        <v>594</v>
      </c>
      <c r="B27" s="450" t="s">
        <v>1857</v>
      </c>
      <c r="C27" s="450" t="s">
        <v>1860</v>
      </c>
      <c r="D27" s="450">
        <v>82</v>
      </c>
      <c r="E27" s="450"/>
      <c r="F27" s="450" t="s">
        <v>155</v>
      </c>
      <c r="G27" s="450" t="s">
        <v>661</v>
      </c>
      <c r="H27" s="450" t="s">
        <v>663</v>
      </c>
      <c r="I27" s="450" t="s">
        <v>141</v>
      </c>
      <c r="J27" s="450"/>
      <c r="K27" s="450" t="s">
        <v>1445</v>
      </c>
      <c r="L27" s="450"/>
      <c r="N27" s="66">
        <v>40619</v>
      </c>
      <c r="O27" t="s">
        <v>1190</v>
      </c>
      <c r="Q27">
        <v>175</v>
      </c>
      <c r="S27" s="107" t="s">
        <v>714</v>
      </c>
      <c r="T27" t="s">
        <v>661</v>
      </c>
      <c r="U27" t="s">
        <v>669</v>
      </c>
      <c r="V27" s="107" t="s">
        <v>141</v>
      </c>
      <c r="W27" s="110">
        <v>26</v>
      </c>
      <c r="X27" s="107" t="s">
        <v>810</v>
      </c>
      <c r="Y27" s="110">
        <v>0.1</v>
      </c>
      <c r="Z27" s="589">
        <v>7.0000000000000007E-2</v>
      </c>
      <c r="AA27" s="107"/>
      <c r="AB27" s="34"/>
      <c r="AC27" s="107"/>
      <c r="AD27" s="66">
        <v>4050500</v>
      </c>
      <c r="AE27" s="34" t="s">
        <v>937</v>
      </c>
      <c r="AF27" t="s">
        <v>1239</v>
      </c>
      <c r="AI27">
        <v>15</v>
      </c>
      <c r="AN27" s="107">
        <v>27</v>
      </c>
      <c r="AO27" s="107" t="s">
        <v>515</v>
      </c>
      <c r="AP27" s="66"/>
      <c r="AQ27" t="s">
        <v>119</v>
      </c>
      <c r="AR27" s="107" t="s">
        <v>144</v>
      </c>
      <c r="AS27" s="107"/>
    </row>
    <row r="28" spans="1:45" x14ac:dyDescent="0.25">
      <c r="A28" s="449" t="s">
        <v>594</v>
      </c>
      <c r="B28" s="450" t="s">
        <v>1858</v>
      </c>
      <c r="C28" s="450" t="s">
        <v>1861</v>
      </c>
      <c r="D28" s="450">
        <v>133</v>
      </c>
      <c r="E28" s="450"/>
      <c r="F28" s="450" t="s">
        <v>155</v>
      </c>
      <c r="G28" s="450" t="s">
        <v>661</v>
      </c>
      <c r="H28" s="450" t="s">
        <v>663</v>
      </c>
      <c r="I28" s="450" t="s">
        <v>141</v>
      </c>
      <c r="J28" s="450"/>
      <c r="K28" s="450" t="s">
        <v>1445</v>
      </c>
      <c r="L28" s="450"/>
      <c r="N28" s="66">
        <v>40619</v>
      </c>
      <c r="O28" s="107" t="s">
        <v>708</v>
      </c>
      <c r="P28" s="107"/>
      <c r="Q28" s="107">
        <v>28</v>
      </c>
      <c r="R28" s="107"/>
      <c r="S28" s="107" t="s">
        <v>714</v>
      </c>
      <c r="T28" s="107" t="s">
        <v>667</v>
      </c>
      <c r="U28" s="107" t="s">
        <v>574</v>
      </c>
      <c r="V28" s="107" t="s">
        <v>141</v>
      </c>
      <c r="W28" s="110">
        <v>27</v>
      </c>
      <c r="X28" s="107" t="s">
        <v>810</v>
      </c>
      <c r="Y28">
        <v>0.1</v>
      </c>
      <c r="Z28" s="589">
        <v>7.0000000000000007E-2</v>
      </c>
      <c r="AA28" s="107"/>
      <c r="AB28" s="34"/>
      <c r="AC28" s="107"/>
      <c r="AD28" s="109">
        <v>4051800</v>
      </c>
      <c r="AE28" s="34" t="s">
        <v>937</v>
      </c>
      <c r="AF28" s="107" t="s">
        <v>759</v>
      </c>
      <c r="AG28" s="107"/>
      <c r="AH28" s="107"/>
      <c r="AI28" s="107">
        <v>15</v>
      </c>
      <c r="AJ28" s="107"/>
      <c r="AK28" s="107"/>
      <c r="AL28" s="107"/>
      <c r="AM28" s="107"/>
      <c r="AN28">
        <v>28</v>
      </c>
      <c r="AO28" s="107" t="s">
        <v>144</v>
      </c>
      <c r="AP28" s="109"/>
      <c r="AQ28" t="s">
        <v>119</v>
      </c>
      <c r="AR28" s="107" t="s">
        <v>144</v>
      </c>
      <c r="AS28" s="107"/>
    </row>
    <row r="29" spans="1:45" x14ac:dyDescent="0.25">
      <c r="A29" s="449" t="s">
        <v>594</v>
      </c>
      <c r="B29" s="450" t="s">
        <v>1859</v>
      </c>
      <c r="C29" s="450" t="s">
        <v>1862</v>
      </c>
      <c r="D29" s="450">
        <v>263</v>
      </c>
      <c r="E29" s="450"/>
      <c r="F29" s="450" t="s">
        <v>155</v>
      </c>
      <c r="G29" s="450" t="s">
        <v>661</v>
      </c>
      <c r="H29" s="450" t="s">
        <v>663</v>
      </c>
      <c r="I29" s="450" t="s">
        <v>141</v>
      </c>
      <c r="J29" s="450"/>
      <c r="K29" s="450" t="s">
        <v>1445</v>
      </c>
      <c r="L29" s="450"/>
      <c r="N29" s="66">
        <v>40619</v>
      </c>
      <c r="O29" s="107" t="s">
        <v>709</v>
      </c>
      <c r="P29" s="107"/>
      <c r="Q29" s="107">
        <v>56</v>
      </c>
      <c r="R29" s="107"/>
      <c r="S29" s="107" t="s">
        <v>714</v>
      </c>
      <c r="T29" s="107" t="s">
        <v>667</v>
      </c>
      <c r="U29" s="107" t="s">
        <v>659</v>
      </c>
      <c r="V29" s="107" t="s">
        <v>141</v>
      </c>
      <c r="W29" s="110">
        <v>28</v>
      </c>
      <c r="X29" s="107" t="s">
        <v>810</v>
      </c>
      <c r="Y29" s="110">
        <v>0.1</v>
      </c>
      <c r="Z29" s="589">
        <v>7.0000000000000007E-2</v>
      </c>
      <c r="AA29" s="107"/>
      <c r="AB29" s="34"/>
      <c r="AC29" s="107"/>
      <c r="AD29" s="200">
        <v>4050400</v>
      </c>
      <c r="AE29" s="34" t="s">
        <v>937</v>
      </c>
      <c r="AF29" s="201" t="s">
        <v>1219</v>
      </c>
      <c r="AG29" s="201"/>
      <c r="AH29" s="201"/>
      <c r="AI29" s="201">
        <v>15</v>
      </c>
      <c r="AJ29" s="201"/>
      <c r="AK29" s="201"/>
      <c r="AL29" s="201"/>
      <c r="AM29" s="201"/>
      <c r="AN29" s="107">
        <v>29</v>
      </c>
      <c r="AO29" s="107" t="s">
        <v>515</v>
      </c>
      <c r="AP29" s="200"/>
      <c r="AQ29" t="s">
        <v>119</v>
      </c>
      <c r="AR29" s="107" t="s">
        <v>144</v>
      </c>
      <c r="AS29" s="107"/>
    </row>
    <row r="30" spans="1:45" x14ac:dyDescent="0.25">
      <c r="A30" s="287" t="s">
        <v>594</v>
      </c>
      <c r="B30" s="288" t="s">
        <v>595</v>
      </c>
      <c r="C30" s="288" t="s">
        <v>767</v>
      </c>
      <c r="D30" s="288">
        <v>125</v>
      </c>
      <c r="E30" s="288"/>
      <c r="F30" s="288" t="s">
        <v>665</v>
      </c>
      <c r="G30" s="288" t="s">
        <v>664</v>
      </c>
      <c r="H30" s="288" t="s">
        <v>574</v>
      </c>
      <c r="I30" s="288" t="s">
        <v>141</v>
      </c>
      <c r="J30" s="288">
        <v>26</v>
      </c>
      <c r="K30" s="288" t="s">
        <v>809</v>
      </c>
      <c r="L30" s="288"/>
      <c r="N30" s="109"/>
      <c r="O30" t="s">
        <v>1227</v>
      </c>
      <c r="P30" s="107"/>
      <c r="Q30" s="107" t="s">
        <v>761</v>
      </c>
      <c r="R30" s="107"/>
      <c r="S30" s="107"/>
      <c r="T30" s="107"/>
      <c r="U30" s="107"/>
      <c r="V30" s="107"/>
      <c r="W30" s="110">
        <v>29</v>
      </c>
      <c r="X30" s="107"/>
      <c r="Y30" s="110">
        <v>0.1</v>
      </c>
      <c r="Z30" s="589"/>
      <c r="AA30" s="107"/>
      <c r="AB30" s="34"/>
      <c r="AC30" s="107"/>
      <c r="AD30" s="109">
        <v>4052110</v>
      </c>
      <c r="AE30" s="34" t="s">
        <v>937</v>
      </c>
      <c r="AF30" s="107" t="s">
        <v>757</v>
      </c>
      <c r="AG30" s="107"/>
      <c r="AH30" s="107"/>
      <c r="AI30" s="107">
        <v>15</v>
      </c>
      <c r="AJ30" s="107"/>
      <c r="AK30" s="107"/>
      <c r="AL30" s="107"/>
      <c r="AM30" s="107"/>
      <c r="AN30" s="107">
        <v>30</v>
      </c>
      <c r="AO30" s="107" t="s">
        <v>515</v>
      </c>
      <c r="AP30" s="109"/>
      <c r="AQ30" t="s">
        <v>119</v>
      </c>
      <c r="AR30" s="107" t="s">
        <v>144</v>
      </c>
      <c r="AS30" s="107"/>
    </row>
    <row r="31" spans="1:45" x14ac:dyDescent="0.25">
      <c r="A31" s="287" t="s">
        <v>594</v>
      </c>
      <c r="B31" s="288" t="s">
        <v>596</v>
      </c>
      <c r="C31" s="288" t="s">
        <v>768</v>
      </c>
      <c r="D31" s="288">
        <v>227</v>
      </c>
      <c r="E31" s="288"/>
      <c r="F31" s="288" t="s">
        <v>665</v>
      </c>
      <c r="G31" s="288" t="s">
        <v>664</v>
      </c>
      <c r="H31" s="288" t="s">
        <v>659</v>
      </c>
      <c r="I31" s="288" t="s">
        <v>141</v>
      </c>
      <c r="J31" s="288">
        <v>27</v>
      </c>
      <c r="K31" s="288" t="s">
        <v>809</v>
      </c>
      <c r="L31" s="288"/>
      <c r="N31" s="66">
        <v>40622</v>
      </c>
      <c r="O31" s="107" t="s">
        <v>910</v>
      </c>
      <c r="P31" s="107"/>
      <c r="Q31" s="107">
        <v>32</v>
      </c>
      <c r="R31" s="107"/>
      <c r="S31" s="107" t="s">
        <v>142</v>
      </c>
      <c r="T31" s="107" t="s">
        <v>661</v>
      </c>
      <c r="U31" s="107" t="s">
        <v>574</v>
      </c>
      <c r="V31" s="107" t="s">
        <v>141</v>
      </c>
      <c r="W31" s="110">
        <v>30</v>
      </c>
      <c r="X31" s="107" t="s">
        <v>810</v>
      </c>
      <c r="Y31">
        <v>0.1</v>
      </c>
      <c r="Z31" s="589">
        <v>7.0000000000000007E-2</v>
      </c>
      <c r="AA31" s="107"/>
      <c r="AB31" s="34"/>
      <c r="AC31" s="107"/>
      <c r="AD31" s="109">
        <v>4052120</v>
      </c>
      <c r="AE31" s="34" t="s">
        <v>937</v>
      </c>
      <c r="AF31" s="107" t="s">
        <v>741</v>
      </c>
      <c r="AG31" s="107"/>
      <c r="AH31" s="107"/>
      <c r="AI31" s="107">
        <v>10</v>
      </c>
      <c r="AJ31" s="107"/>
      <c r="AK31" s="107"/>
      <c r="AL31" s="107"/>
      <c r="AM31" s="107"/>
      <c r="AN31">
        <v>31</v>
      </c>
      <c r="AO31" s="107" t="s">
        <v>144</v>
      </c>
      <c r="AP31" s="109"/>
      <c r="AQ31" t="s">
        <v>119</v>
      </c>
      <c r="AR31" s="107" t="s">
        <v>144</v>
      </c>
      <c r="AS31" s="107"/>
    </row>
    <row r="32" spans="1:45" x14ac:dyDescent="0.25">
      <c r="A32" s="287" t="s">
        <v>594</v>
      </c>
      <c r="B32" s="288" t="s">
        <v>597</v>
      </c>
      <c r="C32" s="288" t="s">
        <v>1464</v>
      </c>
      <c r="D32" s="288">
        <v>352</v>
      </c>
      <c r="E32" s="288"/>
      <c r="F32" s="288" t="s">
        <v>665</v>
      </c>
      <c r="G32" s="288" t="s">
        <v>664</v>
      </c>
      <c r="H32" s="288" t="s">
        <v>662</v>
      </c>
      <c r="I32" s="288" t="s">
        <v>141</v>
      </c>
      <c r="J32" s="288">
        <v>28</v>
      </c>
      <c r="K32" s="288" t="s">
        <v>809</v>
      </c>
      <c r="L32" s="288"/>
      <c r="N32" s="66">
        <v>40622</v>
      </c>
      <c r="O32" s="107" t="s">
        <v>911</v>
      </c>
      <c r="P32" s="107"/>
      <c r="Q32" s="107">
        <v>64</v>
      </c>
      <c r="R32" s="107"/>
      <c r="S32" s="107" t="s">
        <v>142</v>
      </c>
      <c r="T32" s="107" t="s">
        <v>661</v>
      </c>
      <c r="U32" s="107" t="s">
        <v>659</v>
      </c>
      <c r="V32" s="107" t="s">
        <v>141</v>
      </c>
      <c r="W32" s="110">
        <v>31</v>
      </c>
      <c r="X32" s="107" t="s">
        <v>810</v>
      </c>
      <c r="Y32" s="110">
        <v>0.1</v>
      </c>
      <c r="Z32" s="589">
        <v>7.0000000000000007E-2</v>
      </c>
      <c r="AA32" s="107"/>
      <c r="AB32" s="34"/>
      <c r="AC32" s="107"/>
      <c r="AD32" s="109">
        <v>4052000</v>
      </c>
      <c r="AE32" s="34" t="s">
        <v>937</v>
      </c>
      <c r="AF32" s="107" t="s">
        <v>718</v>
      </c>
      <c r="AG32" s="107"/>
      <c r="AH32" s="107"/>
      <c r="AI32" s="107">
        <v>15</v>
      </c>
      <c r="AJ32" s="107"/>
      <c r="AK32" s="107"/>
      <c r="AL32" s="107"/>
      <c r="AM32" s="107"/>
      <c r="AN32" s="107">
        <v>32</v>
      </c>
      <c r="AO32" s="107" t="s">
        <v>144</v>
      </c>
      <c r="AP32" s="109"/>
      <c r="AQ32" t="s">
        <v>119</v>
      </c>
      <c r="AR32" s="107" t="s">
        <v>144</v>
      </c>
      <c r="AS32" s="107"/>
    </row>
    <row r="33" spans="1:45" x14ac:dyDescent="0.25">
      <c r="A33" s="287" t="s">
        <v>594</v>
      </c>
      <c r="B33" s="288" t="s">
        <v>598</v>
      </c>
      <c r="C33" s="288" t="s">
        <v>1463</v>
      </c>
      <c r="D33" s="288">
        <v>454</v>
      </c>
      <c r="E33" s="288"/>
      <c r="F33" s="288" t="s">
        <v>665</v>
      </c>
      <c r="G33" s="288" t="s">
        <v>664</v>
      </c>
      <c r="H33" s="288" t="s">
        <v>663</v>
      </c>
      <c r="I33" s="288" t="s">
        <v>141</v>
      </c>
      <c r="J33" s="288">
        <v>29</v>
      </c>
      <c r="K33" s="288" t="s">
        <v>809</v>
      </c>
      <c r="L33" s="288"/>
      <c r="N33" s="66">
        <v>40622</v>
      </c>
      <c r="O33" s="107" t="s">
        <v>912</v>
      </c>
      <c r="P33" s="107"/>
      <c r="Q33" s="107">
        <v>128</v>
      </c>
      <c r="R33" s="107"/>
      <c r="S33" s="107" t="s">
        <v>142</v>
      </c>
      <c r="T33" s="107" t="s">
        <v>661</v>
      </c>
      <c r="U33" s="107" t="s">
        <v>663</v>
      </c>
      <c r="V33" s="107" t="s">
        <v>141</v>
      </c>
      <c r="W33" s="110">
        <v>32</v>
      </c>
      <c r="X33" s="107" t="s">
        <v>810</v>
      </c>
      <c r="Y33" s="110">
        <v>0.1</v>
      </c>
      <c r="Z33" s="589">
        <v>7.0000000000000007E-2</v>
      </c>
      <c r="AA33" s="107"/>
      <c r="AB33" s="34"/>
      <c r="AC33" s="107"/>
      <c r="AD33" s="109">
        <v>4050600</v>
      </c>
      <c r="AE33" s="34" t="s">
        <v>937</v>
      </c>
      <c r="AF33" s="107" t="s">
        <v>724</v>
      </c>
      <c r="AG33" s="107"/>
      <c r="AH33" s="107"/>
      <c r="AI33" s="107">
        <v>15</v>
      </c>
      <c r="AJ33" s="107"/>
      <c r="AK33" s="107"/>
      <c r="AL33" s="107"/>
      <c r="AM33" s="107"/>
      <c r="AN33" s="107">
        <v>33</v>
      </c>
      <c r="AO33" s="107" t="s">
        <v>515</v>
      </c>
      <c r="AP33" s="109"/>
      <c r="AQ33" t="s">
        <v>119</v>
      </c>
      <c r="AR33" s="107" t="s">
        <v>144</v>
      </c>
      <c r="AS33" s="107"/>
    </row>
    <row r="34" spans="1:45" x14ac:dyDescent="0.25">
      <c r="A34" s="287" t="s">
        <v>599</v>
      </c>
      <c r="B34" s="288" t="s">
        <v>600</v>
      </c>
      <c r="C34" s="288" t="s">
        <v>769</v>
      </c>
      <c r="D34" s="288">
        <v>200</v>
      </c>
      <c r="E34" s="288"/>
      <c r="F34" s="288" t="s">
        <v>666</v>
      </c>
      <c r="G34" s="288" t="s">
        <v>664</v>
      </c>
      <c r="H34" s="288" t="s">
        <v>574</v>
      </c>
      <c r="I34" s="288" t="s">
        <v>141</v>
      </c>
      <c r="J34" s="288">
        <v>30</v>
      </c>
      <c r="K34" s="288" t="s">
        <v>809</v>
      </c>
      <c r="L34" s="288"/>
      <c r="N34" s="66">
        <v>40622</v>
      </c>
      <c r="O34" s="107" t="s">
        <v>913</v>
      </c>
      <c r="P34" s="107"/>
      <c r="Q34" s="107">
        <v>192</v>
      </c>
      <c r="R34" s="107"/>
      <c r="S34" s="107" t="s">
        <v>142</v>
      </c>
      <c r="T34" s="107" t="s">
        <v>661</v>
      </c>
      <c r="U34" s="107" t="s">
        <v>669</v>
      </c>
      <c r="V34" s="107" t="s">
        <v>141</v>
      </c>
      <c r="W34" s="110">
        <v>33</v>
      </c>
      <c r="X34" s="107" t="s">
        <v>810</v>
      </c>
      <c r="Y34">
        <v>0.1</v>
      </c>
      <c r="Z34" s="589">
        <v>7.0000000000000007E-2</v>
      </c>
      <c r="AA34" s="107"/>
      <c r="AB34" s="34"/>
      <c r="AC34" s="107"/>
      <c r="AD34" s="109">
        <v>4050900</v>
      </c>
      <c r="AE34" s="34" t="s">
        <v>937</v>
      </c>
      <c r="AF34" s="107" t="s">
        <v>719</v>
      </c>
      <c r="AG34" s="107"/>
      <c r="AH34" s="107"/>
      <c r="AI34" s="107">
        <v>15</v>
      </c>
      <c r="AJ34" s="107"/>
      <c r="AK34" s="107"/>
      <c r="AL34" s="107"/>
      <c r="AM34" s="107"/>
      <c r="AN34">
        <v>34</v>
      </c>
      <c r="AO34" s="107" t="s">
        <v>144</v>
      </c>
      <c r="AP34" s="109"/>
      <c r="AQ34" t="s">
        <v>119</v>
      </c>
      <c r="AR34" s="107" t="s">
        <v>144</v>
      </c>
      <c r="AS34" s="107"/>
    </row>
    <row r="35" spans="1:45" x14ac:dyDescent="0.25">
      <c r="A35" s="287" t="s">
        <v>599</v>
      </c>
      <c r="B35" s="288" t="s">
        <v>601</v>
      </c>
      <c r="C35" s="288" t="s">
        <v>770</v>
      </c>
      <c r="D35" s="288">
        <v>390</v>
      </c>
      <c r="E35" s="288"/>
      <c r="F35" s="288" t="s">
        <v>666</v>
      </c>
      <c r="G35" s="288" t="s">
        <v>664</v>
      </c>
      <c r="H35" s="288" t="s">
        <v>659</v>
      </c>
      <c r="I35" s="288" t="s">
        <v>141</v>
      </c>
      <c r="J35" s="288">
        <v>31</v>
      </c>
      <c r="K35" s="288" t="s">
        <v>809</v>
      </c>
      <c r="L35" s="288"/>
      <c r="M35" s="111"/>
      <c r="N35" s="66">
        <v>40623</v>
      </c>
      <c r="O35" s="107" t="s">
        <v>811</v>
      </c>
      <c r="P35" s="107" t="s">
        <v>184</v>
      </c>
      <c r="Q35" s="107">
        <v>62</v>
      </c>
      <c r="R35" s="107"/>
      <c r="S35" s="107" t="s">
        <v>817</v>
      </c>
      <c r="T35" s="107" t="s">
        <v>661</v>
      </c>
      <c r="U35" s="107" t="s">
        <v>574</v>
      </c>
      <c r="V35" s="107" t="s">
        <v>141</v>
      </c>
      <c r="W35" s="110">
        <v>34</v>
      </c>
      <c r="X35" s="107" t="s">
        <v>810</v>
      </c>
      <c r="Y35" s="110">
        <v>0.1</v>
      </c>
      <c r="Z35" s="589">
        <v>7.0000000000000007E-2</v>
      </c>
      <c r="AA35" s="107"/>
      <c r="AB35" s="34"/>
      <c r="AC35" s="107"/>
      <c r="AD35" s="109">
        <v>4052300</v>
      </c>
      <c r="AE35" s="34" t="s">
        <v>937</v>
      </c>
      <c r="AF35" s="107" t="s">
        <v>720</v>
      </c>
      <c r="AG35" s="107"/>
      <c r="AH35" s="107"/>
      <c r="AI35" s="107">
        <v>15</v>
      </c>
      <c r="AJ35" s="107"/>
      <c r="AK35" s="107"/>
      <c r="AL35" s="107"/>
      <c r="AM35" s="107"/>
      <c r="AN35" s="107">
        <v>35</v>
      </c>
      <c r="AO35" s="107" t="s">
        <v>144</v>
      </c>
      <c r="AP35" s="109"/>
      <c r="AQ35" t="s">
        <v>119</v>
      </c>
      <c r="AR35" s="107" t="s">
        <v>144</v>
      </c>
      <c r="AS35" s="107"/>
    </row>
    <row r="36" spans="1:45" x14ac:dyDescent="0.25">
      <c r="A36" s="287" t="s">
        <v>599</v>
      </c>
      <c r="B36" s="288" t="s">
        <v>602</v>
      </c>
      <c r="C36" s="288" t="s">
        <v>771</v>
      </c>
      <c r="D36" s="288">
        <v>590</v>
      </c>
      <c r="E36" s="288"/>
      <c r="F36" s="288" t="s">
        <v>666</v>
      </c>
      <c r="G36" s="288" t="s">
        <v>664</v>
      </c>
      <c r="H36" s="288" t="s">
        <v>662</v>
      </c>
      <c r="I36" s="288" t="s">
        <v>141</v>
      </c>
      <c r="J36" s="288">
        <v>32</v>
      </c>
      <c r="K36" s="288" t="s">
        <v>809</v>
      </c>
      <c r="L36" s="288"/>
      <c r="M36" s="111"/>
      <c r="N36" s="66">
        <v>40623</v>
      </c>
      <c r="O36" s="107" t="s">
        <v>812</v>
      </c>
      <c r="P36" s="107" t="s">
        <v>185</v>
      </c>
      <c r="Q36" s="107">
        <v>117</v>
      </c>
      <c r="R36" s="107"/>
      <c r="S36" s="107" t="s">
        <v>817</v>
      </c>
      <c r="T36" s="107" t="s">
        <v>661</v>
      </c>
      <c r="U36" s="107" t="s">
        <v>659</v>
      </c>
      <c r="V36" s="107" t="s">
        <v>141</v>
      </c>
      <c r="W36" s="110">
        <v>35</v>
      </c>
      <c r="X36" s="107" t="s">
        <v>810</v>
      </c>
      <c r="Y36" s="110">
        <v>0.1</v>
      </c>
      <c r="Z36" s="589">
        <v>7.0000000000000007E-2</v>
      </c>
      <c r="AA36" s="107"/>
      <c r="AB36" s="34"/>
      <c r="AC36" s="107"/>
      <c r="AD36" s="109">
        <v>4050800</v>
      </c>
      <c r="AE36" s="34" t="s">
        <v>937</v>
      </c>
      <c r="AF36" s="107" t="s">
        <v>744</v>
      </c>
      <c r="AG36" s="107"/>
      <c r="AH36" s="107"/>
      <c r="AI36" s="107">
        <v>15</v>
      </c>
      <c r="AJ36" s="107"/>
      <c r="AK36" s="107"/>
      <c r="AL36" s="107"/>
      <c r="AM36" s="107"/>
      <c r="AN36" s="107">
        <v>36</v>
      </c>
      <c r="AO36" s="107" t="s">
        <v>144</v>
      </c>
      <c r="AP36" s="109"/>
      <c r="AQ36" t="s">
        <v>119</v>
      </c>
      <c r="AR36" s="107" t="s">
        <v>144</v>
      </c>
      <c r="AS36" s="107"/>
    </row>
    <row r="37" spans="1:45" x14ac:dyDescent="0.25">
      <c r="A37" s="287" t="s">
        <v>599</v>
      </c>
      <c r="B37" s="288" t="s">
        <v>575</v>
      </c>
      <c r="C37" s="288" t="s">
        <v>1465</v>
      </c>
      <c r="D37" s="288">
        <v>780</v>
      </c>
      <c r="E37" s="288"/>
      <c r="F37" s="288" t="s">
        <v>666</v>
      </c>
      <c r="G37" s="288" t="s">
        <v>664</v>
      </c>
      <c r="H37" s="288" t="s">
        <v>663</v>
      </c>
      <c r="I37" s="288" t="s">
        <v>141</v>
      </c>
      <c r="J37" s="288">
        <v>33</v>
      </c>
      <c r="K37" s="288" t="s">
        <v>809</v>
      </c>
      <c r="L37" s="288"/>
      <c r="M37" s="111"/>
      <c r="N37" s="66">
        <v>40623</v>
      </c>
      <c r="O37" s="107" t="s">
        <v>813</v>
      </c>
      <c r="P37" s="107" t="s">
        <v>186</v>
      </c>
      <c r="Q37" s="107">
        <v>240</v>
      </c>
      <c r="R37" s="107"/>
      <c r="S37" s="107" t="s">
        <v>817</v>
      </c>
      <c r="T37" s="107" t="s">
        <v>661</v>
      </c>
      <c r="U37" s="107" t="s">
        <v>663</v>
      </c>
      <c r="V37" s="107" t="s">
        <v>141</v>
      </c>
      <c r="W37" s="110">
        <v>36</v>
      </c>
      <c r="X37" s="107" t="s">
        <v>810</v>
      </c>
      <c r="Y37">
        <v>0.1</v>
      </c>
      <c r="Z37" s="589">
        <v>7.0000000000000007E-2</v>
      </c>
      <c r="AA37" s="107"/>
      <c r="AB37" s="34"/>
      <c r="AC37" s="107"/>
      <c r="AD37" s="109">
        <v>4010100</v>
      </c>
      <c r="AE37" s="34" t="s">
        <v>937</v>
      </c>
      <c r="AF37" s="107" t="s">
        <v>747</v>
      </c>
      <c r="AG37" s="107"/>
      <c r="AH37" s="107"/>
      <c r="AI37" s="107">
        <v>20</v>
      </c>
      <c r="AJ37" s="107"/>
      <c r="AK37" s="107"/>
      <c r="AL37" s="107"/>
      <c r="AM37" s="107"/>
      <c r="AN37">
        <v>37</v>
      </c>
      <c r="AO37" s="107" t="s">
        <v>513</v>
      </c>
      <c r="AP37" s="109"/>
      <c r="AQ37" t="s">
        <v>119</v>
      </c>
      <c r="AR37" s="107" t="s">
        <v>144</v>
      </c>
      <c r="AS37" s="107"/>
    </row>
    <row r="38" spans="1:45" x14ac:dyDescent="0.25">
      <c r="A38" s="287" t="s">
        <v>581</v>
      </c>
      <c r="B38" s="288" t="s">
        <v>167</v>
      </c>
      <c r="C38" s="288" t="s">
        <v>772</v>
      </c>
      <c r="D38" s="288">
        <v>48</v>
      </c>
      <c r="E38" s="288"/>
      <c r="F38" s="288" t="s">
        <v>155</v>
      </c>
      <c r="G38" s="288" t="s">
        <v>661</v>
      </c>
      <c r="H38" s="288" t="s">
        <v>574</v>
      </c>
      <c r="I38" s="288" t="s">
        <v>141</v>
      </c>
      <c r="J38" s="288">
        <v>34</v>
      </c>
      <c r="K38" s="288" t="s">
        <v>809</v>
      </c>
      <c r="L38" s="288"/>
      <c r="M38" s="111"/>
      <c r="N38" s="66">
        <v>40623</v>
      </c>
      <c r="O38" s="107" t="s">
        <v>814</v>
      </c>
      <c r="P38" s="107" t="s">
        <v>187</v>
      </c>
      <c r="Q38" s="107">
        <v>360</v>
      </c>
      <c r="R38" s="107"/>
      <c r="S38" s="107" t="s">
        <v>817</v>
      </c>
      <c r="T38" s="107" t="s">
        <v>661</v>
      </c>
      <c r="U38" s="107" t="s">
        <v>669</v>
      </c>
      <c r="V38" s="107" t="s">
        <v>141</v>
      </c>
      <c r="W38" s="110">
        <v>37</v>
      </c>
      <c r="X38" s="107" t="s">
        <v>810</v>
      </c>
      <c r="Y38" s="110">
        <v>0.1</v>
      </c>
      <c r="Z38" s="589">
        <v>7.0000000000000007E-2</v>
      </c>
      <c r="AA38" s="107"/>
      <c r="AB38" s="34"/>
      <c r="AC38" s="107"/>
      <c r="AD38" s="109">
        <v>4010200</v>
      </c>
      <c r="AE38" s="34" t="s">
        <v>937</v>
      </c>
      <c r="AF38" s="107" t="s">
        <v>725</v>
      </c>
      <c r="AG38" s="107"/>
      <c r="AH38" s="107"/>
      <c r="AI38" s="107">
        <v>10</v>
      </c>
      <c r="AJ38" s="107"/>
      <c r="AK38" s="107"/>
      <c r="AL38" s="107"/>
      <c r="AM38" s="107"/>
      <c r="AN38" s="107">
        <v>38</v>
      </c>
      <c r="AO38" s="107" t="s">
        <v>513</v>
      </c>
      <c r="AP38" s="109"/>
      <c r="AQ38" t="s">
        <v>119</v>
      </c>
      <c r="AR38" s="107" t="s">
        <v>144</v>
      </c>
      <c r="AS38" s="107"/>
    </row>
    <row r="39" spans="1:45" x14ac:dyDescent="0.25">
      <c r="A39" s="287" t="s">
        <v>581</v>
      </c>
      <c r="B39" s="288" t="s">
        <v>168</v>
      </c>
      <c r="C39" s="288" t="s">
        <v>773</v>
      </c>
      <c r="D39" s="288">
        <v>72</v>
      </c>
      <c r="E39" s="288"/>
      <c r="F39" s="288" t="s">
        <v>155</v>
      </c>
      <c r="G39" s="288" t="s">
        <v>661</v>
      </c>
      <c r="H39" s="288" t="s">
        <v>659</v>
      </c>
      <c r="I39" s="288" t="s">
        <v>141</v>
      </c>
      <c r="J39" s="288">
        <v>35</v>
      </c>
      <c r="K39" s="288" t="s">
        <v>809</v>
      </c>
      <c r="L39" s="288"/>
      <c r="M39" s="111"/>
      <c r="N39" s="66">
        <v>40623</v>
      </c>
      <c r="O39" s="107" t="s">
        <v>815</v>
      </c>
      <c r="P39" s="107" t="s">
        <v>188</v>
      </c>
      <c r="Q39" s="107">
        <v>468</v>
      </c>
      <c r="R39" s="107"/>
      <c r="S39" s="107" t="s">
        <v>817</v>
      </c>
      <c r="T39" s="107" t="s">
        <v>661</v>
      </c>
      <c r="U39" s="107" t="s">
        <v>670</v>
      </c>
      <c r="V39" s="107" t="s">
        <v>141</v>
      </c>
      <c r="W39" s="110">
        <v>38</v>
      </c>
      <c r="X39" s="107" t="s">
        <v>810</v>
      </c>
      <c r="Y39" s="110">
        <v>0.1</v>
      </c>
      <c r="Z39" s="589">
        <v>7.0000000000000007E-2</v>
      </c>
      <c r="AA39" s="107"/>
      <c r="AB39" s="34"/>
      <c r="AC39" s="107"/>
      <c r="AD39" s="109">
        <v>4010300</v>
      </c>
      <c r="AE39" s="34" t="s">
        <v>937</v>
      </c>
      <c r="AF39" s="107" t="s">
        <v>726</v>
      </c>
      <c r="AG39" s="107"/>
      <c r="AH39" s="107"/>
      <c r="AI39" s="107">
        <v>15</v>
      </c>
      <c r="AJ39" s="107"/>
      <c r="AK39" s="107"/>
      <c r="AL39" s="107"/>
      <c r="AM39" s="107"/>
      <c r="AN39" s="107">
        <v>39</v>
      </c>
      <c r="AO39" s="107" t="s">
        <v>513</v>
      </c>
      <c r="AP39" s="109"/>
      <c r="AQ39" t="s">
        <v>119</v>
      </c>
      <c r="AR39" s="107" t="s">
        <v>144</v>
      </c>
      <c r="AS39" s="107"/>
    </row>
    <row r="40" spans="1:45" x14ac:dyDescent="0.25">
      <c r="A40" s="287" t="s">
        <v>581</v>
      </c>
      <c r="B40" s="288" t="s">
        <v>1437</v>
      </c>
      <c r="C40" s="288" t="s">
        <v>1466</v>
      </c>
      <c r="D40" s="288">
        <v>115</v>
      </c>
      <c r="E40" s="288"/>
      <c r="F40" s="288" t="s">
        <v>155</v>
      </c>
      <c r="G40" s="288" t="s">
        <v>661</v>
      </c>
      <c r="H40" s="288" t="s">
        <v>662</v>
      </c>
      <c r="I40" s="288" t="s">
        <v>141</v>
      </c>
      <c r="J40" s="288">
        <v>36</v>
      </c>
      <c r="K40" s="288" t="s">
        <v>810</v>
      </c>
      <c r="L40" s="288"/>
      <c r="M40" s="111"/>
      <c r="N40" s="66">
        <v>40623</v>
      </c>
      <c r="O40" s="107" t="s">
        <v>816</v>
      </c>
      <c r="P40" s="107" t="s">
        <v>189</v>
      </c>
      <c r="Q40" s="107">
        <v>577</v>
      </c>
      <c r="R40" s="107"/>
      <c r="S40" s="107" t="s">
        <v>817</v>
      </c>
      <c r="T40" s="107" t="s">
        <v>661</v>
      </c>
      <c r="U40" s="107" t="s">
        <v>671</v>
      </c>
      <c r="V40" s="107" t="s">
        <v>141</v>
      </c>
      <c r="W40" s="110">
        <v>39</v>
      </c>
      <c r="X40" s="107" t="s">
        <v>822</v>
      </c>
      <c r="Y40">
        <v>0.1</v>
      </c>
      <c r="Z40" s="589">
        <v>7.0000000000000007E-2</v>
      </c>
      <c r="AA40" s="107"/>
      <c r="AB40" s="34"/>
      <c r="AC40" s="107"/>
      <c r="AD40" s="66">
        <v>4051700</v>
      </c>
      <c r="AE40" s="265" t="s">
        <v>937</v>
      </c>
      <c r="AF40" t="s">
        <v>1402</v>
      </c>
      <c r="AI40">
        <v>15</v>
      </c>
      <c r="AN40">
        <v>40</v>
      </c>
      <c r="AO40" t="s">
        <v>144</v>
      </c>
      <c r="AP40" s="66"/>
      <c r="AQ40" t="s">
        <v>119</v>
      </c>
      <c r="AR40" t="s">
        <v>144</v>
      </c>
      <c r="AS40" s="107"/>
    </row>
    <row r="41" spans="1:45" x14ac:dyDescent="0.25">
      <c r="A41" s="287"/>
      <c r="B41" s="288" t="s">
        <v>1227</v>
      </c>
      <c r="C41" s="288"/>
      <c r="D41" s="288" t="s">
        <v>761</v>
      </c>
      <c r="E41" s="288"/>
      <c r="F41" s="288"/>
      <c r="G41" s="288"/>
      <c r="H41" s="288"/>
      <c r="I41" s="288"/>
      <c r="J41" s="288">
        <v>37</v>
      </c>
      <c r="K41" s="288"/>
      <c r="L41" s="288"/>
      <c r="M41" s="111"/>
      <c r="N41" s="109"/>
      <c r="O41" t="s">
        <v>1227</v>
      </c>
      <c r="P41" s="107"/>
      <c r="Q41" s="107" t="s">
        <v>761</v>
      </c>
      <c r="R41" s="107"/>
      <c r="S41" s="107"/>
      <c r="T41" s="107"/>
      <c r="U41" s="107"/>
      <c r="V41" s="107"/>
      <c r="W41" s="110">
        <v>40</v>
      </c>
      <c r="X41" s="107"/>
      <c r="Y41" s="110">
        <v>0.1</v>
      </c>
      <c r="Z41" s="589"/>
      <c r="AA41" s="107"/>
      <c r="AB41" s="34"/>
      <c r="AC41" s="107"/>
      <c r="AD41" s="109">
        <v>4040100</v>
      </c>
      <c r="AE41" s="34" t="s">
        <v>937</v>
      </c>
      <c r="AF41" t="s">
        <v>945</v>
      </c>
      <c r="AG41" s="107"/>
      <c r="AH41" s="107"/>
      <c r="AI41" s="107">
        <v>10</v>
      </c>
      <c r="AJ41" s="107"/>
      <c r="AK41" s="107"/>
      <c r="AL41" s="107"/>
      <c r="AM41" s="107"/>
      <c r="AN41" s="107">
        <v>42</v>
      </c>
      <c r="AO41" s="107" t="s">
        <v>515</v>
      </c>
      <c r="AP41" s="109"/>
      <c r="AQ41" t="s">
        <v>119</v>
      </c>
      <c r="AR41" s="107" t="s">
        <v>144</v>
      </c>
      <c r="AS41" s="107"/>
    </row>
    <row r="42" spans="1:45" x14ac:dyDescent="0.25">
      <c r="A42" s="287" t="s">
        <v>603</v>
      </c>
      <c r="B42" s="288" t="s">
        <v>604</v>
      </c>
      <c r="C42" s="288" t="s">
        <v>774</v>
      </c>
      <c r="D42" s="288">
        <v>16</v>
      </c>
      <c r="E42" s="288"/>
      <c r="F42" s="288" t="s">
        <v>143</v>
      </c>
      <c r="G42" s="288" t="s">
        <v>571</v>
      </c>
      <c r="H42" s="288" t="s">
        <v>574</v>
      </c>
      <c r="I42" s="288" t="s">
        <v>141</v>
      </c>
      <c r="J42" s="288">
        <v>38</v>
      </c>
      <c r="K42" s="288" t="s">
        <v>810</v>
      </c>
      <c r="L42" s="288"/>
      <c r="M42" s="111"/>
      <c r="N42" s="66">
        <v>40625</v>
      </c>
      <c r="O42" s="107" t="s">
        <v>917</v>
      </c>
      <c r="P42" s="107"/>
      <c r="Q42" s="107" t="str">
        <f>""</f>
        <v/>
      </c>
      <c r="R42" s="107"/>
      <c r="S42" s="107" t="s">
        <v>919</v>
      </c>
      <c r="T42" s="107"/>
      <c r="U42" s="107"/>
      <c r="V42" s="107" t="s">
        <v>141</v>
      </c>
      <c r="W42" s="110">
        <v>41</v>
      </c>
      <c r="X42" s="107"/>
      <c r="Y42" s="110">
        <v>0.1</v>
      </c>
      <c r="Z42" s="589">
        <v>7.0000000000000007E-2</v>
      </c>
      <c r="AA42" s="107"/>
      <c r="AB42" s="34"/>
      <c r="AC42" s="107"/>
      <c r="AD42" s="109"/>
      <c r="AE42" s="107"/>
      <c r="AF42" s="107"/>
      <c r="AG42" s="107"/>
      <c r="AH42" s="107"/>
      <c r="AI42" s="107"/>
      <c r="AJ42" s="107"/>
      <c r="AK42" s="107"/>
      <c r="AL42" s="107"/>
      <c r="AM42" s="107"/>
      <c r="AN42" s="107"/>
      <c r="AO42" s="107"/>
      <c r="AP42" s="107"/>
      <c r="AQ42" s="107"/>
      <c r="AR42" s="107"/>
      <c r="AS42" s="107"/>
    </row>
    <row r="43" spans="1:45" x14ac:dyDescent="0.25">
      <c r="A43" s="287" t="s">
        <v>603</v>
      </c>
      <c r="B43" s="288" t="s">
        <v>605</v>
      </c>
      <c r="C43" s="288" t="s">
        <v>775</v>
      </c>
      <c r="D43" s="288">
        <v>32</v>
      </c>
      <c r="E43" s="288"/>
      <c r="F43" s="288" t="s">
        <v>143</v>
      </c>
      <c r="G43" s="288" t="s">
        <v>571</v>
      </c>
      <c r="H43" s="288" t="s">
        <v>659</v>
      </c>
      <c r="I43" s="288" t="s">
        <v>141</v>
      </c>
      <c r="J43" s="288">
        <v>39</v>
      </c>
      <c r="K43" s="288" t="s">
        <v>810</v>
      </c>
      <c r="L43" s="288"/>
      <c r="M43" s="111"/>
      <c r="N43" s="66">
        <v>40624</v>
      </c>
      <c r="O43" t="s">
        <v>992</v>
      </c>
      <c r="Q43" s="107" t="str">
        <f>""</f>
        <v/>
      </c>
      <c r="S43" t="s">
        <v>992</v>
      </c>
      <c r="V43" s="107" t="s">
        <v>141</v>
      </c>
      <c r="W43" s="110">
        <v>42</v>
      </c>
      <c r="Y43">
        <v>0.1</v>
      </c>
      <c r="Z43" s="589"/>
      <c r="AA43" s="107"/>
      <c r="AB43" s="34"/>
      <c r="AC43" s="107"/>
      <c r="AD43" s="109" t="s">
        <v>125</v>
      </c>
      <c r="AE43" s="109" t="s">
        <v>922</v>
      </c>
      <c r="AF43" s="107" t="s">
        <v>748</v>
      </c>
      <c r="AG43" s="107" t="s">
        <v>749</v>
      </c>
      <c r="AH43" t="s">
        <v>939</v>
      </c>
      <c r="AI43" s="107" t="s">
        <v>133</v>
      </c>
      <c r="AJ43" s="107" t="s">
        <v>127</v>
      </c>
      <c r="AK43" s="107" t="s">
        <v>572</v>
      </c>
      <c r="AL43" s="107" t="s">
        <v>573</v>
      </c>
      <c r="AM43" s="107" t="s">
        <v>717</v>
      </c>
      <c r="AN43" s="107" t="s">
        <v>578</v>
      </c>
      <c r="AO43" s="107" t="s">
        <v>716</v>
      </c>
      <c r="AP43" s="107" t="s">
        <v>558</v>
      </c>
      <c r="AQ43" t="s">
        <v>991</v>
      </c>
      <c r="AR43" s="107" t="s">
        <v>715</v>
      </c>
      <c r="AS43" s="107"/>
    </row>
    <row r="44" spans="1:45" x14ac:dyDescent="0.25">
      <c r="A44" s="287" t="s">
        <v>603</v>
      </c>
      <c r="B44" s="288" t="s">
        <v>1430</v>
      </c>
      <c r="C44" s="288" t="s">
        <v>1470</v>
      </c>
      <c r="D44" s="288">
        <v>48</v>
      </c>
      <c r="E44" s="288"/>
      <c r="F44" s="288" t="s">
        <v>143</v>
      </c>
      <c r="G44" s="288" t="s">
        <v>571</v>
      </c>
      <c r="H44" s="288" t="s">
        <v>662</v>
      </c>
      <c r="I44" s="288" t="s">
        <v>141</v>
      </c>
      <c r="J44" s="288">
        <v>40</v>
      </c>
      <c r="K44" s="288" t="s">
        <v>810</v>
      </c>
      <c r="L44" s="288"/>
      <c r="M44" s="111"/>
      <c r="N44" s="66">
        <v>40626</v>
      </c>
      <c r="O44" s="107" t="s">
        <v>914</v>
      </c>
      <c r="P44" s="107"/>
      <c r="Q44" s="107" t="str">
        <f>""</f>
        <v/>
      </c>
      <c r="R44" s="107"/>
      <c r="S44" t="s">
        <v>993</v>
      </c>
      <c r="T44" s="107" t="s">
        <v>147</v>
      </c>
      <c r="U44" s="107"/>
      <c r="V44" s="107" t="s">
        <v>141</v>
      </c>
      <c r="W44" s="110">
        <v>43</v>
      </c>
      <c r="X44" s="107"/>
      <c r="Y44" s="110">
        <v>0.1</v>
      </c>
      <c r="Z44" s="589">
        <v>7.0000000000000007E-2</v>
      </c>
      <c r="AA44" s="107"/>
      <c r="AB44" s="34"/>
      <c r="AC44" s="107"/>
      <c r="AD44" s="109"/>
      <c r="AE44" s="109"/>
      <c r="AF44" s="107" t="s">
        <v>560</v>
      </c>
      <c r="AG44" s="107"/>
      <c r="AH44" s="107"/>
      <c r="AI44" s="107">
        <v>15</v>
      </c>
      <c r="AJ44" s="107"/>
      <c r="AK44" s="107"/>
      <c r="AL44" s="107"/>
      <c r="AM44" s="107"/>
      <c r="AN44" s="107">
        <v>1</v>
      </c>
      <c r="AO44" s="107" t="s">
        <v>138</v>
      </c>
      <c r="AP44" s="107"/>
      <c r="AQ44" s="107"/>
      <c r="AR44" s="107" t="s">
        <v>138</v>
      </c>
      <c r="AS44" s="107"/>
    </row>
    <row r="45" spans="1:45" x14ac:dyDescent="0.25">
      <c r="A45" s="287" t="s">
        <v>603</v>
      </c>
      <c r="B45" s="288" t="s">
        <v>1431</v>
      </c>
      <c r="C45" s="288" t="s">
        <v>1471</v>
      </c>
      <c r="D45" s="288">
        <v>64</v>
      </c>
      <c r="E45" s="288"/>
      <c r="F45" s="288" t="s">
        <v>143</v>
      </c>
      <c r="G45" s="288" t="s">
        <v>571</v>
      </c>
      <c r="H45" s="288" t="s">
        <v>663</v>
      </c>
      <c r="I45" s="288" t="s">
        <v>141</v>
      </c>
      <c r="J45" s="288">
        <v>41</v>
      </c>
      <c r="K45" s="288" t="s">
        <v>810</v>
      </c>
      <c r="L45" s="288"/>
      <c r="M45" s="111"/>
      <c r="N45" s="109"/>
      <c r="O45" s="107"/>
      <c r="P45" s="107"/>
      <c r="Q45" s="107"/>
      <c r="R45" s="107"/>
      <c r="S45" s="107"/>
      <c r="T45" s="107"/>
      <c r="U45" s="107"/>
      <c r="V45" s="107"/>
      <c r="W45" s="107"/>
      <c r="X45" s="107"/>
      <c r="Y45" s="107"/>
      <c r="Z45" s="107"/>
      <c r="AA45" s="107"/>
      <c r="AB45" s="34"/>
      <c r="AC45" s="107"/>
      <c r="AE45" s="66"/>
      <c r="AF45" t="s">
        <v>1298</v>
      </c>
      <c r="AI45">
        <v>15</v>
      </c>
      <c r="AN45">
        <v>2</v>
      </c>
      <c r="AO45" t="s">
        <v>518</v>
      </c>
      <c r="AR45" t="s">
        <v>138</v>
      </c>
      <c r="AS45" s="107"/>
    </row>
    <row r="46" spans="1:45" x14ac:dyDescent="0.25">
      <c r="A46" s="287" t="s">
        <v>603</v>
      </c>
      <c r="B46" s="288" t="s">
        <v>606</v>
      </c>
      <c r="C46" s="288" t="s">
        <v>1467</v>
      </c>
      <c r="D46" s="288">
        <v>23</v>
      </c>
      <c r="E46" s="288"/>
      <c r="F46" s="288" t="s">
        <v>143</v>
      </c>
      <c r="G46" s="288" t="s">
        <v>660</v>
      </c>
      <c r="H46" s="288" t="s">
        <v>574</v>
      </c>
      <c r="I46" s="288" t="s">
        <v>141</v>
      </c>
      <c r="J46" s="288">
        <v>42</v>
      </c>
      <c r="K46" s="288" t="s">
        <v>810</v>
      </c>
      <c r="L46" s="288"/>
      <c r="M46" s="111"/>
      <c r="N46" s="109"/>
      <c r="O46" s="107"/>
      <c r="P46" s="107"/>
      <c r="Q46" s="107"/>
      <c r="R46" s="107"/>
      <c r="S46" s="107"/>
      <c r="T46" s="107"/>
      <c r="U46" s="107"/>
      <c r="V46" s="107"/>
      <c r="W46" s="107"/>
      <c r="X46" s="107"/>
      <c r="Y46" s="107"/>
      <c r="Z46" s="107"/>
      <c r="AA46" s="107"/>
      <c r="AB46" s="34"/>
      <c r="AC46" s="107"/>
      <c r="AE46" s="66"/>
      <c r="AS46" s="107"/>
    </row>
    <row r="47" spans="1:45" x14ac:dyDescent="0.25">
      <c r="A47" s="287" t="s">
        <v>603</v>
      </c>
      <c r="B47" s="288" t="s">
        <v>607</v>
      </c>
      <c r="C47" s="288" t="s">
        <v>1472</v>
      </c>
      <c r="D47" s="288">
        <v>46</v>
      </c>
      <c r="E47" s="288"/>
      <c r="F47" s="288" t="s">
        <v>143</v>
      </c>
      <c r="G47" s="288" t="s">
        <v>660</v>
      </c>
      <c r="H47" s="288" t="s">
        <v>659</v>
      </c>
      <c r="I47" s="288" t="s">
        <v>141</v>
      </c>
      <c r="J47" s="288">
        <v>43</v>
      </c>
      <c r="K47" s="288" t="s">
        <v>810</v>
      </c>
      <c r="L47" s="288"/>
      <c r="M47" s="111"/>
      <c r="N47" s="109" t="s">
        <v>125</v>
      </c>
      <c r="O47" s="107" t="s">
        <v>158</v>
      </c>
      <c r="P47" s="107" t="s">
        <v>159</v>
      </c>
      <c r="Q47" s="107" t="s">
        <v>174</v>
      </c>
      <c r="R47" s="107" t="s">
        <v>175</v>
      </c>
      <c r="S47" s="107" t="s">
        <v>127</v>
      </c>
      <c r="T47" s="107" t="s">
        <v>572</v>
      </c>
      <c r="U47" s="107" t="s">
        <v>573</v>
      </c>
      <c r="V47" s="107" t="s">
        <v>130</v>
      </c>
      <c r="W47" s="107" t="s">
        <v>578</v>
      </c>
      <c r="X47" s="107" t="s">
        <v>808</v>
      </c>
      <c r="Y47" s="107" t="s">
        <v>939</v>
      </c>
      <c r="Z47" s="107" t="s">
        <v>1332</v>
      </c>
      <c r="AA47" s="107"/>
      <c r="AB47" s="34"/>
      <c r="AC47" s="107"/>
      <c r="AD47" s="109"/>
      <c r="AE47" s="109"/>
      <c r="AF47" s="107"/>
      <c r="AG47" s="107"/>
      <c r="AH47" s="107"/>
      <c r="AI47" s="107"/>
      <c r="AJ47" s="107"/>
      <c r="AK47" s="107"/>
      <c r="AL47" s="107"/>
      <c r="AM47" s="107"/>
      <c r="AN47" s="107"/>
      <c r="AO47" s="107"/>
      <c r="AP47" s="107"/>
      <c r="AQ47" s="107"/>
      <c r="AR47" s="107"/>
      <c r="AS47" s="107"/>
    </row>
    <row r="48" spans="1:45" x14ac:dyDescent="0.25">
      <c r="A48" s="287" t="s">
        <v>603</v>
      </c>
      <c r="B48" s="288" t="s">
        <v>1432</v>
      </c>
      <c r="C48" s="288" t="s">
        <v>1468</v>
      </c>
      <c r="D48" s="288">
        <v>69</v>
      </c>
      <c r="E48" s="288"/>
      <c r="F48" s="288" t="s">
        <v>143</v>
      </c>
      <c r="G48" s="288" t="s">
        <v>660</v>
      </c>
      <c r="H48" s="288" t="s">
        <v>662</v>
      </c>
      <c r="I48" s="288" t="s">
        <v>141</v>
      </c>
      <c r="J48" s="288">
        <v>44</v>
      </c>
      <c r="K48" s="288" t="s">
        <v>810</v>
      </c>
      <c r="L48" s="288"/>
      <c r="M48" s="111"/>
      <c r="N48" s="109">
        <v>40616</v>
      </c>
      <c r="O48" s="107" t="s">
        <v>824</v>
      </c>
      <c r="P48" s="107"/>
      <c r="Q48" s="107" t="s">
        <v>1978</v>
      </c>
      <c r="R48" s="107"/>
      <c r="S48" s="107" t="s">
        <v>139</v>
      </c>
      <c r="T48" s="107" t="s">
        <v>710</v>
      </c>
      <c r="U48" s="107"/>
      <c r="V48" s="107" t="s">
        <v>141</v>
      </c>
      <c r="W48" s="107">
        <v>1</v>
      </c>
      <c r="X48" s="107"/>
      <c r="Y48" s="107">
        <v>0.1</v>
      </c>
      <c r="Z48" s="589">
        <v>7.0000000000000007E-2</v>
      </c>
      <c r="AA48" s="107"/>
      <c r="AB48" s="34"/>
      <c r="AC48" s="107"/>
      <c r="AD48" s="109"/>
      <c r="AE48" s="109"/>
      <c r="AF48" s="107"/>
      <c r="AG48" s="107"/>
      <c r="AH48" s="107"/>
      <c r="AI48" s="107"/>
      <c r="AJ48" s="107"/>
      <c r="AK48" s="107"/>
      <c r="AL48" s="107"/>
      <c r="AM48" s="107"/>
      <c r="AN48" s="107"/>
      <c r="AO48" s="107"/>
      <c r="AP48" s="107"/>
      <c r="AQ48" s="107"/>
      <c r="AR48" s="107"/>
      <c r="AS48" s="107"/>
    </row>
    <row r="49" spans="1:45" x14ac:dyDescent="0.25">
      <c r="A49" s="287" t="s">
        <v>603</v>
      </c>
      <c r="B49" s="288" t="s">
        <v>1433</v>
      </c>
      <c r="C49" s="288" t="s">
        <v>1473</v>
      </c>
      <c r="D49" s="288">
        <v>92</v>
      </c>
      <c r="E49" s="288"/>
      <c r="F49" s="288" t="s">
        <v>143</v>
      </c>
      <c r="G49" s="288" t="s">
        <v>660</v>
      </c>
      <c r="H49" s="288" t="s">
        <v>663</v>
      </c>
      <c r="I49" s="288" t="s">
        <v>141</v>
      </c>
      <c r="J49" s="288">
        <v>45</v>
      </c>
      <c r="K49" s="288" t="s">
        <v>810</v>
      </c>
      <c r="L49" s="288"/>
      <c r="M49" s="111"/>
      <c r="N49" s="109">
        <v>40617</v>
      </c>
      <c r="O49" s="107" t="s">
        <v>825</v>
      </c>
      <c r="P49" s="107"/>
      <c r="Q49" s="107" t="s">
        <v>1978</v>
      </c>
      <c r="R49" s="107"/>
      <c r="S49" s="107" t="s">
        <v>139</v>
      </c>
      <c r="T49" s="107" t="s">
        <v>711</v>
      </c>
      <c r="U49" s="107"/>
      <c r="V49" s="107" t="s">
        <v>141</v>
      </c>
      <c r="W49" s="107">
        <v>2</v>
      </c>
      <c r="X49" s="107"/>
      <c r="Y49" s="107">
        <v>0.1</v>
      </c>
      <c r="Z49" s="589">
        <v>7.0000000000000007E-2</v>
      </c>
      <c r="AA49" s="107"/>
      <c r="AB49" s="34"/>
      <c r="AC49" s="107"/>
      <c r="AD49" s="109"/>
      <c r="AE49" s="107"/>
      <c r="AF49" s="107"/>
      <c r="AG49" s="107"/>
      <c r="AH49" s="107"/>
      <c r="AI49" s="107"/>
      <c r="AJ49" s="107"/>
      <c r="AK49" s="107"/>
      <c r="AL49" s="107"/>
      <c r="AM49" s="107"/>
      <c r="AN49" s="107"/>
      <c r="AO49" s="107"/>
      <c r="AP49" s="107"/>
      <c r="AQ49" s="107"/>
      <c r="AR49" s="107"/>
      <c r="AS49" s="107"/>
    </row>
    <row r="50" spans="1:45" x14ac:dyDescent="0.25">
      <c r="A50" s="287" t="s">
        <v>603</v>
      </c>
      <c r="B50" s="288" t="s">
        <v>608</v>
      </c>
      <c r="C50" s="288" t="s">
        <v>169</v>
      </c>
      <c r="D50" s="288">
        <v>32</v>
      </c>
      <c r="E50" s="288"/>
      <c r="F50" s="288" t="s">
        <v>143</v>
      </c>
      <c r="G50" s="288" t="s">
        <v>661</v>
      </c>
      <c r="H50" s="288" t="s">
        <v>574</v>
      </c>
      <c r="I50" s="288" t="s">
        <v>141</v>
      </c>
      <c r="J50" s="288">
        <v>46</v>
      </c>
      <c r="K50" s="288" t="s">
        <v>810</v>
      </c>
      <c r="L50" s="288"/>
      <c r="M50" s="111"/>
      <c r="N50" s="109"/>
      <c r="O50" s="107"/>
      <c r="P50" s="107"/>
      <c r="Q50" s="107"/>
      <c r="R50" s="107"/>
      <c r="S50" s="107"/>
      <c r="T50" s="107"/>
      <c r="U50" s="107"/>
      <c r="V50" s="107"/>
      <c r="W50" s="107"/>
      <c r="X50" s="107"/>
      <c r="Y50" s="107"/>
      <c r="Z50" s="107"/>
      <c r="AA50" s="107"/>
      <c r="AB50" s="34"/>
      <c r="AC50" s="107"/>
      <c r="AD50" s="109" t="s">
        <v>125</v>
      </c>
      <c r="AE50" s="109" t="s">
        <v>922</v>
      </c>
      <c r="AF50" s="107" t="s">
        <v>748</v>
      </c>
      <c r="AG50" s="107" t="s">
        <v>749</v>
      </c>
      <c r="AH50" t="s">
        <v>939</v>
      </c>
      <c r="AI50" s="107" t="s">
        <v>133</v>
      </c>
      <c r="AJ50" s="107" t="s">
        <v>127</v>
      </c>
      <c r="AK50" s="107" t="s">
        <v>572</v>
      </c>
      <c r="AL50" s="107" t="s">
        <v>573</v>
      </c>
      <c r="AM50" s="107" t="s">
        <v>717</v>
      </c>
      <c r="AN50" s="107" t="s">
        <v>578</v>
      </c>
      <c r="AO50" s="107" t="s">
        <v>716</v>
      </c>
      <c r="AP50" s="107" t="s">
        <v>558</v>
      </c>
      <c r="AQ50" t="s">
        <v>991</v>
      </c>
      <c r="AR50" s="107" t="s">
        <v>715</v>
      </c>
      <c r="AS50" s="107"/>
    </row>
    <row r="51" spans="1:45" x14ac:dyDescent="0.25">
      <c r="A51" s="287" t="s">
        <v>603</v>
      </c>
      <c r="B51" s="288" t="s">
        <v>609</v>
      </c>
      <c r="C51" s="288" t="s">
        <v>1469</v>
      </c>
      <c r="D51" s="288">
        <v>59</v>
      </c>
      <c r="E51" s="288"/>
      <c r="F51" s="288" t="s">
        <v>143</v>
      </c>
      <c r="G51" s="288" t="s">
        <v>661</v>
      </c>
      <c r="H51" s="288" t="s">
        <v>659</v>
      </c>
      <c r="I51" s="288" t="s">
        <v>141</v>
      </c>
      <c r="J51" s="288">
        <v>47</v>
      </c>
      <c r="K51" s="288" t="s">
        <v>810</v>
      </c>
      <c r="L51" s="288"/>
      <c r="M51" s="111"/>
      <c r="N51" s="109"/>
      <c r="O51" s="107"/>
      <c r="P51" s="107"/>
      <c r="Q51" s="107"/>
      <c r="R51" s="107"/>
      <c r="S51" s="107"/>
      <c r="T51" s="107"/>
      <c r="U51" s="107"/>
      <c r="V51" s="107"/>
      <c r="W51" s="107"/>
      <c r="X51" s="107"/>
      <c r="Y51" s="107"/>
      <c r="Z51" s="107"/>
      <c r="AA51" s="107"/>
      <c r="AB51" s="34"/>
      <c r="AC51" s="107"/>
      <c r="AD51" s="109">
        <v>4060201</v>
      </c>
      <c r="AE51" s="109" t="s">
        <v>920</v>
      </c>
      <c r="AF51" t="s">
        <v>941</v>
      </c>
      <c r="AG51" s="107"/>
      <c r="AH51" s="107"/>
      <c r="AI51" s="107">
        <v>10</v>
      </c>
      <c r="AJ51" s="107"/>
      <c r="AK51" s="107"/>
      <c r="AL51" s="107"/>
      <c r="AM51" s="107"/>
      <c r="AN51" s="107">
        <v>1</v>
      </c>
      <c r="AO51" s="107" t="s">
        <v>138</v>
      </c>
      <c r="AP51" s="109"/>
      <c r="AQ51" t="s">
        <v>828</v>
      </c>
      <c r="AR51" s="107" t="s">
        <v>551</v>
      </c>
      <c r="AS51" s="107"/>
    </row>
    <row r="52" spans="1:45" x14ac:dyDescent="0.25">
      <c r="A52" s="287" t="s">
        <v>603</v>
      </c>
      <c r="B52" s="288" t="s">
        <v>610</v>
      </c>
      <c r="C52" s="288" t="s">
        <v>171</v>
      </c>
      <c r="D52" s="288">
        <v>88</v>
      </c>
      <c r="E52" s="288"/>
      <c r="F52" s="288" t="s">
        <v>143</v>
      </c>
      <c r="G52" s="288" t="s">
        <v>661</v>
      </c>
      <c r="H52" s="288" t="s">
        <v>662</v>
      </c>
      <c r="I52" s="288" t="s">
        <v>141</v>
      </c>
      <c r="J52" s="288">
        <v>48</v>
      </c>
      <c r="K52" s="288" t="s">
        <v>810</v>
      </c>
      <c r="L52" s="288"/>
      <c r="M52" s="111"/>
      <c r="N52" s="109"/>
      <c r="O52" s="107"/>
      <c r="P52" s="107"/>
      <c r="Q52" s="107"/>
      <c r="R52" s="107"/>
      <c r="S52" s="107"/>
      <c r="T52" s="107"/>
      <c r="U52" s="107"/>
      <c r="V52" s="107"/>
      <c r="W52" s="107"/>
      <c r="X52" s="107"/>
      <c r="Y52" s="107"/>
      <c r="Z52" s="107"/>
      <c r="AA52" s="107"/>
      <c r="AB52" s="34"/>
      <c r="AC52" s="107"/>
      <c r="AD52" s="109">
        <v>4060101</v>
      </c>
      <c r="AE52" s="109" t="s">
        <v>920</v>
      </c>
      <c r="AF52" t="s">
        <v>943</v>
      </c>
      <c r="AG52" s="107"/>
      <c r="AH52" s="107"/>
      <c r="AI52" s="107">
        <v>10</v>
      </c>
      <c r="AJ52" s="107"/>
      <c r="AK52" s="107"/>
      <c r="AL52" s="107"/>
      <c r="AM52" s="107"/>
      <c r="AN52" s="107">
        <v>2</v>
      </c>
      <c r="AO52" s="107" t="s">
        <v>138</v>
      </c>
      <c r="AP52" s="109"/>
      <c r="AQ52" t="s">
        <v>828</v>
      </c>
      <c r="AR52" s="107" t="s">
        <v>551</v>
      </c>
      <c r="AS52" s="107"/>
    </row>
    <row r="53" spans="1:45" x14ac:dyDescent="0.25">
      <c r="A53" s="287" t="s">
        <v>603</v>
      </c>
      <c r="B53" s="288" t="s">
        <v>611</v>
      </c>
      <c r="C53" s="288" t="s">
        <v>172</v>
      </c>
      <c r="D53" s="288">
        <v>114</v>
      </c>
      <c r="E53" s="288"/>
      <c r="F53" s="288" t="s">
        <v>143</v>
      </c>
      <c r="G53" s="288" t="s">
        <v>661</v>
      </c>
      <c r="H53" s="288" t="s">
        <v>663</v>
      </c>
      <c r="I53" s="288" t="s">
        <v>141</v>
      </c>
      <c r="J53" s="288">
        <v>49</v>
      </c>
      <c r="K53" s="288" t="s">
        <v>810</v>
      </c>
      <c r="L53" s="288"/>
      <c r="M53" s="111"/>
      <c r="N53" s="109"/>
      <c r="O53" s="107"/>
      <c r="P53" s="107"/>
      <c r="Q53" s="107"/>
      <c r="R53" s="107"/>
      <c r="S53" s="107"/>
      <c r="T53" s="107"/>
      <c r="U53" s="107"/>
      <c r="V53" s="107"/>
      <c r="W53" s="107"/>
      <c r="X53" s="107"/>
      <c r="Y53" s="107"/>
      <c r="Z53" s="107"/>
      <c r="AA53" s="107"/>
      <c r="AB53" s="34"/>
      <c r="AC53" s="107"/>
      <c r="AD53" s="109">
        <v>4060211</v>
      </c>
      <c r="AE53" s="109" t="s">
        <v>920</v>
      </c>
      <c r="AF53" t="s">
        <v>942</v>
      </c>
      <c r="AG53" s="107"/>
      <c r="AH53" s="107"/>
      <c r="AI53" s="107">
        <v>10</v>
      </c>
      <c r="AJ53" s="107"/>
      <c r="AK53" s="107"/>
      <c r="AL53" s="107"/>
      <c r="AM53" s="107"/>
      <c r="AN53" s="107">
        <v>3</v>
      </c>
      <c r="AO53" s="107" t="s">
        <v>138</v>
      </c>
      <c r="AP53" s="109"/>
      <c r="AQ53" t="s">
        <v>828</v>
      </c>
      <c r="AR53" s="107" t="s">
        <v>551</v>
      </c>
      <c r="AS53" s="107"/>
    </row>
    <row r="54" spans="1:45" x14ac:dyDescent="0.25">
      <c r="A54" s="287" t="s">
        <v>603</v>
      </c>
      <c r="B54" s="288" t="s">
        <v>1434</v>
      </c>
      <c r="C54" s="288" t="s">
        <v>1335</v>
      </c>
      <c r="D54" s="288">
        <v>175</v>
      </c>
      <c r="E54" s="288"/>
      <c r="F54" s="288" t="s">
        <v>143</v>
      </c>
      <c r="G54" s="288" t="s">
        <v>661</v>
      </c>
      <c r="H54" s="288" t="s">
        <v>669</v>
      </c>
      <c r="I54" s="288" t="s">
        <v>141</v>
      </c>
      <c r="J54" s="288">
        <v>50</v>
      </c>
      <c r="K54" s="288" t="s">
        <v>810</v>
      </c>
      <c r="L54" s="288"/>
      <c r="M54" s="111"/>
      <c r="N54" s="109"/>
      <c r="O54" s="107"/>
      <c r="P54" s="107"/>
      <c r="Q54" s="107"/>
      <c r="R54" s="107"/>
      <c r="S54" s="107"/>
      <c r="T54" s="107"/>
      <c r="U54" s="107"/>
      <c r="V54" s="107"/>
      <c r="W54" s="107"/>
      <c r="X54" s="107"/>
      <c r="Y54" s="107"/>
      <c r="Z54" s="107"/>
      <c r="AA54" s="107"/>
      <c r="AB54" s="34"/>
      <c r="AC54" s="107"/>
      <c r="AD54" s="109">
        <v>4060111</v>
      </c>
      <c r="AE54" s="109" t="s">
        <v>920</v>
      </c>
      <c r="AF54" t="s">
        <v>944</v>
      </c>
      <c r="AG54" s="107"/>
      <c r="AH54" s="107"/>
      <c r="AI54" s="107">
        <v>10</v>
      </c>
      <c r="AJ54" s="107"/>
      <c r="AK54" s="107"/>
      <c r="AL54" s="107"/>
      <c r="AM54" s="107"/>
      <c r="AN54" s="107">
        <v>4</v>
      </c>
      <c r="AO54" s="107" t="s">
        <v>138</v>
      </c>
      <c r="AP54" s="109"/>
      <c r="AQ54" t="s">
        <v>828</v>
      </c>
      <c r="AR54" s="107" t="s">
        <v>551</v>
      </c>
      <c r="AS54" s="107"/>
    </row>
    <row r="55" spans="1:45" x14ac:dyDescent="0.25">
      <c r="A55" s="287" t="s">
        <v>603</v>
      </c>
      <c r="B55" s="288" t="s">
        <v>1435</v>
      </c>
      <c r="C55" s="288" t="s">
        <v>1420</v>
      </c>
      <c r="D55" s="288">
        <v>221</v>
      </c>
      <c r="E55" s="288"/>
      <c r="F55" s="288" t="s">
        <v>143</v>
      </c>
      <c r="G55" s="288" t="s">
        <v>661</v>
      </c>
      <c r="H55" s="288" t="s">
        <v>669</v>
      </c>
      <c r="I55" s="288" t="s">
        <v>141</v>
      </c>
      <c r="J55" s="288">
        <v>51</v>
      </c>
      <c r="K55" s="288" t="s">
        <v>809</v>
      </c>
      <c r="L55" s="288"/>
      <c r="M55" s="111"/>
      <c r="N55" s="109"/>
      <c r="O55" s="107"/>
      <c r="P55" s="107"/>
      <c r="Q55" s="107"/>
      <c r="R55" s="107"/>
      <c r="S55" s="107"/>
      <c r="T55" s="107"/>
      <c r="U55" s="107"/>
      <c r="V55" s="107"/>
      <c r="W55" s="107"/>
      <c r="X55" s="107"/>
      <c r="Y55" s="107"/>
      <c r="Z55" s="107"/>
      <c r="AA55" s="107"/>
      <c r="AB55" s="34"/>
      <c r="AC55" s="107"/>
      <c r="AD55" s="109">
        <v>4040201</v>
      </c>
      <c r="AE55" s="109" t="s">
        <v>920</v>
      </c>
      <c r="AF55" t="s">
        <v>946</v>
      </c>
      <c r="AG55" s="107"/>
      <c r="AH55" s="107"/>
      <c r="AI55" s="107">
        <v>10</v>
      </c>
      <c r="AJ55" s="107"/>
      <c r="AK55" s="107"/>
      <c r="AL55" s="107"/>
      <c r="AM55" s="107"/>
      <c r="AN55" s="107">
        <v>5</v>
      </c>
      <c r="AO55" s="107" t="s">
        <v>138</v>
      </c>
      <c r="AP55" s="109"/>
      <c r="AQ55" t="s">
        <v>828</v>
      </c>
      <c r="AR55" s="107" t="s">
        <v>551</v>
      </c>
      <c r="AS55" s="107"/>
    </row>
    <row r="56" spans="1:45" x14ac:dyDescent="0.25">
      <c r="A56" s="287" t="s">
        <v>603</v>
      </c>
      <c r="B56" s="288" t="s">
        <v>1436</v>
      </c>
      <c r="C56" s="288" t="s">
        <v>1475</v>
      </c>
      <c r="D56" s="288">
        <v>292</v>
      </c>
      <c r="E56" s="288"/>
      <c r="F56" s="288" t="s">
        <v>143</v>
      </c>
      <c r="G56" s="288" t="s">
        <v>661</v>
      </c>
      <c r="H56" s="288" t="s">
        <v>670</v>
      </c>
      <c r="I56" s="288" t="s">
        <v>141</v>
      </c>
      <c r="J56" s="288">
        <v>52</v>
      </c>
      <c r="K56" s="288" t="s">
        <v>809</v>
      </c>
      <c r="L56" s="288"/>
      <c r="M56" s="111"/>
      <c r="N56" s="109"/>
      <c r="O56" s="107"/>
      <c r="P56" s="107"/>
      <c r="Q56" s="107"/>
      <c r="R56" s="107"/>
      <c r="S56" s="107"/>
      <c r="T56" s="107"/>
      <c r="U56" s="107"/>
      <c r="V56" s="107"/>
      <c r="W56" s="107"/>
      <c r="X56" s="107"/>
      <c r="Y56" s="107"/>
      <c r="Z56" s="107"/>
      <c r="AA56" s="107"/>
      <c r="AB56" s="34"/>
      <c r="AC56" s="107"/>
      <c r="AD56" s="109">
        <v>4060200</v>
      </c>
      <c r="AE56" s="34" t="s">
        <v>937</v>
      </c>
      <c r="AF56" s="107" t="s">
        <v>727</v>
      </c>
      <c r="AG56" s="107"/>
      <c r="AH56" s="107"/>
      <c r="AI56" s="107">
        <v>10</v>
      </c>
      <c r="AJ56" s="107"/>
      <c r="AK56" s="107"/>
      <c r="AL56" s="107"/>
      <c r="AM56" s="107"/>
      <c r="AN56" s="107">
        <v>6</v>
      </c>
      <c r="AO56" s="107" t="s">
        <v>138</v>
      </c>
      <c r="AP56" s="109"/>
      <c r="AQ56" t="s">
        <v>119</v>
      </c>
      <c r="AR56" s="107" t="s">
        <v>551</v>
      </c>
      <c r="AS56" s="107"/>
    </row>
    <row r="57" spans="1:45" x14ac:dyDescent="0.25">
      <c r="A57" s="66" t="s">
        <v>603</v>
      </c>
      <c r="B57" t="s">
        <v>1519</v>
      </c>
      <c r="C57" t="s">
        <v>1523</v>
      </c>
      <c r="D57">
        <v>39</v>
      </c>
      <c r="F57" t="s">
        <v>143</v>
      </c>
      <c r="G57" t="s">
        <v>1501</v>
      </c>
      <c r="H57" s="288" t="s">
        <v>574</v>
      </c>
      <c r="I57" s="288" t="s">
        <v>141</v>
      </c>
      <c r="J57" s="288">
        <v>53</v>
      </c>
      <c r="K57" t="s">
        <v>1445</v>
      </c>
      <c r="M57" s="111"/>
      <c r="N57" s="109"/>
      <c r="O57" s="107"/>
      <c r="P57" s="107"/>
      <c r="Q57" s="107"/>
      <c r="R57" s="107"/>
      <c r="S57" s="107"/>
      <c r="T57" s="107"/>
      <c r="U57" s="107"/>
      <c r="V57" s="107"/>
      <c r="W57" s="107"/>
      <c r="X57" s="107"/>
      <c r="Y57" s="107"/>
      <c r="Z57" s="107"/>
      <c r="AA57" s="107"/>
      <c r="AB57" s="34"/>
      <c r="AC57" s="107"/>
      <c r="AD57" s="109">
        <v>4060100</v>
      </c>
      <c r="AE57" s="34" t="s">
        <v>937</v>
      </c>
      <c r="AF57" s="107" t="s">
        <v>729</v>
      </c>
      <c r="AG57" s="107"/>
      <c r="AH57" s="107"/>
      <c r="AI57" s="107">
        <v>10</v>
      </c>
      <c r="AJ57" s="107"/>
      <c r="AK57" s="107"/>
      <c r="AL57" s="107"/>
      <c r="AM57" s="107"/>
      <c r="AN57" s="107">
        <v>7</v>
      </c>
      <c r="AO57" s="107" t="s">
        <v>138</v>
      </c>
      <c r="AP57" s="109"/>
      <c r="AQ57" t="s">
        <v>119</v>
      </c>
      <c r="AR57" s="107" t="s">
        <v>551</v>
      </c>
      <c r="AS57" s="107"/>
    </row>
    <row r="58" spans="1:45" x14ac:dyDescent="0.25">
      <c r="A58" s="66" t="s">
        <v>603</v>
      </c>
      <c r="B58" t="s">
        <v>1520</v>
      </c>
      <c r="C58" t="s">
        <v>1524</v>
      </c>
      <c r="D58">
        <v>75</v>
      </c>
      <c r="F58" t="s">
        <v>143</v>
      </c>
      <c r="G58" t="s">
        <v>1501</v>
      </c>
      <c r="H58" s="288" t="s">
        <v>659</v>
      </c>
      <c r="I58" s="288" t="s">
        <v>141</v>
      </c>
      <c r="J58" s="288">
        <v>54</v>
      </c>
      <c r="K58" t="s">
        <v>1445</v>
      </c>
      <c r="M58" s="111"/>
      <c r="N58" s="109"/>
      <c r="O58" s="107"/>
      <c r="P58" s="107"/>
      <c r="Q58" s="107"/>
      <c r="R58" s="107"/>
      <c r="S58" s="107"/>
      <c r="T58" s="107"/>
      <c r="U58" s="107"/>
      <c r="V58" s="107"/>
      <c r="W58" s="107"/>
      <c r="X58" s="107"/>
      <c r="Y58" s="107"/>
      <c r="Z58" s="107"/>
      <c r="AA58" s="107"/>
      <c r="AB58" s="34"/>
      <c r="AC58" s="107"/>
      <c r="AD58" s="109">
        <v>4060210</v>
      </c>
      <c r="AE58" s="34" t="s">
        <v>937</v>
      </c>
      <c r="AF58" s="107" t="s">
        <v>728</v>
      </c>
      <c r="AG58" s="107"/>
      <c r="AH58" s="107"/>
      <c r="AI58" s="107">
        <v>10</v>
      </c>
      <c r="AJ58" s="107"/>
      <c r="AK58" s="107"/>
      <c r="AL58" s="107"/>
      <c r="AM58" s="107"/>
      <c r="AN58" s="107">
        <v>8</v>
      </c>
      <c r="AO58" s="107" t="s">
        <v>138</v>
      </c>
      <c r="AP58" s="109"/>
      <c r="AQ58" t="s">
        <v>119</v>
      </c>
      <c r="AR58" s="107" t="s">
        <v>551</v>
      </c>
      <c r="AS58" s="107"/>
    </row>
    <row r="59" spans="1:45" x14ac:dyDescent="0.25">
      <c r="A59" s="66" t="s">
        <v>603</v>
      </c>
      <c r="B59" t="s">
        <v>1521</v>
      </c>
      <c r="C59" t="s">
        <v>1525</v>
      </c>
      <c r="D59">
        <v>107</v>
      </c>
      <c r="F59" t="s">
        <v>143</v>
      </c>
      <c r="G59" t="s">
        <v>1501</v>
      </c>
      <c r="H59" s="288" t="s">
        <v>662</v>
      </c>
      <c r="I59" s="288" t="s">
        <v>141</v>
      </c>
      <c r="J59" s="288">
        <v>55</v>
      </c>
      <c r="K59" t="s">
        <v>1445</v>
      </c>
      <c r="N59" s="109"/>
      <c r="O59" s="107"/>
      <c r="P59" s="107"/>
      <c r="Q59" s="107"/>
      <c r="R59" s="107"/>
      <c r="S59" s="107"/>
      <c r="T59" s="107"/>
      <c r="U59" s="107"/>
      <c r="V59" s="107"/>
      <c r="W59" s="107"/>
      <c r="X59" s="107"/>
      <c r="Y59" s="107"/>
      <c r="Z59" s="107"/>
      <c r="AA59" s="107"/>
      <c r="AB59" s="34"/>
      <c r="AC59" s="107"/>
      <c r="AD59" s="109">
        <v>4060110</v>
      </c>
      <c r="AE59" s="34" t="s">
        <v>937</v>
      </c>
      <c r="AF59" s="107" t="s">
        <v>730</v>
      </c>
      <c r="AG59" s="107"/>
      <c r="AH59" s="107"/>
      <c r="AI59" s="107">
        <v>10</v>
      </c>
      <c r="AJ59" s="107"/>
      <c r="AK59" s="107"/>
      <c r="AL59" s="107"/>
      <c r="AM59" s="107"/>
      <c r="AN59" s="107">
        <v>9</v>
      </c>
      <c r="AO59" s="107" t="s">
        <v>138</v>
      </c>
      <c r="AP59" s="109"/>
      <c r="AQ59" t="s">
        <v>119</v>
      </c>
      <c r="AR59" s="107" t="s">
        <v>551</v>
      </c>
      <c r="AS59" s="107"/>
    </row>
    <row r="60" spans="1:45" x14ac:dyDescent="0.25">
      <c r="A60" s="66" t="s">
        <v>603</v>
      </c>
      <c r="B60" t="s">
        <v>1522</v>
      </c>
      <c r="C60" t="s">
        <v>1526</v>
      </c>
      <c r="D60">
        <v>116</v>
      </c>
      <c r="F60" t="s">
        <v>143</v>
      </c>
      <c r="G60" t="s">
        <v>1501</v>
      </c>
      <c r="H60" s="288" t="s">
        <v>663</v>
      </c>
      <c r="I60" s="288" t="s">
        <v>141</v>
      </c>
      <c r="J60" s="288">
        <v>56</v>
      </c>
      <c r="K60" t="s">
        <v>1445</v>
      </c>
      <c r="N60" s="109"/>
      <c r="O60" s="107"/>
      <c r="P60" s="107"/>
      <c r="Q60" s="107"/>
      <c r="R60" s="107"/>
      <c r="S60" s="107"/>
      <c r="T60" s="107"/>
      <c r="U60" s="107"/>
      <c r="V60" s="107"/>
      <c r="W60" s="107"/>
      <c r="X60" s="107"/>
      <c r="Y60" s="107"/>
      <c r="Z60" s="107"/>
      <c r="AA60" s="107"/>
      <c r="AB60" s="34"/>
      <c r="AC60" s="107"/>
      <c r="AD60" s="109">
        <v>4040200</v>
      </c>
      <c r="AE60" s="34" t="s">
        <v>937</v>
      </c>
      <c r="AF60" t="s">
        <v>945</v>
      </c>
      <c r="AG60" s="107"/>
      <c r="AH60" s="107"/>
      <c r="AI60" s="107">
        <v>10</v>
      </c>
      <c r="AJ60" s="107"/>
      <c r="AK60" s="107"/>
      <c r="AL60" s="107"/>
      <c r="AM60" s="107"/>
      <c r="AN60" s="107">
        <v>10</v>
      </c>
      <c r="AO60" s="107" t="s">
        <v>138</v>
      </c>
      <c r="AP60" s="109"/>
      <c r="AQ60" t="s">
        <v>119</v>
      </c>
      <c r="AR60" s="107" t="s">
        <v>551</v>
      </c>
      <c r="AS60" s="107"/>
    </row>
    <row r="61" spans="1:45" x14ac:dyDescent="0.25">
      <c r="A61" s="290" t="s">
        <v>603</v>
      </c>
      <c r="B61" s="291" t="s">
        <v>1499</v>
      </c>
      <c r="C61" s="288" t="s">
        <v>1527</v>
      </c>
      <c r="D61" s="291">
        <v>50</v>
      </c>
      <c r="E61" s="291"/>
      <c r="F61" s="288" t="s">
        <v>143</v>
      </c>
      <c r="G61" s="291" t="s">
        <v>1498</v>
      </c>
      <c r="H61" s="291" t="s">
        <v>574</v>
      </c>
      <c r="I61" s="291" t="s">
        <v>141</v>
      </c>
      <c r="J61" s="288">
        <v>57</v>
      </c>
      <c r="K61" s="291" t="s">
        <v>1445</v>
      </c>
      <c r="L61" s="291"/>
      <c r="N61" s="109"/>
      <c r="O61" s="107"/>
      <c r="P61" s="107"/>
      <c r="Q61" s="107"/>
      <c r="R61" s="107"/>
      <c r="S61" s="107"/>
      <c r="T61" s="107"/>
      <c r="U61" s="107"/>
      <c r="V61" s="107"/>
      <c r="W61" s="107"/>
      <c r="X61" s="107"/>
      <c r="Y61" s="107"/>
      <c r="Z61" s="107"/>
      <c r="AA61" s="107"/>
      <c r="AB61" s="34"/>
      <c r="AC61" s="107"/>
      <c r="AD61" s="109"/>
      <c r="AE61" s="107"/>
      <c r="AF61" s="107"/>
      <c r="AG61" s="107"/>
      <c r="AH61" s="107"/>
      <c r="AI61" s="107"/>
      <c r="AJ61" s="107"/>
      <c r="AK61" s="107"/>
      <c r="AL61" s="107"/>
      <c r="AM61" s="107"/>
      <c r="AN61" s="107"/>
      <c r="AO61" s="107"/>
      <c r="AP61" s="107"/>
      <c r="AQ61" s="107"/>
      <c r="AR61" s="107"/>
      <c r="AS61" s="107"/>
    </row>
    <row r="62" spans="1:45" x14ac:dyDescent="0.25">
      <c r="A62" s="290" t="s">
        <v>603</v>
      </c>
      <c r="B62" s="291" t="s">
        <v>1500</v>
      </c>
      <c r="C62" s="288" t="s">
        <v>1528</v>
      </c>
      <c r="D62" s="291">
        <v>88</v>
      </c>
      <c r="E62" s="291"/>
      <c r="F62" s="288" t="s">
        <v>143</v>
      </c>
      <c r="G62" s="291" t="s">
        <v>1498</v>
      </c>
      <c r="H62" s="291" t="s">
        <v>659</v>
      </c>
      <c r="I62" s="291" t="s">
        <v>141</v>
      </c>
      <c r="J62" s="288">
        <v>58</v>
      </c>
      <c r="K62" s="291" t="s">
        <v>1445</v>
      </c>
      <c r="L62" s="291"/>
      <c r="N62" s="109"/>
      <c r="O62" s="107"/>
      <c r="P62" s="107"/>
      <c r="Q62" s="107"/>
      <c r="R62" s="107"/>
      <c r="S62" s="107"/>
      <c r="T62" s="107"/>
      <c r="U62" s="107"/>
      <c r="V62" s="107"/>
      <c r="W62" s="107"/>
      <c r="X62" s="107"/>
      <c r="Y62" s="107"/>
      <c r="Z62" s="107"/>
      <c r="AA62" s="107"/>
      <c r="AB62" s="34"/>
      <c r="AC62" s="107"/>
      <c r="AD62" s="109" t="s">
        <v>125</v>
      </c>
      <c r="AE62" s="109" t="s">
        <v>922</v>
      </c>
      <c r="AF62" s="107" t="s">
        <v>748</v>
      </c>
      <c r="AG62" s="107" t="s">
        <v>749</v>
      </c>
      <c r="AH62" t="s">
        <v>939</v>
      </c>
      <c r="AI62" s="107" t="s">
        <v>133</v>
      </c>
      <c r="AJ62" s="107" t="s">
        <v>127</v>
      </c>
      <c r="AK62" s="107" t="s">
        <v>572</v>
      </c>
      <c r="AL62" s="107" t="s">
        <v>573</v>
      </c>
      <c r="AM62" s="107" t="s">
        <v>717</v>
      </c>
      <c r="AN62" s="107" t="s">
        <v>578</v>
      </c>
      <c r="AO62" s="107" t="s">
        <v>716</v>
      </c>
      <c r="AP62" s="107" t="s">
        <v>558</v>
      </c>
      <c r="AQ62" t="s">
        <v>991</v>
      </c>
      <c r="AR62" s="107" t="s">
        <v>715</v>
      </c>
      <c r="AS62" s="107"/>
    </row>
    <row r="63" spans="1:45" x14ac:dyDescent="0.25">
      <c r="A63" s="287" t="s">
        <v>603</v>
      </c>
      <c r="B63" s="288" t="s">
        <v>612</v>
      </c>
      <c r="C63" s="288" t="s">
        <v>776</v>
      </c>
      <c r="D63" s="288">
        <v>62</v>
      </c>
      <c r="E63" s="288"/>
      <c r="F63" s="288" t="s">
        <v>143</v>
      </c>
      <c r="G63" s="288" t="s">
        <v>664</v>
      </c>
      <c r="H63" s="288" t="s">
        <v>574</v>
      </c>
      <c r="I63" s="288" t="s">
        <v>141</v>
      </c>
      <c r="J63" s="288">
        <v>59</v>
      </c>
      <c r="K63" s="288" t="s">
        <v>810</v>
      </c>
      <c r="L63" s="288"/>
      <c r="N63" s="109"/>
      <c r="O63" s="107"/>
      <c r="P63" s="107"/>
      <c r="Q63" s="107"/>
      <c r="R63" s="107"/>
      <c r="S63" s="107"/>
      <c r="T63" s="107"/>
      <c r="U63" s="107"/>
      <c r="V63" s="107"/>
      <c r="W63" s="107"/>
      <c r="X63" s="107"/>
      <c r="Y63" s="107"/>
      <c r="Z63" s="107"/>
      <c r="AA63" s="107"/>
      <c r="AB63" s="34"/>
      <c r="AC63" s="107"/>
      <c r="AD63" s="109">
        <v>4030101</v>
      </c>
      <c r="AE63" s="109" t="s">
        <v>920</v>
      </c>
      <c r="AF63" t="s">
        <v>947</v>
      </c>
      <c r="AG63" s="107"/>
      <c r="AH63" s="107"/>
      <c r="AI63" s="107">
        <v>12</v>
      </c>
      <c r="AJ63" s="107"/>
      <c r="AK63" s="107"/>
      <c r="AL63" s="107"/>
      <c r="AM63" s="107"/>
      <c r="AN63" s="107">
        <v>1</v>
      </c>
      <c r="AO63" s="107" t="s">
        <v>514</v>
      </c>
      <c r="AP63" s="109"/>
      <c r="AQ63" t="s">
        <v>828</v>
      </c>
      <c r="AR63" s="107" t="s">
        <v>731</v>
      </c>
      <c r="AS63" s="107"/>
    </row>
    <row r="64" spans="1:45" x14ac:dyDescent="0.25">
      <c r="A64" s="287" t="s">
        <v>603</v>
      </c>
      <c r="B64" s="288" t="s">
        <v>613</v>
      </c>
      <c r="C64" s="288" t="s">
        <v>777</v>
      </c>
      <c r="D64" s="288">
        <v>124</v>
      </c>
      <c r="E64" s="288"/>
      <c r="F64" s="288" t="s">
        <v>143</v>
      </c>
      <c r="G64" s="288" t="s">
        <v>664</v>
      </c>
      <c r="H64" s="288" t="s">
        <v>659</v>
      </c>
      <c r="I64" s="288" t="s">
        <v>141</v>
      </c>
      <c r="J64" s="288">
        <v>60</v>
      </c>
      <c r="K64" s="288" t="s">
        <v>810</v>
      </c>
      <c r="L64" s="288"/>
      <c r="N64" s="109"/>
      <c r="O64" s="107"/>
      <c r="P64" s="107"/>
      <c r="Q64" s="107"/>
      <c r="R64" s="107"/>
      <c r="S64" s="107"/>
      <c r="T64" s="107"/>
      <c r="U64" s="107"/>
      <c r="V64" s="107"/>
      <c r="W64" s="107"/>
      <c r="X64" s="107"/>
      <c r="Y64" s="107"/>
      <c r="Z64" s="107"/>
      <c r="AA64" s="107"/>
      <c r="AB64" s="34"/>
      <c r="AC64" s="107"/>
      <c r="AD64" s="109">
        <v>4030201</v>
      </c>
      <c r="AE64" s="109" t="s">
        <v>920</v>
      </c>
      <c r="AF64" t="s">
        <v>948</v>
      </c>
      <c r="AG64" s="107"/>
      <c r="AH64" s="107"/>
      <c r="AI64" s="107">
        <v>12</v>
      </c>
      <c r="AJ64" s="107"/>
      <c r="AK64" s="107"/>
      <c r="AL64" s="107"/>
      <c r="AM64" s="107"/>
      <c r="AN64" s="107">
        <v>2</v>
      </c>
      <c r="AO64" s="107" t="s">
        <v>514</v>
      </c>
      <c r="AP64" s="109"/>
      <c r="AQ64" t="s">
        <v>828</v>
      </c>
      <c r="AR64" s="107" t="s">
        <v>731</v>
      </c>
      <c r="AS64" s="107"/>
    </row>
    <row r="65" spans="1:45" x14ac:dyDescent="0.25">
      <c r="A65" s="287" t="s">
        <v>603</v>
      </c>
      <c r="B65" s="288" t="s">
        <v>614</v>
      </c>
      <c r="C65" s="288" t="s">
        <v>778</v>
      </c>
      <c r="D65" s="288">
        <v>186</v>
      </c>
      <c r="E65" s="288"/>
      <c r="F65" s="288" t="s">
        <v>143</v>
      </c>
      <c r="G65" s="288" t="s">
        <v>664</v>
      </c>
      <c r="H65" s="288" t="s">
        <v>662</v>
      </c>
      <c r="I65" s="288" t="s">
        <v>141</v>
      </c>
      <c r="J65" s="288">
        <v>61</v>
      </c>
      <c r="K65" s="288" t="s">
        <v>810</v>
      </c>
      <c r="L65" s="288"/>
      <c r="N65" s="109"/>
      <c r="O65" s="107"/>
      <c r="P65" s="107"/>
      <c r="Q65" s="107"/>
      <c r="R65" s="107"/>
      <c r="S65" s="107"/>
      <c r="T65" s="107"/>
      <c r="U65" s="107"/>
      <c r="V65" s="107"/>
      <c r="W65" s="107"/>
      <c r="X65" s="107"/>
      <c r="Y65" s="107"/>
      <c r="Z65" s="107"/>
      <c r="AA65" s="107"/>
      <c r="AB65" s="34"/>
      <c r="AC65" s="107"/>
      <c r="AD65" s="109">
        <v>4030301</v>
      </c>
      <c r="AE65" s="109" t="s">
        <v>920</v>
      </c>
      <c r="AF65" t="s">
        <v>949</v>
      </c>
      <c r="AG65" s="107"/>
      <c r="AH65" s="107"/>
      <c r="AI65" s="107">
        <v>15</v>
      </c>
      <c r="AJ65" s="107"/>
      <c r="AK65" s="107"/>
      <c r="AL65" s="107"/>
      <c r="AM65" s="107"/>
      <c r="AN65" s="107">
        <v>3</v>
      </c>
      <c r="AO65" s="107" t="s">
        <v>514</v>
      </c>
      <c r="AP65" s="109"/>
      <c r="AQ65" t="s">
        <v>828</v>
      </c>
      <c r="AR65" s="107" t="s">
        <v>731</v>
      </c>
      <c r="AS65" s="107"/>
    </row>
    <row r="66" spans="1:45" x14ac:dyDescent="0.25">
      <c r="A66" s="287" t="s">
        <v>603</v>
      </c>
      <c r="B66" s="288" t="s">
        <v>615</v>
      </c>
      <c r="C66" s="288" t="s">
        <v>779</v>
      </c>
      <c r="D66" s="288">
        <v>248</v>
      </c>
      <c r="E66" s="288"/>
      <c r="F66" s="288" t="s">
        <v>143</v>
      </c>
      <c r="G66" s="288" t="s">
        <v>664</v>
      </c>
      <c r="H66" s="288" t="s">
        <v>663</v>
      </c>
      <c r="I66" s="288" t="s">
        <v>141</v>
      </c>
      <c r="J66" s="288">
        <v>62</v>
      </c>
      <c r="K66" s="288" t="s">
        <v>810</v>
      </c>
      <c r="L66" s="288"/>
      <c r="N66" s="109"/>
      <c r="O66" s="107"/>
      <c r="P66" s="107"/>
      <c r="Q66" s="107"/>
      <c r="R66" s="107"/>
      <c r="S66" s="107"/>
      <c r="T66" s="107"/>
      <c r="U66" s="107"/>
      <c r="V66" s="107"/>
      <c r="W66" s="107"/>
      <c r="X66" s="107"/>
      <c r="Y66" s="107"/>
      <c r="Z66" s="107"/>
      <c r="AA66" s="107"/>
      <c r="AB66" s="34"/>
      <c r="AC66" s="107"/>
      <c r="AD66" s="109">
        <v>4030401</v>
      </c>
      <c r="AE66" s="109" t="s">
        <v>920</v>
      </c>
      <c r="AF66" t="s">
        <v>950</v>
      </c>
      <c r="AG66" s="107"/>
      <c r="AH66" s="107"/>
      <c r="AI66" s="107">
        <v>12</v>
      </c>
      <c r="AJ66" s="107"/>
      <c r="AK66" s="107"/>
      <c r="AL66" s="107"/>
      <c r="AM66" s="107"/>
      <c r="AN66" s="107">
        <v>4</v>
      </c>
      <c r="AO66" s="107" t="s">
        <v>514</v>
      </c>
      <c r="AP66" s="109"/>
      <c r="AQ66" t="s">
        <v>828</v>
      </c>
      <c r="AR66" s="107" t="s">
        <v>731</v>
      </c>
      <c r="AS66" s="107"/>
    </row>
    <row r="67" spans="1:45" x14ac:dyDescent="0.25">
      <c r="A67" s="287" t="s">
        <v>603</v>
      </c>
      <c r="B67" s="288" t="s">
        <v>1532</v>
      </c>
      <c r="C67" s="288" t="s">
        <v>1337</v>
      </c>
      <c r="D67" s="288">
        <v>328</v>
      </c>
      <c r="E67" s="288"/>
      <c r="F67" s="288" t="s">
        <v>143</v>
      </c>
      <c r="G67" s="288" t="s">
        <v>664</v>
      </c>
      <c r="H67" s="288" t="s">
        <v>1336</v>
      </c>
      <c r="I67" s="288" t="s">
        <v>141</v>
      </c>
      <c r="J67" s="288">
        <v>63</v>
      </c>
      <c r="K67" s="288" t="s">
        <v>810</v>
      </c>
      <c r="L67" s="288"/>
      <c r="N67" s="109"/>
      <c r="O67" s="107"/>
      <c r="P67" s="107"/>
      <c r="Q67" s="107"/>
      <c r="R67" s="107"/>
      <c r="S67" s="107"/>
      <c r="T67" s="107"/>
      <c r="U67" s="107"/>
      <c r="V67" s="107"/>
      <c r="W67" s="107"/>
      <c r="X67" s="107"/>
      <c r="Y67" s="107"/>
      <c r="Z67" s="107"/>
      <c r="AA67" s="107"/>
      <c r="AB67" s="34"/>
      <c r="AC67" s="107"/>
      <c r="AD67" s="66" t="s">
        <v>1813</v>
      </c>
      <c r="AE67" s="109" t="s">
        <v>920</v>
      </c>
      <c r="AF67" t="s">
        <v>953</v>
      </c>
      <c r="AG67" s="107"/>
      <c r="AH67" s="107"/>
      <c r="AI67" s="107">
        <v>12</v>
      </c>
      <c r="AJ67" s="107"/>
      <c r="AK67" s="107"/>
      <c r="AL67" s="107"/>
      <c r="AM67" s="107"/>
      <c r="AN67" s="107">
        <v>5</v>
      </c>
      <c r="AO67" s="107" t="s">
        <v>514</v>
      </c>
      <c r="AP67" s="109"/>
      <c r="AQ67" t="s">
        <v>828</v>
      </c>
      <c r="AR67" s="107" t="s">
        <v>731</v>
      </c>
      <c r="AS67" s="107"/>
    </row>
    <row r="68" spans="1:45" x14ac:dyDescent="0.25">
      <c r="A68" s="287" t="s">
        <v>616</v>
      </c>
      <c r="B68" s="288" t="s">
        <v>617</v>
      </c>
      <c r="C68" s="288" t="s">
        <v>780</v>
      </c>
      <c r="D68" s="288">
        <v>85</v>
      </c>
      <c r="E68" s="288"/>
      <c r="F68" s="288" t="s">
        <v>668</v>
      </c>
      <c r="G68" s="288" t="s">
        <v>664</v>
      </c>
      <c r="H68" s="288" t="s">
        <v>574</v>
      </c>
      <c r="I68" s="288" t="s">
        <v>141</v>
      </c>
      <c r="J68" s="288">
        <v>64</v>
      </c>
      <c r="K68" s="288" t="s">
        <v>810</v>
      </c>
      <c r="L68" s="288"/>
      <c r="N68" s="109"/>
      <c r="O68" s="107"/>
      <c r="P68" s="107"/>
      <c r="Q68" s="107"/>
      <c r="R68" s="107"/>
      <c r="S68" s="107"/>
      <c r="T68" s="107"/>
      <c r="U68" s="107"/>
      <c r="V68" s="107"/>
      <c r="W68" s="107"/>
      <c r="X68" s="107"/>
      <c r="Y68" s="107"/>
      <c r="Z68" s="107"/>
      <c r="AA68" s="107"/>
      <c r="AB68" s="34"/>
      <c r="AC68" s="107"/>
      <c r="AD68" s="109">
        <v>4120101</v>
      </c>
      <c r="AE68" s="109" t="s">
        <v>920</v>
      </c>
      <c r="AF68" t="s">
        <v>951</v>
      </c>
      <c r="AG68" s="107"/>
      <c r="AH68" s="107"/>
      <c r="AI68" s="107">
        <v>10</v>
      </c>
      <c r="AJ68" s="107"/>
      <c r="AK68" s="107"/>
      <c r="AL68" s="107"/>
      <c r="AM68" s="107"/>
      <c r="AN68" s="107">
        <v>6</v>
      </c>
      <c r="AO68" s="107" t="s">
        <v>213</v>
      </c>
      <c r="AP68" s="109"/>
      <c r="AQ68" t="s">
        <v>828</v>
      </c>
      <c r="AR68" s="107" t="s">
        <v>731</v>
      </c>
      <c r="AS68" s="107"/>
    </row>
    <row r="69" spans="1:45" x14ac:dyDescent="0.25">
      <c r="A69" s="287" t="s">
        <v>616</v>
      </c>
      <c r="B69" s="288" t="s">
        <v>618</v>
      </c>
      <c r="C69" s="288" t="s">
        <v>781</v>
      </c>
      <c r="D69" s="288">
        <v>160</v>
      </c>
      <c r="E69" s="288"/>
      <c r="F69" s="288" t="s">
        <v>668</v>
      </c>
      <c r="G69" s="288" t="s">
        <v>664</v>
      </c>
      <c r="H69" s="288" t="s">
        <v>659</v>
      </c>
      <c r="I69" s="288" t="s">
        <v>141</v>
      </c>
      <c r="J69" s="288">
        <v>65</v>
      </c>
      <c r="K69" s="288" t="s">
        <v>810</v>
      </c>
      <c r="L69" s="288"/>
      <c r="N69" s="109"/>
      <c r="O69" s="107"/>
      <c r="P69" s="107"/>
      <c r="Q69" s="107"/>
      <c r="R69" s="107"/>
      <c r="S69" s="107"/>
      <c r="T69" s="107"/>
      <c r="U69" s="107"/>
      <c r="V69" s="107"/>
      <c r="W69" s="107"/>
      <c r="X69" s="107"/>
      <c r="Y69" s="107"/>
      <c r="Z69" s="107"/>
      <c r="AA69" s="107"/>
      <c r="AB69" s="34"/>
      <c r="AC69" s="107"/>
      <c r="AD69" s="109">
        <v>4120201</v>
      </c>
      <c r="AE69" s="109" t="s">
        <v>920</v>
      </c>
      <c r="AF69" t="s">
        <v>952</v>
      </c>
      <c r="AG69" s="107"/>
      <c r="AH69" s="107"/>
      <c r="AI69" s="107">
        <v>15</v>
      </c>
      <c r="AJ69" s="107"/>
      <c r="AK69" s="107"/>
      <c r="AL69" s="107"/>
      <c r="AM69" s="107"/>
      <c r="AN69" s="107">
        <v>7</v>
      </c>
      <c r="AO69" s="107" t="s">
        <v>213</v>
      </c>
      <c r="AP69" s="109"/>
      <c r="AQ69" t="s">
        <v>828</v>
      </c>
      <c r="AR69" s="107" t="s">
        <v>731</v>
      </c>
      <c r="AS69" s="107"/>
    </row>
    <row r="70" spans="1:45" x14ac:dyDescent="0.25">
      <c r="A70" s="287" t="s">
        <v>616</v>
      </c>
      <c r="B70" s="288" t="s">
        <v>619</v>
      </c>
      <c r="C70" s="288" t="s">
        <v>782</v>
      </c>
      <c r="D70" s="288">
        <v>285</v>
      </c>
      <c r="E70" s="288"/>
      <c r="F70" s="288" t="s">
        <v>668</v>
      </c>
      <c r="G70" s="288" t="s">
        <v>664</v>
      </c>
      <c r="H70" s="288" t="s">
        <v>662</v>
      </c>
      <c r="I70" s="288" t="s">
        <v>141</v>
      </c>
      <c r="J70" s="288">
        <v>66</v>
      </c>
      <c r="K70" s="288" t="s">
        <v>822</v>
      </c>
      <c r="L70" s="288"/>
      <c r="N70" s="109"/>
      <c r="O70" s="107"/>
      <c r="P70" s="107"/>
      <c r="Q70" s="107"/>
      <c r="R70" s="107"/>
      <c r="S70" s="107"/>
      <c r="T70" s="107"/>
      <c r="U70" s="107"/>
      <c r="V70" s="107"/>
      <c r="W70" s="107"/>
      <c r="X70" s="107"/>
      <c r="Y70" s="107"/>
      <c r="Z70" s="107"/>
      <c r="AA70" s="107"/>
      <c r="AB70" s="34"/>
      <c r="AC70" s="107"/>
      <c r="AD70" s="109" t="s">
        <v>1784</v>
      </c>
      <c r="AE70" s="109" t="s">
        <v>920</v>
      </c>
      <c r="AF70" t="s">
        <v>946</v>
      </c>
      <c r="AG70" s="107"/>
      <c r="AH70" s="107"/>
      <c r="AI70" s="107">
        <v>10</v>
      </c>
      <c r="AJ70" s="107"/>
      <c r="AK70" s="107"/>
      <c r="AL70" s="107"/>
      <c r="AM70" s="107"/>
      <c r="AN70" s="107">
        <v>8</v>
      </c>
      <c r="AO70" s="107" t="s">
        <v>213</v>
      </c>
      <c r="AP70" s="109"/>
      <c r="AQ70" t="s">
        <v>828</v>
      </c>
      <c r="AR70" s="107" t="s">
        <v>731</v>
      </c>
      <c r="AS70" s="107"/>
    </row>
    <row r="71" spans="1:45" x14ac:dyDescent="0.25">
      <c r="A71" s="287" t="s">
        <v>616</v>
      </c>
      <c r="B71" s="288" t="s">
        <v>620</v>
      </c>
      <c r="C71" s="288" t="s">
        <v>783</v>
      </c>
      <c r="D71" s="288">
        <v>320</v>
      </c>
      <c r="E71" s="288"/>
      <c r="F71" s="288" t="s">
        <v>668</v>
      </c>
      <c r="G71" s="288" t="s">
        <v>664</v>
      </c>
      <c r="H71" s="288" t="s">
        <v>663</v>
      </c>
      <c r="I71" s="288" t="s">
        <v>141</v>
      </c>
      <c r="J71" s="288">
        <v>67</v>
      </c>
      <c r="K71" s="288" t="s">
        <v>810</v>
      </c>
      <c r="L71" s="288"/>
      <c r="N71" s="109"/>
      <c r="O71" s="107"/>
      <c r="P71" s="107"/>
      <c r="Q71" s="107"/>
      <c r="R71" s="107"/>
      <c r="S71" s="107"/>
      <c r="T71" s="107"/>
      <c r="U71" s="107"/>
      <c r="V71" s="107"/>
      <c r="W71" s="107"/>
      <c r="X71" s="107"/>
      <c r="Y71" s="107"/>
      <c r="Z71" s="107"/>
      <c r="AA71" s="107"/>
      <c r="AB71" s="34"/>
      <c r="AC71" s="107"/>
      <c r="AD71" s="109">
        <v>4030100</v>
      </c>
      <c r="AE71" s="34" t="s">
        <v>937</v>
      </c>
      <c r="AF71" t="s">
        <v>751</v>
      </c>
      <c r="AG71" s="107"/>
      <c r="AH71" s="107"/>
      <c r="AI71" s="107">
        <v>12</v>
      </c>
      <c r="AJ71" s="107"/>
      <c r="AK71" s="107"/>
      <c r="AL71" s="107"/>
      <c r="AM71" s="107"/>
      <c r="AN71" s="107">
        <v>9</v>
      </c>
      <c r="AO71" s="107" t="s">
        <v>514</v>
      </c>
      <c r="AP71" s="109"/>
      <c r="AQ71" t="s">
        <v>119</v>
      </c>
      <c r="AR71" s="107" t="s">
        <v>731</v>
      </c>
      <c r="AS71" s="107"/>
    </row>
    <row r="72" spans="1:45" x14ac:dyDescent="0.25">
      <c r="A72" s="287" t="s">
        <v>603</v>
      </c>
      <c r="B72" s="288" t="s">
        <v>621</v>
      </c>
      <c r="C72" s="288" t="s">
        <v>784</v>
      </c>
      <c r="D72" s="288">
        <v>28</v>
      </c>
      <c r="E72" s="288"/>
      <c r="F72" s="288" t="s">
        <v>143</v>
      </c>
      <c r="G72" s="288" t="s">
        <v>661</v>
      </c>
      <c r="H72" s="288" t="s">
        <v>574</v>
      </c>
      <c r="I72" s="288" t="s">
        <v>141</v>
      </c>
      <c r="J72" s="288">
        <v>68</v>
      </c>
      <c r="K72" s="288" t="s">
        <v>810</v>
      </c>
      <c r="L72" s="288"/>
      <c r="N72" s="109"/>
      <c r="O72" s="107"/>
      <c r="P72" s="107"/>
      <c r="Q72" s="107"/>
      <c r="R72" s="107"/>
      <c r="S72" s="107"/>
      <c r="T72" s="107"/>
      <c r="U72" s="107"/>
      <c r="V72" s="107"/>
      <c r="W72" s="107"/>
      <c r="X72" s="107"/>
      <c r="Y72" s="107"/>
      <c r="Z72" s="107"/>
      <c r="AA72" s="107"/>
      <c r="AB72" s="34"/>
      <c r="AC72" s="107"/>
      <c r="AD72" s="109">
        <v>4030200</v>
      </c>
      <c r="AE72" s="34" t="s">
        <v>937</v>
      </c>
      <c r="AF72" t="s">
        <v>752</v>
      </c>
      <c r="AG72" s="107"/>
      <c r="AH72" s="107"/>
      <c r="AI72" s="107">
        <v>12</v>
      </c>
      <c r="AJ72" s="107"/>
      <c r="AK72" s="107"/>
      <c r="AL72" s="107"/>
      <c r="AM72" s="107"/>
      <c r="AN72" s="107">
        <v>10</v>
      </c>
      <c r="AO72" s="107" t="s">
        <v>514</v>
      </c>
      <c r="AP72" s="109"/>
      <c r="AQ72" t="s">
        <v>119</v>
      </c>
      <c r="AR72" s="107" t="s">
        <v>731</v>
      </c>
      <c r="AS72" s="107"/>
    </row>
    <row r="73" spans="1:45" x14ac:dyDescent="0.25">
      <c r="A73" s="287" t="s">
        <v>603</v>
      </c>
      <c r="B73" s="288" t="s">
        <v>622</v>
      </c>
      <c r="C73" s="288" t="s">
        <v>785</v>
      </c>
      <c r="D73" s="288">
        <v>56</v>
      </c>
      <c r="E73" s="288"/>
      <c r="F73" s="288" t="s">
        <v>143</v>
      </c>
      <c r="G73" s="288" t="s">
        <v>661</v>
      </c>
      <c r="H73" s="288" t="s">
        <v>659</v>
      </c>
      <c r="I73" s="288" t="s">
        <v>141</v>
      </c>
      <c r="J73" s="288">
        <v>69</v>
      </c>
      <c r="K73" s="288" t="s">
        <v>810</v>
      </c>
      <c r="L73" s="288"/>
      <c r="N73" s="109"/>
      <c r="O73" s="107"/>
      <c r="P73" s="107"/>
      <c r="Q73" s="107"/>
      <c r="R73" s="107"/>
      <c r="S73" s="107"/>
      <c r="T73" s="107"/>
      <c r="U73" s="107"/>
      <c r="V73" s="107"/>
      <c r="W73" s="107"/>
      <c r="X73" s="107"/>
      <c r="Y73" s="107"/>
      <c r="Z73" s="107"/>
      <c r="AA73" s="107"/>
      <c r="AB73" s="34"/>
      <c r="AC73" s="107"/>
      <c r="AD73" s="109">
        <v>4030300</v>
      </c>
      <c r="AE73" s="34" t="s">
        <v>937</v>
      </c>
      <c r="AF73" t="s">
        <v>754</v>
      </c>
      <c r="AG73" s="107"/>
      <c r="AH73" s="107"/>
      <c r="AI73" s="107">
        <v>15</v>
      </c>
      <c r="AJ73" s="107"/>
      <c r="AK73" s="107"/>
      <c r="AL73" s="107"/>
      <c r="AM73" s="107"/>
      <c r="AN73" s="107">
        <v>11</v>
      </c>
      <c r="AO73" s="107" t="s">
        <v>514</v>
      </c>
      <c r="AP73" s="109"/>
      <c r="AQ73" t="s">
        <v>119</v>
      </c>
      <c r="AR73" s="107" t="s">
        <v>731</v>
      </c>
      <c r="AS73" s="107"/>
    </row>
    <row r="74" spans="1:45" x14ac:dyDescent="0.25">
      <c r="A74" s="287" t="s">
        <v>603</v>
      </c>
      <c r="B74" s="288" t="s">
        <v>1438</v>
      </c>
      <c r="C74" s="288" t="s">
        <v>1474</v>
      </c>
      <c r="D74" s="288">
        <v>89</v>
      </c>
      <c r="E74" s="288"/>
      <c r="F74" s="288" t="s">
        <v>143</v>
      </c>
      <c r="G74" s="288" t="s">
        <v>661</v>
      </c>
      <c r="H74" s="288" t="s">
        <v>662</v>
      </c>
      <c r="I74" s="288" t="s">
        <v>141</v>
      </c>
      <c r="J74" s="288">
        <v>70</v>
      </c>
      <c r="K74" s="288" t="s">
        <v>810</v>
      </c>
      <c r="L74" s="288"/>
      <c r="N74" s="109"/>
      <c r="O74" s="107"/>
      <c r="P74" s="107"/>
      <c r="Q74" s="107"/>
      <c r="R74" s="107"/>
      <c r="S74" s="107"/>
      <c r="T74" s="107"/>
      <c r="U74" s="107"/>
      <c r="V74" s="107"/>
      <c r="W74" s="107"/>
      <c r="X74" s="107"/>
      <c r="Y74" s="107"/>
      <c r="Z74" s="107"/>
      <c r="AA74" s="107"/>
      <c r="AB74" s="34"/>
      <c r="AC74" s="107"/>
      <c r="AD74" s="109">
        <v>4030400</v>
      </c>
      <c r="AE74" s="34" t="s">
        <v>937</v>
      </c>
      <c r="AF74" t="s">
        <v>753</v>
      </c>
      <c r="AG74" s="107"/>
      <c r="AH74" s="107"/>
      <c r="AI74" s="107">
        <v>12</v>
      </c>
      <c r="AJ74" s="107"/>
      <c r="AK74" s="107"/>
      <c r="AL74" s="107"/>
      <c r="AM74" s="107"/>
      <c r="AN74" s="107">
        <v>12</v>
      </c>
      <c r="AO74" s="107" t="s">
        <v>514</v>
      </c>
      <c r="AP74" s="109"/>
      <c r="AQ74" t="s">
        <v>119</v>
      </c>
      <c r="AR74" s="107" t="s">
        <v>731</v>
      </c>
      <c r="AS74" s="107"/>
    </row>
    <row r="75" spans="1:45" x14ac:dyDescent="0.25">
      <c r="A75" s="287"/>
      <c r="B75" s="288" t="s">
        <v>1227</v>
      </c>
      <c r="C75" s="288"/>
      <c r="D75" s="288" t="s">
        <v>761</v>
      </c>
      <c r="E75" s="288"/>
      <c r="F75" s="288"/>
      <c r="G75" s="288"/>
      <c r="H75" s="288"/>
      <c r="I75" s="288"/>
      <c r="J75" s="288">
        <v>71</v>
      </c>
      <c r="K75" s="288"/>
      <c r="L75" s="288"/>
      <c r="N75" s="109"/>
      <c r="O75" s="107"/>
      <c r="P75" s="107"/>
      <c r="Q75" s="107"/>
      <c r="R75" s="107"/>
      <c r="S75" s="107"/>
      <c r="T75" s="107"/>
      <c r="U75" s="107"/>
      <c r="V75" s="107"/>
      <c r="W75" s="107"/>
      <c r="X75" s="107"/>
      <c r="Y75" s="107"/>
      <c r="Z75" s="107"/>
      <c r="AA75" s="107"/>
      <c r="AB75" s="34"/>
      <c r="AC75" s="107"/>
      <c r="AD75" s="66" t="s">
        <v>1812</v>
      </c>
      <c r="AE75" s="34" t="s">
        <v>937</v>
      </c>
      <c r="AF75" t="s">
        <v>750</v>
      </c>
      <c r="AG75" s="107"/>
      <c r="AH75" s="107"/>
      <c r="AI75" s="107">
        <v>12</v>
      </c>
      <c r="AJ75" s="107"/>
      <c r="AK75" s="107"/>
      <c r="AL75" s="107"/>
      <c r="AM75" s="107"/>
      <c r="AN75" s="107">
        <v>13</v>
      </c>
      <c r="AO75" s="107" t="s">
        <v>514</v>
      </c>
      <c r="AP75" s="109"/>
      <c r="AQ75" t="s">
        <v>119</v>
      </c>
      <c r="AR75" s="107" t="s">
        <v>731</v>
      </c>
      <c r="AS75" s="107"/>
    </row>
    <row r="76" spans="1:45" x14ac:dyDescent="0.25">
      <c r="A76" s="66" t="s">
        <v>623</v>
      </c>
      <c r="B76" s="291" t="s">
        <v>1504</v>
      </c>
      <c r="C76" s="288" t="s">
        <v>1506</v>
      </c>
      <c r="D76" s="291">
        <v>28</v>
      </c>
      <c r="E76" s="291"/>
      <c r="F76" s="291" t="s">
        <v>142</v>
      </c>
      <c r="G76" s="291" t="s">
        <v>571</v>
      </c>
      <c r="H76" s="291" t="s">
        <v>574</v>
      </c>
      <c r="I76" s="291" t="s">
        <v>141</v>
      </c>
      <c r="J76" s="288">
        <v>72</v>
      </c>
      <c r="K76" s="291" t="s">
        <v>809</v>
      </c>
      <c r="L76" s="291"/>
      <c r="N76" s="109"/>
      <c r="O76" s="107"/>
      <c r="P76" s="107"/>
      <c r="Q76" s="107"/>
      <c r="R76" s="107"/>
      <c r="S76" s="107"/>
      <c r="T76" s="107"/>
      <c r="U76" s="107"/>
      <c r="V76" s="107"/>
      <c r="W76" s="107"/>
      <c r="X76" s="107"/>
      <c r="Y76" s="107"/>
      <c r="Z76" s="107"/>
      <c r="AA76" s="107"/>
      <c r="AB76" s="34"/>
      <c r="AC76" s="107"/>
      <c r="AD76" s="109">
        <v>4120100</v>
      </c>
      <c r="AE76" s="34" t="s">
        <v>937</v>
      </c>
      <c r="AF76" t="s">
        <v>733</v>
      </c>
      <c r="AG76" s="107"/>
      <c r="AH76" s="107"/>
      <c r="AI76" s="107">
        <v>10</v>
      </c>
      <c r="AJ76" s="107"/>
      <c r="AK76" s="107"/>
      <c r="AL76" s="107"/>
      <c r="AM76" s="107"/>
      <c r="AN76" s="107">
        <v>14</v>
      </c>
      <c r="AO76" s="107" t="s">
        <v>213</v>
      </c>
      <c r="AP76" s="109"/>
      <c r="AQ76" t="s">
        <v>119</v>
      </c>
      <c r="AR76" s="107" t="s">
        <v>731</v>
      </c>
      <c r="AS76" s="107"/>
    </row>
    <row r="77" spans="1:45" x14ac:dyDescent="0.25">
      <c r="A77" s="66" t="s">
        <v>623</v>
      </c>
      <c r="B77" s="291" t="s">
        <v>1505</v>
      </c>
      <c r="C77" s="288" t="s">
        <v>1507</v>
      </c>
      <c r="D77" s="291">
        <v>54</v>
      </c>
      <c r="E77" s="291"/>
      <c r="F77" s="291" t="s">
        <v>142</v>
      </c>
      <c r="G77" s="291" t="s">
        <v>571</v>
      </c>
      <c r="H77" s="291" t="s">
        <v>659</v>
      </c>
      <c r="I77" s="291" t="s">
        <v>141</v>
      </c>
      <c r="J77" s="288">
        <v>73</v>
      </c>
      <c r="K77" s="291" t="s">
        <v>809</v>
      </c>
      <c r="L77" s="291"/>
      <c r="M77" s="278"/>
      <c r="N77" s="109"/>
      <c r="O77" s="107"/>
      <c r="P77" s="107"/>
      <c r="Q77" s="107"/>
      <c r="R77" s="107"/>
      <c r="S77" s="107"/>
      <c r="T77" s="107"/>
      <c r="U77" s="107"/>
      <c r="V77" s="107"/>
      <c r="W77" s="107"/>
      <c r="X77" s="107"/>
      <c r="Y77" s="107"/>
      <c r="Z77" s="107"/>
      <c r="AA77" s="107"/>
      <c r="AB77" s="34"/>
      <c r="AC77" s="107"/>
      <c r="AD77" s="109">
        <v>4120200</v>
      </c>
      <c r="AE77" s="34" t="s">
        <v>937</v>
      </c>
      <c r="AF77" t="s">
        <v>732</v>
      </c>
      <c r="AG77" s="107"/>
      <c r="AH77" s="107"/>
      <c r="AI77" s="107">
        <v>15</v>
      </c>
      <c r="AJ77" s="107"/>
      <c r="AK77" s="107"/>
      <c r="AL77" s="107"/>
      <c r="AM77" s="107"/>
      <c r="AN77" s="107">
        <v>15</v>
      </c>
      <c r="AO77" s="107" t="s">
        <v>213</v>
      </c>
      <c r="AP77" s="109"/>
      <c r="AQ77" t="s">
        <v>119</v>
      </c>
      <c r="AR77" s="107" t="s">
        <v>731</v>
      </c>
      <c r="AS77" s="107"/>
    </row>
    <row r="78" spans="1:45" x14ac:dyDescent="0.25">
      <c r="A78" s="287" t="s">
        <v>623</v>
      </c>
      <c r="B78" s="288" t="s">
        <v>910</v>
      </c>
      <c r="C78" s="288" t="s">
        <v>1476</v>
      </c>
      <c r="D78" s="288">
        <v>32</v>
      </c>
      <c r="E78" s="288"/>
      <c r="F78" s="288" t="s">
        <v>142</v>
      </c>
      <c r="G78" s="288" t="s">
        <v>661</v>
      </c>
      <c r="H78" s="288" t="s">
        <v>574</v>
      </c>
      <c r="I78" s="288" t="s">
        <v>141</v>
      </c>
      <c r="J78" s="288">
        <v>74</v>
      </c>
      <c r="K78" s="288" t="s">
        <v>809</v>
      </c>
      <c r="L78" s="288"/>
      <c r="M78" s="111"/>
      <c r="N78" s="109"/>
      <c r="O78" s="107"/>
      <c r="P78" s="107"/>
      <c r="Q78" s="107"/>
      <c r="R78" s="107"/>
      <c r="S78" s="107"/>
      <c r="T78" s="107"/>
      <c r="U78" s="107"/>
      <c r="V78" s="107"/>
      <c r="W78" s="107"/>
      <c r="X78" s="107"/>
      <c r="Y78" s="107"/>
      <c r="Z78" s="107"/>
      <c r="AA78" s="107"/>
      <c r="AB78" s="34"/>
      <c r="AC78" s="107"/>
      <c r="AD78" s="66" t="s">
        <v>1785</v>
      </c>
      <c r="AE78" s="34" t="s">
        <v>937</v>
      </c>
      <c r="AF78" t="s">
        <v>945</v>
      </c>
      <c r="AI78">
        <v>10</v>
      </c>
      <c r="AN78" s="107">
        <v>16</v>
      </c>
      <c r="AO78" t="s">
        <v>213</v>
      </c>
      <c r="AP78" s="66"/>
      <c r="AQ78" t="s">
        <v>119</v>
      </c>
      <c r="AR78" t="s">
        <v>731</v>
      </c>
      <c r="AS78" s="107"/>
    </row>
    <row r="79" spans="1:45" x14ac:dyDescent="0.25">
      <c r="A79" s="287" t="s">
        <v>623</v>
      </c>
      <c r="B79" s="288" t="s">
        <v>911</v>
      </c>
      <c r="C79" s="288" t="s">
        <v>1477</v>
      </c>
      <c r="D79" s="288">
        <v>64</v>
      </c>
      <c r="E79" s="288"/>
      <c r="F79" s="288" t="s">
        <v>142</v>
      </c>
      <c r="G79" s="288" t="s">
        <v>661</v>
      </c>
      <c r="H79" s="288" t="s">
        <v>659</v>
      </c>
      <c r="I79" s="288" t="s">
        <v>141</v>
      </c>
      <c r="J79" s="288">
        <v>75</v>
      </c>
      <c r="K79" s="288" t="s">
        <v>809</v>
      </c>
      <c r="L79" s="288"/>
      <c r="M79" s="111"/>
      <c r="N79" s="109"/>
      <c r="O79" s="107"/>
      <c r="P79" s="107"/>
      <c r="Q79" s="107"/>
      <c r="R79" s="107"/>
      <c r="S79" s="107"/>
      <c r="T79" s="107"/>
      <c r="U79" s="107"/>
      <c r="V79" s="107"/>
      <c r="W79" s="107"/>
      <c r="X79" s="107"/>
      <c r="Y79" s="107"/>
      <c r="Z79" s="107"/>
      <c r="AA79" s="107"/>
      <c r="AB79" s="34"/>
      <c r="AC79" s="107"/>
      <c r="AD79" s="109"/>
      <c r="AE79" s="107"/>
      <c r="AF79" s="107"/>
      <c r="AG79" s="107"/>
      <c r="AH79" s="107"/>
      <c r="AI79" s="107"/>
      <c r="AJ79" s="107"/>
      <c r="AK79" s="107"/>
      <c r="AL79" s="107"/>
      <c r="AM79" s="107"/>
      <c r="AN79" s="107"/>
      <c r="AO79" s="107"/>
      <c r="AP79" s="107"/>
      <c r="AQ79" s="107"/>
      <c r="AR79" s="107"/>
      <c r="AS79" s="107"/>
    </row>
    <row r="80" spans="1:45" x14ac:dyDescent="0.25">
      <c r="A80" s="287" t="s">
        <v>623</v>
      </c>
      <c r="B80" s="288" t="s">
        <v>1439</v>
      </c>
      <c r="C80" s="288" t="s">
        <v>1480</v>
      </c>
      <c r="D80" s="288">
        <v>96</v>
      </c>
      <c r="E80" s="288"/>
      <c r="F80" s="288" t="s">
        <v>142</v>
      </c>
      <c r="G80" s="288" t="s">
        <v>661</v>
      </c>
      <c r="H80" s="288" t="s">
        <v>662</v>
      </c>
      <c r="I80" s="288" t="s">
        <v>141</v>
      </c>
      <c r="J80" s="288">
        <v>76</v>
      </c>
      <c r="K80" s="288" t="s">
        <v>809</v>
      </c>
      <c r="L80" s="288"/>
      <c r="M80" s="278"/>
      <c r="N80" s="109"/>
      <c r="O80" s="107"/>
      <c r="P80" s="107"/>
      <c r="Q80" s="107"/>
      <c r="R80" s="107"/>
      <c r="S80" s="107"/>
      <c r="T80" s="107"/>
      <c r="U80" s="107"/>
      <c r="V80" s="107"/>
      <c r="W80" s="107"/>
      <c r="X80" s="107"/>
      <c r="Y80" s="107"/>
      <c r="Z80" s="107"/>
      <c r="AA80" s="107"/>
      <c r="AB80" s="34"/>
      <c r="AC80" s="107"/>
      <c r="AD80" s="109" t="s">
        <v>125</v>
      </c>
      <c r="AE80" s="109" t="s">
        <v>922</v>
      </c>
      <c r="AF80" s="107" t="s">
        <v>748</v>
      </c>
      <c r="AG80" s="107" t="s">
        <v>749</v>
      </c>
      <c r="AH80" t="s">
        <v>939</v>
      </c>
      <c r="AI80" s="107" t="s">
        <v>133</v>
      </c>
      <c r="AJ80" s="107" t="s">
        <v>127</v>
      </c>
      <c r="AK80" s="107" t="s">
        <v>572</v>
      </c>
      <c r="AL80" s="107" t="s">
        <v>573</v>
      </c>
      <c r="AM80" s="107" t="s">
        <v>717</v>
      </c>
      <c r="AN80" s="107" t="s">
        <v>578</v>
      </c>
      <c r="AO80" s="107" t="s">
        <v>716</v>
      </c>
      <c r="AP80" s="107" t="s">
        <v>558</v>
      </c>
      <c r="AQ80" t="s">
        <v>991</v>
      </c>
      <c r="AR80" s="107" t="s">
        <v>715</v>
      </c>
      <c r="AS80" s="107"/>
    </row>
    <row r="81" spans="1:45" x14ac:dyDescent="0.25">
      <c r="A81" s="287" t="s">
        <v>623</v>
      </c>
      <c r="B81" s="288" t="s">
        <v>912</v>
      </c>
      <c r="C81" s="288" t="s">
        <v>1478</v>
      </c>
      <c r="D81" s="288">
        <v>128</v>
      </c>
      <c r="E81" s="288"/>
      <c r="F81" s="288" t="s">
        <v>142</v>
      </c>
      <c r="G81" s="288" t="s">
        <v>661</v>
      </c>
      <c r="H81" s="288" t="s">
        <v>663</v>
      </c>
      <c r="I81" s="288" t="s">
        <v>141</v>
      </c>
      <c r="J81" s="288">
        <v>77</v>
      </c>
      <c r="K81" s="288" t="s">
        <v>809</v>
      </c>
      <c r="L81" s="288"/>
      <c r="M81" s="111"/>
      <c r="N81" s="109"/>
      <c r="O81" s="107"/>
      <c r="P81" s="107"/>
      <c r="Q81" s="107"/>
      <c r="R81" s="107"/>
      <c r="S81" s="107"/>
      <c r="T81" s="107"/>
      <c r="U81" s="107"/>
      <c r="V81" s="107"/>
      <c r="W81" s="107"/>
      <c r="X81" s="107"/>
      <c r="Y81" s="107"/>
      <c r="Z81" s="107"/>
      <c r="AA81" s="107"/>
      <c r="AB81" s="34"/>
      <c r="AC81" s="107"/>
      <c r="AD81" s="66" t="s">
        <v>1786</v>
      </c>
      <c r="AE81" s="109" t="s">
        <v>920</v>
      </c>
      <c r="AF81" t="s">
        <v>1177</v>
      </c>
      <c r="AI81">
        <v>15</v>
      </c>
      <c r="AN81">
        <v>1</v>
      </c>
      <c r="AO81" s="107" t="s">
        <v>512</v>
      </c>
      <c r="AP81" s="66"/>
      <c r="AQ81" t="s">
        <v>828</v>
      </c>
      <c r="AR81" s="107" t="s">
        <v>734</v>
      </c>
      <c r="AS81" s="107"/>
    </row>
    <row r="82" spans="1:45" x14ac:dyDescent="0.25">
      <c r="A82" s="287" t="s">
        <v>623</v>
      </c>
      <c r="B82" s="288" t="s">
        <v>913</v>
      </c>
      <c r="C82" s="288" t="s">
        <v>1479</v>
      </c>
      <c r="D82" s="288">
        <v>192</v>
      </c>
      <c r="E82" s="288"/>
      <c r="F82" s="288" t="s">
        <v>142</v>
      </c>
      <c r="G82" s="288" t="s">
        <v>661</v>
      </c>
      <c r="H82" s="288" t="s">
        <v>669</v>
      </c>
      <c r="I82" s="288" t="s">
        <v>141</v>
      </c>
      <c r="J82" s="288">
        <v>78</v>
      </c>
      <c r="K82" s="288" t="s">
        <v>810</v>
      </c>
      <c r="L82" s="288"/>
      <c r="M82" s="111"/>
      <c r="N82" s="109"/>
      <c r="O82" s="107"/>
      <c r="P82" s="107"/>
      <c r="Q82" s="107"/>
      <c r="R82" s="107"/>
      <c r="S82" s="107"/>
      <c r="T82" s="107"/>
      <c r="U82" s="107"/>
      <c r="V82" s="107"/>
      <c r="W82" s="107"/>
      <c r="X82" s="107"/>
      <c r="Y82" s="107"/>
      <c r="Z82" s="107"/>
      <c r="AA82" s="107"/>
      <c r="AB82" s="34"/>
      <c r="AC82" s="107"/>
      <c r="AD82" s="109" t="s">
        <v>1787</v>
      </c>
      <c r="AE82" s="109" t="s">
        <v>920</v>
      </c>
      <c r="AF82" t="s">
        <v>955</v>
      </c>
      <c r="AG82" s="107"/>
      <c r="AH82" s="107"/>
      <c r="AI82" s="107">
        <v>10</v>
      </c>
      <c r="AJ82" s="107"/>
      <c r="AK82" s="107"/>
      <c r="AL82" s="107"/>
      <c r="AM82" s="107"/>
      <c r="AN82" s="107">
        <v>2</v>
      </c>
      <c r="AO82" s="107" t="s">
        <v>512</v>
      </c>
      <c r="AP82" s="109"/>
      <c r="AQ82" t="s">
        <v>828</v>
      </c>
      <c r="AR82" s="107" t="s">
        <v>734</v>
      </c>
      <c r="AS82" s="107"/>
    </row>
    <row r="83" spans="1:45" x14ac:dyDescent="0.25">
      <c r="A83" s="287" t="s">
        <v>623</v>
      </c>
      <c r="B83" s="288" t="s">
        <v>1440</v>
      </c>
      <c r="C83" s="288" t="s">
        <v>1481</v>
      </c>
      <c r="D83" s="288">
        <v>256</v>
      </c>
      <c r="E83" s="288"/>
      <c r="F83" s="288" t="s">
        <v>142</v>
      </c>
      <c r="G83" s="288" t="s">
        <v>661</v>
      </c>
      <c r="H83" s="288" t="s">
        <v>670</v>
      </c>
      <c r="I83" s="288" t="s">
        <v>141</v>
      </c>
      <c r="J83" s="288">
        <v>79</v>
      </c>
      <c r="K83" s="288" t="s">
        <v>810</v>
      </c>
      <c r="L83" s="288"/>
      <c r="M83" s="111"/>
      <c r="N83" s="109"/>
      <c r="O83" s="107"/>
      <c r="P83" s="107"/>
      <c r="Q83" s="107"/>
      <c r="R83" s="107"/>
      <c r="S83" s="107"/>
      <c r="T83" s="107"/>
      <c r="U83" s="107"/>
      <c r="V83" s="107"/>
      <c r="W83" s="107"/>
      <c r="X83" s="107"/>
      <c r="Y83" s="107"/>
      <c r="Z83" s="107"/>
      <c r="AA83" s="107"/>
      <c r="AB83" s="34"/>
      <c r="AC83" s="107"/>
      <c r="AD83" s="109" t="s">
        <v>1788</v>
      </c>
      <c r="AE83" s="109" t="s">
        <v>920</v>
      </c>
      <c r="AF83" t="s">
        <v>956</v>
      </c>
      <c r="AG83" s="107"/>
      <c r="AH83" s="107"/>
      <c r="AI83" s="107">
        <v>15</v>
      </c>
      <c r="AJ83" s="107"/>
      <c r="AK83" s="107"/>
      <c r="AL83" s="107"/>
      <c r="AM83" s="107"/>
      <c r="AN83" s="107">
        <v>3</v>
      </c>
      <c r="AO83" s="107" t="s">
        <v>211</v>
      </c>
      <c r="AP83" s="109"/>
      <c r="AQ83" t="s">
        <v>828</v>
      </c>
      <c r="AR83" s="107" t="s">
        <v>734</v>
      </c>
      <c r="AS83" s="107"/>
    </row>
    <row r="84" spans="1:45" x14ac:dyDescent="0.25">
      <c r="A84" s="290" t="s">
        <v>623</v>
      </c>
      <c r="B84" t="s">
        <v>1529</v>
      </c>
      <c r="C84" s="288" t="s">
        <v>1502</v>
      </c>
      <c r="D84" s="291">
        <v>40</v>
      </c>
      <c r="E84" s="291"/>
      <c r="F84" s="291" t="s">
        <v>142</v>
      </c>
      <c r="G84" s="291" t="s">
        <v>1501</v>
      </c>
      <c r="H84" s="291" t="s">
        <v>574</v>
      </c>
      <c r="I84" s="291" t="s">
        <v>141</v>
      </c>
      <c r="J84" s="288">
        <v>80</v>
      </c>
      <c r="K84" s="291" t="s">
        <v>1445</v>
      </c>
      <c r="L84" s="291"/>
      <c r="M84" s="111"/>
      <c r="N84" s="109"/>
      <c r="O84" s="107"/>
      <c r="P84" s="107"/>
      <c r="Q84" s="107"/>
      <c r="R84" s="107"/>
      <c r="S84" s="107"/>
      <c r="T84" s="107"/>
      <c r="U84" s="107"/>
      <c r="V84" s="107"/>
      <c r="W84" s="107"/>
      <c r="X84" s="107"/>
      <c r="Y84" s="107"/>
      <c r="Z84" s="107"/>
      <c r="AA84" s="107"/>
      <c r="AB84" s="107"/>
      <c r="AC84" s="107"/>
      <c r="AD84" s="109" t="s">
        <v>1789</v>
      </c>
      <c r="AE84" s="109" t="s">
        <v>920</v>
      </c>
      <c r="AF84" t="s">
        <v>960</v>
      </c>
      <c r="AG84" s="107"/>
      <c r="AH84" s="107"/>
      <c r="AI84" s="107">
        <v>15</v>
      </c>
      <c r="AJ84" s="107"/>
      <c r="AK84" s="107"/>
      <c r="AL84" s="107"/>
      <c r="AM84" s="107"/>
      <c r="AN84">
        <v>4</v>
      </c>
      <c r="AO84" s="107" t="s">
        <v>512</v>
      </c>
      <c r="AP84" s="109"/>
      <c r="AQ84" t="s">
        <v>828</v>
      </c>
      <c r="AR84" s="107" t="s">
        <v>734</v>
      </c>
      <c r="AS84" s="107"/>
    </row>
    <row r="85" spans="1:45" x14ac:dyDescent="0.25">
      <c r="A85" s="290" t="s">
        <v>623</v>
      </c>
      <c r="B85" t="s">
        <v>1530</v>
      </c>
      <c r="C85" s="288" t="s">
        <v>1503</v>
      </c>
      <c r="D85" s="291">
        <v>77</v>
      </c>
      <c r="E85" s="291"/>
      <c r="F85" s="291" t="s">
        <v>142</v>
      </c>
      <c r="G85" s="291" t="s">
        <v>1501</v>
      </c>
      <c r="H85" s="291" t="s">
        <v>659</v>
      </c>
      <c r="I85" s="291" t="s">
        <v>141</v>
      </c>
      <c r="J85" s="288">
        <v>81</v>
      </c>
      <c r="K85" s="291" t="s">
        <v>1445</v>
      </c>
      <c r="L85" s="291"/>
      <c r="M85" s="278"/>
      <c r="N85" s="109"/>
      <c r="O85" s="107"/>
      <c r="P85" s="107"/>
      <c r="Q85" s="107"/>
      <c r="R85" s="107"/>
      <c r="S85" s="107"/>
      <c r="T85" s="107"/>
      <c r="U85" s="107"/>
      <c r="V85" s="107"/>
      <c r="W85" s="107"/>
      <c r="X85" s="107"/>
      <c r="Y85" s="107"/>
      <c r="Z85" s="107"/>
      <c r="AA85" s="107"/>
      <c r="AB85" s="107"/>
      <c r="AC85" s="107"/>
      <c r="AD85" s="109" t="s">
        <v>1790</v>
      </c>
      <c r="AE85" s="109" t="s">
        <v>920</v>
      </c>
      <c r="AF85" t="s">
        <v>957</v>
      </c>
      <c r="AG85" s="107"/>
      <c r="AH85" s="107"/>
      <c r="AI85" s="107">
        <v>15</v>
      </c>
      <c r="AJ85" s="107"/>
      <c r="AK85" s="107"/>
      <c r="AL85" s="107"/>
      <c r="AM85" s="107"/>
      <c r="AN85" s="107">
        <v>5</v>
      </c>
      <c r="AO85" s="107" t="s">
        <v>211</v>
      </c>
      <c r="AP85" s="109"/>
      <c r="AQ85" t="s">
        <v>828</v>
      </c>
      <c r="AR85" s="107" t="s">
        <v>734</v>
      </c>
      <c r="AS85" s="107"/>
    </row>
    <row r="86" spans="1:45" x14ac:dyDescent="0.25">
      <c r="A86" s="66" t="s">
        <v>624</v>
      </c>
      <c r="B86" t="s">
        <v>2449</v>
      </c>
      <c r="C86" t="s">
        <v>2452</v>
      </c>
      <c r="D86" s="592">
        <v>42</v>
      </c>
      <c r="E86" s="592"/>
      <c r="F86" t="s">
        <v>817</v>
      </c>
      <c r="G86" t="s">
        <v>660</v>
      </c>
      <c r="H86" t="s">
        <v>574</v>
      </c>
      <c r="I86" t="s">
        <v>141</v>
      </c>
      <c r="J86" s="288">
        <v>82</v>
      </c>
      <c r="K86" t="s">
        <v>1445</v>
      </c>
      <c r="L86" s="592"/>
      <c r="M86" s="111"/>
      <c r="N86" s="109"/>
      <c r="O86" s="107"/>
      <c r="P86" s="107"/>
      <c r="Q86" s="107"/>
      <c r="R86" s="107"/>
      <c r="S86" s="107"/>
      <c r="T86" s="107"/>
      <c r="U86" s="107"/>
      <c r="V86" s="107"/>
      <c r="W86" s="107"/>
      <c r="X86" s="107"/>
      <c r="Y86" s="107"/>
      <c r="Z86" s="107"/>
      <c r="AA86" s="107"/>
      <c r="AB86" s="107"/>
      <c r="AC86" s="107"/>
      <c r="AD86" s="109" t="s">
        <v>1791</v>
      </c>
      <c r="AE86" s="109" t="s">
        <v>920</v>
      </c>
      <c r="AF86" t="s">
        <v>958</v>
      </c>
      <c r="AG86" s="107"/>
      <c r="AH86" s="107"/>
      <c r="AI86" s="107">
        <v>15</v>
      </c>
      <c r="AJ86" s="107"/>
      <c r="AK86" s="107"/>
      <c r="AL86" s="107"/>
      <c r="AM86" s="107"/>
      <c r="AN86" s="107">
        <v>6</v>
      </c>
      <c r="AO86" s="107" t="s">
        <v>211</v>
      </c>
      <c r="AP86" s="109"/>
      <c r="AQ86" t="s">
        <v>828</v>
      </c>
      <c r="AR86" s="107" t="s">
        <v>734</v>
      </c>
      <c r="AS86" s="107"/>
    </row>
    <row r="87" spans="1:45" x14ac:dyDescent="0.25">
      <c r="A87" s="66" t="s">
        <v>624</v>
      </c>
      <c r="B87" t="s">
        <v>2450</v>
      </c>
      <c r="C87" t="s">
        <v>2451</v>
      </c>
      <c r="D87" s="592">
        <v>85</v>
      </c>
      <c r="E87" s="592"/>
      <c r="F87" t="s">
        <v>817</v>
      </c>
      <c r="G87" t="s">
        <v>660</v>
      </c>
      <c r="H87" t="s">
        <v>659</v>
      </c>
      <c r="I87" t="s">
        <v>141</v>
      </c>
      <c r="J87" s="288">
        <v>83</v>
      </c>
      <c r="K87" t="s">
        <v>1445</v>
      </c>
      <c r="L87" s="592"/>
      <c r="M87" s="278"/>
      <c r="N87" s="109"/>
      <c r="O87" s="107"/>
      <c r="P87" s="107"/>
      <c r="Q87" s="107"/>
      <c r="R87" s="107"/>
      <c r="S87" s="107"/>
      <c r="T87" s="107"/>
      <c r="U87" s="107"/>
      <c r="V87" s="107"/>
      <c r="W87" s="107"/>
      <c r="X87" s="107"/>
      <c r="Y87" s="107"/>
      <c r="AA87" s="107"/>
      <c r="AB87" s="107"/>
      <c r="AC87" s="107"/>
      <c r="AD87" s="109" t="s">
        <v>1792</v>
      </c>
      <c r="AE87" s="109" t="s">
        <v>920</v>
      </c>
      <c r="AF87" t="s">
        <v>954</v>
      </c>
      <c r="AG87" s="107"/>
      <c r="AH87" s="107"/>
      <c r="AI87" s="107">
        <v>15</v>
      </c>
      <c r="AJ87" s="107"/>
      <c r="AK87" s="107"/>
      <c r="AL87" s="107"/>
      <c r="AM87" s="107"/>
      <c r="AN87">
        <v>7</v>
      </c>
      <c r="AO87" s="107" t="s">
        <v>512</v>
      </c>
      <c r="AP87" s="109"/>
      <c r="AQ87" t="s">
        <v>828</v>
      </c>
      <c r="AR87" s="107" t="s">
        <v>734</v>
      </c>
      <c r="AS87" s="107"/>
    </row>
    <row r="88" spans="1:45" x14ac:dyDescent="0.25">
      <c r="A88" s="287" t="s">
        <v>624</v>
      </c>
      <c r="B88" s="288" t="s">
        <v>811</v>
      </c>
      <c r="C88" s="288" t="s">
        <v>184</v>
      </c>
      <c r="D88" s="288">
        <v>59</v>
      </c>
      <c r="E88" s="288"/>
      <c r="F88" s="288" t="s">
        <v>817</v>
      </c>
      <c r="G88" s="288" t="s">
        <v>661</v>
      </c>
      <c r="H88" s="288" t="s">
        <v>574</v>
      </c>
      <c r="I88" s="288" t="s">
        <v>141</v>
      </c>
      <c r="J88" s="288">
        <v>84</v>
      </c>
      <c r="K88" s="288" t="s">
        <v>809</v>
      </c>
      <c r="L88" s="288"/>
      <c r="M88" s="111"/>
      <c r="N88" s="109"/>
      <c r="O88" s="107"/>
      <c r="P88" s="107"/>
      <c r="Q88" s="107"/>
      <c r="R88" s="107"/>
      <c r="S88" s="107"/>
      <c r="T88" s="107"/>
      <c r="U88" s="107"/>
      <c r="V88" s="107"/>
      <c r="W88" s="107"/>
      <c r="X88" s="107"/>
      <c r="Y88" s="107"/>
      <c r="AA88" s="107"/>
      <c r="AB88" s="107"/>
      <c r="AC88" s="107"/>
      <c r="AD88" s="109" t="s">
        <v>1793</v>
      </c>
      <c r="AE88" s="109" t="s">
        <v>920</v>
      </c>
      <c r="AF88" t="s">
        <v>946</v>
      </c>
      <c r="AG88" s="107"/>
      <c r="AH88" s="107"/>
      <c r="AI88" s="107">
        <v>10</v>
      </c>
      <c r="AJ88" s="107"/>
      <c r="AK88" s="107"/>
      <c r="AL88" s="107"/>
      <c r="AM88" s="107"/>
      <c r="AN88" s="107">
        <v>8</v>
      </c>
      <c r="AO88" s="107" t="s">
        <v>211</v>
      </c>
      <c r="AP88" s="109"/>
      <c r="AQ88" t="s">
        <v>828</v>
      </c>
      <c r="AR88" s="107" t="s">
        <v>734</v>
      </c>
      <c r="AS88" s="107"/>
    </row>
    <row r="89" spans="1:45" x14ac:dyDescent="0.25">
      <c r="A89" s="287" t="s">
        <v>624</v>
      </c>
      <c r="B89" s="288" t="s">
        <v>812</v>
      </c>
      <c r="C89" s="288" t="s">
        <v>185</v>
      </c>
      <c r="D89" s="288">
        <v>120</v>
      </c>
      <c r="E89" s="288"/>
      <c r="F89" s="288" t="s">
        <v>817</v>
      </c>
      <c r="G89" s="288" t="s">
        <v>661</v>
      </c>
      <c r="H89" s="288" t="s">
        <v>659</v>
      </c>
      <c r="I89" s="288" t="s">
        <v>141</v>
      </c>
      <c r="J89" s="288">
        <v>85</v>
      </c>
      <c r="K89" s="288" t="s">
        <v>809</v>
      </c>
      <c r="L89" s="288"/>
      <c r="M89" s="278"/>
      <c r="N89" s="109"/>
      <c r="O89" s="107"/>
      <c r="P89" s="107"/>
      <c r="Q89" s="107"/>
      <c r="R89" s="107"/>
      <c r="S89" s="107"/>
      <c r="T89" s="107"/>
      <c r="U89" s="107"/>
      <c r="V89" s="107"/>
      <c r="W89" s="107"/>
      <c r="X89" s="107"/>
      <c r="Y89" s="107"/>
      <c r="AA89" s="107"/>
      <c r="AB89" s="107"/>
      <c r="AC89" s="107"/>
      <c r="AD89" s="66">
        <v>4020600</v>
      </c>
      <c r="AE89" s="34" t="s">
        <v>937</v>
      </c>
      <c r="AF89" t="s">
        <v>1176</v>
      </c>
      <c r="AI89">
        <v>15</v>
      </c>
      <c r="AN89" s="107">
        <v>9</v>
      </c>
      <c r="AO89" s="107" t="s">
        <v>512</v>
      </c>
      <c r="AP89" s="66"/>
      <c r="AQ89" t="s">
        <v>119</v>
      </c>
      <c r="AR89" s="107" t="s">
        <v>734</v>
      </c>
      <c r="AS89" s="107"/>
    </row>
    <row r="90" spans="1:45" x14ac:dyDescent="0.25">
      <c r="A90" s="287" t="s">
        <v>624</v>
      </c>
      <c r="B90" s="288" t="s">
        <v>1441</v>
      </c>
      <c r="C90" s="288" t="s">
        <v>1482</v>
      </c>
      <c r="D90" s="288">
        <v>180</v>
      </c>
      <c r="E90" s="288"/>
      <c r="F90" s="288" t="s">
        <v>817</v>
      </c>
      <c r="G90" s="288" t="s">
        <v>661</v>
      </c>
      <c r="H90" s="288" t="s">
        <v>662</v>
      </c>
      <c r="I90" s="288" t="s">
        <v>141</v>
      </c>
      <c r="J90" s="288">
        <v>86</v>
      </c>
      <c r="K90" s="288" t="s">
        <v>809</v>
      </c>
      <c r="L90" s="288"/>
      <c r="M90" s="111"/>
      <c r="N90" s="109"/>
      <c r="O90" s="107"/>
      <c r="P90" s="107"/>
      <c r="Q90" s="107"/>
      <c r="R90" s="107"/>
      <c r="S90" s="107"/>
      <c r="T90" s="107"/>
      <c r="U90" s="107"/>
      <c r="V90" s="107"/>
      <c r="W90" s="107"/>
      <c r="X90" s="107"/>
      <c r="Y90" s="107"/>
      <c r="AA90" s="107"/>
      <c r="AB90" s="107"/>
      <c r="AC90" s="107"/>
      <c r="AD90" s="109">
        <v>4020400</v>
      </c>
      <c r="AE90" s="34" t="s">
        <v>937</v>
      </c>
      <c r="AF90" s="107" t="s">
        <v>735</v>
      </c>
      <c r="AG90" s="107"/>
      <c r="AH90" s="107"/>
      <c r="AI90" s="107">
        <v>10</v>
      </c>
      <c r="AJ90" s="107"/>
      <c r="AK90" s="107"/>
      <c r="AL90" s="107"/>
      <c r="AM90" s="107"/>
      <c r="AN90">
        <v>10</v>
      </c>
      <c r="AO90" s="107" t="s">
        <v>512</v>
      </c>
      <c r="AP90" s="109"/>
      <c r="AQ90" t="s">
        <v>119</v>
      </c>
      <c r="AR90" s="107" t="s">
        <v>734</v>
      </c>
      <c r="AS90" s="107"/>
    </row>
    <row r="91" spans="1:45" x14ac:dyDescent="0.25">
      <c r="A91" s="287" t="s">
        <v>624</v>
      </c>
      <c r="B91" s="288" t="s">
        <v>813</v>
      </c>
      <c r="C91" s="288" t="s">
        <v>186</v>
      </c>
      <c r="D91" s="288">
        <v>234</v>
      </c>
      <c r="E91" s="288"/>
      <c r="F91" s="288" t="s">
        <v>817</v>
      </c>
      <c r="G91" s="288" t="s">
        <v>661</v>
      </c>
      <c r="H91" s="288" t="s">
        <v>663</v>
      </c>
      <c r="I91" s="288" t="s">
        <v>141</v>
      </c>
      <c r="J91" s="288">
        <v>87</v>
      </c>
      <c r="K91" s="288" t="s">
        <v>809</v>
      </c>
      <c r="L91" s="288"/>
      <c r="M91" s="111"/>
      <c r="AA91" s="107"/>
      <c r="AB91" s="107"/>
      <c r="AC91" s="107"/>
      <c r="AD91" s="109">
        <v>4090100</v>
      </c>
      <c r="AE91" s="34" t="s">
        <v>937</v>
      </c>
      <c r="AF91" s="107" t="s">
        <v>737</v>
      </c>
      <c r="AG91" s="107"/>
      <c r="AH91" s="107"/>
      <c r="AI91" s="107">
        <v>15</v>
      </c>
      <c r="AJ91" s="107"/>
      <c r="AK91" s="107"/>
      <c r="AL91" s="107"/>
      <c r="AM91" s="107"/>
      <c r="AN91" s="107">
        <v>11</v>
      </c>
      <c r="AO91" s="107" t="s">
        <v>211</v>
      </c>
      <c r="AP91" s="109"/>
      <c r="AQ91" t="s">
        <v>119</v>
      </c>
      <c r="AR91" s="107" t="s">
        <v>734</v>
      </c>
      <c r="AS91" s="107"/>
    </row>
    <row r="92" spans="1:45" x14ac:dyDescent="0.25">
      <c r="A92" s="287" t="s">
        <v>624</v>
      </c>
      <c r="B92" s="288" t="s">
        <v>814</v>
      </c>
      <c r="C92" s="288" t="s">
        <v>187</v>
      </c>
      <c r="D92" s="288">
        <v>360</v>
      </c>
      <c r="E92" s="288"/>
      <c r="F92" s="288" t="s">
        <v>817</v>
      </c>
      <c r="G92" s="288" t="s">
        <v>661</v>
      </c>
      <c r="H92" s="288" t="s">
        <v>669</v>
      </c>
      <c r="I92" s="288" t="s">
        <v>141</v>
      </c>
      <c r="J92" s="288">
        <v>88</v>
      </c>
      <c r="K92" s="288" t="s">
        <v>810</v>
      </c>
      <c r="L92" s="288"/>
      <c r="M92" s="111"/>
      <c r="AA92" s="107"/>
      <c r="AB92" s="107"/>
      <c r="AC92" s="107"/>
      <c r="AD92" s="109">
        <v>4020800</v>
      </c>
      <c r="AE92" s="34" t="s">
        <v>937</v>
      </c>
      <c r="AF92" s="107" t="s">
        <v>760</v>
      </c>
      <c r="AG92" s="107"/>
      <c r="AH92" s="107"/>
      <c r="AI92" s="107">
        <v>15</v>
      </c>
      <c r="AJ92" s="107"/>
      <c r="AK92" s="107"/>
      <c r="AL92" s="107"/>
      <c r="AM92" s="107"/>
      <c r="AN92" s="107">
        <v>12</v>
      </c>
      <c r="AO92" s="107" t="s">
        <v>512</v>
      </c>
      <c r="AP92" s="109"/>
      <c r="AQ92" t="s">
        <v>119</v>
      </c>
      <c r="AR92" s="107" t="s">
        <v>734</v>
      </c>
      <c r="AS92" s="107"/>
    </row>
    <row r="93" spans="1:45" x14ac:dyDescent="0.25">
      <c r="A93" s="287" t="s">
        <v>624</v>
      </c>
      <c r="B93" s="288" t="s">
        <v>815</v>
      </c>
      <c r="C93" s="288" t="s">
        <v>188</v>
      </c>
      <c r="D93" s="288">
        <v>468</v>
      </c>
      <c r="E93" s="288"/>
      <c r="F93" s="288" t="s">
        <v>817</v>
      </c>
      <c r="G93" s="288" t="s">
        <v>661</v>
      </c>
      <c r="H93" s="288" t="s">
        <v>670</v>
      </c>
      <c r="I93" s="288" t="s">
        <v>141</v>
      </c>
      <c r="J93" s="288">
        <v>89</v>
      </c>
      <c r="K93" s="288" t="s">
        <v>810</v>
      </c>
      <c r="L93" s="288"/>
      <c r="M93" s="111"/>
      <c r="AA93" s="107"/>
      <c r="AB93" s="107"/>
      <c r="AC93" s="107"/>
      <c r="AD93" s="109">
        <v>4090200</v>
      </c>
      <c r="AE93" s="34" t="s">
        <v>937</v>
      </c>
      <c r="AF93" s="107" t="s">
        <v>738</v>
      </c>
      <c r="AG93" s="107"/>
      <c r="AH93" s="107"/>
      <c r="AI93" s="107">
        <v>15</v>
      </c>
      <c r="AJ93" s="107"/>
      <c r="AK93" s="107"/>
      <c r="AL93" s="107"/>
      <c r="AM93" s="107"/>
      <c r="AN93">
        <v>13</v>
      </c>
      <c r="AO93" s="107" t="s">
        <v>211</v>
      </c>
      <c r="AP93" s="109"/>
      <c r="AQ93" t="s">
        <v>119</v>
      </c>
      <c r="AR93" s="107" t="s">
        <v>734</v>
      </c>
      <c r="AS93" s="107"/>
    </row>
    <row r="94" spans="1:45" x14ac:dyDescent="0.25">
      <c r="A94" s="287" t="s">
        <v>624</v>
      </c>
      <c r="B94" s="288" t="s">
        <v>816</v>
      </c>
      <c r="C94" s="288" t="s">
        <v>189</v>
      </c>
      <c r="D94" s="288">
        <v>577</v>
      </c>
      <c r="E94" s="288"/>
      <c r="F94" s="288" t="s">
        <v>817</v>
      </c>
      <c r="G94" s="288" t="s">
        <v>661</v>
      </c>
      <c r="H94" s="288" t="s">
        <v>671</v>
      </c>
      <c r="I94" s="288" t="s">
        <v>141</v>
      </c>
      <c r="J94" s="288">
        <v>90</v>
      </c>
      <c r="K94" s="288"/>
      <c r="L94" s="288"/>
      <c r="M94" s="111"/>
      <c r="AD94" s="109">
        <v>4090300</v>
      </c>
      <c r="AE94" s="34" t="s">
        <v>937</v>
      </c>
      <c r="AF94" s="107" t="s">
        <v>739</v>
      </c>
      <c r="AG94" s="107"/>
      <c r="AH94" s="107"/>
      <c r="AI94" s="107">
        <v>15</v>
      </c>
      <c r="AJ94" s="107"/>
      <c r="AK94" s="107"/>
      <c r="AL94" s="107"/>
      <c r="AM94" s="107"/>
      <c r="AN94" s="107">
        <v>14</v>
      </c>
      <c r="AO94" s="107" t="s">
        <v>211</v>
      </c>
      <c r="AP94" s="109"/>
      <c r="AQ94" t="s">
        <v>119</v>
      </c>
      <c r="AR94" s="107" t="s">
        <v>734</v>
      </c>
    </row>
    <row r="95" spans="1:45" x14ac:dyDescent="0.25">
      <c r="A95" s="287"/>
      <c r="B95" s="288" t="s">
        <v>1227</v>
      </c>
      <c r="C95" s="288"/>
      <c r="D95" s="288" t="s">
        <v>761</v>
      </c>
      <c r="E95" s="288"/>
      <c r="F95" s="288"/>
      <c r="G95" s="288"/>
      <c r="H95" s="288"/>
      <c r="I95" s="288"/>
      <c r="J95" s="288">
        <v>91</v>
      </c>
      <c r="K95" s="288"/>
      <c r="L95" s="288"/>
      <c r="M95" s="111"/>
      <c r="AD95" s="109">
        <v>4020300</v>
      </c>
      <c r="AE95" s="34" t="s">
        <v>937</v>
      </c>
      <c r="AF95" s="107" t="s">
        <v>736</v>
      </c>
      <c r="AG95" s="107"/>
      <c r="AH95" s="107"/>
      <c r="AI95" s="107">
        <v>15</v>
      </c>
      <c r="AJ95" s="107"/>
      <c r="AK95" s="107"/>
      <c r="AL95" s="107"/>
      <c r="AM95" s="107"/>
      <c r="AN95" s="107">
        <v>15</v>
      </c>
      <c r="AO95" s="107" t="s">
        <v>512</v>
      </c>
      <c r="AP95" s="109"/>
      <c r="AQ95" t="s">
        <v>119</v>
      </c>
      <c r="AR95" s="107" t="s">
        <v>734</v>
      </c>
    </row>
    <row r="96" spans="1:45" x14ac:dyDescent="0.25">
      <c r="A96" s="287" t="s">
        <v>631</v>
      </c>
      <c r="B96" s="288" t="s">
        <v>1442</v>
      </c>
      <c r="C96" s="288" t="s">
        <v>1483</v>
      </c>
      <c r="D96" s="288">
        <v>72</v>
      </c>
      <c r="E96" s="288"/>
      <c r="F96" s="288" t="s">
        <v>672</v>
      </c>
      <c r="G96" s="288" t="s">
        <v>684</v>
      </c>
      <c r="H96" s="288"/>
      <c r="I96" s="288" t="s">
        <v>141</v>
      </c>
      <c r="J96" s="288">
        <v>92</v>
      </c>
      <c r="K96" s="288" t="s">
        <v>810</v>
      </c>
      <c r="L96" s="288"/>
      <c r="M96" s="111"/>
      <c r="AD96" s="66">
        <v>4040500</v>
      </c>
      <c r="AE96" s="34" t="s">
        <v>937</v>
      </c>
      <c r="AF96" t="s">
        <v>945</v>
      </c>
      <c r="AG96" s="107"/>
      <c r="AH96" s="107"/>
      <c r="AI96" s="107">
        <v>10</v>
      </c>
      <c r="AJ96" s="107"/>
      <c r="AK96" s="107"/>
      <c r="AL96" s="107"/>
      <c r="AM96" s="107"/>
      <c r="AN96">
        <v>16</v>
      </c>
      <c r="AO96" s="107" t="s">
        <v>211</v>
      </c>
      <c r="AP96" s="66"/>
      <c r="AQ96" t="s">
        <v>119</v>
      </c>
      <c r="AR96" s="107" t="s">
        <v>734</v>
      </c>
    </row>
    <row r="97" spans="1:44" x14ac:dyDescent="0.25">
      <c r="A97" s="287" t="s">
        <v>631</v>
      </c>
      <c r="B97" s="288" t="s">
        <v>625</v>
      </c>
      <c r="C97" s="288" t="s">
        <v>802</v>
      </c>
      <c r="D97" s="288">
        <v>95</v>
      </c>
      <c r="E97" s="288"/>
      <c r="F97" s="288" t="s">
        <v>672</v>
      </c>
      <c r="G97" s="288" t="s">
        <v>673</v>
      </c>
      <c r="H97" s="288"/>
      <c r="I97" s="288" t="s">
        <v>141</v>
      </c>
      <c r="J97" s="288">
        <v>93</v>
      </c>
      <c r="K97" s="288" t="s">
        <v>809</v>
      </c>
      <c r="L97" s="288"/>
      <c r="M97" s="111"/>
      <c r="AD97" s="109"/>
      <c r="AE97" s="107"/>
      <c r="AF97" s="107"/>
      <c r="AG97" s="107"/>
      <c r="AH97" s="107"/>
      <c r="AI97" s="107"/>
      <c r="AJ97" s="107"/>
      <c r="AK97" s="107"/>
      <c r="AL97" s="107"/>
      <c r="AM97" s="107"/>
      <c r="AN97" s="107"/>
      <c r="AO97" s="107"/>
      <c r="AP97" s="107"/>
      <c r="AQ97" s="107"/>
      <c r="AR97" s="107"/>
    </row>
    <row r="98" spans="1:44" x14ac:dyDescent="0.25">
      <c r="A98" s="287" t="s">
        <v>631</v>
      </c>
      <c r="B98" s="288" t="s">
        <v>626</v>
      </c>
      <c r="C98" s="288" t="s">
        <v>803</v>
      </c>
      <c r="D98" s="288">
        <v>114</v>
      </c>
      <c r="E98" s="288"/>
      <c r="F98" s="288" t="s">
        <v>672</v>
      </c>
      <c r="G98" s="288" t="s">
        <v>674</v>
      </c>
      <c r="H98" s="288"/>
      <c r="I98" s="288" t="s">
        <v>141</v>
      </c>
      <c r="J98" s="288">
        <v>94</v>
      </c>
      <c r="K98" s="288" t="s">
        <v>809</v>
      </c>
      <c r="L98" s="288"/>
      <c r="M98" s="111"/>
      <c r="AD98" s="109" t="s">
        <v>125</v>
      </c>
      <c r="AE98" s="109" t="s">
        <v>922</v>
      </c>
      <c r="AF98" s="107" t="s">
        <v>748</v>
      </c>
      <c r="AG98" s="107" t="s">
        <v>749</v>
      </c>
      <c r="AH98" t="s">
        <v>939</v>
      </c>
      <c r="AI98" s="107" t="s">
        <v>133</v>
      </c>
      <c r="AJ98" s="107" t="s">
        <v>127</v>
      </c>
      <c r="AK98" s="107" t="s">
        <v>572</v>
      </c>
      <c r="AL98" s="107" t="s">
        <v>573</v>
      </c>
      <c r="AM98" s="107" t="s">
        <v>717</v>
      </c>
      <c r="AN98" s="107" t="s">
        <v>578</v>
      </c>
      <c r="AO98" s="107" t="s">
        <v>716</v>
      </c>
      <c r="AP98" s="107" t="s">
        <v>558</v>
      </c>
      <c r="AQ98" t="s">
        <v>991</v>
      </c>
      <c r="AR98" s="107" t="s">
        <v>715</v>
      </c>
    </row>
    <row r="99" spans="1:44" x14ac:dyDescent="0.25">
      <c r="A99" s="287" t="s">
        <v>631</v>
      </c>
      <c r="B99" s="288" t="s">
        <v>1412</v>
      </c>
      <c r="C99" s="288" t="s">
        <v>1484</v>
      </c>
      <c r="D99" s="288">
        <v>190</v>
      </c>
      <c r="E99" s="288"/>
      <c r="F99" s="288" t="s">
        <v>672</v>
      </c>
      <c r="G99" s="288" t="s">
        <v>686</v>
      </c>
      <c r="H99" s="288"/>
      <c r="I99" s="288" t="s">
        <v>141</v>
      </c>
      <c r="J99" s="288">
        <v>95</v>
      </c>
      <c r="K99" s="288" t="s">
        <v>810</v>
      </c>
      <c r="L99" s="288"/>
      <c r="M99" s="111"/>
      <c r="AD99" s="109" t="s">
        <v>1794</v>
      </c>
      <c r="AE99" s="109" t="s">
        <v>920</v>
      </c>
      <c r="AF99" t="s">
        <v>968</v>
      </c>
      <c r="AG99" s="107"/>
      <c r="AH99" s="107"/>
      <c r="AI99" s="107">
        <v>15</v>
      </c>
      <c r="AJ99" s="107"/>
      <c r="AK99" s="107"/>
      <c r="AL99" s="107"/>
      <c r="AM99" s="107"/>
      <c r="AN99" s="107">
        <v>1</v>
      </c>
      <c r="AO99" s="107" t="s">
        <v>519</v>
      </c>
      <c r="AP99" s="109"/>
      <c r="AQ99" t="s">
        <v>828</v>
      </c>
      <c r="AR99" s="107" t="s">
        <v>740</v>
      </c>
    </row>
    <row r="100" spans="1:44" x14ac:dyDescent="0.25">
      <c r="A100" s="287" t="s">
        <v>631</v>
      </c>
      <c r="B100" s="288" t="s">
        <v>627</v>
      </c>
      <c r="C100" s="288" t="s">
        <v>804</v>
      </c>
      <c r="D100" s="288">
        <v>199</v>
      </c>
      <c r="E100" s="288"/>
      <c r="F100" s="288" t="s">
        <v>672</v>
      </c>
      <c r="G100" s="288" t="s">
        <v>675</v>
      </c>
      <c r="H100" s="288"/>
      <c r="I100" s="288" t="s">
        <v>141</v>
      </c>
      <c r="J100" s="288">
        <v>96</v>
      </c>
      <c r="K100" s="288" t="s">
        <v>809</v>
      </c>
      <c r="L100" s="288"/>
      <c r="M100" s="111"/>
      <c r="AD100" s="109" t="s">
        <v>1795</v>
      </c>
      <c r="AE100" s="109" t="s">
        <v>920</v>
      </c>
      <c r="AF100" t="s">
        <v>970</v>
      </c>
      <c r="AG100" s="107"/>
      <c r="AH100" s="107"/>
      <c r="AI100" s="107">
        <v>15</v>
      </c>
      <c r="AJ100" s="107"/>
      <c r="AK100" s="107"/>
      <c r="AL100" s="107"/>
      <c r="AM100" s="107"/>
      <c r="AN100" s="107">
        <v>2</v>
      </c>
      <c r="AO100" s="107" t="s">
        <v>519</v>
      </c>
      <c r="AP100" s="109"/>
      <c r="AQ100" t="s">
        <v>828</v>
      </c>
      <c r="AR100" s="107" t="s">
        <v>740</v>
      </c>
    </row>
    <row r="101" spans="1:44" x14ac:dyDescent="0.25">
      <c r="A101" s="287" t="s">
        <v>631</v>
      </c>
      <c r="B101" s="288" t="s">
        <v>628</v>
      </c>
      <c r="C101" s="288" t="s">
        <v>805</v>
      </c>
      <c r="D101" s="288">
        <v>284</v>
      </c>
      <c r="E101" s="288"/>
      <c r="F101" s="288" t="s">
        <v>672</v>
      </c>
      <c r="G101" s="288" t="s">
        <v>676</v>
      </c>
      <c r="H101" s="288"/>
      <c r="I101" s="288" t="s">
        <v>141</v>
      </c>
      <c r="J101" s="288">
        <v>97</v>
      </c>
      <c r="K101" s="288" t="s">
        <v>809</v>
      </c>
      <c r="L101" s="288"/>
      <c r="M101" s="111"/>
      <c r="AD101" s="109" t="s">
        <v>1796</v>
      </c>
      <c r="AE101" s="109" t="s">
        <v>920</v>
      </c>
      <c r="AF101" t="s">
        <v>929</v>
      </c>
      <c r="AG101" s="107"/>
      <c r="AH101" s="107"/>
      <c r="AI101" s="107">
        <v>10</v>
      </c>
      <c r="AJ101" s="107"/>
      <c r="AK101" s="107"/>
      <c r="AL101" s="107"/>
      <c r="AM101" s="107"/>
      <c r="AN101" s="107">
        <v>3</v>
      </c>
      <c r="AO101" s="107" t="s">
        <v>144</v>
      </c>
      <c r="AP101" s="109"/>
      <c r="AQ101" t="s">
        <v>828</v>
      </c>
      <c r="AR101" s="107" t="s">
        <v>740</v>
      </c>
    </row>
    <row r="102" spans="1:44" x14ac:dyDescent="0.25">
      <c r="A102" s="287" t="s">
        <v>631</v>
      </c>
      <c r="B102" s="288" t="s">
        <v>629</v>
      </c>
      <c r="C102" s="288" t="s">
        <v>806</v>
      </c>
      <c r="D102" s="288">
        <v>455</v>
      </c>
      <c r="E102" s="288"/>
      <c r="F102" s="288" t="s">
        <v>672</v>
      </c>
      <c r="G102" s="288" t="s">
        <v>677</v>
      </c>
      <c r="H102" s="288"/>
      <c r="I102" s="288" t="s">
        <v>141</v>
      </c>
      <c r="J102" s="288">
        <v>98</v>
      </c>
      <c r="K102" s="288" t="s">
        <v>809</v>
      </c>
      <c r="L102" s="288"/>
      <c r="M102" s="111"/>
      <c r="AD102" s="109" t="s">
        <v>1797</v>
      </c>
      <c r="AE102" s="109" t="s">
        <v>920</v>
      </c>
      <c r="AF102" t="s">
        <v>959</v>
      </c>
      <c r="AG102" s="107"/>
      <c r="AH102" s="107"/>
      <c r="AI102" s="107">
        <v>15</v>
      </c>
      <c r="AJ102" s="107"/>
      <c r="AK102" s="107"/>
      <c r="AL102" s="107"/>
      <c r="AM102" s="107"/>
      <c r="AN102" s="107">
        <v>4</v>
      </c>
      <c r="AO102" s="107" t="s">
        <v>519</v>
      </c>
      <c r="AP102" s="109"/>
      <c r="AQ102" t="s">
        <v>828</v>
      </c>
      <c r="AR102" s="107" t="s">
        <v>740</v>
      </c>
    </row>
    <row r="103" spans="1:44" x14ac:dyDescent="0.25">
      <c r="A103" s="287" t="s">
        <v>631</v>
      </c>
      <c r="B103" s="288" t="s">
        <v>630</v>
      </c>
      <c r="C103" s="288" t="s">
        <v>807</v>
      </c>
      <c r="D103" s="288">
        <v>1080</v>
      </c>
      <c r="E103" s="288"/>
      <c r="F103" s="288" t="s">
        <v>672</v>
      </c>
      <c r="G103" s="288" t="s">
        <v>678</v>
      </c>
      <c r="H103" s="288"/>
      <c r="I103" s="288" t="s">
        <v>141</v>
      </c>
      <c r="J103" s="288">
        <v>99</v>
      </c>
      <c r="K103" s="288" t="s">
        <v>809</v>
      </c>
      <c r="L103" s="288"/>
      <c r="M103" s="111"/>
      <c r="AD103" s="109" t="s">
        <v>1789</v>
      </c>
      <c r="AE103" s="109" t="s">
        <v>920</v>
      </c>
      <c r="AF103" t="s">
        <v>960</v>
      </c>
      <c r="AG103" s="107"/>
      <c r="AH103" s="107"/>
      <c r="AI103" s="107">
        <v>15</v>
      </c>
      <c r="AJ103" s="107"/>
      <c r="AK103" s="107"/>
      <c r="AL103" s="107"/>
      <c r="AM103" s="107"/>
      <c r="AN103" s="107">
        <v>5</v>
      </c>
      <c r="AO103" s="107" t="s">
        <v>512</v>
      </c>
      <c r="AP103" s="109"/>
      <c r="AQ103" t="s">
        <v>828</v>
      </c>
      <c r="AR103" s="107" t="s">
        <v>740</v>
      </c>
    </row>
    <row r="104" spans="1:44" x14ac:dyDescent="0.25">
      <c r="A104" s="290" t="s">
        <v>631</v>
      </c>
      <c r="B104" s="291" t="s">
        <v>1508</v>
      </c>
      <c r="C104" s="291" t="s">
        <v>1509</v>
      </c>
      <c r="D104" s="291">
        <v>1610</v>
      </c>
      <c r="E104" s="291"/>
      <c r="F104" s="291" t="s">
        <v>672</v>
      </c>
      <c r="G104" s="291" t="s">
        <v>1510</v>
      </c>
      <c r="H104" s="291"/>
      <c r="I104" s="291" t="s">
        <v>141</v>
      </c>
      <c r="J104" s="288">
        <v>100</v>
      </c>
      <c r="K104" s="291" t="s">
        <v>810</v>
      </c>
      <c r="L104" s="291"/>
      <c r="M104" s="111"/>
      <c r="AD104" s="109" t="s">
        <v>1798</v>
      </c>
      <c r="AE104" s="109" t="s">
        <v>920</v>
      </c>
      <c r="AF104" t="s">
        <v>930</v>
      </c>
      <c r="AG104" s="107"/>
      <c r="AH104" s="107"/>
      <c r="AI104" s="107">
        <v>15</v>
      </c>
      <c r="AJ104" s="107"/>
      <c r="AK104" s="107"/>
      <c r="AL104" s="107"/>
      <c r="AM104" s="107"/>
      <c r="AN104" s="107">
        <v>6</v>
      </c>
      <c r="AO104" s="107" t="s">
        <v>515</v>
      </c>
      <c r="AP104" s="109"/>
      <c r="AQ104" t="s">
        <v>828</v>
      </c>
      <c r="AR104" s="107" t="s">
        <v>740</v>
      </c>
    </row>
    <row r="105" spans="1:44" x14ac:dyDescent="0.25">
      <c r="A105" s="66" t="s">
        <v>631</v>
      </c>
      <c r="B105" s="291" t="s">
        <v>1511</v>
      </c>
      <c r="C105" s="291" t="s">
        <v>1512</v>
      </c>
      <c r="D105" s="291">
        <v>2140</v>
      </c>
      <c r="E105" s="291"/>
      <c r="F105" s="291" t="s">
        <v>672</v>
      </c>
      <c r="G105" s="291" t="s">
        <v>1513</v>
      </c>
      <c r="H105" s="291"/>
      <c r="I105" s="291" t="s">
        <v>141</v>
      </c>
      <c r="J105" s="288">
        <v>101</v>
      </c>
      <c r="K105" s="291" t="s">
        <v>1445</v>
      </c>
      <c r="L105" s="291"/>
      <c r="M105" s="111"/>
      <c r="AD105" s="66" t="s">
        <v>1799</v>
      </c>
      <c r="AE105" s="109" t="s">
        <v>920</v>
      </c>
      <c r="AF105" t="s">
        <v>1240</v>
      </c>
      <c r="AI105">
        <v>15</v>
      </c>
      <c r="AN105" s="107">
        <v>7</v>
      </c>
      <c r="AO105" t="s">
        <v>519</v>
      </c>
      <c r="AP105" s="66"/>
      <c r="AQ105" t="s">
        <v>828</v>
      </c>
      <c r="AR105" s="107" t="s">
        <v>740</v>
      </c>
    </row>
    <row r="106" spans="1:44" x14ac:dyDescent="0.25">
      <c r="A106" s="287" t="s">
        <v>644</v>
      </c>
      <c r="B106" s="288" t="s">
        <v>577</v>
      </c>
      <c r="C106" s="288"/>
      <c r="D106" s="288">
        <v>227</v>
      </c>
      <c r="E106" s="288"/>
      <c r="F106" s="288" t="s">
        <v>679</v>
      </c>
      <c r="G106" s="288" t="s">
        <v>680</v>
      </c>
      <c r="H106" s="288"/>
      <c r="I106" s="288" t="s">
        <v>141</v>
      </c>
      <c r="J106" s="288">
        <v>102</v>
      </c>
      <c r="K106" s="288" t="s">
        <v>809</v>
      </c>
      <c r="L106" s="288"/>
      <c r="M106" s="111"/>
      <c r="AD106" s="109" t="s">
        <v>1800</v>
      </c>
      <c r="AE106" s="109" t="s">
        <v>920</v>
      </c>
      <c r="AF106" t="s">
        <v>962</v>
      </c>
      <c r="AG106" s="107"/>
      <c r="AH106" s="107"/>
      <c r="AI106" s="107">
        <v>15</v>
      </c>
      <c r="AJ106" s="107"/>
      <c r="AK106" s="107"/>
      <c r="AL106" s="107"/>
      <c r="AM106" s="107"/>
      <c r="AN106" s="107">
        <v>8</v>
      </c>
      <c r="AO106" s="107" t="s">
        <v>144</v>
      </c>
      <c r="AP106" s="109"/>
      <c r="AQ106" t="s">
        <v>828</v>
      </c>
      <c r="AR106" s="107" t="s">
        <v>740</v>
      </c>
    </row>
    <row r="107" spans="1:44" x14ac:dyDescent="0.25">
      <c r="A107" s="287" t="s">
        <v>644</v>
      </c>
      <c r="B107" s="288" t="s">
        <v>632</v>
      </c>
      <c r="C107" s="288"/>
      <c r="D107" s="288">
        <v>364</v>
      </c>
      <c r="E107" s="288"/>
      <c r="F107" s="288" t="s">
        <v>679</v>
      </c>
      <c r="G107" s="288" t="s">
        <v>681</v>
      </c>
      <c r="H107" s="288"/>
      <c r="I107" s="288" t="s">
        <v>141</v>
      </c>
      <c r="J107" s="288">
        <v>103</v>
      </c>
      <c r="K107" s="288" t="s">
        <v>809</v>
      </c>
      <c r="L107" s="288"/>
      <c r="M107" s="111"/>
      <c r="AD107" s="109" t="s">
        <v>1801</v>
      </c>
      <c r="AE107" s="109" t="s">
        <v>920</v>
      </c>
      <c r="AF107" t="s">
        <v>961</v>
      </c>
      <c r="AG107" s="107"/>
      <c r="AH107" s="107"/>
      <c r="AI107" s="107">
        <v>15</v>
      </c>
      <c r="AJ107" s="107"/>
      <c r="AK107" s="107"/>
      <c r="AL107" s="107"/>
      <c r="AM107" s="107"/>
      <c r="AN107" s="107">
        <v>9</v>
      </c>
      <c r="AO107" s="107" t="s">
        <v>146</v>
      </c>
      <c r="AP107" s="109"/>
      <c r="AQ107" t="s">
        <v>828</v>
      </c>
      <c r="AR107" s="107" t="s">
        <v>740</v>
      </c>
    </row>
    <row r="108" spans="1:44" x14ac:dyDescent="0.25">
      <c r="A108" s="287" t="s">
        <v>644</v>
      </c>
      <c r="B108" s="288" t="s">
        <v>1443</v>
      </c>
      <c r="C108" s="288"/>
      <c r="D108" s="288">
        <v>398</v>
      </c>
      <c r="E108" s="288"/>
      <c r="F108" s="288" t="s">
        <v>679</v>
      </c>
      <c r="G108" s="288" t="s">
        <v>1485</v>
      </c>
      <c r="H108" s="288"/>
      <c r="I108" s="288" t="s">
        <v>141</v>
      </c>
      <c r="J108" s="288">
        <v>104</v>
      </c>
      <c r="K108" s="288" t="s">
        <v>809</v>
      </c>
      <c r="L108" s="288"/>
      <c r="M108" s="111"/>
      <c r="AD108" s="109" t="s">
        <v>1802</v>
      </c>
      <c r="AE108" s="109" t="s">
        <v>920</v>
      </c>
      <c r="AF108" t="s">
        <v>946</v>
      </c>
      <c r="AG108" s="107"/>
      <c r="AH108" s="107"/>
      <c r="AI108" s="107">
        <v>10</v>
      </c>
      <c r="AJ108" s="107"/>
      <c r="AK108" s="107"/>
      <c r="AL108" s="107"/>
      <c r="AM108" s="107"/>
      <c r="AN108" s="107">
        <v>10</v>
      </c>
      <c r="AO108" s="107" t="s">
        <v>519</v>
      </c>
      <c r="AP108" s="109"/>
      <c r="AQ108" t="s">
        <v>828</v>
      </c>
      <c r="AR108" s="107" t="s">
        <v>740</v>
      </c>
    </row>
    <row r="109" spans="1:44" x14ac:dyDescent="0.25">
      <c r="A109" s="287" t="s">
        <v>644</v>
      </c>
      <c r="B109" s="288" t="s">
        <v>633</v>
      </c>
      <c r="C109" s="288"/>
      <c r="D109" s="288">
        <v>456</v>
      </c>
      <c r="E109" s="288"/>
      <c r="F109" s="288" t="s">
        <v>679</v>
      </c>
      <c r="G109" s="288" t="s">
        <v>677</v>
      </c>
      <c r="H109" s="288"/>
      <c r="I109" s="288" t="s">
        <v>141</v>
      </c>
      <c r="J109" s="288">
        <v>105</v>
      </c>
      <c r="K109" s="288" t="s">
        <v>810</v>
      </c>
      <c r="L109" s="288"/>
      <c r="AD109" s="109">
        <v>4080100</v>
      </c>
      <c r="AE109" s="34" t="s">
        <v>937</v>
      </c>
      <c r="AF109" t="s">
        <v>967</v>
      </c>
      <c r="AG109" s="107"/>
      <c r="AH109" s="107"/>
      <c r="AI109" s="107">
        <v>15</v>
      </c>
      <c r="AJ109" s="107"/>
      <c r="AK109" s="107"/>
      <c r="AL109" s="107"/>
      <c r="AM109" s="107"/>
      <c r="AN109" s="107">
        <v>11</v>
      </c>
      <c r="AO109" s="107" t="s">
        <v>519</v>
      </c>
      <c r="AP109" s="109"/>
      <c r="AQ109" t="s">
        <v>119</v>
      </c>
      <c r="AR109" s="107" t="s">
        <v>740</v>
      </c>
    </row>
    <row r="110" spans="1:44" x14ac:dyDescent="0.25">
      <c r="A110" s="287" t="s">
        <v>644</v>
      </c>
      <c r="B110" s="288" t="s">
        <v>1413</v>
      </c>
      <c r="C110" s="288"/>
      <c r="D110" s="288">
        <v>1080</v>
      </c>
      <c r="E110" s="288"/>
      <c r="F110" s="288" t="s">
        <v>679</v>
      </c>
      <c r="G110" s="288" t="s">
        <v>678</v>
      </c>
      <c r="H110" s="288"/>
      <c r="I110" s="288" t="s">
        <v>141</v>
      </c>
      <c r="J110" s="288">
        <v>106</v>
      </c>
      <c r="K110" s="288" t="s">
        <v>810</v>
      </c>
      <c r="L110" s="288"/>
      <c r="AD110" s="109">
        <v>4080200</v>
      </c>
      <c r="AE110" s="34" t="s">
        <v>937</v>
      </c>
      <c r="AF110" t="s">
        <v>969</v>
      </c>
      <c r="AG110" s="107"/>
      <c r="AH110" s="107"/>
      <c r="AI110" s="107">
        <v>15</v>
      </c>
      <c r="AJ110" s="107"/>
      <c r="AK110" s="107"/>
      <c r="AL110" s="107"/>
      <c r="AM110" s="107"/>
      <c r="AN110" s="107">
        <v>12</v>
      </c>
      <c r="AO110" s="107" t="s">
        <v>519</v>
      </c>
      <c r="AP110" s="109"/>
      <c r="AQ110" t="s">
        <v>119</v>
      </c>
      <c r="AR110" s="107" t="s">
        <v>740</v>
      </c>
    </row>
    <row r="111" spans="1:44" x14ac:dyDescent="0.25">
      <c r="A111" s="287"/>
      <c r="B111" s="288" t="s">
        <v>1227</v>
      </c>
      <c r="C111" s="288"/>
      <c r="D111" s="288" t="s">
        <v>761</v>
      </c>
      <c r="E111" s="288"/>
      <c r="F111" s="288"/>
      <c r="G111" s="288"/>
      <c r="H111" s="288"/>
      <c r="I111" s="288"/>
      <c r="J111" s="288">
        <v>107</v>
      </c>
      <c r="K111" s="288"/>
      <c r="L111" s="288"/>
      <c r="AD111" s="109">
        <v>4052120</v>
      </c>
      <c r="AE111" s="34" t="s">
        <v>937</v>
      </c>
      <c r="AF111" s="107" t="s">
        <v>741</v>
      </c>
      <c r="AG111" s="107"/>
      <c r="AH111" s="107"/>
      <c r="AI111" s="107">
        <v>10</v>
      </c>
      <c r="AJ111" s="107"/>
      <c r="AK111" s="107"/>
      <c r="AL111" s="107"/>
      <c r="AM111" s="107"/>
      <c r="AN111" s="107">
        <v>13</v>
      </c>
      <c r="AO111" s="107" t="s">
        <v>144</v>
      </c>
      <c r="AP111" s="109"/>
      <c r="AQ111" t="s">
        <v>119</v>
      </c>
      <c r="AR111" s="107" t="s">
        <v>740</v>
      </c>
    </row>
    <row r="112" spans="1:44" x14ac:dyDescent="0.25">
      <c r="A112" s="287" t="s">
        <v>579</v>
      </c>
      <c r="B112" s="288" t="s">
        <v>635</v>
      </c>
      <c r="C112" s="288" t="s">
        <v>793</v>
      </c>
      <c r="D112" s="288">
        <v>46</v>
      </c>
      <c r="E112" s="288"/>
      <c r="F112" s="288" t="s">
        <v>682</v>
      </c>
      <c r="G112" s="288" t="s">
        <v>683</v>
      </c>
      <c r="H112" s="288"/>
      <c r="I112" s="288" t="s">
        <v>141</v>
      </c>
      <c r="J112" s="288">
        <v>108</v>
      </c>
      <c r="K112" s="288" t="s">
        <v>809</v>
      </c>
      <c r="L112" s="288"/>
      <c r="AD112" s="109">
        <v>4080800</v>
      </c>
      <c r="AE112" s="34" t="s">
        <v>937</v>
      </c>
      <c r="AF112" s="107" t="s">
        <v>742</v>
      </c>
      <c r="AG112" s="107"/>
      <c r="AH112" s="107"/>
      <c r="AI112" s="107">
        <v>15</v>
      </c>
      <c r="AJ112" s="107"/>
      <c r="AK112" s="107"/>
      <c r="AL112" s="107"/>
      <c r="AM112" s="107"/>
      <c r="AN112" s="107">
        <v>14</v>
      </c>
      <c r="AO112" s="107" t="s">
        <v>519</v>
      </c>
      <c r="AP112" s="109"/>
      <c r="AQ112" t="s">
        <v>119</v>
      </c>
      <c r="AR112" s="107" t="s">
        <v>740</v>
      </c>
    </row>
    <row r="113" spans="1:44" x14ac:dyDescent="0.25">
      <c r="A113" s="287" t="s">
        <v>579</v>
      </c>
      <c r="B113" s="288" t="s">
        <v>636</v>
      </c>
      <c r="C113" s="288" t="s">
        <v>794</v>
      </c>
      <c r="D113" s="288">
        <v>66</v>
      </c>
      <c r="E113" s="288"/>
      <c r="F113" s="288" t="s">
        <v>682</v>
      </c>
      <c r="G113" s="288" t="s">
        <v>684</v>
      </c>
      <c r="H113" s="288"/>
      <c r="I113" s="288" t="s">
        <v>141</v>
      </c>
      <c r="J113" s="288">
        <v>109</v>
      </c>
      <c r="K113" s="288" t="s">
        <v>809</v>
      </c>
      <c r="L113" s="288"/>
      <c r="AD113" s="109">
        <v>4020800</v>
      </c>
      <c r="AE113" s="34" t="s">
        <v>937</v>
      </c>
      <c r="AF113" s="107" t="s">
        <v>760</v>
      </c>
      <c r="AG113" s="107"/>
      <c r="AH113" s="107"/>
      <c r="AI113" s="107">
        <v>15</v>
      </c>
      <c r="AJ113" s="107"/>
      <c r="AK113" s="107"/>
      <c r="AL113" s="107"/>
      <c r="AM113" s="107"/>
      <c r="AN113" s="107">
        <v>15</v>
      </c>
      <c r="AO113" s="107" t="s">
        <v>512</v>
      </c>
      <c r="AP113" s="109"/>
      <c r="AQ113" t="s">
        <v>119</v>
      </c>
      <c r="AR113" s="107" t="s">
        <v>740</v>
      </c>
    </row>
    <row r="114" spans="1:44" x14ac:dyDescent="0.25">
      <c r="A114" s="287" t="s">
        <v>579</v>
      </c>
      <c r="B114" s="288" t="s">
        <v>637</v>
      </c>
      <c r="C114" s="288" t="s">
        <v>795</v>
      </c>
      <c r="D114" s="288">
        <v>95</v>
      </c>
      <c r="E114" s="288"/>
      <c r="F114" s="288" t="s">
        <v>682</v>
      </c>
      <c r="G114" s="288" t="s">
        <v>685</v>
      </c>
      <c r="H114" s="288"/>
      <c r="I114" s="288" t="s">
        <v>141</v>
      </c>
      <c r="J114" s="288">
        <v>110</v>
      </c>
      <c r="K114" s="288" t="s">
        <v>809</v>
      </c>
      <c r="L114" s="288"/>
      <c r="AD114" s="109">
        <v>4052110</v>
      </c>
      <c r="AE114" s="34" t="s">
        <v>937</v>
      </c>
      <c r="AF114" s="107" t="s">
        <v>757</v>
      </c>
      <c r="AG114" s="107"/>
      <c r="AH114" s="107"/>
      <c r="AI114" s="107">
        <v>15</v>
      </c>
      <c r="AJ114" s="107"/>
      <c r="AK114" s="107"/>
      <c r="AL114" s="107"/>
      <c r="AM114" s="107"/>
      <c r="AN114" s="107">
        <v>16</v>
      </c>
      <c r="AO114" s="107" t="s">
        <v>515</v>
      </c>
      <c r="AP114" s="109"/>
      <c r="AQ114" t="s">
        <v>119</v>
      </c>
      <c r="AR114" s="107" t="s">
        <v>740</v>
      </c>
    </row>
    <row r="115" spans="1:44" x14ac:dyDescent="0.25">
      <c r="A115" s="287" t="s">
        <v>579</v>
      </c>
      <c r="B115" s="288" t="s">
        <v>638</v>
      </c>
      <c r="C115" s="288" t="s">
        <v>796</v>
      </c>
      <c r="D115" s="288">
        <v>138</v>
      </c>
      <c r="E115" s="288"/>
      <c r="F115" s="288" t="s">
        <v>682</v>
      </c>
      <c r="G115" s="288" t="s">
        <v>674</v>
      </c>
      <c r="H115" s="288"/>
      <c r="I115" s="288" t="s">
        <v>141</v>
      </c>
      <c r="J115" s="288">
        <v>111</v>
      </c>
      <c r="K115" s="288" t="s">
        <v>809</v>
      </c>
      <c r="L115" s="288"/>
      <c r="AD115" s="66">
        <v>4080700</v>
      </c>
      <c r="AE115" s="34" t="s">
        <v>937</v>
      </c>
      <c r="AF115" t="s">
        <v>1232</v>
      </c>
      <c r="AI115">
        <v>15</v>
      </c>
      <c r="AN115" s="107">
        <v>17</v>
      </c>
      <c r="AO115" t="s">
        <v>519</v>
      </c>
      <c r="AP115" s="66"/>
      <c r="AQ115" t="s">
        <v>119</v>
      </c>
      <c r="AR115" s="107" t="s">
        <v>740</v>
      </c>
    </row>
    <row r="116" spans="1:44" x14ac:dyDescent="0.25">
      <c r="A116" s="287" t="s">
        <v>579</v>
      </c>
      <c r="B116" s="288" t="s">
        <v>639</v>
      </c>
      <c r="C116" s="288" t="s">
        <v>797</v>
      </c>
      <c r="D116" s="288">
        <v>188</v>
      </c>
      <c r="E116" s="288"/>
      <c r="F116" s="288" t="s">
        <v>682</v>
      </c>
      <c r="G116" s="288" t="s">
        <v>686</v>
      </c>
      <c r="H116" s="288"/>
      <c r="I116" s="288" t="s">
        <v>141</v>
      </c>
      <c r="J116" s="288">
        <v>112</v>
      </c>
      <c r="K116" s="288" t="s">
        <v>809</v>
      </c>
      <c r="L116" s="288"/>
      <c r="AD116" s="109">
        <v>4050800</v>
      </c>
      <c r="AE116" s="34" t="s">
        <v>937</v>
      </c>
      <c r="AF116" s="107" t="s">
        <v>744</v>
      </c>
      <c r="AG116" s="107"/>
      <c r="AH116" s="107"/>
      <c r="AI116" s="107">
        <v>15</v>
      </c>
      <c r="AJ116" s="107"/>
      <c r="AK116" s="107"/>
      <c r="AL116" s="107"/>
      <c r="AM116" s="107"/>
      <c r="AN116" s="107">
        <v>18</v>
      </c>
      <c r="AO116" s="107" t="s">
        <v>144</v>
      </c>
      <c r="AP116" s="109"/>
      <c r="AQ116" t="s">
        <v>119</v>
      </c>
      <c r="AR116" s="107" t="s">
        <v>740</v>
      </c>
    </row>
    <row r="117" spans="1:44" x14ac:dyDescent="0.25">
      <c r="A117" s="287" t="s">
        <v>579</v>
      </c>
      <c r="B117" s="288" t="s">
        <v>640</v>
      </c>
      <c r="C117" s="288" t="s">
        <v>798</v>
      </c>
      <c r="D117" s="288">
        <v>250</v>
      </c>
      <c r="E117" s="288"/>
      <c r="F117" s="288" t="s">
        <v>682</v>
      </c>
      <c r="G117" s="288" t="s">
        <v>680</v>
      </c>
      <c r="H117" s="288"/>
      <c r="I117" s="288" t="s">
        <v>141</v>
      </c>
      <c r="J117" s="288">
        <v>113</v>
      </c>
      <c r="K117" s="288" t="s">
        <v>809</v>
      </c>
      <c r="L117" s="288"/>
      <c r="AD117" s="109">
        <v>4100400</v>
      </c>
      <c r="AE117" s="34" t="s">
        <v>937</v>
      </c>
      <c r="AF117" s="107" t="s">
        <v>743</v>
      </c>
      <c r="AG117" s="107"/>
      <c r="AH117" s="107"/>
      <c r="AI117" s="107">
        <v>15</v>
      </c>
      <c r="AJ117" s="107"/>
      <c r="AK117" s="107"/>
      <c r="AL117" s="107"/>
      <c r="AM117" s="107"/>
      <c r="AN117" s="107">
        <v>19</v>
      </c>
      <c r="AO117" s="107" t="s">
        <v>146</v>
      </c>
      <c r="AP117" s="109"/>
      <c r="AQ117" t="s">
        <v>119</v>
      </c>
      <c r="AR117" s="107" t="s">
        <v>740</v>
      </c>
    </row>
    <row r="118" spans="1:44" x14ac:dyDescent="0.25">
      <c r="A118" s="287" t="s">
        <v>579</v>
      </c>
      <c r="B118" s="288" t="s">
        <v>641</v>
      </c>
      <c r="C118" s="288" t="s">
        <v>799</v>
      </c>
      <c r="D118" s="288">
        <v>295</v>
      </c>
      <c r="E118" s="288"/>
      <c r="F118" s="288" t="s">
        <v>682</v>
      </c>
      <c r="G118" s="288" t="s">
        <v>676</v>
      </c>
      <c r="H118" s="288"/>
      <c r="I118" s="288" t="s">
        <v>141</v>
      </c>
      <c r="J118" s="288">
        <v>114</v>
      </c>
      <c r="K118" s="288" t="s">
        <v>809</v>
      </c>
      <c r="L118" s="288"/>
      <c r="AD118" s="66">
        <v>4040400</v>
      </c>
      <c r="AE118" s="34" t="s">
        <v>937</v>
      </c>
      <c r="AF118" t="s">
        <v>945</v>
      </c>
      <c r="AG118" s="107"/>
      <c r="AH118" s="107"/>
      <c r="AI118" s="107">
        <v>10</v>
      </c>
      <c r="AJ118" s="107"/>
      <c r="AK118" s="107"/>
      <c r="AL118" s="107"/>
      <c r="AM118" s="107"/>
      <c r="AN118" s="107">
        <v>20</v>
      </c>
      <c r="AO118" s="107" t="s">
        <v>519</v>
      </c>
      <c r="AP118" s="66"/>
      <c r="AQ118" t="s">
        <v>119</v>
      </c>
      <c r="AR118" s="107" t="s">
        <v>740</v>
      </c>
    </row>
    <row r="119" spans="1:44" x14ac:dyDescent="0.25">
      <c r="A119" s="287" t="s">
        <v>579</v>
      </c>
      <c r="B119" s="288" t="s">
        <v>642</v>
      </c>
      <c r="C119" s="288" t="s">
        <v>800</v>
      </c>
      <c r="D119" s="288">
        <v>465</v>
      </c>
      <c r="E119" s="288"/>
      <c r="F119" s="288" t="s">
        <v>682</v>
      </c>
      <c r="G119" s="288" t="s">
        <v>677</v>
      </c>
      <c r="H119" s="288"/>
      <c r="I119" s="288" t="s">
        <v>141</v>
      </c>
      <c r="J119" s="288">
        <v>115</v>
      </c>
      <c r="K119" s="288" t="s">
        <v>809</v>
      </c>
      <c r="L119" s="288"/>
      <c r="AD119" s="109"/>
      <c r="AE119" s="107"/>
      <c r="AF119" s="107"/>
      <c r="AG119" s="107"/>
      <c r="AH119" s="107"/>
      <c r="AI119" s="107"/>
      <c r="AJ119" s="107"/>
      <c r="AK119" s="107"/>
      <c r="AL119" s="107"/>
      <c r="AM119" s="107"/>
      <c r="AN119" s="107"/>
      <c r="AO119" s="107"/>
      <c r="AP119" s="107"/>
      <c r="AQ119" s="107"/>
    </row>
    <row r="120" spans="1:44" x14ac:dyDescent="0.25">
      <c r="A120" s="287" t="s">
        <v>579</v>
      </c>
      <c r="B120" s="288" t="s">
        <v>643</v>
      </c>
      <c r="C120" s="288" t="s">
        <v>801</v>
      </c>
      <c r="D120" s="288">
        <v>1100</v>
      </c>
      <c r="E120" s="288"/>
      <c r="F120" s="288" t="s">
        <v>682</v>
      </c>
      <c r="G120" s="288" t="s">
        <v>678</v>
      </c>
      <c r="H120" s="288"/>
      <c r="I120" s="288" t="s">
        <v>141</v>
      </c>
      <c r="J120" s="288">
        <v>116</v>
      </c>
      <c r="K120" s="288" t="s">
        <v>809</v>
      </c>
      <c r="L120" s="288"/>
      <c r="AD120" s="109" t="s">
        <v>125</v>
      </c>
      <c r="AE120" s="109" t="s">
        <v>922</v>
      </c>
      <c r="AF120" s="107" t="s">
        <v>748</v>
      </c>
      <c r="AG120" s="107" t="s">
        <v>749</v>
      </c>
      <c r="AH120" t="s">
        <v>939</v>
      </c>
      <c r="AI120" s="107" t="s">
        <v>133</v>
      </c>
      <c r="AJ120" s="107" t="s">
        <v>127</v>
      </c>
      <c r="AK120" s="107" t="s">
        <v>572</v>
      </c>
      <c r="AL120" s="107" t="s">
        <v>573</v>
      </c>
      <c r="AM120" s="107" t="s">
        <v>717</v>
      </c>
      <c r="AN120" s="107" t="s">
        <v>578</v>
      </c>
      <c r="AO120" s="107" t="s">
        <v>716</v>
      </c>
      <c r="AP120" s="107" t="s">
        <v>558</v>
      </c>
      <c r="AQ120" t="s">
        <v>991</v>
      </c>
      <c r="AR120" s="107" t="s">
        <v>715</v>
      </c>
    </row>
    <row r="121" spans="1:44" x14ac:dyDescent="0.25">
      <c r="A121" s="287"/>
      <c r="B121" s="288" t="s">
        <v>1227</v>
      </c>
      <c r="C121" s="288"/>
      <c r="D121" s="288" t="s">
        <v>761</v>
      </c>
      <c r="E121" s="288"/>
      <c r="F121" s="288"/>
      <c r="G121" s="288"/>
      <c r="H121" s="288"/>
      <c r="I121" s="288" t="s">
        <v>141</v>
      </c>
      <c r="J121" s="288">
        <v>117</v>
      </c>
      <c r="K121" s="288"/>
      <c r="L121" s="288"/>
      <c r="AD121" s="109" t="s">
        <v>1803</v>
      </c>
      <c r="AE121" s="109" t="s">
        <v>920</v>
      </c>
      <c r="AF121" t="s">
        <v>964</v>
      </c>
      <c r="AG121" s="107"/>
      <c r="AH121" s="107"/>
      <c r="AI121" s="107">
        <v>12</v>
      </c>
      <c r="AJ121" s="107"/>
      <c r="AK121" s="107"/>
      <c r="AL121" s="107"/>
      <c r="AM121" s="107"/>
      <c r="AN121" s="107">
        <v>1</v>
      </c>
      <c r="AO121" s="107" t="s">
        <v>146</v>
      </c>
      <c r="AP121" s="109"/>
      <c r="AQ121" t="s">
        <v>828</v>
      </c>
      <c r="AR121" s="107" t="s">
        <v>146</v>
      </c>
    </row>
    <row r="122" spans="1:44" x14ac:dyDescent="0.25">
      <c r="A122" s="287" t="s">
        <v>634</v>
      </c>
      <c r="B122" s="288" t="s">
        <v>645</v>
      </c>
      <c r="C122" s="288" t="s">
        <v>786</v>
      </c>
      <c r="D122" s="288">
        <v>50</v>
      </c>
      <c r="E122" s="288"/>
      <c r="F122" s="288" t="s">
        <v>687</v>
      </c>
      <c r="G122" s="288" t="s">
        <v>688</v>
      </c>
      <c r="H122" s="288"/>
      <c r="I122" s="288" t="s">
        <v>141</v>
      </c>
      <c r="J122" s="288">
        <v>118</v>
      </c>
      <c r="K122" s="288" t="s">
        <v>809</v>
      </c>
      <c r="L122" s="288"/>
      <c r="AD122" s="109" t="s">
        <v>1804</v>
      </c>
      <c r="AE122" s="109" t="s">
        <v>920</v>
      </c>
      <c r="AF122" t="s">
        <v>963</v>
      </c>
      <c r="AG122" s="107"/>
      <c r="AH122" s="107"/>
      <c r="AI122" s="107">
        <v>12</v>
      </c>
      <c r="AJ122" s="107"/>
      <c r="AK122" s="107"/>
      <c r="AL122" s="107"/>
      <c r="AM122" s="107"/>
      <c r="AN122" s="107">
        <v>2</v>
      </c>
      <c r="AO122" s="107" t="s">
        <v>146</v>
      </c>
      <c r="AP122" s="109"/>
      <c r="AQ122" t="s">
        <v>828</v>
      </c>
      <c r="AR122" s="107" t="s">
        <v>146</v>
      </c>
    </row>
    <row r="123" spans="1:44" x14ac:dyDescent="0.25">
      <c r="A123" s="287" t="s">
        <v>634</v>
      </c>
      <c r="B123" s="288" t="s">
        <v>646</v>
      </c>
      <c r="C123" s="288" t="s">
        <v>787</v>
      </c>
      <c r="D123" s="288">
        <v>74</v>
      </c>
      <c r="E123" s="288"/>
      <c r="F123" s="288" t="s">
        <v>687</v>
      </c>
      <c r="G123" s="288" t="s">
        <v>684</v>
      </c>
      <c r="H123" s="288"/>
      <c r="I123" s="288" t="s">
        <v>141</v>
      </c>
      <c r="J123" s="288">
        <v>119</v>
      </c>
      <c r="K123" s="288" t="s">
        <v>809</v>
      </c>
      <c r="L123" s="288"/>
      <c r="AD123" s="109" t="s">
        <v>1801</v>
      </c>
      <c r="AE123" s="109" t="s">
        <v>920</v>
      </c>
      <c r="AF123" t="s">
        <v>961</v>
      </c>
      <c r="AG123" s="107"/>
      <c r="AH123" s="107"/>
      <c r="AI123" s="107">
        <v>15</v>
      </c>
      <c r="AJ123" s="107"/>
      <c r="AK123" s="107"/>
      <c r="AL123" s="107"/>
      <c r="AM123" s="107"/>
      <c r="AN123" s="107">
        <v>3</v>
      </c>
      <c r="AO123" s="107" t="s">
        <v>146</v>
      </c>
      <c r="AP123" s="109"/>
      <c r="AQ123" t="s">
        <v>828</v>
      </c>
      <c r="AR123" s="107" t="s">
        <v>146</v>
      </c>
    </row>
    <row r="124" spans="1:44" x14ac:dyDescent="0.25">
      <c r="A124" s="287" t="s">
        <v>634</v>
      </c>
      <c r="B124" s="288" t="s">
        <v>647</v>
      </c>
      <c r="C124" s="288" t="s">
        <v>788</v>
      </c>
      <c r="D124" s="288">
        <v>93</v>
      </c>
      <c r="E124" s="288"/>
      <c r="F124" s="288" t="s">
        <v>687</v>
      </c>
      <c r="G124" s="288" t="s">
        <v>689</v>
      </c>
      <c r="H124" s="288"/>
      <c r="I124" s="288" t="s">
        <v>141</v>
      </c>
      <c r="J124" s="288">
        <v>120</v>
      </c>
      <c r="K124" s="288" t="s">
        <v>809</v>
      </c>
      <c r="L124" s="288"/>
      <c r="AD124" s="109" t="s">
        <v>1805</v>
      </c>
      <c r="AE124" s="109" t="s">
        <v>920</v>
      </c>
      <c r="AF124" t="s">
        <v>966</v>
      </c>
      <c r="AG124" s="107"/>
      <c r="AH124" s="107"/>
      <c r="AI124" s="107">
        <v>12</v>
      </c>
      <c r="AJ124" s="107"/>
      <c r="AK124" s="107"/>
      <c r="AL124" s="107"/>
      <c r="AM124" s="107"/>
      <c r="AN124" s="107">
        <v>4</v>
      </c>
      <c r="AO124" s="107" t="s">
        <v>146</v>
      </c>
      <c r="AP124" s="109"/>
      <c r="AQ124" t="s">
        <v>828</v>
      </c>
      <c r="AR124" s="107" t="s">
        <v>146</v>
      </c>
    </row>
    <row r="125" spans="1:44" x14ac:dyDescent="0.25">
      <c r="A125" s="287" t="s">
        <v>634</v>
      </c>
      <c r="B125" s="288" t="s">
        <v>648</v>
      </c>
      <c r="C125" s="288" t="s">
        <v>789</v>
      </c>
      <c r="D125" s="288">
        <v>125</v>
      </c>
      <c r="E125" s="288"/>
      <c r="F125" s="288" t="s">
        <v>687</v>
      </c>
      <c r="G125" s="288" t="s">
        <v>674</v>
      </c>
      <c r="H125" s="288"/>
      <c r="I125" s="288" t="s">
        <v>141</v>
      </c>
      <c r="J125" s="288">
        <v>121</v>
      </c>
      <c r="K125" s="288" t="s">
        <v>809</v>
      </c>
      <c r="L125" s="288"/>
      <c r="AD125" s="109" t="s">
        <v>1806</v>
      </c>
      <c r="AE125" s="109" t="s">
        <v>920</v>
      </c>
      <c r="AF125" t="s">
        <v>965</v>
      </c>
      <c r="AG125" s="107"/>
      <c r="AH125" s="107"/>
      <c r="AI125" s="107">
        <v>12</v>
      </c>
      <c r="AJ125" s="107"/>
      <c r="AK125" s="107"/>
      <c r="AL125" s="107"/>
      <c r="AM125" s="107"/>
      <c r="AN125" s="107">
        <v>5</v>
      </c>
      <c r="AO125" s="107" t="s">
        <v>146</v>
      </c>
      <c r="AP125" s="109"/>
      <c r="AQ125" t="s">
        <v>828</v>
      </c>
      <c r="AR125" s="107" t="s">
        <v>146</v>
      </c>
    </row>
    <row r="126" spans="1:44" x14ac:dyDescent="0.25">
      <c r="A126" s="287" t="s">
        <v>634</v>
      </c>
      <c r="B126" s="288" t="s">
        <v>649</v>
      </c>
      <c r="C126" s="288" t="s">
        <v>790</v>
      </c>
      <c r="D126" s="288">
        <v>205</v>
      </c>
      <c r="E126" s="288"/>
      <c r="F126" s="288" t="s">
        <v>687</v>
      </c>
      <c r="G126" s="288" t="s">
        <v>675</v>
      </c>
      <c r="H126" s="288"/>
      <c r="I126" s="288" t="s">
        <v>141</v>
      </c>
      <c r="J126" s="288">
        <v>122</v>
      </c>
      <c r="K126" s="288" t="s">
        <v>809</v>
      </c>
      <c r="L126" s="288"/>
      <c r="AD126" s="109" t="s">
        <v>1807</v>
      </c>
      <c r="AE126" s="109" t="s">
        <v>920</v>
      </c>
      <c r="AF126" t="s">
        <v>1281</v>
      </c>
      <c r="AG126" s="107"/>
      <c r="AH126" s="107"/>
      <c r="AI126" s="107">
        <v>15</v>
      </c>
      <c r="AJ126" s="107"/>
      <c r="AK126" s="107"/>
      <c r="AL126" s="107"/>
      <c r="AM126" s="107"/>
      <c r="AN126" s="107">
        <v>6</v>
      </c>
      <c r="AO126" s="107" t="s">
        <v>146</v>
      </c>
      <c r="AP126" s="109"/>
      <c r="AQ126" t="s">
        <v>828</v>
      </c>
      <c r="AR126" s="107" t="s">
        <v>146</v>
      </c>
    </row>
    <row r="127" spans="1:44" x14ac:dyDescent="0.25">
      <c r="A127" s="287" t="s">
        <v>634</v>
      </c>
      <c r="B127" s="288" t="s">
        <v>650</v>
      </c>
      <c r="C127" s="288" t="s">
        <v>791</v>
      </c>
      <c r="D127" s="288">
        <v>290</v>
      </c>
      <c r="E127" s="288"/>
      <c r="F127" s="288" t="s">
        <v>687</v>
      </c>
      <c r="G127" s="288" t="s">
        <v>676</v>
      </c>
      <c r="H127" s="288"/>
      <c r="I127" s="288" t="s">
        <v>141</v>
      </c>
      <c r="J127" s="288">
        <v>123</v>
      </c>
      <c r="K127" s="288" t="s">
        <v>809</v>
      </c>
      <c r="L127" s="288"/>
      <c r="AD127" s="109" t="s">
        <v>1808</v>
      </c>
      <c r="AE127" s="109" t="s">
        <v>920</v>
      </c>
      <c r="AF127" t="s">
        <v>946</v>
      </c>
      <c r="AG127" s="107"/>
      <c r="AH127" s="107"/>
      <c r="AI127" s="107">
        <v>12</v>
      </c>
      <c r="AJ127" s="107"/>
      <c r="AK127" s="107"/>
      <c r="AL127" s="107"/>
      <c r="AM127" s="107"/>
      <c r="AN127" s="107">
        <v>7</v>
      </c>
      <c r="AO127" s="107" t="s">
        <v>146</v>
      </c>
      <c r="AP127" s="109"/>
      <c r="AQ127" t="s">
        <v>828</v>
      </c>
      <c r="AR127" s="107" t="s">
        <v>146</v>
      </c>
    </row>
    <row r="128" spans="1:44" x14ac:dyDescent="0.25">
      <c r="A128" s="287" t="s">
        <v>634</v>
      </c>
      <c r="B128" s="288" t="s">
        <v>651</v>
      </c>
      <c r="C128" s="288" t="s">
        <v>792</v>
      </c>
      <c r="D128" s="288">
        <v>455</v>
      </c>
      <c r="E128" s="288"/>
      <c r="F128" s="288" t="s">
        <v>687</v>
      </c>
      <c r="G128" s="288" t="s">
        <v>677</v>
      </c>
      <c r="H128" s="288"/>
      <c r="I128" s="288" t="s">
        <v>141</v>
      </c>
      <c r="J128" s="288">
        <v>124</v>
      </c>
      <c r="K128" s="288" t="s">
        <v>809</v>
      </c>
      <c r="L128" s="288"/>
      <c r="AD128" s="109" t="s">
        <v>1809</v>
      </c>
      <c r="AE128" s="34" t="s">
        <v>937</v>
      </c>
      <c r="AF128" s="107" t="s">
        <v>756</v>
      </c>
      <c r="AG128" s="107"/>
      <c r="AH128" s="107"/>
      <c r="AI128" s="107">
        <v>12</v>
      </c>
      <c r="AJ128" s="107"/>
      <c r="AK128" s="107"/>
      <c r="AL128" s="107"/>
      <c r="AM128" s="107"/>
      <c r="AN128" s="107">
        <v>8</v>
      </c>
      <c r="AO128" s="107" t="s">
        <v>146</v>
      </c>
      <c r="AP128" s="109"/>
      <c r="AQ128" t="s">
        <v>119</v>
      </c>
      <c r="AR128" s="107" t="s">
        <v>146</v>
      </c>
    </row>
    <row r="129" spans="1:44" x14ac:dyDescent="0.25">
      <c r="A129" s="287" t="s">
        <v>634</v>
      </c>
      <c r="B129" s="288" t="s">
        <v>1448</v>
      </c>
      <c r="C129" s="288" t="s">
        <v>1486</v>
      </c>
      <c r="D129" s="288">
        <v>1075</v>
      </c>
      <c r="E129" s="288"/>
      <c r="F129" s="288" t="s">
        <v>687</v>
      </c>
      <c r="G129" s="288" t="s">
        <v>678</v>
      </c>
      <c r="H129" s="288"/>
      <c r="I129" s="288" t="s">
        <v>141</v>
      </c>
      <c r="J129" s="288">
        <v>125</v>
      </c>
      <c r="K129" s="288" t="s">
        <v>810</v>
      </c>
      <c r="L129" s="288"/>
      <c r="AD129" s="109" t="s">
        <v>1810</v>
      </c>
      <c r="AE129" s="34" t="s">
        <v>937</v>
      </c>
      <c r="AF129" s="107" t="s">
        <v>755</v>
      </c>
      <c r="AG129" s="107"/>
      <c r="AH129" s="107"/>
      <c r="AI129" s="107">
        <v>12</v>
      </c>
      <c r="AJ129" s="107"/>
      <c r="AK129" s="107"/>
      <c r="AL129" s="107"/>
      <c r="AM129" s="107"/>
      <c r="AN129" s="107">
        <v>9</v>
      </c>
      <c r="AO129" s="107" t="s">
        <v>146</v>
      </c>
      <c r="AP129" s="109"/>
      <c r="AQ129" t="s">
        <v>119</v>
      </c>
      <c r="AR129" s="107" t="s">
        <v>146</v>
      </c>
    </row>
    <row r="130" spans="1:44" x14ac:dyDescent="0.25">
      <c r="A130" s="109"/>
      <c r="B130" t="s">
        <v>1227</v>
      </c>
      <c r="C130" s="107"/>
      <c r="D130" s="107" t="s">
        <v>761</v>
      </c>
      <c r="E130" s="107"/>
      <c r="F130" s="107"/>
      <c r="G130" s="107"/>
      <c r="H130" s="107"/>
      <c r="I130" s="107"/>
      <c r="J130" s="288">
        <v>126</v>
      </c>
      <c r="K130" s="107"/>
      <c r="L130" s="107"/>
      <c r="AD130" s="109" t="s">
        <v>1811</v>
      </c>
      <c r="AE130" s="34" t="s">
        <v>937</v>
      </c>
      <c r="AF130" s="107" t="s">
        <v>743</v>
      </c>
      <c r="AG130" s="107"/>
      <c r="AH130" s="107"/>
      <c r="AI130" s="107">
        <v>15</v>
      </c>
      <c r="AJ130" s="107"/>
      <c r="AK130" s="107"/>
      <c r="AL130" s="107"/>
      <c r="AM130" s="107"/>
      <c r="AN130" s="107">
        <v>10</v>
      </c>
      <c r="AO130" s="107" t="s">
        <v>146</v>
      </c>
      <c r="AP130" s="109"/>
      <c r="AQ130" t="s">
        <v>119</v>
      </c>
      <c r="AR130" s="107" t="s">
        <v>146</v>
      </c>
    </row>
    <row r="131" spans="1:44" x14ac:dyDescent="0.25">
      <c r="A131" s="109" t="s">
        <v>654</v>
      </c>
      <c r="B131" t="s">
        <v>1926</v>
      </c>
      <c r="C131" s="107"/>
      <c r="D131" s="107" t="str">
        <f>""</f>
        <v/>
      </c>
      <c r="E131" s="107"/>
      <c r="F131" s="107" t="s">
        <v>915</v>
      </c>
      <c r="G131" s="107"/>
      <c r="H131" s="107"/>
      <c r="I131" s="107" t="s">
        <v>141</v>
      </c>
      <c r="J131" s="288">
        <v>127</v>
      </c>
      <c r="K131" s="107"/>
      <c r="L131" s="107"/>
      <c r="AD131" s="66" t="s">
        <v>1828</v>
      </c>
      <c r="AE131" s="34" t="s">
        <v>937</v>
      </c>
      <c r="AF131" s="107" t="s">
        <v>746</v>
      </c>
      <c r="AG131" s="107"/>
      <c r="AH131" s="107"/>
      <c r="AI131" s="107">
        <v>12</v>
      </c>
      <c r="AJ131" s="107"/>
      <c r="AK131" s="107"/>
      <c r="AL131" s="107"/>
      <c r="AM131" s="107"/>
      <c r="AN131" s="107">
        <v>11</v>
      </c>
      <c r="AO131" s="107" t="s">
        <v>146</v>
      </c>
      <c r="AP131" s="109"/>
      <c r="AQ131" t="s">
        <v>119</v>
      </c>
      <c r="AR131" s="107" t="s">
        <v>146</v>
      </c>
    </row>
    <row r="132" spans="1:44" x14ac:dyDescent="0.25">
      <c r="A132" s="109" t="s">
        <v>653</v>
      </c>
      <c r="B132" t="s">
        <v>1925</v>
      </c>
      <c r="C132" s="107"/>
      <c r="D132" s="107" t="str">
        <f>""</f>
        <v/>
      </c>
      <c r="E132" s="107"/>
      <c r="F132" s="107" t="s">
        <v>916</v>
      </c>
      <c r="G132" s="107"/>
      <c r="H132" s="107"/>
      <c r="I132" s="107" t="s">
        <v>141</v>
      </c>
      <c r="J132" s="288">
        <v>128</v>
      </c>
      <c r="K132" s="107"/>
      <c r="L132" s="107"/>
      <c r="AD132" s="66" t="s">
        <v>1829</v>
      </c>
      <c r="AE132" s="34" t="s">
        <v>937</v>
      </c>
      <c r="AF132" s="107" t="s">
        <v>745</v>
      </c>
      <c r="AG132" s="107"/>
      <c r="AH132" s="107"/>
      <c r="AI132" s="107">
        <v>12</v>
      </c>
      <c r="AJ132" s="107"/>
      <c r="AK132" s="107"/>
      <c r="AL132" s="107"/>
      <c r="AM132" s="107"/>
      <c r="AN132" s="107">
        <v>12</v>
      </c>
      <c r="AO132" s="107" t="s">
        <v>146</v>
      </c>
      <c r="AP132" s="109"/>
      <c r="AQ132" t="s">
        <v>119</v>
      </c>
      <c r="AR132" s="107" t="s">
        <v>146</v>
      </c>
    </row>
    <row r="133" spans="1:44" x14ac:dyDescent="0.25">
      <c r="A133" s="109" t="s">
        <v>652</v>
      </c>
      <c r="B133" t="s">
        <v>1924</v>
      </c>
      <c r="C133" s="107"/>
      <c r="D133" s="107" t="str">
        <f>""</f>
        <v/>
      </c>
      <c r="E133" s="107"/>
      <c r="F133" s="107" t="s">
        <v>918</v>
      </c>
      <c r="G133" s="107"/>
      <c r="H133" s="107"/>
      <c r="I133" s="107" t="s">
        <v>141</v>
      </c>
      <c r="J133" s="288">
        <v>129</v>
      </c>
      <c r="K133" s="107"/>
      <c r="L133" s="107"/>
      <c r="AD133" s="66" t="s">
        <v>1830</v>
      </c>
      <c r="AE133" s="34" t="s">
        <v>937</v>
      </c>
      <c r="AF133" t="s">
        <v>1309</v>
      </c>
      <c r="AG133" s="107"/>
      <c r="AH133" s="107"/>
      <c r="AI133" s="107">
        <v>15</v>
      </c>
      <c r="AJ133" s="107"/>
      <c r="AK133" s="107"/>
      <c r="AL133" s="107"/>
      <c r="AM133" s="107"/>
      <c r="AN133" s="107">
        <v>13</v>
      </c>
      <c r="AO133" s="107" t="s">
        <v>146</v>
      </c>
      <c r="AP133" s="109"/>
      <c r="AQ133" t="s">
        <v>119</v>
      </c>
      <c r="AR133" s="107" t="s">
        <v>146</v>
      </c>
    </row>
    <row r="134" spans="1:44" x14ac:dyDescent="0.25">
      <c r="A134" s="109" t="s">
        <v>656</v>
      </c>
      <c r="B134" t="s">
        <v>1923</v>
      </c>
      <c r="C134" s="107"/>
      <c r="D134" s="107" t="str">
        <f>""</f>
        <v/>
      </c>
      <c r="E134" s="107"/>
      <c r="F134" t="s">
        <v>994</v>
      </c>
      <c r="G134" s="107" t="s">
        <v>147</v>
      </c>
      <c r="H134" s="107"/>
      <c r="I134" s="107" t="s">
        <v>141</v>
      </c>
      <c r="J134" s="288">
        <v>130</v>
      </c>
      <c r="K134" s="107"/>
      <c r="L134" s="107"/>
      <c r="AD134" s="66" t="s">
        <v>1831</v>
      </c>
      <c r="AE134" s="34" t="s">
        <v>937</v>
      </c>
      <c r="AF134" t="s">
        <v>945</v>
      </c>
      <c r="AG134" s="107"/>
      <c r="AH134" s="107"/>
      <c r="AI134" s="107">
        <v>12</v>
      </c>
      <c r="AJ134" s="107"/>
      <c r="AK134" s="107"/>
      <c r="AL134" s="107"/>
      <c r="AM134" s="107"/>
      <c r="AN134" s="107">
        <v>14</v>
      </c>
      <c r="AO134" s="107" t="s">
        <v>146</v>
      </c>
      <c r="AP134" s="66"/>
      <c r="AQ134" t="s">
        <v>119</v>
      </c>
      <c r="AR134" s="107" t="s">
        <v>146</v>
      </c>
    </row>
    <row r="135" spans="1:44" x14ac:dyDescent="0.25">
      <c r="AD135" s="109"/>
      <c r="AE135" s="107"/>
      <c r="AF135" s="107"/>
      <c r="AG135" s="107"/>
      <c r="AH135" s="107"/>
      <c r="AI135" s="107"/>
      <c r="AJ135" s="107"/>
      <c r="AK135" s="107"/>
      <c r="AL135" s="107"/>
      <c r="AM135" s="107"/>
      <c r="AN135" s="107"/>
      <c r="AO135" s="107"/>
      <c r="AP135" s="107"/>
      <c r="AQ135" s="107"/>
    </row>
    <row r="136" spans="1:44" x14ac:dyDescent="0.25">
      <c r="AD136" s="109" t="s">
        <v>125</v>
      </c>
      <c r="AE136" s="109" t="s">
        <v>922</v>
      </c>
      <c r="AF136" s="107" t="s">
        <v>748</v>
      </c>
      <c r="AG136" s="107" t="s">
        <v>749</v>
      </c>
      <c r="AH136" t="s">
        <v>939</v>
      </c>
      <c r="AI136" s="107" t="s">
        <v>133</v>
      </c>
      <c r="AJ136" s="107" t="s">
        <v>127</v>
      </c>
      <c r="AK136" s="107" t="s">
        <v>572</v>
      </c>
      <c r="AL136" s="107" t="s">
        <v>573</v>
      </c>
      <c r="AM136" s="107" t="s">
        <v>717</v>
      </c>
      <c r="AN136" s="107" t="s">
        <v>578</v>
      </c>
      <c r="AO136" s="107" t="s">
        <v>716</v>
      </c>
      <c r="AP136" s="107" t="s">
        <v>558</v>
      </c>
      <c r="AQ136" t="s">
        <v>991</v>
      </c>
      <c r="AR136" s="107" t="s">
        <v>715</v>
      </c>
    </row>
    <row r="137" spans="1:44" x14ac:dyDescent="0.25">
      <c r="AD137" s="66" t="s">
        <v>1825</v>
      </c>
      <c r="AE137" s="109" t="s">
        <v>920</v>
      </c>
      <c r="AF137" t="s">
        <v>934</v>
      </c>
      <c r="AG137" s="107"/>
      <c r="AH137" s="107"/>
      <c r="AI137" s="107">
        <v>20</v>
      </c>
      <c r="AJ137" s="107"/>
      <c r="AK137" s="107"/>
      <c r="AL137" s="107"/>
      <c r="AM137" s="107"/>
      <c r="AN137" s="107">
        <v>1</v>
      </c>
      <c r="AO137" s="107" t="s">
        <v>513</v>
      </c>
      <c r="AP137" s="109"/>
      <c r="AQ137" t="s">
        <v>828</v>
      </c>
      <c r="AR137" s="107" t="s">
        <v>518</v>
      </c>
    </row>
    <row r="138" spans="1:44" x14ac:dyDescent="0.25">
      <c r="AD138" s="66" t="s">
        <v>1826</v>
      </c>
      <c r="AE138" s="109" t="s">
        <v>920</v>
      </c>
      <c r="AF138" t="s">
        <v>935</v>
      </c>
      <c r="AG138" s="107"/>
      <c r="AH138" s="107"/>
      <c r="AI138" s="107">
        <v>10</v>
      </c>
      <c r="AJ138" s="107"/>
      <c r="AK138" s="107"/>
      <c r="AL138" s="107"/>
      <c r="AM138" s="107"/>
      <c r="AN138" s="107">
        <v>2</v>
      </c>
      <c r="AO138" s="107" t="s">
        <v>513</v>
      </c>
      <c r="AP138" s="109"/>
      <c r="AQ138" t="s">
        <v>828</v>
      </c>
      <c r="AR138" s="107" t="s">
        <v>518</v>
      </c>
    </row>
    <row r="139" spans="1:44" x14ac:dyDescent="0.25">
      <c r="AD139" s="66" t="s">
        <v>1827</v>
      </c>
      <c r="AE139" s="109" t="s">
        <v>920</v>
      </c>
      <c r="AF139" t="s">
        <v>936</v>
      </c>
      <c r="AG139" s="107"/>
      <c r="AH139" s="107"/>
      <c r="AI139" s="107">
        <v>15</v>
      </c>
      <c r="AJ139" s="107"/>
      <c r="AK139" s="107"/>
      <c r="AL139" s="107"/>
      <c r="AM139" s="107"/>
      <c r="AN139" s="107">
        <v>3</v>
      </c>
      <c r="AO139" s="107" t="s">
        <v>513</v>
      </c>
      <c r="AP139" s="109"/>
      <c r="AQ139" t="s">
        <v>828</v>
      </c>
      <c r="AR139" s="107" t="s">
        <v>518</v>
      </c>
    </row>
    <row r="140" spans="1:44" x14ac:dyDescent="0.25">
      <c r="AD140" s="109" t="s">
        <v>2073</v>
      </c>
      <c r="AE140" s="109" t="s">
        <v>920</v>
      </c>
      <c r="AF140" t="s">
        <v>946</v>
      </c>
      <c r="AG140" s="107"/>
      <c r="AH140" s="107"/>
      <c r="AI140" s="107">
        <v>10</v>
      </c>
      <c r="AJ140" s="107"/>
      <c r="AK140" s="107"/>
      <c r="AL140" s="107"/>
      <c r="AM140" s="107"/>
      <c r="AN140" s="107">
        <v>4</v>
      </c>
      <c r="AO140" s="107" t="s">
        <v>513</v>
      </c>
      <c r="AP140" s="109"/>
      <c r="AQ140" t="s">
        <v>828</v>
      </c>
      <c r="AR140" s="107" t="s">
        <v>518</v>
      </c>
    </row>
    <row r="141" spans="1:44" x14ac:dyDescent="0.25">
      <c r="AD141" s="66" t="s">
        <v>1822</v>
      </c>
      <c r="AE141" s="34" t="s">
        <v>937</v>
      </c>
      <c r="AF141" s="107" t="s">
        <v>747</v>
      </c>
      <c r="AG141" s="107"/>
      <c r="AH141" s="107"/>
      <c r="AI141" s="107">
        <v>20</v>
      </c>
      <c r="AJ141" s="107"/>
      <c r="AK141" s="107"/>
      <c r="AL141" s="107"/>
      <c r="AM141" s="107"/>
      <c r="AN141" s="107">
        <v>5</v>
      </c>
      <c r="AO141" s="107" t="s">
        <v>513</v>
      </c>
      <c r="AP141" s="109"/>
      <c r="AQ141" t="s">
        <v>119</v>
      </c>
      <c r="AR141" s="107" t="s">
        <v>518</v>
      </c>
    </row>
    <row r="142" spans="1:44" x14ac:dyDescent="0.25">
      <c r="AD142" s="66" t="s">
        <v>1823</v>
      </c>
      <c r="AE142" s="34" t="s">
        <v>937</v>
      </c>
      <c r="AF142" s="107" t="s">
        <v>725</v>
      </c>
      <c r="AG142" s="107"/>
      <c r="AH142" s="107"/>
      <c r="AI142" s="107">
        <v>10</v>
      </c>
      <c r="AJ142" s="107"/>
      <c r="AK142" s="107"/>
      <c r="AL142" s="107"/>
      <c r="AM142" s="107"/>
      <c r="AN142" s="107">
        <v>6</v>
      </c>
      <c r="AO142" s="107" t="s">
        <v>513</v>
      </c>
      <c r="AP142" s="109"/>
      <c r="AQ142" t="s">
        <v>119</v>
      </c>
      <c r="AR142" s="107" t="s">
        <v>518</v>
      </c>
    </row>
    <row r="143" spans="1:44" x14ac:dyDescent="0.25">
      <c r="AD143" s="66" t="s">
        <v>1824</v>
      </c>
      <c r="AE143" s="34" t="s">
        <v>937</v>
      </c>
      <c r="AF143" s="107" t="s">
        <v>726</v>
      </c>
      <c r="AG143" s="107"/>
      <c r="AH143" s="107"/>
      <c r="AI143" s="107">
        <v>15</v>
      </c>
      <c r="AJ143" s="107"/>
      <c r="AK143" s="107"/>
      <c r="AL143" s="107"/>
      <c r="AM143" s="107"/>
      <c r="AN143" s="107">
        <v>7</v>
      </c>
      <c r="AO143" s="107" t="s">
        <v>513</v>
      </c>
      <c r="AP143" s="109"/>
      <c r="AQ143" t="s">
        <v>119</v>
      </c>
      <c r="AR143" s="107" t="s">
        <v>518</v>
      </c>
    </row>
    <row r="144" spans="1:44" x14ac:dyDescent="0.25">
      <c r="AD144" s="66" t="s">
        <v>2074</v>
      </c>
      <c r="AE144" s="34" t="s">
        <v>937</v>
      </c>
      <c r="AF144" t="s">
        <v>945</v>
      </c>
      <c r="AG144" s="107"/>
      <c r="AH144" s="107"/>
      <c r="AI144" s="107">
        <v>10</v>
      </c>
      <c r="AJ144" s="107"/>
      <c r="AK144" s="107"/>
      <c r="AL144" s="107"/>
      <c r="AM144" s="107"/>
      <c r="AN144" s="107">
        <v>8</v>
      </c>
      <c r="AO144" s="107" t="s">
        <v>513</v>
      </c>
      <c r="AP144" s="66"/>
      <c r="AQ144" t="s">
        <v>119</v>
      </c>
      <c r="AR144" s="107" t="s">
        <v>518</v>
      </c>
    </row>
    <row r="145" spans="30:43" x14ac:dyDescent="0.25">
      <c r="AD145" s="109"/>
      <c r="AE145" s="107"/>
      <c r="AF145" s="107"/>
      <c r="AG145" s="107"/>
      <c r="AH145" s="107"/>
      <c r="AI145" s="107"/>
      <c r="AJ145" s="107"/>
      <c r="AK145" s="107"/>
      <c r="AL145" s="107"/>
      <c r="AM145" s="107"/>
      <c r="AN145" s="107"/>
      <c r="AO145" s="107"/>
      <c r="AP145" s="107"/>
      <c r="AQ145" s="107"/>
    </row>
    <row r="146" spans="30:43" x14ac:dyDescent="0.25">
      <c r="AD146" s="109"/>
      <c r="AE146" s="107"/>
      <c r="AF146" s="107"/>
      <c r="AG146" s="107"/>
      <c r="AH146" s="107"/>
      <c r="AI146" s="107"/>
      <c r="AJ146" s="107"/>
      <c r="AK146" s="107"/>
      <c r="AL146" s="107"/>
      <c r="AM146" s="107"/>
      <c r="AN146" s="107"/>
      <c r="AO146" s="107"/>
      <c r="AP146" s="107"/>
      <c r="AQ146" s="107"/>
    </row>
    <row r="147" spans="30:43" x14ac:dyDescent="0.25">
      <c r="AD147" s="109"/>
      <c r="AE147" s="107"/>
      <c r="AF147" s="107"/>
      <c r="AG147" s="107"/>
      <c r="AH147" s="107"/>
      <c r="AI147" s="107"/>
      <c r="AJ147" s="107"/>
      <c r="AK147" s="107"/>
      <c r="AL147" s="107"/>
      <c r="AM147" s="107"/>
      <c r="AN147" s="107"/>
      <c r="AO147" s="107"/>
      <c r="AP147" s="107"/>
      <c r="AQ147" s="107"/>
    </row>
  </sheetData>
  <sheetProtection algorithmName="SHA-512" hashValue="Du6VjG3NwzsZ3hkGBW1p92USwNIo2nJ/lJ1eNBsAYBqyMOaTM7Rrw9Yxg4lWa86JThPpKv4isf1F7aK94f0nQQ==" saltValue="p30RIU4zeRj8OGJevHKjdA==" spinCount="100000" sheet="1" objects="1" scenarios="1"/>
  <pageMargins left="0.7" right="0.7" top="0.75" bottom="0.75" header="0.3" footer="0.3"/>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pageSetUpPr fitToPage="1"/>
  </sheetPr>
  <dimension ref="A1:AW202"/>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49"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9" ht="15.95" customHeight="1" x14ac:dyDescent="0.25">
      <c r="AH3" s="604"/>
      <c r="AI3" s="605"/>
      <c r="AJ3" s="605"/>
      <c r="AK3" s="605"/>
      <c r="AL3" s="614"/>
      <c r="AM3" s="614"/>
      <c r="AN3" s="614"/>
      <c r="AO3" s="614"/>
      <c r="AP3" s="614"/>
      <c r="AQ3" s="610"/>
      <c r="AR3" s="611"/>
    </row>
    <row r="4" spans="2:49" ht="15.95" customHeight="1" x14ac:dyDescent="0.25"/>
    <row r="5" spans="2:49"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49"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49"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49"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49" ht="15.95" customHeight="1" x14ac:dyDescent="0.25">
      <c r="B9" s="69"/>
      <c r="C9" s="69"/>
      <c r="D9" s="69"/>
      <c r="E9" s="69"/>
      <c r="F9" s="69"/>
      <c r="G9" s="69"/>
      <c r="H9" s="69"/>
      <c r="I9" s="69"/>
      <c r="J9" s="69"/>
      <c r="K9" s="69"/>
      <c r="L9" s="69"/>
      <c r="M9" s="69"/>
      <c r="N9" s="69"/>
      <c r="O9" s="794" t="str">
        <f>IF(INCENSTATUS="---",CONCATENATE(M4S4," ","Summary"),IF(INCENSTATUS&gt;15000,"This project may require an inspection. Please submit photos of existing equipment and of new efficient equipment once installed.",CONCATENATE(M4S4," ","Summary")))</f>
        <v>Water Heating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49"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49" ht="15.95" customHeight="1" x14ac:dyDescent="0.3">
      <c r="B11" s="69"/>
      <c r="C11" s="69"/>
      <c r="D11" s="69"/>
      <c r="E11" s="69"/>
      <c r="F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1685</v>
      </c>
      <c r="AA11" s="1042"/>
      <c r="AB11" s="1042"/>
      <c r="AC11" s="1042"/>
      <c r="AE11" s="69"/>
      <c r="AK11" s="69"/>
      <c r="AL11" s="69"/>
      <c r="AM11" s="69"/>
      <c r="AN11" s="69"/>
      <c r="AO11" s="69"/>
      <c r="AP11" s="69"/>
      <c r="AQ11" s="69"/>
      <c r="AR11" s="69"/>
    </row>
    <row r="12" spans="2:49" ht="15.95" customHeight="1" x14ac:dyDescent="0.25">
      <c r="B12" s="69"/>
      <c r="C12" s="69"/>
      <c r="D12" s="69"/>
      <c r="E12" s="69"/>
      <c r="F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49"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E13" s="69"/>
      <c r="AF13" s="69"/>
      <c r="AG13" s="69"/>
      <c r="AH13" s="69"/>
      <c r="AI13" s="69"/>
      <c r="AJ13" s="69"/>
      <c r="AK13" s="69"/>
      <c r="AL13" s="69"/>
      <c r="AM13" s="69"/>
      <c r="AN13" s="69"/>
      <c r="AO13" s="69"/>
      <c r="AP13" s="69"/>
      <c r="AQ13" s="69"/>
      <c r="AR13" s="69"/>
      <c r="AU13" s="69">
        <f>SUMPRODUCT(--(LEN(C16:AH35)&gt;0))</f>
        <v>0</v>
      </c>
    </row>
    <row r="14" spans="2:49" ht="15.95" customHeight="1" x14ac:dyDescent="0.25">
      <c r="B14" s="69"/>
      <c r="C14" s="799" t="s">
        <v>1126</v>
      </c>
      <c r="D14" s="799"/>
      <c r="E14" s="799"/>
      <c r="F14" s="799"/>
      <c r="G14" s="799"/>
      <c r="H14" s="799"/>
      <c r="I14" s="799"/>
      <c r="J14" s="799"/>
      <c r="K14" s="799"/>
      <c r="L14" s="799"/>
      <c r="M14" s="799"/>
      <c r="N14" s="799" t="s">
        <v>91</v>
      </c>
      <c r="O14" s="799"/>
      <c r="P14" s="799"/>
      <c r="Q14" s="799"/>
      <c r="R14" s="799"/>
      <c r="S14" s="799"/>
      <c r="T14" s="799" t="s">
        <v>90</v>
      </c>
      <c r="U14" s="799"/>
      <c r="V14" s="799" t="s">
        <v>86</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S14" s="69"/>
      <c r="AT14" s="69"/>
      <c r="AU14" s="799" t="s">
        <v>191</v>
      </c>
      <c r="AV14" s="799" t="s">
        <v>192</v>
      </c>
      <c r="AW14" s="799" t="s">
        <v>1352</v>
      </c>
    </row>
    <row r="15" spans="2:49" ht="15.95" customHeight="1" thickBot="1" x14ac:dyDescent="0.3">
      <c r="B15" s="69"/>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S15" s="69"/>
      <c r="AT15" s="69"/>
      <c r="AU15" s="746"/>
      <c r="AV15" s="746"/>
      <c r="AW15" s="746"/>
    </row>
    <row r="16" spans="2:49" ht="15.95" customHeight="1" x14ac:dyDescent="0.25">
      <c r="B16" s="1193">
        <v>1</v>
      </c>
      <c r="C16" s="1470"/>
      <c r="D16" s="1471"/>
      <c r="E16" s="1471"/>
      <c r="F16" s="1471"/>
      <c r="G16" s="1471"/>
      <c r="H16" s="1471"/>
      <c r="I16" s="1471"/>
      <c r="J16" s="1471"/>
      <c r="K16" s="1471"/>
      <c r="L16" s="1471"/>
      <c r="M16" s="1472"/>
      <c r="N16" s="1707" t="str">
        <f>IF(C16="","",INDEX(PMEMOTOR[Base Desc 1],MATCH(C16,PMEMOTOR[Eff Desc 1],0)))</f>
        <v/>
      </c>
      <c r="O16" s="1708"/>
      <c r="P16" s="1708"/>
      <c r="Q16" s="1708"/>
      <c r="R16" s="1708"/>
      <c r="S16" s="1709"/>
      <c r="T16" s="1713" t="str">
        <f>IF(C16="","",INDEX(PMEMOTOR[Unit of Measure],MATCH(C16,PMEMOTOR[Eff Desc 1],0)))</f>
        <v/>
      </c>
      <c r="U16" s="1714"/>
      <c r="V16" s="1717"/>
      <c r="W16" s="1718"/>
      <c r="X16" s="1760"/>
      <c r="Y16" s="1471"/>
      <c r="Z16" s="1471"/>
      <c r="AA16" s="1472"/>
      <c r="AB16" s="1760"/>
      <c r="AC16" s="1471"/>
      <c r="AD16" s="1472"/>
      <c r="AE16" s="1722"/>
      <c r="AF16" s="1723"/>
      <c r="AG16" s="1722"/>
      <c r="AH16" s="1723"/>
      <c r="AI16" s="1735" t="str">
        <f>IF(C16="","",INDEX(PMEMOTOR[Inc Rate Unit],MATCH(C16,PMEMOTOR[Eff Desc 1],0)))</f>
        <v/>
      </c>
      <c r="AJ16" s="1736"/>
      <c r="AK16" s="1728" t="str">
        <f>IF(OR(C16="",V16="",X16="",AB16="",AE16="",AG16=""),"",ROUND(V16*INDEX(PMEMOTOR[Savings per Unit kWh],MATCH(C16,PMEMOTOR[Eff Desc 1],0)),0))</f>
        <v/>
      </c>
      <c r="AL16" s="1729"/>
      <c r="AM16" s="1729"/>
      <c r="AN16" s="1730"/>
      <c r="AO16" s="1751" t="str">
        <f>IF(M02S02F44="","Update Install Status",IF(M02S02F49="Yes","Not Eligible",IF(OR(C16="",V16="",X16="",AB16="",AE16="",AG16=""),"",MIN(AU16,ROUND(V16*AI16,2)))))</f>
        <v>Update Install Status</v>
      </c>
      <c r="AP16" s="1752"/>
      <c r="AQ16" s="1753"/>
      <c r="AR16" s="69"/>
      <c r="AS16" s="69"/>
      <c r="AT16" s="69"/>
      <c r="AU16" s="804" t="str">
        <f>IF(OR(,V16="",X16="",AB16="",AE16="",AG16=""),"",ROUND((AE16+AG16),2))</f>
        <v/>
      </c>
      <c r="AV16" s="752" t="str">
        <f>IF(OR(C16="",V16="",X16="",AB16="",AE16="",AG16=""),"",ROUND(AK16*INDEX(ENDUSEALL[Factor],MATCH(INDEX(PMEMOTOR[End Use Category],MATCH(C16,PMEMOTOR[Eff Desc 1],0)),ENDUSEALL[End Use to Coincident Peak Demand Factors],0)),4))</f>
        <v/>
      </c>
      <c r="AW16" s="752" t="str">
        <f>IFERROR(IF(AI16*V16&gt;AO16,"Yes","No"),"")</f>
        <v/>
      </c>
    </row>
    <row r="17" spans="2:49" ht="15.95" customHeight="1" x14ac:dyDescent="0.25">
      <c r="B17" s="1193"/>
      <c r="C17" s="824"/>
      <c r="D17" s="825"/>
      <c r="E17" s="825"/>
      <c r="F17" s="825"/>
      <c r="G17" s="825"/>
      <c r="H17" s="825"/>
      <c r="I17" s="825"/>
      <c r="J17" s="825"/>
      <c r="K17" s="825"/>
      <c r="L17" s="825"/>
      <c r="M17" s="826"/>
      <c r="N17" s="1710"/>
      <c r="O17" s="1711"/>
      <c r="P17" s="1711"/>
      <c r="Q17" s="1711"/>
      <c r="R17" s="1711"/>
      <c r="S17" s="1712"/>
      <c r="T17" s="1715"/>
      <c r="U17" s="1716"/>
      <c r="V17" s="1719"/>
      <c r="W17" s="1720"/>
      <c r="X17" s="824"/>
      <c r="Y17" s="825"/>
      <c r="Z17" s="825"/>
      <c r="AA17" s="826"/>
      <c r="AB17" s="824"/>
      <c r="AC17" s="825"/>
      <c r="AD17" s="826"/>
      <c r="AE17" s="1724"/>
      <c r="AF17" s="1725"/>
      <c r="AG17" s="1724"/>
      <c r="AH17" s="1725"/>
      <c r="AI17" s="1737"/>
      <c r="AJ17" s="1738"/>
      <c r="AK17" s="1696"/>
      <c r="AL17" s="1697"/>
      <c r="AM17" s="1697"/>
      <c r="AN17" s="1698"/>
      <c r="AO17" s="1754"/>
      <c r="AP17" s="1755"/>
      <c r="AQ17" s="1756"/>
      <c r="AR17" s="69"/>
      <c r="AS17" s="69"/>
      <c r="AT17" s="69"/>
      <c r="AU17" s="805"/>
      <c r="AV17" s="753"/>
      <c r="AW17" s="753"/>
    </row>
    <row r="18" spans="2:49" ht="15.95" customHeight="1" x14ac:dyDescent="0.25">
      <c r="B18" s="1204">
        <v>2</v>
      </c>
      <c r="C18" s="1470"/>
      <c r="D18" s="1471"/>
      <c r="E18" s="1471"/>
      <c r="F18" s="1471"/>
      <c r="G18" s="1471"/>
      <c r="H18" s="1471"/>
      <c r="I18" s="1471"/>
      <c r="J18" s="1471"/>
      <c r="K18" s="1471"/>
      <c r="L18" s="1471"/>
      <c r="M18" s="1472"/>
      <c r="N18" s="1707" t="str">
        <f>IF(C18="","",INDEX(PMEMOTOR[Base Desc 1],MATCH(C18,PMEMOTOR[Eff Desc 1],0)))</f>
        <v/>
      </c>
      <c r="O18" s="1708"/>
      <c r="P18" s="1708"/>
      <c r="Q18" s="1708"/>
      <c r="R18" s="1708"/>
      <c r="S18" s="1709"/>
      <c r="T18" s="1713" t="str">
        <f>IF(C18="","",INDEX(PMEMOTOR[Unit of Measure],MATCH(C18,PMEMOTOR[Eff Desc 1],0)))</f>
        <v/>
      </c>
      <c r="U18" s="1714"/>
      <c r="V18" s="1717"/>
      <c r="W18" s="1718"/>
      <c r="X18" s="1470"/>
      <c r="Y18" s="1471"/>
      <c r="Z18" s="1471"/>
      <c r="AA18" s="1472"/>
      <c r="AB18" s="1470"/>
      <c r="AC18" s="1471"/>
      <c r="AD18" s="1472"/>
      <c r="AE18" s="1722"/>
      <c r="AF18" s="1723"/>
      <c r="AG18" s="1722"/>
      <c r="AH18" s="1723"/>
      <c r="AI18" s="1735" t="str">
        <f>IF(C18="","",INDEX(PMEMOTOR[Inc Rate Unit],MATCH(C18,PMEMOTOR[Eff Desc 1],0)))</f>
        <v/>
      </c>
      <c r="AJ18" s="1736"/>
      <c r="AK18" s="1728" t="str">
        <f>IF(OR(C18="",V18="",X18="",AB18="",AE18="",AG18=""),"",ROUND(V18*INDEX(PMEMOTOR[Savings per Unit kWh],MATCH(C18,PMEMOTOR[Eff Desc 1],0)),0))</f>
        <v/>
      </c>
      <c r="AL18" s="1729"/>
      <c r="AM18" s="1729"/>
      <c r="AN18" s="1730"/>
      <c r="AO18" s="1751" t="str">
        <f>IF(M02S02F44="","Update Install Status",IF(M02S02F49="Yes","Not Eligible",IF(OR(C18="",V18="",X18="",AB18="",AE18="",AG18=""),"",MIN(AU18,ROUND(V18*AI18,2)))))</f>
        <v>Update Install Status</v>
      </c>
      <c r="AP18" s="1752"/>
      <c r="AQ18" s="1753"/>
      <c r="AR18" s="69"/>
      <c r="AS18" s="69"/>
      <c r="AT18" s="69"/>
      <c r="AU18" s="804" t="str">
        <f t="shared" ref="AU18" si="0">IF(OR(,V18="",X18="",AB18="",AE18="",AG18=""),"",ROUND((AE18+AG18),2))</f>
        <v/>
      </c>
      <c r="AV18" s="752" t="str">
        <f>IF(OR(C18="",V18="",X18="",AB18="",AE18="",AG18=""),"",ROUND(AK18*INDEX(ENDUSEALL[Factor],MATCH(INDEX(PMEMOTOR[End Use Category],MATCH(C18,PMEMOTOR[Eff Desc 1],0)),ENDUSEALL[End Use to Coincident Peak Demand Factors],0)),4))</f>
        <v/>
      </c>
      <c r="AW18" s="752" t="str">
        <f>IFERROR(IF(AI18*V18&gt;AO18,"Yes","No"),"")</f>
        <v/>
      </c>
    </row>
    <row r="19" spans="2:49" ht="15.95" customHeight="1" x14ac:dyDescent="0.25">
      <c r="B19" s="1204"/>
      <c r="C19" s="824"/>
      <c r="D19" s="825"/>
      <c r="E19" s="825"/>
      <c r="F19" s="825"/>
      <c r="G19" s="825"/>
      <c r="H19" s="825"/>
      <c r="I19" s="825"/>
      <c r="J19" s="825"/>
      <c r="K19" s="825"/>
      <c r="L19" s="825"/>
      <c r="M19" s="826"/>
      <c r="N19" s="1710"/>
      <c r="O19" s="1711"/>
      <c r="P19" s="1711"/>
      <c r="Q19" s="1711"/>
      <c r="R19" s="1711"/>
      <c r="S19" s="1712"/>
      <c r="T19" s="1715"/>
      <c r="U19" s="1716"/>
      <c r="V19" s="1719"/>
      <c r="W19" s="1720"/>
      <c r="X19" s="824"/>
      <c r="Y19" s="825"/>
      <c r="Z19" s="825"/>
      <c r="AA19" s="826"/>
      <c r="AB19" s="824"/>
      <c r="AC19" s="825"/>
      <c r="AD19" s="826"/>
      <c r="AE19" s="1724"/>
      <c r="AF19" s="1725"/>
      <c r="AG19" s="1724"/>
      <c r="AH19" s="1725"/>
      <c r="AI19" s="1737"/>
      <c r="AJ19" s="1738"/>
      <c r="AK19" s="1696"/>
      <c r="AL19" s="1697"/>
      <c r="AM19" s="1697"/>
      <c r="AN19" s="1698"/>
      <c r="AO19" s="1754"/>
      <c r="AP19" s="1755"/>
      <c r="AQ19" s="1756"/>
      <c r="AR19" s="69"/>
      <c r="AS19" s="69"/>
      <c r="AT19" s="69"/>
      <c r="AU19" s="805"/>
      <c r="AV19" s="753"/>
      <c r="AW19" s="753"/>
    </row>
    <row r="20" spans="2:49" ht="15.95" customHeight="1" x14ac:dyDescent="0.25">
      <c r="B20" s="1204">
        <v>3</v>
      </c>
      <c r="C20" s="1470"/>
      <c r="D20" s="1471"/>
      <c r="E20" s="1471"/>
      <c r="F20" s="1471"/>
      <c r="G20" s="1471"/>
      <c r="H20" s="1471"/>
      <c r="I20" s="1471"/>
      <c r="J20" s="1471"/>
      <c r="K20" s="1471"/>
      <c r="L20" s="1471"/>
      <c r="M20" s="1472"/>
      <c r="N20" s="1707" t="str">
        <f>IF(C20="","",INDEX(PMEMOTOR[Base Desc 1],MATCH(C20,PMEMOTOR[Eff Desc 1],0)))</f>
        <v/>
      </c>
      <c r="O20" s="1708"/>
      <c r="P20" s="1708"/>
      <c r="Q20" s="1708"/>
      <c r="R20" s="1708"/>
      <c r="S20" s="1709"/>
      <c r="T20" s="1713" t="str">
        <f>IF(C20="","",INDEX(PMEMOTOR[Unit of Measure],MATCH(C20,PMEMOTOR[Eff Desc 1],0)))</f>
        <v/>
      </c>
      <c r="U20" s="1714"/>
      <c r="V20" s="1717"/>
      <c r="W20" s="1718"/>
      <c r="X20" s="1470"/>
      <c r="Y20" s="1471"/>
      <c r="Z20" s="1471"/>
      <c r="AA20" s="1472"/>
      <c r="AB20" s="1470"/>
      <c r="AC20" s="1471"/>
      <c r="AD20" s="1472"/>
      <c r="AE20" s="1722"/>
      <c r="AF20" s="1723"/>
      <c r="AG20" s="1722"/>
      <c r="AH20" s="1723"/>
      <c r="AI20" s="1735" t="str">
        <f>IF(C20="","",INDEX(PMEMOTOR[Inc Rate Unit],MATCH(C20,PMEMOTOR[Eff Desc 1],0)))</f>
        <v/>
      </c>
      <c r="AJ20" s="1736"/>
      <c r="AK20" s="1728" t="str">
        <f>IF(OR(C20="",V20="",X20="",AB20="",AE20="",AG20=""),"",ROUND(V20*INDEX(PMEMOTOR[Savings per Unit kWh],MATCH(C20,PMEMOTOR[Eff Desc 1],0)),0))</f>
        <v/>
      </c>
      <c r="AL20" s="1729"/>
      <c r="AM20" s="1729"/>
      <c r="AN20" s="1730"/>
      <c r="AO20" s="1751" t="str">
        <f>IF(M02S02F44="","Update Install Status",IF(M02S02F49="Yes","Not Eligible",IF(OR(C20="",V20="",X20="",AB20="",AE20="",AG20=""),"",MIN(AU20,ROUND(V20*AI20,2)))))</f>
        <v>Update Install Status</v>
      </c>
      <c r="AP20" s="1752"/>
      <c r="AQ20" s="1753"/>
      <c r="AR20" s="69"/>
      <c r="AS20" s="69"/>
      <c r="AT20" s="69"/>
      <c r="AU20" s="804" t="str">
        <f t="shared" ref="AU20" si="1">IF(OR(,V20="",X20="",AB20="",AE20="",AG20=""),"",ROUND((AE20+AG20),2))</f>
        <v/>
      </c>
      <c r="AV20" s="752" t="str">
        <f>IF(OR(C20="",V20="",X20="",AB20="",AE20="",AG20=""),"",ROUND(AK20*INDEX(ENDUSEALL[Factor],MATCH(INDEX(PMEMOTOR[End Use Category],MATCH(C20,PMEMOTOR[Eff Desc 1],0)),ENDUSEALL[End Use to Coincident Peak Demand Factors],0)),4))</f>
        <v/>
      </c>
      <c r="AW20" s="752" t="str">
        <f>IFERROR(IF(AI20*V20&gt;AO20,"Yes","No"),"")</f>
        <v/>
      </c>
    </row>
    <row r="21" spans="2:49" ht="15.95" customHeight="1" x14ac:dyDescent="0.25">
      <c r="B21" s="1204"/>
      <c r="C21" s="824"/>
      <c r="D21" s="825"/>
      <c r="E21" s="825"/>
      <c r="F21" s="825"/>
      <c r="G21" s="825"/>
      <c r="H21" s="825"/>
      <c r="I21" s="825"/>
      <c r="J21" s="825"/>
      <c r="K21" s="825"/>
      <c r="L21" s="825"/>
      <c r="M21" s="826"/>
      <c r="N21" s="1710"/>
      <c r="O21" s="1711"/>
      <c r="P21" s="1711"/>
      <c r="Q21" s="1711"/>
      <c r="R21" s="1711"/>
      <c r="S21" s="1712"/>
      <c r="T21" s="1715"/>
      <c r="U21" s="1716"/>
      <c r="V21" s="1719"/>
      <c r="W21" s="1720"/>
      <c r="X21" s="824"/>
      <c r="Y21" s="825"/>
      <c r="Z21" s="825"/>
      <c r="AA21" s="826"/>
      <c r="AB21" s="824"/>
      <c r="AC21" s="825"/>
      <c r="AD21" s="826"/>
      <c r="AE21" s="1724"/>
      <c r="AF21" s="1725"/>
      <c r="AG21" s="1724"/>
      <c r="AH21" s="1725"/>
      <c r="AI21" s="1737"/>
      <c r="AJ21" s="1738"/>
      <c r="AK21" s="1696"/>
      <c r="AL21" s="1697"/>
      <c r="AM21" s="1697"/>
      <c r="AN21" s="1698"/>
      <c r="AO21" s="1754"/>
      <c r="AP21" s="1755"/>
      <c r="AQ21" s="1756"/>
      <c r="AR21" s="69"/>
      <c r="AS21" s="69"/>
      <c r="AT21" s="69"/>
      <c r="AU21" s="805"/>
      <c r="AV21" s="753"/>
      <c r="AW21" s="753"/>
    </row>
    <row r="22" spans="2:49" ht="15.95" customHeight="1" x14ac:dyDescent="0.25">
      <c r="B22" s="1204">
        <v>4</v>
      </c>
      <c r="C22" s="1470"/>
      <c r="D22" s="1471"/>
      <c r="E22" s="1471"/>
      <c r="F22" s="1471"/>
      <c r="G22" s="1471"/>
      <c r="H22" s="1471"/>
      <c r="I22" s="1471"/>
      <c r="J22" s="1471"/>
      <c r="K22" s="1471"/>
      <c r="L22" s="1471"/>
      <c r="M22" s="1472"/>
      <c r="N22" s="1707" t="str">
        <f>IF(C22="","",INDEX(PMEMOTOR[Base Desc 1],MATCH(C22,PMEMOTOR[Eff Desc 1],0)))</f>
        <v/>
      </c>
      <c r="O22" s="1708"/>
      <c r="P22" s="1708"/>
      <c r="Q22" s="1708"/>
      <c r="R22" s="1708"/>
      <c r="S22" s="1709"/>
      <c r="T22" s="1713" t="str">
        <f>IF(C22="","",INDEX(PMEMOTOR[Unit of Measure],MATCH(C22,PMEMOTOR[Eff Desc 1],0)))</f>
        <v/>
      </c>
      <c r="U22" s="1714"/>
      <c r="V22" s="1717"/>
      <c r="W22" s="1718"/>
      <c r="X22" s="1470"/>
      <c r="Y22" s="1471"/>
      <c r="Z22" s="1471"/>
      <c r="AA22" s="1472"/>
      <c r="AB22" s="1470"/>
      <c r="AC22" s="1471"/>
      <c r="AD22" s="1472"/>
      <c r="AE22" s="1722"/>
      <c r="AF22" s="1723"/>
      <c r="AG22" s="1722"/>
      <c r="AH22" s="1723"/>
      <c r="AI22" s="1735" t="str">
        <f>IF(C22="","",INDEX(PMEMOTOR[Inc Rate Unit],MATCH(C22,PMEMOTOR[Eff Desc 1],0)))</f>
        <v/>
      </c>
      <c r="AJ22" s="1736"/>
      <c r="AK22" s="1728" t="str">
        <f>IF(OR(C22="",V22="",X22="",AB22="",AE22="",AG22=""),"",ROUND(V22*INDEX(PMEMOTOR[Savings per Unit kWh],MATCH(C22,PMEMOTOR[Eff Desc 1],0)),0))</f>
        <v/>
      </c>
      <c r="AL22" s="1729"/>
      <c r="AM22" s="1729"/>
      <c r="AN22" s="1730"/>
      <c r="AO22" s="1751" t="str">
        <f>IF(M02S02F44="","Update Install Status",IF(M02S02F49="Yes","Not Eligible",IF(OR(C22="",V22="",X22="",AB22="",AE22="",AG22=""),"",MIN(AU22,ROUND(V22*AI22,2)))))</f>
        <v>Update Install Status</v>
      </c>
      <c r="AP22" s="1752"/>
      <c r="AQ22" s="1753"/>
      <c r="AR22" s="69"/>
      <c r="AS22" s="69"/>
      <c r="AT22" s="69"/>
      <c r="AU22" s="804" t="str">
        <f t="shared" ref="AU22" si="2">IF(OR(,V22="",X22="",AB22="",AE22="",AG22=""),"",ROUND((AE22+AG22),2))</f>
        <v/>
      </c>
      <c r="AV22" s="752" t="str">
        <f>IF(OR(C22="",V22="",X22="",AB22="",AE22="",AG22=""),"",ROUND(AK22*INDEX(ENDUSEALL[Factor],MATCH(INDEX(PMEMOTOR[End Use Category],MATCH(C22,PMEMOTOR[Eff Desc 1],0)),ENDUSEALL[End Use to Coincident Peak Demand Factors],0)),4))</f>
        <v/>
      </c>
      <c r="AW22" s="752" t="str">
        <f>IFERROR(IF(AI22*V22&gt;AO22,"Yes","No"),"")</f>
        <v/>
      </c>
    </row>
    <row r="23" spans="2:49" ht="15.95" customHeight="1" x14ac:dyDescent="0.25">
      <c r="B23" s="1204"/>
      <c r="C23" s="824"/>
      <c r="D23" s="825"/>
      <c r="E23" s="825"/>
      <c r="F23" s="825"/>
      <c r="G23" s="825"/>
      <c r="H23" s="825"/>
      <c r="I23" s="825"/>
      <c r="J23" s="825"/>
      <c r="K23" s="825"/>
      <c r="L23" s="825"/>
      <c r="M23" s="826"/>
      <c r="N23" s="1710"/>
      <c r="O23" s="1711"/>
      <c r="P23" s="1711"/>
      <c r="Q23" s="1711"/>
      <c r="R23" s="1711"/>
      <c r="S23" s="1712"/>
      <c r="T23" s="1715"/>
      <c r="U23" s="1716"/>
      <c r="V23" s="1719"/>
      <c r="W23" s="1720"/>
      <c r="X23" s="824"/>
      <c r="Y23" s="825"/>
      <c r="Z23" s="825"/>
      <c r="AA23" s="826"/>
      <c r="AB23" s="824"/>
      <c r="AC23" s="825"/>
      <c r="AD23" s="826"/>
      <c r="AE23" s="1724"/>
      <c r="AF23" s="1725"/>
      <c r="AG23" s="1724"/>
      <c r="AH23" s="1725"/>
      <c r="AI23" s="1737"/>
      <c r="AJ23" s="1738"/>
      <c r="AK23" s="1696"/>
      <c r="AL23" s="1697"/>
      <c r="AM23" s="1697"/>
      <c r="AN23" s="1698"/>
      <c r="AO23" s="1754"/>
      <c r="AP23" s="1755"/>
      <c r="AQ23" s="1756"/>
      <c r="AR23" s="69"/>
      <c r="AS23" s="69"/>
      <c r="AT23" s="69"/>
      <c r="AU23" s="805"/>
      <c r="AV23" s="753"/>
      <c r="AW23" s="753"/>
    </row>
    <row r="24" spans="2:49" ht="15.95" customHeight="1" x14ac:dyDescent="0.25">
      <c r="B24" s="1204">
        <v>5</v>
      </c>
      <c r="C24" s="1470"/>
      <c r="D24" s="1471"/>
      <c r="E24" s="1471"/>
      <c r="F24" s="1471"/>
      <c r="G24" s="1471"/>
      <c r="H24" s="1471"/>
      <c r="I24" s="1471"/>
      <c r="J24" s="1471"/>
      <c r="K24" s="1471"/>
      <c r="L24" s="1471"/>
      <c r="M24" s="1472"/>
      <c r="N24" s="1707" t="str">
        <f>IF(C24="","",INDEX(PMEMOTOR[Base Desc 1],MATCH(C24,PMEMOTOR[Eff Desc 1],0)))</f>
        <v/>
      </c>
      <c r="O24" s="1708"/>
      <c r="P24" s="1708"/>
      <c r="Q24" s="1708"/>
      <c r="R24" s="1708"/>
      <c r="S24" s="1709"/>
      <c r="T24" s="1713" t="str">
        <f>IF(C24="","",INDEX(PMEMOTOR[Unit of Measure],MATCH(C24,PMEMOTOR[Eff Desc 1],0)))</f>
        <v/>
      </c>
      <c r="U24" s="1714"/>
      <c r="V24" s="1717"/>
      <c r="W24" s="1718"/>
      <c r="X24" s="1470"/>
      <c r="Y24" s="1471"/>
      <c r="Z24" s="1471"/>
      <c r="AA24" s="1472"/>
      <c r="AB24" s="1470"/>
      <c r="AC24" s="1471"/>
      <c r="AD24" s="1472"/>
      <c r="AE24" s="1722"/>
      <c r="AF24" s="1723"/>
      <c r="AG24" s="1722"/>
      <c r="AH24" s="1723"/>
      <c r="AI24" s="1735" t="str">
        <f>IF(C24="","",INDEX(PMEMOTOR[Inc Rate Unit],MATCH(C24,PMEMOTOR[Eff Desc 1],0)))</f>
        <v/>
      </c>
      <c r="AJ24" s="1736"/>
      <c r="AK24" s="1728" t="str">
        <f>IF(OR(C24="",V24="",X24="",AB24="",AE24="",AG24=""),"",ROUND(V24*INDEX(PMEMOTOR[Savings per Unit kWh],MATCH(C24,PMEMOTOR[Eff Desc 1],0)),0))</f>
        <v/>
      </c>
      <c r="AL24" s="1729"/>
      <c r="AM24" s="1729"/>
      <c r="AN24" s="1730"/>
      <c r="AO24" s="1751" t="str">
        <f>IF(M02S02F44="","Update Install Status",IF(M02S02F49="Yes","Not Eligible",IF(OR(C24="",V24="",X24="",AB24="",AE24="",AG24=""),"",MIN(AU24,ROUND(V24*AI24,2)))))</f>
        <v>Update Install Status</v>
      </c>
      <c r="AP24" s="1752"/>
      <c r="AQ24" s="1753"/>
      <c r="AR24" s="69"/>
      <c r="AS24" s="69"/>
      <c r="AT24" s="69"/>
      <c r="AU24" s="804" t="str">
        <f t="shared" ref="AU24" si="3">IF(OR(,V24="",X24="",AB24="",AE24="",AG24=""),"",ROUND((AE24+AG24),2))</f>
        <v/>
      </c>
      <c r="AV24" s="752" t="str">
        <f>IF(OR(C24="",V24="",X24="",AB24="",AE24="",AG24=""),"",ROUND(AK24*INDEX(ENDUSEALL[Factor],MATCH(INDEX(PMEMOTOR[End Use Category],MATCH(C24,PMEMOTOR[Eff Desc 1],0)),ENDUSEALL[End Use to Coincident Peak Demand Factors],0)),4))</f>
        <v/>
      </c>
      <c r="AW24" s="752" t="str">
        <f>IFERROR(IF(AI24*V24&gt;AO24,"Yes","No"),"")</f>
        <v/>
      </c>
    </row>
    <row r="25" spans="2:49" ht="15.95" customHeight="1" x14ac:dyDescent="0.25">
      <c r="B25" s="1204"/>
      <c r="C25" s="824"/>
      <c r="D25" s="825"/>
      <c r="E25" s="825"/>
      <c r="F25" s="825"/>
      <c r="G25" s="825"/>
      <c r="H25" s="825"/>
      <c r="I25" s="825"/>
      <c r="J25" s="825"/>
      <c r="K25" s="825"/>
      <c r="L25" s="825"/>
      <c r="M25" s="826"/>
      <c r="N25" s="1710"/>
      <c r="O25" s="1711"/>
      <c r="P25" s="1711"/>
      <c r="Q25" s="1711"/>
      <c r="R25" s="1711"/>
      <c r="S25" s="1712"/>
      <c r="T25" s="1715"/>
      <c r="U25" s="1716"/>
      <c r="V25" s="1719"/>
      <c r="W25" s="1720"/>
      <c r="X25" s="824"/>
      <c r="Y25" s="825"/>
      <c r="Z25" s="825"/>
      <c r="AA25" s="826"/>
      <c r="AB25" s="824"/>
      <c r="AC25" s="825"/>
      <c r="AD25" s="826"/>
      <c r="AE25" s="1724"/>
      <c r="AF25" s="1725"/>
      <c r="AG25" s="1724"/>
      <c r="AH25" s="1725"/>
      <c r="AI25" s="1737"/>
      <c r="AJ25" s="1738"/>
      <c r="AK25" s="1696"/>
      <c r="AL25" s="1697"/>
      <c r="AM25" s="1697"/>
      <c r="AN25" s="1698"/>
      <c r="AO25" s="1754"/>
      <c r="AP25" s="1755"/>
      <c r="AQ25" s="1756"/>
      <c r="AR25" s="69"/>
      <c r="AS25" s="69"/>
      <c r="AT25" s="69"/>
      <c r="AU25" s="805"/>
      <c r="AV25" s="753"/>
      <c r="AW25" s="753"/>
    </row>
    <row r="26" spans="2:49" ht="15.95" customHeight="1" x14ac:dyDescent="0.25">
      <c r="B26" s="1204">
        <v>6</v>
      </c>
      <c r="C26" s="1470"/>
      <c r="D26" s="1471"/>
      <c r="E26" s="1471"/>
      <c r="F26" s="1471"/>
      <c r="G26" s="1471"/>
      <c r="H26" s="1471"/>
      <c r="I26" s="1471"/>
      <c r="J26" s="1471"/>
      <c r="K26" s="1471"/>
      <c r="L26" s="1471"/>
      <c r="M26" s="1472"/>
      <c r="N26" s="1707" t="str">
        <f>IF(C26="","",INDEX(PMEMOTOR[Base Desc 1],MATCH(C26,PMEMOTOR[Eff Desc 1],0)))</f>
        <v/>
      </c>
      <c r="O26" s="1708"/>
      <c r="P26" s="1708"/>
      <c r="Q26" s="1708"/>
      <c r="R26" s="1708"/>
      <c r="S26" s="1709"/>
      <c r="T26" s="1713" t="str">
        <f>IF(C26="","",INDEX(PMEMOTOR[Unit of Measure],MATCH(C26,PMEMOTOR[Eff Desc 1],0)))</f>
        <v/>
      </c>
      <c r="U26" s="1714"/>
      <c r="V26" s="1717"/>
      <c r="W26" s="1718"/>
      <c r="X26" s="1470"/>
      <c r="Y26" s="1471"/>
      <c r="Z26" s="1471"/>
      <c r="AA26" s="1472"/>
      <c r="AB26" s="1470"/>
      <c r="AC26" s="1471"/>
      <c r="AD26" s="1472"/>
      <c r="AE26" s="1722"/>
      <c r="AF26" s="1723"/>
      <c r="AG26" s="1722"/>
      <c r="AH26" s="1723"/>
      <c r="AI26" s="1735" t="str">
        <f>IF(C26="","",INDEX(PMEMOTOR[Inc Rate Unit],MATCH(C26,PMEMOTOR[Eff Desc 1],0)))</f>
        <v/>
      </c>
      <c r="AJ26" s="1736"/>
      <c r="AK26" s="1728" t="str">
        <f>IF(OR(C26="",V26="",X26="",AB26="",AE26="",AG26=""),"",ROUND(V26*INDEX(PMEMOTOR[Savings per Unit kWh],MATCH(C26,PMEMOTOR[Eff Desc 1],0)),0))</f>
        <v/>
      </c>
      <c r="AL26" s="1729"/>
      <c r="AM26" s="1729"/>
      <c r="AN26" s="1730"/>
      <c r="AO26" s="1751" t="str">
        <f>IF(M02S02F44="","Update Install Status",IF(M02S02F49="Yes","Not Eligible",IF(OR(C26="",V26="",X26="",AB26="",AE26="",AG26=""),"",MIN(AU26,ROUND(V26*AI26,2)))))</f>
        <v>Update Install Status</v>
      </c>
      <c r="AP26" s="1752"/>
      <c r="AQ26" s="1753"/>
      <c r="AR26" s="69"/>
      <c r="AS26" s="69"/>
      <c r="AT26" s="69"/>
      <c r="AU26" s="804" t="str">
        <f t="shared" ref="AU26" si="4">IF(OR(,V26="",X26="",AB26="",AE26="",AG26=""),"",ROUND((AE26+AG26),2))</f>
        <v/>
      </c>
      <c r="AV26" s="752" t="str">
        <f>IF(OR(C26="",V26="",X26="",AB26="",AE26="",AG26=""),"",ROUND(AK26*INDEX(ENDUSEALL[Factor],MATCH(INDEX(PMEMOTOR[End Use Category],MATCH(C26,PMEMOTOR[Eff Desc 1],0)),ENDUSEALL[End Use to Coincident Peak Demand Factors],0)),4))</f>
        <v/>
      </c>
      <c r="AW26" s="752" t="str">
        <f>IFERROR(IF(AI26*V26&gt;AO26,"Yes","No"),"")</f>
        <v/>
      </c>
    </row>
    <row r="27" spans="2:49" ht="15.95" customHeight="1" x14ac:dyDescent="0.25">
      <c r="B27" s="1204"/>
      <c r="C27" s="824"/>
      <c r="D27" s="825"/>
      <c r="E27" s="825"/>
      <c r="F27" s="825"/>
      <c r="G27" s="825"/>
      <c r="H27" s="825"/>
      <c r="I27" s="825"/>
      <c r="J27" s="825"/>
      <c r="K27" s="825"/>
      <c r="L27" s="825"/>
      <c r="M27" s="826"/>
      <c r="N27" s="1710"/>
      <c r="O27" s="1711"/>
      <c r="P27" s="1711"/>
      <c r="Q27" s="1711"/>
      <c r="R27" s="1711"/>
      <c r="S27" s="1712"/>
      <c r="T27" s="1715"/>
      <c r="U27" s="1716"/>
      <c r="V27" s="1719"/>
      <c r="W27" s="1720"/>
      <c r="X27" s="824"/>
      <c r="Y27" s="825"/>
      <c r="Z27" s="825"/>
      <c r="AA27" s="826"/>
      <c r="AB27" s="824"/>
      <c r="AC27" s="825"/>
      <c r="AD27" s="826"/>
      <c r="AE27" s="1724"/>
      <c r="AF27" s="1725"/>
      <c r="AG27" s="1724"/>
      <c r="AH27" s="1725"/>
      <c r="AI27" s="1737"/>
      <c r="AJ27" s="1738"/>
      <c r="AK27" s="1696"/>
      <c r="AL27" s="1697"/>
      <c r="AM27" s="1697"/>
      <c r="AN27" s="1698"/>
      <c r="AO27" s="1754"/>
      <c r="AP27" s="1755"/>
      <c r="AQ27" s="1756"/>
      <c r="AR27" s="69"/>
      <c r="AS27" s="69"/>
      <c r="AT27" s="69"/>
      <c r="AU27" s="805"/>
      <c r="AV27" s="753"/>
      <c r="AW27" s="753"/>
    </row>
    <row r="28" spans="2:49" ht="15.95" customHeight="1" x14ac:dyDescent="0.25">
      <c r="B28" s="1204">
        <v>7</v>
      </c>
      <c r="C28" s="1470"/>
      <c r="D28" s="1471"/>
      <c r="E28" s="1471"/>
      <c r="F28" s="1471"/>
      <c r="G28" s="1471"/>
      <c r="H28" s="1471"/>
      <c r="I28" s="1471"/>
      <c r="J28" s="1471"/>
      <c r="K28" s="1471"/>
      <c r="L28" s="1471"/>
      <c r="M28" s="1472"/>
      <c r="N28" s="1707" t="str">
        <f>IF(C28="","",INDEX(PMEMOTOR[Base Desc 1],MATCH(C28,PMEMOTOR[Eff Desc 1],0)))</f>
        <v/>
      </c>
      <c r="O28" s="1708"/>
      <c r="P28" s="1708"/>
      <c r="Q28" s="1708"/>
      <c r="R28" s="1708"/>
      <c r="S28" s="1709"/>
      <c r="T28" s="1713" t="str">
        <f>IF(C28="","",INDEX(PMEMOTOR[Unit of Measure],MATCH(C28,PMEMOTOR[Eff Desc 1],0)))</f>
        <v/>
      </c>
      <c r="U28" s="1714"/>
      <c r="V28" s="1717"/>
      <c r="W28" s="1718"/>
      <c r="X28" s="1470"/>
      <c r="Y28" s="1471"/>
      <c r="Z28" s="1471"/>
      <c r="AA28" s="1472"/>
      <c r="AB28" s="1470"/>
      <c r="AC28" s="1471"/>
      <c r="AD28" s="1472"/>
      <c r="AE28" s="1722"/>
      <c r="AF28" s="1723"/>
      <c r="AG28" s="1722"/>
      <c r="AH28" s="1723"/>
      <c r="AI28" s="1735" t="str">
        <f>IF(C28="","",INDEX(PMEMOTOR[Inc Rate Unit],MATCH(C28,PMEMOTOR[Eff Desc 1],0)))</f>
        <v/>
      </c>
      <c r="AJ28" s="1736"/>
      <c r="AK28" s="1728" t="str">
        <f>IF(OR(C28="",V28="",X28="",AB28="",AE28="",AG28=""),"",ROUND(V28*INDEX(PMEMOTOR[Savings per Unit kWh],MATCH(C28,PMEMOTOR[Eff Desc 1],0)),0))</f>
        <v/>
      </c>
      <c r="AL28" s="1729"/>
      <c r="AM28" s="1729"/>
      <c r="AN28" s="1730"/>
      <c r="AO28" s="1751" t="str">
        <f>IF(M02S02F44="","Update Install Status",IF(M02S02F49="Yes","Not Eligible",IF(OR(C28="",V28="",X28="",AB28="",AE28="",AG28=""),"",MIN(AU28,ROUND(V28*AI28,2)))))</f>
        <v>Update Install Status</v>
      </c>
      <c r="AP28" s="1752"/>
      <c r="AQ28" s="1753"/>
      <c r="AR28" s="69"/>
      <c r="AS28" s="69"/>
      <c r="AT28" s="69"/>
      <c r="AU28" s="804" t="str">
        <f t="shared" ref="AU28" si="5">IF(OR(,V28="",X28="",AB28="",AE28="",AG28=""),"",ROUND((AE28+AG28),2))</f>
        <v/>
      </c>
      <c r="AV28" s="752" t="str">
        <f>IF(OR(C28="",V28="",X28="",AB28="",AE28="",AG28=""),"",ROUND(AK28*INDEX(ENDUSEALL[Factor],MATCH(INDEX(PMEMOTOR[End Use Category],MATCH(C28,PMEMOTOR[Eff Desc 1],0)),ENDUSEALL[End Use to Coincident Peak Demand Factors],0)),4))</f>
        <v/>
      </c>
      <c r="AW28" s="752" t="str">
        <f>IFERROR(IF(AI28*V28&gt;AO28,"Yes","No"),"")</f>
        <v/>
      </c>
    </row>
    <row r="29" spans="2:49" ht="15.95" customHeight="1" x14ac:dyDescent="0.25">
      <c r="B29" s="1204"/>
      <c r="C29" s="824"/>
      <c r="D29" s="825"/>
      <c r="E29" s="825"/>
      <c r="F29" s="825"/>
      <c r="G29" s="825"/>
      <c r="H29" s="825"/>
      <c r="I29" s="825"/>
      <c r="J29" s="825"/>
      <c r="K29" s="825"/>
      <c r="L29" s="825"/>
      <c r="M29" s="826"/>
      <c r="N29" s="1710"/>
      <c r="O29" s="1711"/>
      <c r="P29" s="1711"/>
      <c r="Q29" s="1711"/>
      <c r="R29" s="1711"/>
      <c r="S29" s="1712"/>
      <c r="T29" s="1715"/>
      <c r="U29" s="1716"/>
      <c r="V29" s="1719"/>
      <c r="W29" s="1720"/>
      <c r="X29" s="824"/>
      <c r="Y29" s="825"/>
      <c r="Z29" s="825"/>
      <c r="AA29" s="826"/>
      <c r="AB29" s="824"/>
      <c r="AC29" s="825"/>
      <c r="AD29" s="826"/>
      <c r="AE29" s="1724"/>
      <c r="AF29" s="1725"/>
      <c r="AG29" s="1724"/>
      <c r="AH29" s="1725"/>
      <c r="AI29" s="1737"/>
      <c r="AJ29" s="1738"/>
      <c r="AK29" s="1696"/>
      <c r="AL29" s="1697"/>
      <c r="AM29" s="1697"/>
      <c r="AN29" s="1698"/>
      <c r="AO29" s="1754"/>
      <c r="AP29" s="1755"/>
      <c r="AQ29" s="1756"/>
      <c r="AR29" s="69"/>
      <c r="AS29" s="69"/>
      <c r="AT29" s="69"/>
      <c r="AU29" s="805"/>
      <c r="AV29" s="753"/>
      <c r="AW29" s="753"/>
    </row>
    <row r="30" spans="2:49" ht="15.95" customHeight="1" x14ac:dyDescent="0.25">
      <c r="B30" s="1204">
        <v>8</v>
      </c>
      <c r="C30" s="1470"/>
      <c r="D30" s="1471"/>
      <c r="E30" s="1471"/>
      <c r="F30" s="1471"/>
      <c r="G30" s="1471"/>
      <c r="H30" s="1471"/>
      <c r="I30" s="1471"/>
      <c r="J30" s="1471"/>
      <c r="K30" s="1471"/>
      <c r="L30" s="1471"/>
      <c r="M30" s="1472"/>
      <c r="N30" s="1707" t="str">
        <f>IF(C30="","",INDEX(PMEMOTOR[Base Desc 1],MATCH(C30,PMEMOTOR[Eff Desc 1],0)))</f>
        <v/>
      </c>
      <c r="O30" s="1708"/>
      <c r="P30" s="1708"/>
      <c r="Q30" s="1708"/>
      <c r="R30" s="1708"/>
      <c r="S30" s="1709"/>
      <c r="T30" s="1713" t="str">
        <f>IF(C30="","",INDEX(PMEMOTOR[Unit of Measure],MATCH(C30,PMEMOTOR[Eff Desc 1],0)))</f>
        <v/>
      </c>
      <c r="U30" s="1714"/>
      <c r="V30" s="1717"/>
      <c r="W30" s="1718"/>
      <c r="X30" s="1470"/>
      <c r="Y30" s="1471"/>
      <c r="Z30" s="1471"/>
      <c r="AA30" s="1472"/>
      <c r="AB30" s="1470"/>
      <c r="AC30" s="1471"/>
      <c r="AD30" s="1472"/>
      <c r="AE30" s="1722"/>
      <c r="AF30" s="1723"/>
      <c r="AG30" s="1722"/>
      <c r="AH30" s="1723"/>
      <c r="AI30" s="1735" t="str">
        <f>IF(C30="","",INDEX(PMEMOTOR[Inc Rate Unit],MATCH(C30,PMEMOTOR[Eff Desc 1],0)))</f>
        <v/>
      </c>
      <c r="AJ30" s="1736"/>
      <c r="AK30" s="1728" t="str">
        <f>IF(OR(C30="",V30="",X30="",AB30="",AE30="",AG30=""),"",ROUND(V30*INDEX(PMEMOTOR[Savings per Unit kWh],MATCH(C30,PMEMOTOR[Eff Desc 1],0)),0))</f>
        <v/>
      </c>
      <c r="AL30" s="1729"/>
      <c r="AM30" s="1729"/>
      <c r="AN30" s="1730"/>
      <c r="AO30" s="1751" t="str">
        <f>IF(M02S02F44="","Update Install Status",IF(M02S02F49="Yes","Not Eligible",IF(OR(C30="",V30="",X30="",AB30="",AE30="",AG30=""),"",MIN(AU30,ROUND(V30*AI30,2)))))</f>
        <v>Update Install Status</v>
      </c>
      <c r="AP30" s="1752"/>
      <c r="AQ30" s="1753"/>
      <c r="AR30" s="69"/>
      <c r="AS30" s="69"/>
      <c r="AT30" s="69"/>
      <c r="AU30" s="804" t="str">
        <f t="shared" ref="AU30" si="6">IF(OR(,V30="",X30="",AB30="",AE30="",AG30=""),"",ROUND((AE30+AG30),2))</f>
        <v/>
      </c>
      <c r="AV30" s="752" t="str">
        <f>IF(OR(C30="",V30="",X30="",AB30="",AE30="",AG30=""),"",ROUND(AK30*INDEX(ENDUSEALL[Factor],MATCH(INDEX(PMEMOTOR[End Use Category],MATCH(C30,PMEMOTOR[Eff Desc 1],0)),ENDUSEALL[End Use to Coincident Peak Demand Factors],0)),4))</f>
        <v/>
      </c>
      <c r="AW30" s="752" t="str">
        <f>IFERROR(IF(AI30*V30&gt;AO30,"Yes","No"),"")</f>
        <v/>
      </c>
    </row>
    <row r="31" spans="2:49" ht="15.95" customHeight="1" x14ac:dyDescent="0.25">
      <c r="B31" s="1204"/>
      <c r="C31" s="824"/>
      <c r="D31" s="825"/>
      <c r="E31" s="825"/>
      <c r="F31" s="825"/>
      <c r="G31" s="825"/>
      <c r="H31" s="825"/>
      <c r="I31" s="825"/>
      <c r="J31" s="825"/>
      <c r="K31" s="825"/>
      <c r="L31" s="825"/>
      <c r="M31" s="826"/>
      <c r="N31" s="1710"/>
      <c r="O31" s="1711"/>
      <c r="P31" s="1711"/>
      <c r="Q31" s="1711"/>
      <c r="R31" s="1711"/>
      <c r="S31" s="1712"/>
      <c r="T31" s="1715"/>
      <c r="U31" s="1716"/>
      <c r="V31" s="1719"/>
      <c r="W31" s="1720"/>
      <c r="X31" s="824"/>
      <c r="Y31" s="825"/>
      <c r="Z31" s="825"/>
      <c r="AA31" s="826"/>
      <c r="AB31" s="824"/>
      <c r="AC31" s="825"/>
      <c r="AD31" s="826"/>
      <c r="AE31" s="1724"/>
      <c r="AF31" s="1725"/>
      <c r="AG31" s="1724"/>
      <c r="AH31" s="1725"/>
      <c r="AI31" s="1737"/>
      <c r="AJ31" s="1738"/>
      <c r="AK31" s="1696"/>
      <c r="AL31" s="1697"/>
      <c r="AM31" s="1697"/>
      <c r="AN31" s="1698"/>
      <c r="AO31" s="1754"/>
      <c r="AP31" s="1755"/>
      <c r="AQ31" s="1756"/>
      <c r="AR31" s="69"/>
      <c r="AS31" s="69"/>
      <c r="AT31" s="69"/>
      <c r="AU31" s="805"/>
      <c r="AV31" s="753"/>
      <c r="AW31" s="753"/>
    </row>
    <row r="32" spans="2:49" ht="15.95" customHeight="1" x14ac:dyDescent="0.25">
      <c r="B32" s="1204">
        <v>9</v>
      </c>
      <c r="C32" s="1470"/>
      <c r="D32" s="1471"/>
      <c r="E32" s="1471"/>
      <c r="F32" s="1471"/>
      <c r="G32" s="1471"/>
      <c r="H32" s="1471"/>
      <c r="I32" s="1471"/>
      <c r="J32" s="1471"/>
      <c r="K32" s="1471"/>
      <c r="L32" s="1471"/>
      <c r="M32" s="1472"/>
      <c r="N32" s="1707" t="str">
        <f>IF(C32="","",INDEX(PMEMOTOR[Base Desc 1],MATCH(C32,PMEMOTOR[Eff Desc 1],0)))</f>
        <v/>
      </c>
      <c r="O32" s="1708"/>
      <c r="P32" s="1708"/>
      <c r="Q32" s="1708"/>
      <c r="R32" s="1708"/>
      <c r="S32" s="1709"/>
      <c r="T32" s="1713" t="str">
        <f>IF(C32="","",INDEX(PMEMOTOR[Unit of Measure],MATCH(C32,PMEMOTOR[Eff Desc 1],0)))</f>
        <v/>
      </c>
      <c r="U32" s="1714"/>
      <c r="V32" s="1717"/>
      <c r="W32" s="1718"/>
      <c r="X32" s="1470"/>
      <c r="Y32" s="1471"/>
      <c r="Z32" s="1471"/>
      <c r="AA32" s="1472"/>
      <c r="AB32" s="1470"/>
      <c r="AC32" s="1471"/>
      <c r="AD32" s="1472"/>
      <c r="AE32" s="1722"/>
      <c r="AF32" s="1723"/>
      <c r="AG32" s="1722"/>
      <c r="AH32" s="1723"/>
      <c r="AI32" s="1735" t="str">
        <f>IF(C32="","",INDEX(PMEMOTOR[Inc Rate Unit],MATCH(C32,PMEMOTOR[Eff Desc 1],0)))</f>
        <v/>
      </c>
      <c r="AJ32" s="1736"/>
      <c r="AK32" s="1728" t="str">
        <f>IF(OR(C32="",V32="",X32="",AB32="",AE32="",AG32=""),"",ROUND(V32*INDEX(PMEMOTOR[Savings per Unit kWh],MATCH(C32,PMEMOTOR[Eff Desc 1],0)),0))</f>
        <v/>
      </c>
      <c r="AL32" s="1729"/>
      <c r="AM32" s="1729"/>
      <c r="AN32" s="1730"/>
      <c r="AO32" s="1751" t="str">
        <f>IF(M02S02F44="","Update Install Status",IF(M02S02F49="Yes","Not Eligible",IF(OR(C32="",V32="",X32="",AB32="",AE32="",AG32=""),"",MIN(AU32,ROUND(V32*AI32,2)))))</f>
        <v>Update Install Status</v>
      </c>
      <c r="AP32" s="1752"/>
      <c r="AQ32" s="1753"/>
      <c r="AR32" s="69"/>
      <c r="AS32" s="69"/>
      <c r="AT32" s="69"/>
      <c r="AU32" s="804" t="str">
        <f t="shared" ref="AU32" si="7">IF(OR(,V32="",X32="",AB32="",AE32="",AG32=""),"",ROUND((AE32+AG32),2))</f>
        <v/>
      </c>
      <c r="AV32" s="752" t="str">
        <f>IF(OR(C32="",V32="",X32="",AB32="",AE32="",AG32=""),"",ROUND(AK32*INDEX(ENDUSEALL[Factor],MATCH(INDEX(PMEMOTOR[End Use Category],MATCH(C32,PMEMOTOR[Eff Desc 1],0)),ENDUSEALL[End Use to Coincident Peak Demand Factors],0)),4))</f>
        <v/>
      </c>
      <c r="AW32" s="752" t="str">
        <f>IFERROR(IF(AI32*V32&gt;AO32,"Yes","No"),"")</f>
        <v/>
      </c>
    </row>
    <row r="33" spans="2:49" ht="15.95" customHeight="1" x14ac:dyDescent="0.25">
      <c r="B33" s="1204"/>
      <c r="C33" s="824"/>
      <c r="D33" s="825"/>
      <c r="E33" s="825"/>
      <c r="F33" s="825"/>
      <c r="G33" s="825"/>
      <c r="H33" s="825"/>
      <c r="I33" s="825"/>
      <c r="J33" s="825"/>
      <c r="K33" s="825"/>
      <c r="L33" s="825"/>
      <c r="M33" s="826"/>
      <c r="N33" s="1710"/>
      <c r="O33" s="1711"/>
      <c r="P33" s="1711"/>
      <c r="Q33" s="1711"/>
      <c r="R33" s="1711"/>
      <c r="S33" s="1712"/>
      <c r="T33" s="1715"/>
      <c r="U33" s="1716"/>
      <c r="V33" s="1719"/>
      <c r="W33" s="1720"/>
      <c r="X33" s="824"/>
      <c r="Y33" s="825"/>
      <c r="Z33" s="825"/>
      <c r="AA33" s="826"/>
      <c r="AB33" s="824"/>
      <c r="AC33" s="825"/>
      <c r="AD33" s="826"/>
      <c r="AE33" s="1724"/>
      <c r="AF33" s="1725"/>
      <c r="AG33" s="1724"/>
      <c r="AH33" s="1725"/>
      <c r="AI33" s="1737"/>
      <c r="AJ33" s="1738"/>
      <c r="AK33" s="1696"/>
      <c r="AL33" s="1697"/>
      <c r="AM33" s="1697"/>
      <c r="AN33" s="1698"/>
      <c r="AO33" s="1754"/>
      <c r="AP33" s="1755"/>
      <c r="AQ33" s="1756"/>
      <c r="AR33" s="69"/>
      <c r="AS33" s="69"/>
      <c r="AT33" s="69"/>
      <c r="AU33" s="805"/>
      <c r="AV33" s="753"/>
      <c r="AW33" s="753"/>
    </row>
    <row r="34" spans="2:49" ht="15.95" customHeight="1" x14ac:dyDescent="0.25">
      <c r="B34" s="1204">
        <v>10</v>
      </c>
      <c r="C34" s="1470"/>
      <c r="D34" s="1471"/>
      <c r="E34" s="1471"/>
      <c r="F34" s="1471"/>
      <c r="G34" s="1471"/>
      <c r="H34" s="1471"/>
      <c r="I34" s="1471"/>
      <c r="J34" s="1471"/>
      <c r="K34" s="1471"/>
      <c r="L34" s="1471"/>
      <c r="M34" s="1472"/>
      <c r="N34" s="1707" t="str">
        <f>IF(C34="","",INDEX(PMEMOTOR[Base Desc 1],MATCH(C34,PMEMOTOR[Eff Desc 1],0)))</f>
        <v/>
      </c>
      <c r="O34" s="1708"/>
      <c r="P34" s="1708"/>
      <c r="Q34" s="1708"/>
      <c r="R34" s="1708"/>
      <c r="S34" s="1709"/>
      <c r="T34" s="1713" t="str">
        <f>IF(C34="","",INDEX(PMEMOTOR[Unit of Measure],MATCH(C34,PMEMOTOR[Eff Desc 1],0)))</f>
        <v/>
      </c>
      <c r="U34" s="1714"/>
      <c r="V34" s="1717"/>
      <c r="W34" s="1718"/>
      <c r="X34" s="1470"/>
      <c r="Y34" s="1471"/>
      <c r="Z34" s="1471"/>
      <c r="AA34" s="1472"/>
      <c r="AB34" s="1470"/>
      <c r="AC34" s="1471"/>
      <c r="AD34" s="1472"/>
      <c r="AE34" s="1722"/>
      <c r="AF34" s="1723"/>
      <c r="AG34" s="1722"/>
      <c r="AH34" s="1723"/>
      <c r="AI34" s="1735" t="str">
        <f>IF(C34="","",INDEX(PMEMOTOR[Inc Rate Unit],MATCH(C34,PMEMOTOR[Eff Desc 1],0)))</f>
        <v/>
      </c>
      <c r="AJ34" s="1736"/>
      <c r="AK34" s="1728" t="str">
        <f>IF(OR(C34="",V34="",X34="",AB34="",AE34="",AG34=""),"",ROUND(V34*INDEX(PMEMOTOR[Savings per Unit kWh],MATCH(C34,PMEMOTOR[Eff Desc 1],0)),0))</f>
        <v/>
      </c>
      <c r="AL34" s="1729"/>
      <c r="AM34" s="1729"/>
      <c r="AN34" s="1730"/>
      <c r="AO34" s="1751" t="str">
        <f>IF(M02S02F44="","Update Install Status",IF(M02S02F49="Yes","Not Eligible",IF(OR(C34="",V34="",X34="",AB34="",AE34="",AG34=""),"",MIN(AU34,ROUND(V34*AI34,2)))))</f>
        <v>Update Install Status</v>
      </c>
      <c r="AP34" s="1752"/>
      <c r="AQ34" s="1753"/>
      <c r="AR34" s="69"/>
      <c r="AS34" s="69"/>
      <c r="AT34" s="69"/>
      <c r="AU34" s="804" t="str">
        <f t="shared" ref="AU34" si="8">IF(OR(,V34="",X34="",AB34="",AE34="",AG34=""),"",ROUND((AE34+AG34),2))</f>
        <v/>
      </c>
      <c r="AV34" s="752" t="str">
        <f>IF(OR(C34="",V34="",X34="",AB34="",AE34="",AG34=""),"",ROUND(AK34*INDEX(ENDUSEALL[Factor],MATCH(INDEX(PMEMOTOR[End Use Category],MATCH(C34,PMEMOTOR[Eff Desc 1],0)),ENDUSEALL[End Use to Coincident Peak Demand Factors],0)),4))</f>
        <v/>
      </c>
      <c r="AW34" s="752" t="str">
        <f>IFERROR(IF(AI34*V34&gt;AO34,"Yes","No"),"")</f>
        <v/>
      </c>
    </row>
    <row r="35" spans="2:49" ht="15.95" customHeight="1" x14ac:dyDescent="0.25">
      <c r="B35" s="1204"/>
      <c r="C35" s="824"/>
      <c r="D35" s="825"/>
      <c r="E35" s="825"/>
      <c r="F35" s="825"/>
      <c r="G35" s="825"/>
      <c r="H35" s="825"/>
      <c r="I35" s="825"/>
      <c r="J35" s="825"/>
      <c r="K35" s="825"/>
      <c r="L35" s="825"/>
      <c r="M35" s="826"/>
      <c r="N35" s="1710"/>
      <c r="O35" s="1711"/>
      <c r="P35" s="1711"/>
      <c r="Q35" s="1711"/>
      <c r="R35" s="1711"/>
      <c r="S35" s="1712"/>
      <c r="T35" s="1715"/>
      <c r="U35" s="1716"/>
      <c r="V35" s="1719"/>
      <c r="W35" s="1720"/>
      <c r="X35" s="824"/>
      <c r="Y35" s="825"/>
      <c r="Z35" s="825"/>
      <c r="AA35" s="826"/>
      <c r="AB35" s="824"/>
      <c r="AC35" s="825"/>
      <c r="AD35" s="826"/>
      <c r="AE35" s="1724"/>
      <c r="AF35" s="1725"/>
      <c r="AG35" s="1724"/>
      <c r="AH35" s="1725"/>
      <c r="AI35" s="1737"/>
      <c r="AJ35" s="1738"/>
      <c r="AK35" s="1696"/>
      <c r="AL35" s="1697"/>
      <c r="AM35" s="1697"/>
      <c r="AN35" s="1698"/>
      <c r="AO35" s="1754"/>
      <c r="AP35" s="1755"/>
      <c r="AQ35" s="1756"/>
      <c r="AR35" s="69"/>
      <c r="AS35" s="69"/>
      <c r="AT35" s="69"/>
      <c r="AU35" s="805"/>
      <c r="AV35" s="753"/>
      <c r="AW35" s="753"/>
    </row>
    <row r="36" spans="2:49" ht="15.95" hidden="1" customHeight="1" x14ac:dyDescent="0.25">
      <c r="B36" s="1204">
        <v>11</v>
      </c>
      <c r="C36" s="1470"/>
      <c r="D36" s="1471"/>
      <c r="E36" s="1471"/>
      <c r="F36" s="1471"/>
      <c r="G36" s="1471"/>
      <c r="H36" s="1471"/>
      <c r="I36" s="1471"/>
      <c r="J36" s="1471"/>
      <c r="K36" s="1471"/>
      <c r="L36" s="1471"/>
      <c r="M36" s="1472"/>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70"/>
      <c r="Y36" s="1471"/>
      <c r="Z36" s="1471"/>
      <c r="AA36" s="1472"/>
      <c r="AB36" s="1470"/>
      <c r="AC36" s="1471"/>
      <c r="AD36" s="1472"/>
      <c r="AE36" s="1722"/>
      <c r="AF36" s="1723"/>
      <c r="AG36" s="1722"/>
      <c r="AH36" s="1723"/>
      <c r="AI36" s="1735" t="str">
        <f>IF(C36="","",INDEX(PMEMOTOR[Inc Rate Unit],MATCH(C36,PMEMOTOR[Eff Desc 1],0)))</f>
        <v/>
      </c>
      <c r="AJ36" s="1736"/>
      <c r="AK36" s="1728" t="str">
        <f>IF(OR(C36="",V36="",X36="",AB36="",AE36="",AG36=""),"",ROUND(V36*INDEX(PMEMOTOR[Savings per Unit kWh],MATCH(C36,PMEMOTOR[Eff Desc 1],0)),0))</f>
        <v/>
      </c>
      <c r="AL36" s="1729"/>
      <c r="AM36" s="1729"/>
      <c r="AN36" s="1730"/>
      <c r="AO36" s="1726" t="str">
        <f>IF(OR(C36="",V36="",X36="",AB36="",AE36="",AG36=""),"",MIN(AU36,ROUND(V36*AI36,2)))</f>
        <v/>
      </c>
      <c r="AP36" s="1739"/>
      <c r="AQ36" s="1727"/>
      <c r="AR36" s="69"/>
      <c r="AS36" s="69"/>
      <c r="AT36" s="69"/>
      <c r="AU36" s="804" t="str">
        <f>IF(OR(,V36="",X36="",AB36="",AE36="",AG36=""),"",ROUND((AE36+AG36)*V36,2))</f>
        <v/>
      </c>
      <c r="AV36" s="752" t="str">
        <f>IF(OR(C36="",V36="",X36="",AB36="",AE36="",AG36=""),"",ROUND(V36*INDEX(PMEMOTOR[Savings per Unit kW],MATCH(C36,PMEMOTOR[Eff Desc 1],0)),4))</f>
        <v/>
      </c>
    </row>
    <row r="37" spans="2:49" ht="15.95" hidden="1" customHeight="1" x14ac:dyDescent="0.25">
      <c r="B37" s="1204"/>
      <c r="C37" s="824"/>
      <c r="D37" s="825"/>
      <c r="E37" s="825"/>
      <c r="F37" s="825"/>
      <c r="G37" s="825"/>
      <c r="H37" s="825"/>
      <c r="I37" s="825"/>
      <c r="J37" s="825"/>
      <c r="K37" s="825"/>
      <c r="L37" s="825"/>
      <c r="M37" s="826"/>
      <c r="N37" s="1710"/>
      <c r="O37" s="1711"/>
      <c r="P37" s="1711"/>
      <c r="Q37" s="1711"/>
      <c r="R37" s="1711"/>
      <c r="S37" s="1712"/>
      <c r="T37" s="1715"/>
      <c r="U37" s="1716"/>
      <c r="V37" s="1719"/>
      <c r="W37" s="1720"/>
      <c r="X37" s="824"/>
      <c r="Y37" s="825"/>
      <c r="Z37" s="825"/>
      <c r="AA37" s="826"/>
      <c r="AB37" s="824"/>
      <c r="AC37" s="825"/>
      <c r="AD37" s="826"/>
      <c r="AE37" s="1724"/>
      <c r="AF37" s="1725"/>
      <c r="AG37" s="1724"/>
      <c r="AH37" s="1725"/>
      <c r="AI37" s="1737"/>
      <c r="AJ37" s="1738"/>
      <c r="AK37" s="1696"/>
      <c r="AL37" s="1697"/>
      <c r="AM37" s="1697"/>
      <c r="AN37" s="1698"/>
      <c r="AO37" s="1687"/>
      <c r="AP37" s="1740"/>
      <c r="AQ37" s="1688"/>
      <c r="AR37" s="69"/>
      <c r="AS37" s="69"/>
      <c r="AT37" s="69"/>
      <c r="AU37" s="805"/>
      <c r="AV37" s="753"/>
    </row>
    <row r="38" spans="2:49" ht="15.95" hidden="1" customHeight="1" x14ac:dyDescent="0.25">
      <c r="B38" s="1204">
        <v>12</v>
      </c>
      <c r="C38" s="1470"/>
      <c r="D38" s="1471"/>
      <c r="E38" s="1471"/>
      <c r="F38" s="1471"/>
      <c r="G38" s="1471"/>
      <c r="H38" s="1471"/>
      <c r="I38" s="1471"/>
      <c r="J38" s="1471"/>
      <c r="K38" s="1471"/>
      <c r="L38" s="1471"/>
      <c r="M38" s="1472"/>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70"/>
      <c r="Y38" s="1471"/>
      <c r="Z38" s="1471"/>
      <c r="AA38" s="1472"/>
      <c r="AB38" s="1470"/>
      <c r="AC38" s="1471"/>
      <c r="AD38" s="1472"/>
      <c r="AE38" s="1722"/>
      <c r="AF38" s="1723"/>
      <c r="AG38" s="1722"/>
      <c r="AH38" s="1723"/>
      <c r="AI38" s="1735" t="str">
        <f>IF(C38="","",INDEX(PMEMOTOR[Inc Rate Unit],MATCH(C38,PMEMOTOR[Eff Desc 1],0)))</f>
        <v/>
      </c>
      <c r="AJ38" s="1736"/>
      <c r="AK38" s="1728" t="str">
        <f>IF(OR(C38="",V38="",X38="",AB38="",AE38="",AG38=""),"",ROUND(V38*INDEX(PMEMOTOR[Savings per Unit kWh],MATCH(C38,PMEMOTOR[Eff Desc 1],0)),0))</f>
        <v/>
      </c>
      <c r="AL38" s="1729"/>
      <c r="AM38" s="1729"/>
      <c r="AN38" s="1730"/>
      <c r="AO38" s="1726" t="str">
        <f>IF(OR(C38="",V38="",X38="",AB38="",AE38="",AG38=""),"",MIN(AU38,ROUND(V38*AI38,2)))</f>
        <v/>
      </c>
      <c r="AP38" s="1739"/>
      <c r="AQ38" s="1727"/>
      <c r="AR38" s="69"/>
      <c r="AS38" s="69"/>
      <c r="AT38" s="69"/>
      <c r="AU38" s="804" t="str">
        <f>IF(OR(,V38="",X38="",AB38="",AE38="",AG38=""),"",ROUND((AE38+AG38)*V38,2))</f>
        <v/>
      </c>
      <c r="AV38" s="752" t="str">
        <f>IF(OR(C38="",V38="",X38="",AB38="",AE38="",AG38=""),"",ROUND(V38*INDEX(PMEMOTOR[Savings per Unit kW],MATCH(C38,PMEMOTOR[Eff Desc 1],0)),4))</f>
        <v/>
      </c>
    </row>
    <row r="39" spans="2:49" ht="15.95" hidden="1" customHeight="1" x14ac:dyDescent="0.25">
      <c r="B39" s="1204"/>
      <c r="C39" s="824"/>
      <c r="D39" s="825"/>
      <c r="E39" s="825"/>
      <c r="F39" s="825"/>
      <c r="G39" s="825"/>
      <c r="H39" s="825"/>
      <c r="I39" s="825"/>
      <c r="J39" s="825"/>
      <c r="K39" s="825"/>
      <c r="L39" s="825"/>
      <c r="M39" s="826"/>
      <c r="N39" s="1710"/>
      <c r="O39" s="1711"/>
      <c r="P39" s="1711"/>
      <c r="Q39" s="1711"/>
      <c r="R39" s="1711"/>
      <c r="S39" s="1712"/>
      <c r="T39" s="1715"/>
      <c r="U39" s="1716"/>
      <c r="V39" s="1719"/>
      <c r="W39" s="1720"/>
      <c r="X39" s="824"/>
      <c r="Y39" s="825"/>
      <c r="Z39" s="825"/>
      <c r="AA39" s="826"/>
      <c r="AB39" s="824"/>
      <c r="AC39" s="825"/>
      <c r="AD39" s="826"/>
      <c r="AE39" s="1724"/>
      <c r="AF39" s="1725"/>
      <c r="AG39" s="1724"/>
      <c r="AH39" s="1725"/>
      <c r="AI39" s="1737"/>
      <c r="AJ39" s="1738"/>
      <c r="AK39" s="1696"/>
      <c r="AL39" s="1697"/>
      <c r="AM39" s="1697"/>
      <c r="AN39" s="1698"/>
      <c r="AO39" s="1687"/>
      <c r="AP39" s="1740"/>
      <c r="AQ39" s="1688"/>
      <c r="AR39" s="69"/>
      <c r="AS39" s="69"/>
      <c r="AT39" s="69"/>
      <c r="AU39" s="805"/>
      <c r="AV39" s="753"/>
    </row>
    <row r="40" spans="2:49" ht="15.95" hidden="1" customHeight="1" x14ac:dyDescent="0.25">
      <c r="B40" s="1204">
        <v>13</v>
      </c>
      <c r="C40" s="1470"/>
      <c r="D40" s="1471"/>
      <c r="E40" s="1471"/>
      <c r="F40" s="1471"/>
      <c r="G40" s="1471"/>
      <c r="H40" s="1471"/>
      <c r="I40" s="1471"/>
      <c r="J40" s="1471"/>
      <c r="K40" s="1471"/>
      <c r="L40" s="1471"/>
      <c r="M40" s="1472"/>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70"/>
      <c r="Y40" s="1471"/>
      <c r="Z40" s="1471"/>
      <c r="AA40" s="1472"/>
      <c r="AB40" s="1470"/>
      <c r="AC40" s="1471"/>
      <c r="AD40" s="1472"/>
      <c r="AE40" s="1722"/>
      <c r="AF40" s="1723"/>
      <c r="AG40" s="1722"/>
      <c r="AH40" s="1723"/>
      <c r="AI40" s="1735" t="str">
        <f>IF(C40="","",INDEX(PMEMOTOR[Inc Rate Unit],MATCH(C40,PMEMOTOR[Eff Desc 1],0)))</f>
        <v/>
      </c>
      <c r="AJ40" s="1736"/>
      <c r="AK40" s="1728" t="str">
        <f>IF(OR(C40="",V40="",X40="",AB40="",AE40="",AG40=""),"",ROUND(V40*INDEX(PMEMOTOR[Savings per Unit kWh],MATCH(C40,PMEMOTOR[Eff Desc 1],0)),0))</f>
        <v/>
      </c>
      <c r="AL40" s="1729"/>
      <c r="AM40" s="1729"/>
      <c r="AN40" s="1730"/>
      <c r="AO40" s="1726" t="str">
        <f>IF(OR(C40="",V40="",X40="",AB40="",AE40="",AG40=""),"",MIN(AU40,ROUND(V40*AI40,2)))</f>
        <v/>
      </c>
      <c r="AP40" s="1739"/>
      <c r="AQ40" s="1727"/>
      <c r="AR40" s="69"/>
      <c r="AS40" s="69"/>
      <c r="AT40" s="69"/>
      <c r="AU40" s="804" t="str">
        <f>IF(OR(,V40="",X40="",AB40="",AE40="",AG40=""),"",ROUND((AE40+AG40)*V40,2))</f>
        <v/>
      </c>
      <c r="AV40" s="752" t="str">
        <f>IF(OR(C40="",V40="",X40="",AB40="",AE40="",AG40=""),"",ROUND(V40*INDEX(PMEMOTOR[Savings per Unit kW],MATCH(C40,PMEMOTOR[Eff Desc 1],0)),4))</f>
        <v/>
      </c>
    </row>
    <row r="41" spans="2:49" ht="15.95" hidden="1" customHeight="1" x14ac:dyDescent="0.25">
      <c r="B41" s="1204"/>
      <c r="C41" s="824"/>
      <c r="D41" s="825"/>
      <c r="E41" s="825"/>
      <c r="F41" s="825"/>
      <c r="G41" s="825"/>
      <c r="H41" s="825"/>
      <c r="I41" s="825"/>
      <c r="J41" s="825"/>
      <c r="K41" s="825"/>
      <c r="L41" s="825"/>
      <c r="M41" s="826"/>
      <c r="N41" s="1710"/>
      <c r="O41" s="1711"/>
      <c r="P41" s="1711"/>
      <c r="Q41" s="1711"/>
      <c r="R41" s="1711"/>
      <c r="S41" s="1712"/>
      <c r="T41" s="1715"/>
      <c r="U41" s="1716"/>
      <c r="V41" s="1719"/>
      <c r="W41" s="1720"/>
      <c r="X41" s="824"/>
      <c r="Y41" s="825"/>
      <c r="Z41" s="825"/>
      <c r="AA41" s="826"/>
      <c r="AB41" s="824"/>
      <c r="AC41" s="825"/>
      <c r="AD41" s="826"/>
      <c r="AE41" s="1724"/>
      <c r="AF41" s="1725"/>
      <c r="AG41" s="1724"/>
      <c r="AH41" s="1725"/>
      <c r="AI41" s="1737"/>
      <c r="AJ41" s="1738"/>
      <c r="AK41" s="1696"/>
      <c r="AL41" s="1697"/>
      <c r="AM41" s="1697"/>
      <c r="AN41" s="1698"/>
      <c r="AO41" s="1687"/>
      <c r="AP41" s="1740"/>
      <c r="AQ41" s="1688"/>
      <c r="AR41" s="69"/>
      <c r="AS41" s="69"/>
      <c r="AT41" s="69"/>
      <c r="AU41" s="805"/>
      <c r="AV41" s="753"/>
    </row>
    <row r="42" spans="2:49" ht="15.95" hidden="1" customHeight="1" x14ac:dyDescent="0.25">
      <c r="B42" s="1204">
        <v>14</v>
      </c>
      <c r="C42" s="1470"/>
      <c r="D42" s="1471"/>
      <c r="E42" s="1471"/>
      <c r="F42" s="1471"/>
      <c r="G42" s="1471"/>
      <c r="H42" s="1471"/>
      <c r="I42" s="1471"/>
      <c r="J42" s="1471"/>
      <c r="K42" s="1471"/>
      <c r="L42" s="1471"/>
      <c r="M42" s="1472"/>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70"/>
      <c r="Y42" s="1471"/>
      <c r="Z42" s="1471"/>
      <c r="AA42" s="1472"/>
      <c r="AB42" s="1470"/>
      <c r="AC42" s="1471"/>
      <c r="AD42" s="1472"/>
      <c r="AE42" s="1722"/>
      <c r="AF42" s="1723"/>
      <c r="AG42" s="1722"/>
      <c r="AH42" s="1723"/>
      <c r="AI42" s="1735" t="str">
        <f>IF(C42="","",INDEX(PMEMOTOR[Inc Rate Unit],MATCH(C42,PMEMOTOR[Eff Desc 1],0)))</f>
        <v/>
      </c>
      <c r="AJ42" s="1736"/>
      <c r="AK42" s="1728" t="str">
        <f>IF(OR(C42="",V42="",X42="",AB42="",AE42="",AG42=""),"",ROUND(V42*INDEX(PMEMOTOR[Savings per Unit kWh],MATCH(C42,PMEMOTOR[Eff Desc 1],0)),0))</f>
        <v/>
      </c>
      <c r="AL42" s="1729"/>
      <c r="AM42" s="1729"/>
      <c r="AN42" s="1730"/>
      <c r="AO42" s="1726" t="str">
        <f>IF(OR(C42="",V42="",X42="",AB42="",AE42="",AG42=""),"",MIN(AU42,ROUND(V42*AI42,2)))</f>
        <v/>
      </c>
      <c r="AP42" s="1739"/>
      <c r="AQ42" s="1727"/>
      <c r="AR42" s="69"/>
      <c r="AS42" s="69"/>
      <c r="AT42" s="69"/>
      <c r="AU42" s="804" t="str">
        <f>IF(OR(,V42="",X42="",AB42="",AE42="",AG42=""),"",ROUND((AE42+AG42)*V42,2))</f>
        <v/>
      </c>
      <c r="AV42" s="752" t="str">
        <f>IF(OR(C42="",V42="",X42="",AB42="",AE42="",AG42=""),"",ROUND(V42*INDEX(PMEMOTOR[Savings per Unit kW],MATCH(C42,PMEMOTOR[Eff Desc 1],0)),4))</f>
        <v/>
      </c>
    </row>
    <row r="43" spans="2:49" ht="15.95" hidden="1" customHeight="1" x14ac:dyDescent="0.25">
      <c r="B43" s="1204"/>
      <c r="C43" s="824"/>
      <c r="D43" s="825"/>
      <c r="E43" s="825"/>
      <c r="F43" s="825"/>
      <c r="G43" s="825"/>
      <c r="H43" s="825"/>
      <c r="I43" s="825"/>
      <c r="J43" s="825"/>
      <c r="K43" s="825"/>
      <c r="L43" s="825"/>
      <c r="M43" s="826"/>
      <c r="N43" s="1710"/>
      <c r="O43" s="1711"/>
      <c r="P43" s="1711"/>
      <c r="Q43" s="1711"/>
      <c r="R43" s="1711"/>
      <c r="S43" s="1712"/>
      <c r="T43" s="1715"/>
      <c r="U43" s="1716"/>
      <c r="V43" s="1719"/>
      <c r="W43" s="1720"/>
      <c r="X43" s="824"/>
      <c r="Y43" s="825"/>
      <c r="Z43" s="825"/>
      <c r="AA43" s="826"/>
      <c r="AB43" s="824"/>
      <c r="AC43" s="825"/>
      <c r="AD43" s="826"/>
      <c r="AE43" s="1724"/>
      <c r="AF43" s="1725"/>
      <c r="AG43" s="1724"/>
      <c r="AH43" s="1725"/>
      <c r="AI43" s="1737"/>
      <c r="AJ43" s="1738"/>
      <c r="AK43" s="1696"/>
      <c r="AL43" s="1697"/>
      <c r="AM43" s="1697"/>
      <c r="AN43" s="1698"/>
      <c r="AO43" s="1687"/>
      <c r="AP43" s="1740"/>
      <c r="AQ43" s="1688"/>
      <c r="AR43" s="69"/>
      <c r="AS43" s="69"/>
      <c r="AT43" s="69"/>
      <c r="AU43" s="805"/>
      <c r="AV43" s="753"/>
    </row>
    <row r="44" spans="2:49" ht="15.95" hidden="1" customHeight="1" x14ac:dyDescent="0.25">
      <c r="B44" s="1204">
        <v>15</v>
      </c>
      <c r="C44" s="1470"/>
      <c r="D44" s="1471"/>
      <c r="E44" s="1471"/>
      <c r="F44" s="1471"/>
      <c r="G44" s="1471"/>
      <c r="H44" s="1471"/>
      <c r="I44" s="1471"/>
      <c r="J44" s="1471"/>
      <c r="K44" s="1471"/>
      <c r="L44" s="1471"/>
      <c r="M44" s="1472"/>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70"/>
      <c r="Y44" s="1471"/>
      <c r="Z44" s="1471"/>
      <c r="AA44" s="1472"/>
      <c r="AB44" s="1470"/>
      <c r="AC44" s="1471"/>
      <c r="AD44" s="1472"/>
      <c r="AE44" s="1722"/>
      <c r="AF44" s="1723"/>
      <c r="AG44" s="1722"/>
      <c r="AH44" s="1723"/>
      <c r="AI44" s="1735" t="str">
        <f>IF(C44="","",INDEX(PMEMOTOR[Inc Rate Unit],MATCH(C44,PMEMOTOR[Eff Desc 1],0)))</f>
        <v/>
      </c>
      <c r="AJ44" s="1736"/>
      <c r="AK44" s="1728" t="str">
        <f>IF(OR(C44="",V44="",X44="",AB44="",AE44="",AG44=""),"",ROUND(V44*INDEX(PMEMOTOR[Savings per Unit kWh],MATCH(C44,PMEMOTOR[Eff Desc 1],0)),0))</f>
        <v/>
      </c>
      <c r="AL44" s="1729"/>
      <c r="AM44" s="1729"/>
      <c r="AN44" s="1730"/>
      <c r="AO44" s="1726" t="str">
        <f>IF(OR(C44="",V44="",X44="",AB44="",AE44="",AG44=""),"",MIN(AU44,ROUND(V44*AI44,2)))</f>
        <v/>
      </c>
      <c r="AP44" s="1739"/>
      <c r="AQ44" s="1727"/>
      <c r="AR44" s="69"/>
      <c r="AS44" s="69"/>
      <c r="AT44" s="69"/>
      <c r="AU44" s="804" t="str">
        <f>IF(OR(,V44="",X44="",AB44="",AE44="",AG44=""),"",ROUND((AE44+AG44)*V44,2))</f>
        <v/>
      </c>
      <c r="AV44" s="752" t="str">
        <f>IF(OR(C44="",V44="",X44="",AB44="",AE44="",AG44=""),"",ROUND(V44*INDEX(PMEMOTOR[Savings per Unit kW],MATCH(C44,PMEMOTOR[Eff Desc 1],0)),4))</f>
        <v/>
      </c>
    </row>
    <row r="45" spans="2:49" ht="15.95" hidden="1" customHeight="1" x14ac:dyDescent="0.25">
      <c r="B45" s="1204"/>
      <c r="C45" s="824"/>
      <c r="D45" s="825"/>
      <c r="E45" s="825"/>
      <c r="F45" s="825"/>
      <c r="G45" s="825"/>
      <c r="H45" s="825"/>
      <c r="I45" s="825"/>
      <c r="J45" s="825"/>
      <c r="K45" s="825"/>
      <c r="L45" s="825"/>
      <c r="M45" s="826"/>
      <c r="N45" s="1710"/>
      <c r="O45" s="1711"/>
      <c r="P45" s="1711"/>
      <c r="Q45" s="1711"/>
      <c r="R45" s="1711"/>
      <c r="S45" s="1712"/>
      <c r="T45" s="1715"/>
      <c r="U45" s="1716"/>
      <c r="V45" s="1719"/>
      <c r="W45" s="1720"/>
      <c r="X45" s="824"/>
      <c r="Y45" s="825"/>
      <c r="Z45" s="825"/>
      <c r="AA45" s="826"/>
      <c r="AB45" s="824"/>
      <c r="AC45" s="825"/>
      <c r="AD45" s="826"/>
      <c r="AE45" s="1724"/>
      <c r="AF45" s="1725"/>
      <c r="AG45" s="1724"/>
      <c r="AH45" s="1725"/>
      <c r="AI45" s="1737"/>
      <c r="AJ45" s="1738"/>
      <c r="AK45" s="1696"/>
      <c r="AL45" s="1697"/>
      <c r="AM45" s="1697"/>
      <c r="AN45" s="1698"/>
      <c r="AO45" s="1687"/>
      <c r="AP45" s="1740"/>
      <c r="AQ45" s="1688"/>
      <c r="AR45" s="69"/>
      <c r="AS45" s="69"/>
      <c r="AT45" s="69"/>
      <c r="AU45" s="805"/>
      <c r="AV45" s="753"/>
    </row>
    <row r="46" spans="2:49"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1758">
        <f>SUM(AU16:AU199)</f>
        <v>0</v>
      </c>
      <c r="AV200" s="1761">
        <f>SUM(AV16:AV199)</f>
        <v>0</v>
      </c>
    </row>
    <row r="201" spans="2:48"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1759"/>
      <c r="AV201" s="1762"/>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RqIQypXmplcfpRSEnkQCO7O7HaIUgV1saqn37rtdkUP+SSRlIAxFk+nCh5sU28GkOB7DYN8n3H3ArNXo7we6Dw==" saltValue="+R9VwYQWOc37F0ndZ+/0UA==" spinCount="100000" sheet="1" objects="1" scenarios="1" selectLockedCells="1"/>
  <mergeCells count="332">
    <mergeCell ref="AV200:AV201"/>
    <mergeCell ref="AB30:AD31"/>
    <mergeCell ref="AE30:AF31"/>
    <mergeCell ref="AG30:AH31"/>
    <mergeCell ref="AB34:AD35"/>
    <mergeCell ref="AI30:AJ31"/>
    <mergeCell ref="AB32:AD33"/>
    <mergeCell ref="AK28:AN29"/>
    <mergeCell ref="AO28:AQ29"/>
    <mergeCell ref="M200:AG201"/>
    <mergeCell ref="N34:S35"/>
    <mergeCell ref="T34:U35"/>
    <mergeCell ref="V34:W35"/>
    <mergeCell ref="X34:AA35"/>
    <mergeCell ref="AV40:AV41"/>
    <mergeCell ref="AI36:AJ37"/>
    <mergeCell ref="AV36:AV37"/>
    <mergeCell ref="AI38:AJ39"/>
    <mergeCell ref="AV38:AV39"/>
    <mergeCell ref="AI42:AJ43"/>
    <mergeCell ref="AV42:AV43"/>
    <mergeCell ref="X42:AA43"/>
    <mergeCell ref="AB42:AD43"/>
    <mergeCell ref="AE42:AF43"/>
    <mergeCell ref="X28:AA29"/>
    <mergeCell ref="AB28:AD29"/>
    <mergeCell ref="AE28:AF29"/>
    <mergeCell ref="AG28:AH29"/>
    <mergeCell ref="AI28:AJ29"/>
    <mergeCell ref="C34:M35"/>
    <mergeCell ref="AV28:AV29"/>
    <mergeCell ref="AV34:AV35"/>
    <mergeCell ref="AK30:AN31"/>
    <mergeCell ref="AO30:AQ31"/>
    <mergeCell ref="AV30:AV31"/>
    <mergeCell ref="C32:M33"/>
    <mergeCell ref="N32:S33"/>
    <mergeCell ref="T32:U33"/>
    <mergeCell ref="V32:W33"/>
    <mergeCell ref="X32:AA33"/>
    <mergeCell ref="AI32:AJ33"/>
    <mergeCell ref="AK32:AN33"/>
    <mergeCell ref="AO32:AQ33"/>
    <mergeCell ref="AV32:AV33"/>
    <mergeCell ref="C30:M31"/>
    <mergeCell ref="N30:S31"/>
    <mergeCell ref="T30:U31"/>
    <mergeCell ref="V30:W31"/>
    <mergeCell ref="C28:M29"/>
    <mergeCell ref="N28:S29"/>
    <mergeCell ref="T28:U29"/>
    <mergeCell ref="V28:W29"/>
    <mergeCell ref="X30:AA31"/>
    <mergeCell ref="AW32:AW33"/>
    <mergeCell ref="AW34:AW35"/>
    <mergeCell ref="AW14:AW15"/>
    <mergeCell ref="AW16:AW17"/>
    <mergeCell ref="AW18:AW19"/>
    <mergeCell ref="AW20:AW21"/>
    <mergeCell ref="AW22:AW23"/>
    <mergeCell ref="AW24:AW25"/>
    <mergeCell ref="AW26:AW27"/>
    <mergeCell ref="AW28:AW29"/>
    <mergeCell ref="AW30:AW31"/>
    <mergeCell ref="AU14:AU15"/>
    <mergeCell ref="AV14:AV15"/>
    <mergeCell ref="AK14:AN15"/>
    <mergeCell ref="AO14:AQ15"/>
    <mergeCell ref="AV22:AV23"/>
    <mergeCell ref="AV24:AV25"/>
    <mergeCell ref="AK18:AN19"/>
    <mergeCell ref="AO24:AQ25"/>
    <mergeCell ref="B20:B21"/>
    <mergeCell ref="B22:B23"/>
    <mergeCell ref="B24:B25"/>
    <mergeCell ref="C14:M15"/>
    <mergeCell ref="N14:S15"/>
    <mergeCell ref="T14:U15"/>
    <mergeCell ref="V14:W15"/>
    <mergeCell ref="AB18:AD19"/>
    <mergeCell ref="C22:M23"/>
    <mergeCell ref="N22:S23"/>
    <mergeCell ref="T22:U23"/>
    <mergeCell ref="V22:W23"/>
    <mergeCell ref="X22:AA23"/>
    <mergeCell ref="X14:AA15"/>
    <mergeCell ref="AB14:AD15"/>
    <mergeCell ref="B16:B17"/>
    <mergeCell ref="C24:M25"/>
    <mergeCell ref="N24:S25"/>
    <mergeCell ref="T24:U25"/>
    <mergeCell ref="V24:W25"/>
    <mergeCell ref="X24:AA25"/>
    <mergeCell ref="V20:W21"/>
    <mergeCell ref="AB16:AD17"/>
    <mergeCell ref="AE14:AH14"/>
    <mergeCell ref="AE15:AF15"/>
    <mergeCell ref="AG15:AH15"/>
    <mergeCell ref="AI14:AJ15"/>
    <mergeCell ref="AI24:AJ25"/>
    <mergeCell ref="T20:U21"/>
    <mergeCell ref="V18:W19"/>
    <mergeCell ref="X18:AA19"/>
    <mergeCell ref="C16:M17"/>
    <mergeCell ref="N16:S17"/>
    <mergeCell ref="T16:U17"/>
    <mergeCell ref="V16:W17"/>
    <mergeCell ref="X16:AA17"/>
    <mergeCell ref="C18:M19"/>
    <mergeCell ref="N18:S19"/>
    <mergeCell ref="T18:U19"/>
    <mergeCell ref="AG24:AH25"/>
    <mergeCell ref="AG20:AH21"/>
    <mergeCell ref="AI20:AJ21"/>
    <mergeCell ref="AI16:AJ17"/>
    <mergeCell ref="AE16:AF17"/>
    <mergeCell ref="AG16:AH17"/>
    <mergeCell ref="AB24:AD25"/>
    <mergeCell ref="AE24:AF25"/>
    <mergeCell ref="N26:S27"/>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V20:AV21"/>
    <mergeCell ref="AV26:AV27"/>
    <mergeCell ref="AK20:AN21"/>
    <mergeCell ref="AO20:AQ21"/>
    <mergeCell ref="AO22:AQ23"/>
    <mergeCell ref="AQ1:AR1"/>
    <mergeCell ref="AQ2:AR3"/>
    <mergeCell ref="Z11:AC11"/>
    <mergeCell ref="R12:U13"/>
    <mergeCell ref="V12:Y13"/>
    <mergeCell ref="Z12:AC13"/>
    <mergeCell ref="R11:U11"/>
    <mergeCell ref="V11:Y11"/>
    <mergeCell ref="AH1:AK1"/>
    <mergeCell ref="AL1:AP1"/>
    <mergeCell ref="AH2:AK3"/>
    <mergeCell ref="AL2:AP3"/>
    <mergeCell ref="Q1:R1"/>
    <mergeCell ref="U1:V1"/>
    <mergeCell ref="Y1:Z1"/>
    <mergeCell ref="J11:Q13"/>
    <mergeCell ref="O9:AF10"/>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6:B47"/>
    <mergeCell ref="B48:B49"/>
    <mergeCell ref="B50:B51"/>
    <mergeCell ref="B52:B53"/>
    <mergeCell ref="B54:B55"/>
    <mergeCell ref="B56:B57"/>
    <mergeCell ref="B58:B59"/>
    <mergeCell ref="B60:B61"/>
    <mergeCell ref="B62:B63"/>
    <mergeCell ref="B26:B27"/>
    <mergeCell ref="B28:B29"/>
    <mergeCell ref="B30:B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O18:AQ19"/>
    <mergeCell ref="AB20:AD21"/>
    <mergeCell ref="AE20:AF21"/>
    <mergeCell ref="AE34:AF35"/>
    <mergeCell ref="AG34:AH35"/>
    <mergeCell ref="N20:S21"/>
    <mergeCell ref="AK16:AN17"/>
    <mergeCell ref="AO16:AQ17"/>
    <mergeCell ref="AU200:AU201"/>
    <mergeCell ref="AU26:AU27"/>
    <mergeCell ref="AU28:AU29"/>
    <mergeCell ref="AU30:AU31"/>
    <mergeCell ref="AU32:AU33"/>
    <mergeCell ref="AU34:AU35"/>
    <mergeCell ref="AK34:AN35"/>
    <mergeCell ref="AO34:AQ35"/>
    <mergeCell ref="AK40:AN41"/>
    <mergeCell ref="AO40:AQ41"/>
    <mergeCell ref="AU40:AU41"/>
    <mergeCell ref="AK36:AN37"/>
    <mergeCell ref="AO36:AQ37"/>
    <mergeCell ref="AU36:AU37"/>
    <mergeCell ref="AK38:AN39"/>
    <mergeCell ref="AO38:AQ39"/>
    <mergeCell ref="AU38:AU39"/>
    <mergeCell ref="AK42:AN43"/>
    <mergeCell ref="AO42:AQ43"/>
    <mergeCell ref="AU42:AU43"/>
    <mergeCell ref="AU44:AU45"/>
    <mergeCell ref="B36:B37"/>
    <mergeCell ref="C36:M37"/>
    <mergeCell ref="N36:S37"/>
    <mergeCell ref="T36:U37"/>
    <mergeCell ref="V36:W37"/>
    <mergeCell ref="X36:AA37"/>
    <mergeCell ref="AB36:AD37"/>
    <mergeCell ref="AE36:AF37"/>
    <mergeCell ref="AG36:AH37"/>
    <mergeCell ref="B38:B39"/>
    <mergeCell ref="C38:M39"/>
    <mergeCell ref="N38:S39"/>
    <mergeCell ref="T38:U39"/>
    <mergeCell ref="V38:W39"/>
    <mergeCell ref="X38:AA39"/>
    <mergeCell ref="AB38:AD39"/>
    <mergeCell ref="AE38:AF39"/>
    <mergeCell ref="AG38:AH39"/>
    <mergeCell ref="B40:B41"/>
    <mergeCell ref="C40:M41"/>
    <mergeCell ref="N40:S41"/>
    <mergeCell ref="T40:U41"/>
    <mergeCell ref="V40:W41"/>
    <mergeCell ref="B42:B43"/>
    <mergeCell ref="C42:M43"/>
    <mergeCell ref="N42:S43"/>
    <mergeCell ref="T42:U43"/>
    <mergeCell ref="V42:W43"/>
    <mergeCell ref="AG42:AH43"/>
    <mergeCell ref="X40:AA41"/>
    <mergeCell ref="AB40:AD41"/>
    <mergeCell ref="AE40:AF41"/>
    <mergeCell ref="AG40:AH41"/>
    <mergeCell ref="AI40:AJ41"/>
    <mergeCell ref="AI44:AJ45"/>
    <mergeCell ref="AK44:AN45"/>
    <mergeCell ref="AO44:AQ45"/>
    <mergeCell ref="AV44:AV45"/>
    <mergeCell ref="B44:B45"/>
    <mergeCell ref="C44:M45"/>
    <mergeCell ref="N44:S45"/>
    <mergeCell ref="T44:U45"/>
    <mergeCell ref="V44:W45"/>
    <mergeCell ref="X44:AA45"/>
    <mergeCell ref="AB44:AD45"/>
    <mergeCell ref="AE44:AF45"/>
    <mergeCell ref="AG44:AH45"/>
  </mergeCells>
  <conditionalFormatting sqref="O9">
    <cfRule type="expression" dxfId="201" priority="325">
      <formula>ISNUMBER(SEARCH("Inspection",$O$9))</formula>
    </cfRule>
  </conditionalFormatting>
  <conditionalFormatting sqref="AH2 AL2">
    <cfRule type="expression" dxfId="200" priority="3">
      <formula>PROJSTATUS=PROJSTATELI</formula>
    </cfRule>
    <cfRule type="expression" dxfId="199" priority="4">
      <formula>PROJSTATUS=PROJSTATREVIEW</formula>
    </cfRule>
    <cfRule type="expression" dxfId="198" priority="5">
      <formula>PROJSTATUS=PROJSTATPREAPPROVE</formula>
    </cfRule>
    <cfRule type="expression" dxfId="197" priority="6">
      <formula>PROJSTATUS=PROJSTATSTANDARD</formula>
    </cfRule>
    <cfRule type="expression" dxfId="196" priority="7">
      <formula>PROJSTATUS=PROJSTATEXP</formula>
    </cfRule>
  </conditionalFormatting>
  <conditionalFormatting sqref="AO16:AQ35">
    <cfRule type="expression" dxfId="195" priority="2">
      <formula>ISNUMBER($AO16)=FALSE</formula>
    </cfRule>
    <cfRule type="expression" dxfId="194" priority="8">
      <formula>AW16="Yes"</formula>
    </cfRule>
  </conditionalFormatting>
  <conditionalFormatting sqref="AQ2:AR3">
    <cfRule type="cellIs" dxfId="193" priority="17" operator="equal">
      <formula>1</formula>
    </cfRule>
    <cfRule type="cellIs" dxfId="192" priority="18" operator="between">
      <formula>0.51</formula>
      <formula>0.99</formula>
    </cfRule>
    <cfRule type="cellIs" dxfId="191" priority="19" operator="lessThanOrEqual">
      <formula>0.5</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xr:uid="{00000000-0002-0000-1B00-000000000000}">
      <formula1>0</formula1>
      <formula2>99999</formula2>
    </dataValidation>
    <dataValidation type="decimal" allowBlank="1" showInputMessage="1" showErrorMessage="1" error="Please enter a numerical value" sqref="AE16:AH45" xr:uid="{00000000-0002-0000-1B00-000001000000}">
      <formula1>0</formula1>
      <formula2>999999</formula2>
    </dataValidation>
    <dataValidation type="list" allowBlank="1" showInputMessage="1" showErrorMessage="1" sqref="C16:M45" xr:uid="{00000000-0002-0000-1B00-000002000000}">
      <formula1>PMEMOTOREFF1</formula1>
    </dataValidation>
  </dataValidations>
  <hyperlinks>
    <hyperlink ref="B202" r:id="rId1" display="NIPSCO.Savings@LMCO.com" xr:uid="{00000000-0004-0000-1B00-000000000000}"/>
  </hyperlinks>
  <pageMargins left="0.25" right="0.25" top="0.25" bottom="0.25" header="0.25" footer="0.25"/>
  <pageSetup scale="64" fitToHeight="0"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F90E0-9F8B-4739-954C-A1DBDA3DD3D4}">
  <sheetPr codeName="Sheet4">
    <pageSetUpPr fitToPage="1"/>
  </sheetPr>
  <dimension ref="A1:AZ202"/>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2"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2"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2" ht="15.95" customHeight="1" x14ac:dyDescent="0.25">
      <c r="AH3" s="604"/>
      <c r="AI3" s="605"/>
      <c r="AJ3" s="605"/>
      <c r="AK3" s="605"/>
      <c r="AL3" s="614"/>
      <c r="AM3" s="614"/>
      <c r="AN3" s="614"/>
      <c r="AO3" s="614"/>
      <c r="AP3" s="614"/>
      <c r="AQ3" s="610"/>
      <c r="AR3" s="611"/>
    </row>
    <row r="4" spans="2:52" ht="15.95" customHeight="1" x14ac:dyDescent="0.25"/>
    <row r="5" spans="2:52"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2"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2"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2"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2" ht="15.95" customHeight="1" x14ac:dyDescent="0.25">
      <c r="B9" s="69"/>
      <c r="C9" s="69"/>
      <c r="D9" s="69"/>
      <c r="E9" s="69"/>
      <c r="F9" s="69"/>
      <c r="G9" s="69"/>
      <c r="H9" s="69"/>
      <c r="I9" s="69"/>
      <c r="J9" s="69"/>
      <c r="K9" s="69"/>
      <c r="L9" s="69"/>
      <c r="M9" s="69"/>
      <c r="N9" s="69"/>
      <c r="O9" s="794" t="str">
        <f>IF(INCENSTATUS="---",CONCATENATE(M4S5," ","Summary"),IF(INCENSTATUS&gt;15000,"This project may require an inspection. Please submit photos of existing equipment and of new efficient equipment once installed.",CONCATENATE(M4S5," ","Summary")))</f>
        <v>VFDs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52"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52" ht="15.95" customHeight="1" x14ac:dyDescent="0.3">
      <c r="B11" s="69"/>
      <c r="C11" s="69"/>
      <c r="D11" s="69"/>
      <c r="E11" s="69"/>
      <c r="F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1685</v>
      </c>
      <c r="AA11" s="1042"/>
      <c r="AB11" s="1042"/>
      <c r="AC11" s="1042"/>
      <c r="AE11" s="69"/>
      <c r="AK11" s="69"/>
      <c r="AL11" s="69"/>
      <c r="AM11" s="69"/>
      <c r="AN11" s="69"/>
      <c r="AO11" s="69"/>
      <c r="AP11" s="69"/>
      <c r="AQ11" s="69"/>
      <c r="AR11" s="69"/>
    </row>
    <row r="12" spans="2:52" ht="15.95" customHeight="1" x14ac:dyDescent="0.25">
      <c r="B12" s="69"/>
      <c r="C12" s="69"/>
      <c r="D12" s="69"/>
      <c r="E12" s="69"/>
      <c r="F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2"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E13" s="69"/>
      <c r="AF13" s="69"/>
      <c r="AG13" s="69"/>
      <c r="AH13" s="69"/>
      <c r="AI13" s="69"/>
      <c r="AJ13" s="69"/>
      <c r="AK13" s="69"/>
      <c r="AL13" s="69"/>
      <c r="AM13" s="69"/>
      <c r="AN13" s="69"/>
      <c r="AO13" s="69"/>
      <c r="AP13" s="69"/>
      <c r="AQ13" s="69"/>
      <c r="AR13" s="69"/>
      <c r="AU13" s="69">
        <f>SUMPRODUCT(--(LEN(C16:AH35)&gt;0))</f>
        <v>0</v>
      </c>
    </row>
    <row r="14" spans="2:52" ht="15.95" customHeight="1" x14ac:dyDescent="0.25">
      <c r="B14" s="69"/>
      <c r="C14" s="799" t="s">
        <v>1126</v>
      </c>
      <c r="D14" s="799"/>
      <c r="E14" s="799"/>
      <c r="F14" s="799"/>
      <c r="G14" s="799"/>
      <c r="H14" s="799"/>
      <c r="I14" s="799"/>
      <c r="J14" s="799"/>
      <c r="K14" s="799"/>
      <c r="L14" s="799"/>
      <c r="M14" s="799"/>
      <c r="N14" s="799" t="s">
        <v>91</v>
      </c>
      <c r="O14" s="799"/>
      <c r="P14" s="799"/>
      <c r="Q14" s="799"/>
      <c r="R14" s="799"/>
      <c r="S14" s="799"/>
      <c r="T14" s="1763" t="s">
        <v>1686</v>
      </c>
      <c r="U14" s="799"/>
      <c r="V14" s="745" t="s">
        <v>2100</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S14" s="69"/>
      <c r="AT14" s="69"/>
      <c r="AU14" s="799" t="s">
        <v>191</v>
      </c>
      <c r="AV14" s="799" t="s">
        <v>192</v>
      </c>
      <c r="AW14" s="799" t="s">
        <v>1352</v>
      </c>
      <c r="AX14" s="745" t="s">
        <v>2006</v>
      </c>
      <c r="AY14" s="745" t="s">
        <v>2007</v>
      </c>
      <c r="AZ14" s="745" t="s">
        <v>2008</v>
      </c>
    </row>
    <row r="15" spans="2:52" ht="15.95" customHeight="1" thickBot="1" x14ac:dyDescent="0.3">
      <c r="B15" s="69"/>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S15" s="69"/>
      <c r="AT15" s="69"/>
      <c r="AU15" s="746"/>
      <c r="AV15" s="746"/>
      <c r="AW15" s="746"/>
      <c r="AX15" s="746"/>
      <c r="AY15" s="746"/>
      <c r="AZ15" s="746"/>
    </row>
    <row r="16" spans="2:52" ht="15.95" customHeight="1" x14ac:dyDescent="0.25">
      <c r="B16" s="1193">
        <v>1</v>
      </c>
      <c r="C16" s="1470"/>
      <c r="D16" s="1471"/>
      <c r="E16" s="1471"/>
      <c r="F16" s="1471"/>
      <c r="G16" s="1471"/>
      <c r="H16" s="1471"/>
      <c r="I16" s="1471"/>
      <c r="J16" s="1471"/>
      <c r="K16" s="1471"/>
      <c r="L16" s="1471"/>
      <c r="M16" s="1472"/>
      <c r="N16" s="1707" t="str">
        <f>IF(C16="","",INDEX(PMEVFD[Base Desc 1],MATCH(C16,PMEVFD[Eff Desc 1],0)))</f>
        <v/>
      </c>
      <c r="O16" s="1708"/>
      <c r="P16" s="1708"/>
      <c r="Q16" s="1708"/>
      <c r="R16" s="1708"/>
      <c r="S16" s="1709"/>
      <c r="T16" s="1764"/>
      <c r="U16" s="1765"/>
      <c r="V16" s="1717"/>
      <c r="W16" s="1718"/>
      <c r="X16" s="1750"/>
      <c r="Y16" s="1471"/>
      <c r="Z16" s="1471"/>
      <c r="AA16" s="1472"/>
      <c r="AB16" s="1750"/>
      <c r="AC16" s="1471"/>
      <c r="AD16" s="1472"/>
      <c r="AE16" s="1722"/>
      <c r="AF16" s="1723"/>
      <c r="AG16" s="1722"/>
      <c r="AH16" s="1723"/>
      <c r="AI16" s="1735" t="str">
        <f>IF(C16="","",INDEX(PMEVFD[Inc Rate Unit],MATCH(C16,PMEVFD[Eff Desc 1],0)))</f>
        <v/>
      </c>
      <c r="AJ16" s="1736"/>
      <c r="AK16" s="1728" t="str">
        <f>IF(OR(C16="",V16="",X16="",AB16="",AE16="",AG16=""),"",ROUND(T16*V16*INDEX(PMEVFD[Savings per Unit kWh],MATCH(C16,PMEVFD[Eff Desc 1],0)),0))</f>
        <v/>
      </c>
      <c r="AL16" s="1729"/>
      <c r="AM16" s="1729"/>
      <c r="AN16" s="1730"/>
      <c r="AO16" s="1751" t="str">
        <f>IF(M02S02F44="","Update Install Status",IF(M02S02F49="Yes","Not Eligible",IF(OR(C16="",V16="",X16="",AB16="",AE16="",AG16=""),"",MIN(AU16,ROUND(T16*V16*AI16,2)))))</f>
        <v>Update Install Status</v>
      </c>
      <c r="AP16" s="1752"/>
      <c r="AQ16" s="1753"/>
      <c r="AR16" s="69"/>
      <c r="AS16" s="69"/>
      <c r="AT16" s="69"/>
      <c r="AU16" s="804" t="str">
        <f>IF(OR(V16="",T16="",X16="",AB16="",AE16="",AG16=""),"",ROUND((AE16+AG16),2))</f>
        <v/>
      </c>
      <c r="AV16" s="752" t="str">
        <f>IF(OR(C16="",V16="",X16="",AB16="",AE16="",AG16=""),"",ROUND(AK16*INDEX(ENDUSEALL[Factor],MATCH(INDEX(PMEVFD[End Use Category],MATCH(C16,PMEVFD[Eff Desc 1],0)),ENDUSEALL[End Use to Coincident Peak Demand Factors],0)),4))</f>
        <v/>
      </c>
      <c r="AW16" s="752" t="str">
        <f>IFERROR(IF(AI16*V16*T16&gt;AO16,"Yes","No"),"")</f>
        <v/>
      </c>
      <c r="AX16" s="1782">
        <f>IFERROR(IF(OR(INDEX(PMEVFD[End Use Category],MATCH(C16,PMEVFD[Eff Desc 1],0))="Cooling",INDEX(PMEVFD[End Use Category],MATCH(C16,PMEVFD[Eff Desc 1],0))="HVAC"),ROUND(AZ16*1.15,2),0),0)</f>
        <v>0</v>
      </c>
      <c r="AY16" s="1432" t="str">
        <f>IF(M02S02F44="","Update Install Status",IF(M02S02F49="Yes","Not Eligible",IF(OR(C16="",V16="",X16="",AB16="",AE16="",AG16=""),"",IF(AX16=0,AZ16,ROUND(AX16*BONUSADJ,2)))))</f>
        <v>Update Install Status</v>
      </c>
      <c r="AZ16" s="1432" t="str">
        <f>IF(M02S02F44="","Update Install Status",IF(M02S02F49="Yes","Not Eligible",IF(OR(C16="",V16="",X16="",AB16="",AE16="",AG16=""),"",MIN(AU16,ROUND(T16*V16*AI16,2)))))</f>
        <v>Update Install Status</v>
      </c>
    </row>
    <row r="17" spans="2:52" ht="15.95" customHeight="1" x14ac:dyDescent="0.25">
      <c r="B17" s="1193"/>
      <c r="C17" s="824"/>
      <c r="D17" s="825"/>
      <c r="E17" s="825"/>
      <c r="F17" s="825"/>
      <c r="G17" s="825"/>
      <c r="H17" s="825"/>
      <c r="I17" s="825"/>
      <c r="J17" s="825"/>
      <c r="K17" s="825"/>
      <c r="L17" s="825"/>
      <c r="M17" s="826"/>
      <c r="N17" s="1710"/>
      <c r="O17" s="1711"/>
      <c r="P17" s="1711"/>
      <c r="Q17" s="1711"/>
      <c r="R17" s="1711"/>
      <c r="S17" s="1712"/>
      <c r="T17" s="1766"/>
      <c r="U17" s="1767"/>
      <c r="V17" s="1719"/>
      <c r="W17" s="1720"/>
      <c r="X17" s="824"/>
      <c r="Y17" s="825"/>
      <c r="Z17" s="825"/>
      <c r="AA17" s="826"/>
      <c r="AB17" s="824"/>
      <c r="AC17" s="825"/>
      <c r="AD17" s="826"/>
      <c r="AE17" s="1724"/>
      <c r="AF17" s="1725"/>
      <c r="AG17" s="1724"/>
      <c r="AH17" s="1725"/>
      <c r="AI17" s="1737"/>
      <c r="AJ17" s="1738"/>
      <c r="AK17" s="1696"/>
      <c r="AL17" s="1697"/>
      <c r="AM17" s="1697"/>
      <c r="AN17" s="1698"/>
      <c r="AO17" s="1754"/>
      <c r="AP17" s="1755"/>
      <c r="AQ17" s="1756"/>
      <c r="AR17" s="69"/>
      <c r="AS17" s="69"/>
      <c r="AT17" s="69"/>
      <c r="AU17" s="805"/>
      <c r="AV17" s="753"/>
      <c r="AW17" s="753"/>
      <c r="AX17" s="1433"/>
      <c r="AY17" s="1433"/>
      <c r="AZ17" s="1433"/>
    </row>
    <row r="18" spans="2:52" ht="15.95" customHeight="1" x14ac:dyDescent="0.25">
      <c r="B18" s="1204">
        <v>2</v>
      </c>
      <c r="C18" s="1750"/>
      <c r="D18" s="1768"/>
      <c r="E18" s="1768"/>
      <c r="F18" s="1768"/>
      <c r="G18" s="1768"/>
      <c r="H18" s="1768"/>
      <c r="I18" s="1768"/>
      <c r="J18" s="1768"/>
      <c r="K18" s="1768"/>
      <c r="L18" s="1768"/>
      <c r="M18" s="1769"/>
      <c r="N18" s="1707" t="str">
        <f>IF(C18="","",INDEX(PMEVFD[Base Desc 1],MATCH(C18,PMEVFD[Eff Desc 1],0)))</f>
        <v/>
      </c>
      <c r="O18" s="1708"/>
      <c r="P18" s="1708"/>
      <c r="Q18" s="1708"/>
      <c r="R18" s="1708"/>
      <c r="S18" s="1709"/>
      <c r="T18" s="1770"/>
      <c r="U18" s="1771"/>
      <c r="V18" s="1774"/>
      <c r="W18" s="1775"/>
      <c r="X18" s="1750"/>
      <c r="Y18" s="1768"/>
      <c r="Z18" s="1768"/>
      <c r="AA18" s="1769"/>
      <c r="AB18" s="1750"/>
      <c r="AC18" s="1768"/>
      <c r="AD18" s="1769"/>
      <c r="AE18" s="1778"/>
      <c r="AF18" s="1779"/>
      <c r="AG18" s="1778"/>
      <c r="AH18" s="1779"/>
      <c r="AI18" s="1735" t="str">
        <f>IF(C18="","",INDEX(PMEVFD[Inc Rate Unit],MATCH(C18,PMEVFD[Eff Desc 1],0)))</f>
        <v/>
      </c>
      <c r="AJ18" s="1736"/>
      <c r="AK18" s="1728" t="str">
        <f>IF(OR(C18="",V18="",X18="",AB18="",AE18="",AG18=""),"",ROUND(T18*V18*INDEX(PMEVFD[Savings per Unit kWh],MATCH(C18,PMEVFD[Eff Desc 1],0)),0))</f>
        <v/>
      </c>
      <c r="AL18" s="1729"/>
      <c r="AM18" s="1729"/>
      <c r="AN18" s="1730"/>
      <c r="AO18" s="1751" t="str">
        <f>IF(M02S02F44="","Update Install Status",IF(M02S02F49="Yes","Not Eligible",IF(OR(C18="",V18="",X18="",AB18="",AE18="",AG18=""),"",MIN(AU18,ROUND(T18*V18*AI18,2)))))</f>
        <v>Update Install Status</v>
      </c>
      <c r="AP18" s="1752"/>
      <c r="AQ18" s="1753"/>
      <c r="AR18" s="69"/>
      <c r="AS18" s="69"/>
      <c r="AT18" s="69"/>
      <c r="AU18" s="804" t="str">
        <f t="shared" ref="AU18" si="0">IF(OR(V18="",T18="",X18="",AB18="",AE18="",AG18=""),"",ROUND((AE18+AG18),2))</f>
        <v/>
      </c>
      <c r="AV18" s="752" t="str">
        <f>IF(OR(C18="",V18="",X18="",AB18="",AE18="",AG18=""),"",ROUND(AK18*INDEX(ENDUSEALL[Factor],MATCH(INDEX(PMEVFD[End Use Category],MATCH(C18,PMEVFD[Eff Desc 1],0)),ENDUSEALL[End Use to Coincident Peak Demand Factors],0)),4))</f>
        <v/>
      </c>
      <c r="AW18" s="752" t="str">
        <f>IFERROR(IF(AI18*V18*T18&gt;AO18,"Yes","No"),"")</f>
        <v/>
      </c>
      <c r="AX18" s="1782">
        <f>IFERROR(IF(OR(INDEX(PMEVFD[End Use Category],MATCH(C18,PMEVFD[Eff Desc 1],0))="Cooling",INDEX(PMEVFD[End Use Category],MATCH(C18,PMEVFD[Eff Desc 1],0))="HVAC"),ROUND(AZ18*1.15,2),0),0)</f>
        <v>0</v>
      </c>
      <c r="AY18" s="1432" t="str">
        <f>IF(M02S02F44="","Update Install Status",IF(M02S02F49="Yes","Not Eligible",IF(OR(C18="",V18="",X18="",AB18="",AE18="",AG18=""),"",IF(AX18=0,AZ18,ROUND(AX18*BONUSADJ,2)))))</f>
        <v>Update Install Status</v>
      </c>
      <c r="AZ18" s="1432" t="str">
        <f>IF(M02S02F44="","Update Install Status",IF(M02S02F49="Yes","Not Eligible",IF(OR(C18="",V18="",X18="",AB18="",AE18="",AG18=""),"",MIN(AU18,ROUND(T18*V18*AI18,2)))))</f>
        <v>Update Install Status</v>
      </c>
    </row>
    <row r="19" spans="2:52" ht="15.95" customHeight="1" x14ac:dyDescent="0.25">
      <c r="B19" s="1204"/>
      <c r="C19" s="896"/>
      <c r="D19" s="897"/>
      <c r="E19" s="897"/>
      <c r="F19" s="897"/>
      <c r="G19" s="897"/>
      <c r="H19" s="897"/>
      <c r="I19" s="897"/>
      <c r="J19" s="897"/>
      <c r="K19" s="897"/>
      <c r="L19" s="897"/>
      <c r="M19" s="898"/>
      <c r="N19" s="1710"/>
      <c r="O19" s="1711"/>
      <c r="P19" s="1711"/>
      <c r="Q19" s="1711"/>
      <c r="R19" s="1711"/>
      <c r="S19" s="1712"/>
      <c r="T19" s="1772"/>
      <c r="U19" s="1773"/>
      <c r="V19" s="1776"/>
      <c r="W19" s="1777"/>
      <c r="X19" s="896"/>
      <c r="Y19" s="897"/>
      <c r="Z19" s="897"/>
      <c r="AA19" s="898"/>
      <c r="AB19" s="896"/>
      <c r="AC19" s="897"/>
      <c r="AD19" s="898"/>
      <c r="AE19" s="1780"/>
      <c r="AF19" s="1781"/>
      <c r="AG19" s="1780"/>
      <c r="AH19" s="1781"/>
      <c r="AI19" s="1737"/>
      <c r="AJ19" s="1738"/>
      <c r="AK19" s="1696"/>
      <c r="AL19" s="1697"/>
      <c r="AM19" s="1697"/>
      <c r="AN19" s="1698"/>
      <c r="AO19" s="1754"/>
      <c r="AP19" s="1755"/>
      <c r="AQ19" s="1756"/>
      <c r="AR19" s="69"/>
      <c r="AS19" s="69"/>
      <c r="AT19" s="69"/>
      <c r="AU19" s="805"/>
      <c r="AV19" s="753"/>
      <c r="AW19" s="753"/>
      <c r="AX19" s="1433"/>
      <c r="AY19" s="1433"/>
      <c r="AZ19" s="1433"/>
    </row>
    <row r="20" spans="2:52" ht="15.95" customHeight="1" x14ac:dyDescent="0.25">
      <c r="B20" s="1204">
        <v>3</v>
      </c>
      <c r="C20" s="1750"/>
      <c r="D20" s="1768"/>
      <c r="E20" s="1768"/>
      <c r="F20" s="1768"/>
      <c r="G20" s="1768"/>
      <c r="H20" s="1768"/>
      <c r="I20" s="1768"/>
      <c r="J20" s="1768"/>
      <c r="K20" s="1768"/>
      <c r="L20" s="1768"/>
      <c r="M20" s="1769"/>
      <c r="N20" s="1707" t="str">
        <f>IF(C20="","",INDEX(PMEVFD[Base Desc 1],MATCH(C20,PMEVFD[Eff Desc 1],0)))</f>
        <v/>
      </c>
      <c r="O20" s="1708"/>
      <c r="P20" s="1708"/>
      <c r="Q20" s="1708"/>
      <c r="R20" s="1708"/>
      <c r="S20" s="1709"/>
      <c r="T20" s="1770"/>
      <c r="U20" s="1771"/>
      <c r="V20" s="1774"/>
      <c r="W20" s="1775"/>
      <c r="X20" s="1750"/>
      <c r="Y20" s="1768"/>
      <c r="Z20" s="1768"/>
      <c r="AA20" s="1769"/>
      <c r="AB20" s="1750"/>
      <c r="AC20" s="1768"/>
      <c r="AD20" s="1769"/>
      <c r="AE20" s="1778"/>
      <c r="AF20" s="1779"/>
      <c r="AG20" s="1778"/>
      <c r="AH20" s="1779"/>
      <c r="AI20" s="1735" t="str">
        <f>IF(C20="","",INDEX(PMEVFD[Inc Rate Unit],MATCH(C20,PMEVFD[Eff Desc 1],0)))</f>
        <v/>
      </c>
      <c r="AJ20" s="1736"/>
      <c r="AK20" s="1728" t="str">
        <f>IF(OR(C20="",V20="",X20="",AB20="",AE20="",AG20=""),"",ROUND(T20*V20*INDEX(PMEVFD[Savings per Unit kWh],MATCH(C20,PMEVFD[Eff Desc 1],0)),0))</f>
        <v/>
      </c>
      <c r="AL20" s="1729"/>
      <c r="AM20" s="1729"/>
      <c r="AN20" s="1730"/>
      <c r="AO20" s="1751" t="str">
        <f>IF(M02S02F44="","Update Install Status",IF(M02S02F49="Yes","Not Eligible",IF(OR(C20="",V20="",X20="",AB20="",AE20="",AG20=""),"",MIN(AU20,ROUND(T20*V20*AI20,2)))))</f>
        <v>Update Install Status</v>
      </c>
      <c r="AP20" s="1752"/>
      <c r="AQ20" s="1753"/>
      <c r="AR20" s="69"/>
      <c r="AS20" s="69"/>
      <c r="AT20" s="69"/>
      <c r="AU20" s="804" t="str">
        <f t="shared" ref="AU20" si="1">IF(OR(V20="",T20="",X20="",AB20="",AE20="",AG20=""),"",ROUND((AE20+AG20),2))</f>
        <v/>
      </c>
      <c r="AV20" s="752" t="str">
        <f>IF(OR(C20="",V20="",X20="",AB20="",AE20="",AG20=""),"",ROUND(AK20*INDEX(ENDUSEALL[Factor],MATCH(INDEX(PMEVFD[End Use Category],MATCH(C20,PMEVFD[Eff Desc 1],0)),ENDUSEALL[End Use to Coincident Peak Demand Factors],0)),4))</f>
        <v/>
      </c>
      <c r="AW20" s="752" t="str">
        <f>IFERROR(IF(AI20*V20*T20&gt;AO20,"Yes","No"),"")</f>
        <v/>
      </c>
      <c r="AX20" s="1782">
        <f>IFERROR(IF(OR(INDEX(PMEVFD[End Use Category],MATCH(C20,PMEVFD[Eff Desc 1],0))="Cooling",INDEX(PMEVFD[End Use Category],MATCH(C20,PMEVFD[Eff Desc 1],0))="HVAC"),ROUND(AZ20*1.15,2),0),0)</f>
        <v>0</v>
      </c>
      <c r="AY20" s="1432" t="str">
        <f>IF(M02S02F44="","Update Install Status",IF(M02S02F49="Yes","Not Eligible",IF(OR(C20="",V20="",X20="",AB20="",AE20="",AG20=""),"",IF(AX20=0,AZ20,ROUND(AX20*BONUSADJ,2)))))</f>
        <v>Update Install Status</v>
      </c>
      <c r="AZ20" s="1432" t="str">
        <f>IF(M02S02F44="","Update Install Status",IF(M02S02F49="Yes","Not Eligible",IF(OR(C20="",V20="",X20="",AB20="",AE20="",AG20=""),"",MIN(AU20,ROUND(T20*V20*AI20,2)))))</f>
        <v>Update Install Status</v>
      </c>
    </row>
    <row r="21" spans="2:52" ht="15.95" customHeight="1" x14ac:dyDescent="0.25">
      <c r="B21" s="1204"/>
      <c r="C21" s="896"/>
      <c r="D21" s="897"/>
      <c r="E21" s="897"/>
      <c r="F21" s="897"/>
      <c r="G21" s="897"/>
      <c r="H21" s="897"/>
      <c r="I21" s="897"/>
      <c r="J21" s="897"/>
      <c r="K21" s="897"/>
      <c r="L21" s="897"/>
      <c r="M21" s="898"/>
      <c r="N21" s="1710"/>
      <c r="O21" s="1711"/>
      <c r="P21" s="1711"/>
      <c r="Q21" s="1711"/>
      <c r="R21" s="1711"/>
      <c r="S21" s="1712"/>
      <c r="T21" s="1772"/>
      <c r="U21" s="1773"/>
      <c r="V21" s="1776"/>
      <c r="W21" s="1777"/>
      <c r="X21" s="896"/>
      <c r="Y21" s="897"/>
      <c r="Z21" s="897"/>
      <c r="AA21" s="898"/>
      <c r="AB21" s="896"/>
      <c r="AC21" s="897"/>
      <c r="AD21" s="898"/>
      <c r="AE21" s="1780"/>
      <c r="AF21" s="1781"/>
      <c r="AG21" s="1780"/>
      <c r="AH21" s="1781"/>
      <c r="AI21" s="1737"/>
      <c r="AJ21" s="1738"/>
      <c r="AK21" s="1696"/>
      <c r="AL21" s="1697"/>
      <c r="AM21" s="1697"/>
      <c r="AN21" s="1698"/>
      <c r="AO21" s="1754"/>
      <c r="AP21" s="1755"/>
      <c r="AQ21" s="1756"/>
      <c r="AR21" s="69"/>
      <c r="AS21" s="69"/>
      <c r="AT21" s="69"/>
      <c r="AU21" s="805"/>
      <c r="AV21" s="753"/>
      <c r="AW21" s="753"/>
      <c r="AX21" s="1433"/>
      <c r="AY21" s="1433"/>
      <c r="AZ21" s="1433"/>
    </row>
    <row r="22" spans="2:52" ht="15.95" customHeight="1" x14ac:dyDescent="0.25">
      <c r="B22" s="1204">
        <v>4</v>
      </c>
      <c r="C22" s="1750"/>
      <c r="D22" s="1768"/>
      <c r="E22" s="1768"/>
      <c r="F22" s="1768"/>
      <c r="G22" s="1768"/>
      <c r="H22" s="1768"/>
      <c r="I22" s="1768"/>
      <c r="J22" s="1768"/>
      <c r="K22" s="1768"/>
      <c r="L22" s="1768"/>
      <c r="M22" s="1769"/>
      <c r="N22" s="1707" t="str">
        <f>IF(C22="","",INDEX(PMEVFD[Base Desc 1],MATCH(C22,PMEVFD[Eff Desc 1],0)))</f>
        <v/>
      </c>
      <c r="O22" s="1708"/>
      <c r="P22" s="1708"/>
      <c r="Q22" s="1708"/>
      <c r="R22" s="1708"/>
      <c r="S22" s="1709"/>
      <c r="T22" s="1770"/>
      <c r="U22" s="1771"/>
      <c r="V22" s="1774"/>
      <c r="W22" s="1775"/>
      <c r="X22" s="1750"/>
      <c r="Y22" s="1768"/>
      <c r="Z22" s="1768"/>
      <c r="AA22" s="1769"/>
      <c r="AB22" s="1750"/>
      <c r="AC22" s="1768"/>
      <c r="AD22" s="1769"/>
      <c r="AE22" s="1778"/>
      <c r="AF22" s="1779"/>
      <c r="AG22" s="1778"/>
      <c r="AH22" s="1779"/>
      <c r="AI22" s="1735" t="str">
        <f>IF(C22="","",INDEX(PMEVFD[Inc Rate Unit],MATCH(C22,PMEVFD[Eff Desc 1],0)))</f>
        <v/>
      </c>
      <c r="AJ22" s="1736"/>
      <c r="AK22" s="1728" t="str">
        <f>IF(OR(C22="",V22="",X22="",AB22="",AE22="",AG22=""),"",ROUND(T22*V22*INDEX(PMEVFD[Savings per Unit kWh],MATCH(C22,PMEVFD[Eff Desc 1],0)),0))</f>
        <v/>
      </c>
      <c r="AL22" s="1729"/>
      <c r="AM22" s="1729"/>
      <c r="AN22" s="1730"/>
      <c r="AO22" s="1751" t="str">
        <f>IF(M02S02F44="","Update Install Status",IF(M02S02F49="Yes","Not Eligible",IF(OR(C22="",V22="",X22="",AB22="",AE22="",AG22=""),"",MIN(AU22,ROUND(T22*V22*AI22,2)))))</f>
        <v>Update Install Status</v>
      </c>
      <c r="AP22" s="1752"/>
      <c r="AQ22" s="1753"/>
      <c r="AR22" s="69"/>
      <c r="AS22" s="69"/>
      <c r="AT22" s="69"/>
      <c r="AU22" s="804" t="str">
        <f t="shared" ref="AU22" si="2">IF(OR(V22="",T22="",X22="",AB22="",AE22="",AG22=""),"",ROUND((AE22+AG22),2))</f>
        <v/>
      </c>
      <c r="AV22" s="752" t="str">
        <f>IF(OR(C22="",V22="",X22="",AB22="",AE22="",AG22=""),"",ROUND(AK22*INDEX(ENDUSEALL[Factor],MATCH(INDEX(PMEVFD[End Use Category],MATCH(C22,PMEVFD[Eff Desc 1],0)),ENDUSEALL[End Use to Coincident Peak Demand Factors],0)),4))</f>
        <v/>
      </c>
      <c r="AW22" s="752" t="str">
        <f>IFERROR(IF(AI22*V22*T22&gt;AO22,"Yes","No"),"")</f>
        <v/>
      </c>
      <c r="AX22" s="1782">
        <f>IFERROR(IF(OR(INDEX(PMEVFD[End Use Category],MATCH(C22,PMEVFD[Eff Desc 1],0))="Cooling",INDEX(PMEVFD[End Use Category],MATCH(C22,PMEVFD[Eff Desc 1],0))="HVAC"),ROUND(AZ22*1.15,2),0),0)</f>
        <v>0</v>
      </c>
      <c r="AY22" s="1432" t="str">
        <f>IF(M02S02F44="","Update Install Status",IF(M02S02F49="Yes","Not Eligible",IF(OR(C22="",V22="",X22="",AB22="",AE22="",AG22=""),"",IF(AX22=0,AZ22,ROUND(AX22*BONUSADJ,2)))))</f>
        <v>Update Install Status</v>
      </c>
      <c r="AZ22" s="1432" t="str">
        <f>IF(M02S02F44="","Update Install Status",IF(M02S02F49="Yes","Not Eligible",IF(OR(C22="",V22="",X22="",AB22="",AE22="",AG22=""),"",MIN(AU22,ROUND(T22*V22*AI22,2)))))</f>
        <v>Update Install Status</v>
      </c>
    </row>
    <row r="23" spans="2:52" ht="15.95" customHeight="1" x14ac:dyDescent="0.25">
      <c r="B23" s="1204"/>
      <c r="C23" s="896"/>
      <c r="D23" s="897"/>
      <c r="E23" s="897"/>
      <c r="F23" s="897"/>
      <c r="G23" s="897"/>
      <c r="H23" s="897"/>
      <c r="I23" s="897"/>
      <c r="J23" s="897"/>
      <c r="K23" s="897"/>
      <c r="L23" s="897"/>
      <c r="M23" s="898"/>
      <c r="N23" s="1710"/>
      <c r="O23" s="1711"/>
      <c r="P23" s="1711"/>
      <c r="Q23" s="1711"/>
      <c r="R23" s="1711"/>
      <c r="S23" s="1712"/>
      <c r="T23" s="1772"/>
      <c r="U23" s="1773"/>
      <c r="V23" s="1776"/>
      <c r="W23" s="1777"/>
      <c r="X23" s="896"/>
      <c r="Y23" s="897"/>
      <c r="Z23" s="897"/>
      <c r="AA23" s="898"/>
      <c r="AB23" s="896"/>
      <c r="AC23" s="897"/>
      <c r="AD23" s="898"/>
      <c r="AE23" s="1780"/>
      <c r="AF23" s="1781"/>
      <c r="AG23" s="1780"/>
      <c r="AH23" s="1781"/>
      <c r="AI23" s="1737"/>
      <c r="AJ23" s="1738"/>
      <c r="AK23" s="1696"/>
      <c r="AL23" s="1697"/>
      <c r="AM23" s="1697"/>
      <c r="AN23" s="1698"/>
      <c r="AO23" s="1754"/>
      <c r="AP23" s="1755"/>
      <c r="AQ23" s="1756"/>
      <c r="AR23" s="69"/>
      <c r="AS23" s="69"/>
      <c r="AT23" s="69"/>
      <c r="AU23" s="805"/>
      <c r="AV23" s="753"/>
      <c r="AW23" s="753"/>
      <c r="AX23" s="1433"/>
      <c r="AY23" s="1433"/>
      <c r="AZ23" s="1433"/>
    </row>
    <row r="24" spans="2:52" ht="15.95" customHeight="1" x14ac:dyDescent="0.25">
      <c r="B24" s="1204">
        <v>5</v>
      </c>
      <c r="C24" s="1470"/>
      <c r="D24" s="1471"/>
      <c r="E24" s="1471"/>
      <c r="F24" s="1471"/>
      <c r="G24" s="1471"/>
      <c r="H24" s="1471"/>
      <c r="I24" s="1471"/>
      <c r="J24" s="1471"/>
      <c r="K24" s="1471"/>
      <c r="L24" s="1471"/>
      <c r="M24" s="1472"/>
      <c r="N24" s="1707" t="str">
        <f>IF(C24="","",INDEX(PMEVFD[Base Desc 1],MATCH(C24,PMEVFD[Eff Desc 1],0)))</f>
        <v/>
      </c>
      <c r="O24" s="1708"/>
      <c r="P24" s="1708"/>
      <c r="Q24" s="1708"/>
      <c r="R24" s="1708"/>
      <c r="S24" s="1709"/>
      <c r="T24" s="1764"/>
      <c r="U24" s="1765"/>
      <c r="V24" s="1717"/>
      <c r="W24" s="1718"/>
      <c r="X24" s="1721"/>
      <c r="Y24" s="1471"/>
      <c r="Z24" s="1471"/>
      <c r="AA24" s="1472"/>
      <c r="AB24" s="1721"/>
      <c r="AC24" s="1471"/>
      <c r="AD24" s="1472"/>
      <c r="AE24" s="1722"/>
      <c r="AF24" s="1723"/>
      <c r="AG24" s="1722"/>
      <c r="AH24" s="1723"/>
      <c r="AI24" s="1735" t="str">
        <f>IF(C24="","",INDEX(PMEVFD[Inc Rate Unit],MATCH(C24,PMEVFD[Eff Desc 1],0)))</f>
        <v/>
      </c>
      <c r="AJ24" s="1736"/>
      <c r="AK24" s="1728" t="str">
        <f>IF(OR(C24="",V24="",X24="",AB24="",AE24="",AG24=""),"",ROUND(T24*V24*INDEX(PMEVFD[Savings per Unit kWh],MATCH(C24,PMEVFD[Eff Desc 1],0)),0))</f>
        <v/>
      </c>
      <c r="AL24" s="1729"/>
      <c r="AM24" s="1729"/>
      <c r="AN24" s="1730"/>
      <c r="AO24" s="1751" t="str">
        <f>IF(M02S02F44="","Update Install Status",IF(M02S02F49="Yes","Not Eligible",IF(OR(C24="",V24="",X24="",AB24="",AE24="",AG24=""),"",MIN(AU24,ROUND(T24*V24*AI24,2)))))</f>
        <v>Update Install Status</v>
      </c>
      <c r="AP24" s="1752"/>
      <c r="AQ24" s="1753"/>
      <c r="AR24" s="69"/>
      <c r="AS24" s="69"/>
      <c r="AT24" s="69"/>
      <c r="AU24" s="804" t="str">
        <f t="shared" ref="AU24" si="3">IF(OR(V24="",T24="",X24="",AB24="",AE24="",AG24=""),"",ROUND((AE24+AG24),2))</f>
        <v/>
      </c>
      <c r="AV24" s="752" t="str">
        <f>IF(OR(C24="",V24="",X24="",AB24="",AE24="",AG24=""),"",ROUND(AK24*INDEX(ENDUSEALL[Factor],MATCH(INDEX(PMEVFD[End Use Category],MATCH(C24,PMEVFD[Eff Desc 1],0)),ENDUSEALL[End Use to Coincident Peak Demand Factors],0)),4))</f>
        <v/>
      </c>
      <c r="AW24" s="752" t="str">
        <f>IFERROR(IF(AI24*V24*T24&gt;AO24,"Yes","No"),"")</f>
        <v/>
      </c>
      <c r="AX24" s="1782">
        <f>IFERROR(IF(OR(INDEX(PMEVFD[End Use Category],MATCH(C24,PMEVFD[Eff Desc 1],0))="Cooling",INDEX(PMEVFD[End Use Category],MATCH(C24,PMEVFD[Eff Desc 1],0))="HVAC"),ROUND(AZ24*1.15,2),0),0)</f>
        <v>0</v>
      </c>
      <c r="AY24" s="1432" t="str">
        <f>IF(M02S02F44="","Update Install Status",IF(M02S02F49="Yes","Not Eligible",IF(OR(C24="",V24="",X24="",AB24="",AE24="",AG24=""),"",IF(AX24=0,AZ24,ROUND(AX24*BONUSADJ,2)))))</f>
        <v>Update Install Status</v>
      </c>
      <c r="AZ24" s="1432" t="str">
        <f>IF(M02S02F44="","Update Install Status",IF(M02S02F49="Yes","Not Eligible",IF(OR(C24="",V24="",X24="",AB24="",AE24="",AG24=""),"",MIN(AU24,ROUND(T24*V24*AI24,2)))))</f>
        <v>Update Install Status</v>
      </c>
    </row>
    <row r="25" spans="2:52" ht="15.95" customHeight="1" x14ac:dyDescent="0.25">
      <c r="B25" s="1204"/>
      <c r="C25" s="824"/>
      <c r="D25" s="825"/>
      <c r="E25" s="825"/>
      <c r="F25" s="825"/>
      <c r="G25" s="825"/>
      <c r="H25" s="825"/>
      <c r="I25" s="825"/>
      <c r="J25" s="825"/>
      <c r="K25" s="825"/>
      <c r="L25" s="825"/>
      <c r="M25" s="826"/>
      <c r="N25" s="1710"/>
      <c r="O25" s="1711"/>
      <c r="P25" s="1711"/>
      <c r="Q25" s="1711"/>
      <c r="R25" s="1711"/>
      <c r="S25" s="1712"/>
      <c r="T25" s="1766"/>
      <c r="U25" s="1767"/>
      <c r="V25" s="1719"/>
      <c r="W25" s="1720"/>
      <c r="X25" s="824"/>
      <c r="Y25" s="825"/>
      <c r="Z25" s="825"/>
      <c r="AA25" s="826"/>
      <c r="AB25" s="824"/>
      <c r="AC25" s="825"/>
      <c r="AD25" s="826"/>
      <c r="AE25" s="1724"/>
      <c r="AF25" s="1725"/>
      <c r="AG25" s="1724"/>
      <c r="AH25" s="1725"/>
      <c r="AI25" s="1737"/>
      <c r="AJ25" s="1738"/>
      <c r="AK25" s="1696"/>
      <c r="AL25" s="1697"/>
      <c r="AM25" s="1697"/>
      <c r="AN25" s="1698"/>
      <c r="AO25" s="1754"/>
      <c r="AP25" s="1755"/>
      <c r="AQ25" s="1756"/>
      <c r="AR25" s="69"/>
      <c r="AS25" s="69"/>
      <c r="AT25" s="69"/>
      <c r="AU25" s="805"/>
      <c r="AV25" s="753"/>
      <c r="AW25" s="753"/>
      <c r="AX25" s="1433"/>
      <c r="AY25" s="1433"/>
      <c r="AZ25" s="1433"/>
    </row>
    <row r="26" spans="2:52" ht="15.95" customHeight="1" x14ac:dyDescent="0.25">
      <c r="B26" s="1204">
        <v>6</v>
      </c>
      <c r="C26" s="1470"/>
      <c r="D26" s="1471"/>
      <c r="E26" s="1471"/>
      <c r="F26" s="1471"/>
      <c r="G26" s="1471"/>
      <c r="H26" s="1471"/>
      <c r="I26" s="1471"/>
      <c r="J26" s="1471"/>
      <c r="K26" s="1471"/>
      <c r="L26" s="1471"/>
      <c r="M26" s="1472"/>
      <c r="N26" s="1707" t="str">
        <f>IF(C26="","",INDEX(PMEVFD[Base Desc 1],MATCH(C26,PMEVFD[Eff Desc 1],0)))</f>
        <v/>
      </c>
      <c r="O26" s="1708"/>
      <c r="P26" s="1708"/>
      <c r="Q26" s="1708"/>
      <c r="R26" s="1708"/>
      <c r="S26" s="1709"/>
      <c r="T26" s="1764"/>
      <c r="U26" s="1765"/>
      <c r="V26" s="1717"/>
      <c r="W26" s="1718"/>
      <c r="X26" s="1470"/>
      <c r="Y26" s="1471"/>
      <c r="Z26" s="1471"/>
      <c r="AA26" s="1472"/>
      <c r="AB26" s="1470"/>
      <c r="AC26" s="1471"/>
      <c r="AD26" s="1472"/>
      <c r="AE26" s="1722"/>
      <c r="AF26" s="1723"/>
      <c r="AG26" s="1722"/>
      <c r="AH26" s="1723"/>
      <c r="AI26" s="1735" t="str">
        <f>IF(C26="","",INDEX(PMEVFD[Inc Rate Unit],MATCH(C26,PMEVFD[Eff Desc 1],0)))</f>
        <v/>
      </c>
      <c r="AJ26" s="1736"/>
      <c r="AK26" s="1728" t="str">
        <f>IF(OR(C26="",V26="",X26="",AB26="",AE26="",AG26=""),"",ROUND(T26*V26*INDEX(PMEVFD[Savings per Unit kWh],MATCH(C26,PMEVFD[Eff Desc 1],0)),0))</f>
        <v/>
      </c>
      <c r="AL26" s="1729"/>
      <c r="AM26" s="1729"/>
      <c r="AN26" s="1730"/>
      <c r="AO26" s="1751" t="str">
        <f>IF(M02S02F44="","Update Install Status",IF(M02S02F49="Yes","Not Eligible",IF(OR(C26="",V26="",X26="",AB26="",AE26="",AG26=""),"",MIN(AU26,ROUND(T26*V26*AI26,2)))))</f>
        <v>Update Install Status</v>
      </c>
      <c r="AP26" s="1752"/>
      <c r="AQ26" s="1753"/>
      <c r="AR26" s="69"/>
      <c r="AS26" s="69"/>
      <c r="AT26" s="69"/>
      <c r="AU26" s="804" t="str">
        <f t="shared" ref="AU26" si="4">IF(OR(V26="",T26="",X26="",AB26="",AE26="",AG26=""),"",ROUND((AE26+AG26),2))</f>
        <v/>
      </c>
      <c r="AV26" s="752" t="str">
        <f>IF(OR(C26="",V26="",X26="",AB26="",AE26="",AG26=""),"",ROUND(AK26*INDEX(ENDUSEALL[Factor],MATCH(INDEX(PMEVFD[End Use Category],MATCH(C26,PMEVFD[Eff Desc 1],0)),ENDUSEALL[End Use to Coincident Peak Demand Factors],0)),4))</f>
        <v/>
      </c>
      <c r="AW26" s="752" t="str">
        <f>IFERROR(IF(AI26*V26*T26&gt;AO26,"Yes","No"),"")</f>
        <v/>
      </c>
      <c r="AX26" s="1782">
        <f>IFERROR(IF(OR(INDEX(PMEVFD[End Use Category],MATCH(C26,PMEVFD[Eff Desc 1],0))="Cooling",INDEX(PMEVFD[End Use Category],MATCH(C26,PMEVFD[Eff Desc 1],0))="HVAC"),ROUND(AZ26*1.15,2),0),0)</f>
        <v>0</v>
      </c>
      <c r="AY26" s="1432" t="str">
        <f>IF(M02S02F44="","Update Install Status",IF(M02S02F49="Yes","Not Eligible",IF(OR(C26="",V26="",X26="",AB26="",AE26="",AG26=""),"",IF(AX26=0,AZ26,ROUND(AX26*BONUSADJ,2)))))</f>
        <v>Update Install Status</v>
      </c>
      <c r="AZ26" s="1432" t="str">
        <f>IF(M02S02F44="","Update Install Status",IF(M02S02F49="Yes","Not Eligible",IF(OR(C26="",V26="",X26="",AB26="",AE26="",AG26=""),"",MIN(AU26,ROUND(T26*V26*AI26,2)))))</f>
        <v>Update Install Status</v>
      </c>
    </row>
    <row r="27" spans="2:52" ht="15.95" customHeight="1" x14ac:dyDescent="0.25">
      <c r="B27" s="1204"/>
      <c r="C27" s="824"/>
      <c r="D27" s="825"/>
      <c r="E27" s="825"/>
      <c r="F27" s="825"/>
      <c r="G27" s="825"/>
      <c r="H27" s="825"/>
      <c r="I27" s="825"/>
      <c r="J27" s="825"/>
      <c r="K27" s="825"/>
      <c r="L27" s="825"/>
      <c r="M27" s="826"/>
      <c r="N27" s="1710"/>
      <c r="O27" s="1711"/>
      <c r="P27" s="1711"/>
      <c r="Q27" s="1711"/>
      <c r="R27" s="1711"/>
      <c r="S27" s="1712"/>
      <c r="T27" s="1766"/>
      <c r="U27" s="1767"/>
      <c r="V27" s="1719"/>
      <c r="W27" s="1720"/>
      <c r="X27" s="824"/>
      <c r="Y27" s="825"/>
      <c r="Z27" s="825"/>
      <c r="AA27" s="826"/>
      <c r="AB27" s="824"/>
      <c r="AC27" s="825"/>
      <c r="AD27" s="826"/>
      <c r="AE27" s="1724"/>
      <c r="AF27" s="1725"/>
      <c r="AG27" s="1724"/>
      <c r="AH27" s="1725"/>
      <c r="AI27" s="1737"/>
      <c r="AJ27" s="1738"/>
      <c r="AK27" s="1696"/>
      <c r="AL27" s="1697"/>
      <c r="AM27" s="1697"/>
      <c r="AN27" s="1698"/>
      <c r="AO27" s="1754"/>
      <c r="AP27" s="1755"/>
      <c r="AQ27" s="1756"/>
      <c r="AR27" s="69"/>
      <c r="AS27" s="69"/>
      <c r="AT27" s="69"/>
      <c r="AU27" s="805"/>
      <c r="AV27" s="753"/>
      <c r="AW27" s="753"/>
      <c r="AX27" s="1433"/>
      <c r="AY27" s="1433"/>
      <c r="AZ27" s="1433"/>
    </row>
    <row r="28" spans="2:52" ht="15.95" customHeight="1" x14ac:dyDescent="0.25">
      <c r="B28" s="1204">
        <v>7</v>
      </c>
      <c r="C28" s="1470"/>
      <c r="D28" s="1471"/>
      <c r="E28" s="1471"/>
      <c r="F28" s="1471"/>
      <c r="G28" s="1471"/>
      <c r="H28" s="1471"/>
      <c r="I28" s="1471"/>
      <c r="J28" s="1471"/>
      <c r="K28" s="1471"/>
      <c r="L28" s="1471"/>
      <c r="M28" s="1472"/>
      <c r="N28" s="1707" t="str">
        <f>IF(C28="","",INDEX(PMEVFD[Base Desc 1],MATCH(C28,PMEVFD[Eff Desc 1],0)))</f>
        <v/>
      </c>
      <c r="O28" s="1708"/>
      <c r="P28" s="1708"/>
      <c r="Q28" s="1708"/>
      <c r="R28" s="1708"/>
      <c r="S28" s="1709"/>
      <c r="T28" s="1764"/>
      <c r="U28" s="1765"/>
      <c r="V28" s="1717"/>
      <c r="W28" s="1718"/>
      <c r="X28" s="1470"/>
      <c r="Y28" s="1471"/>
      <c r="Z28" s="1471"/>
      <c r="AA28" s="1472"/>
      <c r="AB28" s="1470"/>
      <c r="AC28" s="1471"/>
      <c r="AD28" s="1472"/>
      <c r="AE28" s="1722"/>
      <c r="AF28" s="1723"/>
      <c r="AG28" s="1722"/>
      <c r="AH28" s="1723"/>
      <c r="AI28" s="1735" t="str">
        <f>IF(C28="","",INDEX(PMEVFD[Inc Rate Unit],MATCH(C28,PMEVFD[Eff Desc 1],0)))</f>
        <v/>
      </c>
      <c r="AJ28" s="1736"/>
      <c r="AK28" s="1728" t="str">
        <f>IF(OR(C28="",V28="",X28="",AB28="",AE28="",AG28=""),"",ROUND(T28*V28*INDEX(PMEVFD[Savings per Unit kWh],MATCH(C28,PMEVFD[Eff Desc 1],0)),0))</f>
        <v/>
      </c>
      <c r="AL28" s="1729"/>
      <c r="AM28" s="1729"/>
      <c r="AN28" s="1730"/>
      <c r="AO28" s="1751" t="str">
        <f>IF(M02S02F44="","Update Install Status",IF(M02S02F49="Yes","Not Eligible",IF(OR(C28="",V28="",X28="",AB28="",AE28="",AG28=""),"",MIN(AU28,ROUND(T28*V28*AI28,2)))))</f>
        <v>Update Install Status</v>
      </c>
      <c r="AP28" s="1752"/>
      <c r="AQ28" s="1753"/>
      <c r="AR28" s="69"/>
      <c r="AS28" s="69"/>
      <c r="AT28" s="69"/>
      <c r="AU28" s="804" t="str">
        <f t="shared" ref="AU28" si="5">IF(OR(V28="",T28="",X28="",AB28="",AE28="",AG28=""),"",ROUND((AE28+AG28),2))</f>
        <v/>
      </c>
      <c r="AV28" s="752" t="str">
        <f>IF(OR(C28="",V28="",X28="",AB28="",AE28="",AG28=""),"",ROUND(AK28*INDEX(ENDUSEALL[Factor],MATCH(INDEX(PMEVFD[End Use Category],MATCH(C28,PMEVFD[Eff Desc 1],0)),ENDUSEALL[End Use to Coincident Peak Demand Factors],0)),4))</f>
        <v/>
      </c>
      <c r="AW28" s="752" t="str">
        <f>IFERROR(IF(AI28*V28*T28&gt;AO28,"Yes","No"),"")</f>
        <v/>
      </c>
      <c r="AX28" s="1782">
        <f>IFERROR(IF(OR(INDEX(PMEVFD[End Use Category],MATCH(C28,PMEVFD[Eff Desc 1],0))="Cooling",INDEX(PMEVFD[End Use Category],MATCH(C28,PMEVFD[Eff Desc 1],0))="HVAC"),ROUND(AZ28*1.15,2),0),0)</f>
        <v>0</v>
      </c>
      <c r="AY28" s="1432" t="str">
        <f>IF(M02S02F44="","Update Install Status",IF(M02S02F49="Yes","Not Eligible",IF(OR(C28="",V28="",X28="",AB28="",AE28="",AG28=""),"",IF(AX28=0,AZ28,ROUND(AX28*BONUSADJ,2)))))</f>
        <v>Update Install Status</v>
      </c>
      <c r="AZ28" s="1432" t="str">
        <f>IF(M02S02F44="","Update Install Status",IF(M02S02F49="Yes","Not Eligible",IF(OR(C28="",V28="",X28="",AB28="",AE28="",AG28=""),"",MIN(AU28,ROUND(T28*V28*AI28,2)))))</f>
        <v>Update Install Status</v>
      </c>
    </row>
    <row r="29" spans="2:52" ht="15.95" customHeight="1" x14ac:dyDescent="0.25">
      <c r="B29" s="1204"/>
      <c r="C29" s="824"/>
      <c r="D29" s="825"/>
      <c r="E29" s="825"/>
      <c r="F29" s="825"/>
      <c r="G29" s="825"/>
      <c r="H29" s="825"/>
      <c r="I29" s="825"/>
      <c r="J29" s="825"/>
      <c r="K29" s="825"/>
      <c r="L29" s="825"/>
      <c r="M29" s="826"/>
      <c r="N29" s="1710"/>
      <c r="O29" s="1711"/>
      <c r="P29" s="1711"/>
      <c r="Q29" s="1711"/>
      <c r="R29" s="1711"/>
      <c r="S29" s="1712"/>
      <c r="T29" s="1766"/>
      <c r="U29" s="1767"/>
      <c r="V29" s="1719"/>
      <c r="W29" s="1720"/>
      <c r="X29" s="824"/>
      <c r="Y29" s="825"/>
      <c r="Z29" s="825"/>
      <c r="AA29" s="826"/>
      <c r="AB29" s="824"/>
      <c r="AC29" s="825"/>
      <c r="AD29" s="826"/>
      <c r="AE29" s="1724"/>
      <c r="AF29" s="1725"/>
      <c r="AG29" s="1724"/>
      <c r="AH29" s="1725"/>
      <c r="AI29" s="1737"/>
      <c r="AJ29" s="1738"/>
      <c r="AK29" s="1696"/>
      <c r="AL29" s="1697"/>
      <c r="AM29" s="1697"/>
      <c r="AN29" s="1698"/>
      <c r="AO29" s="1754"/>
      <c r="AP29" s="1755"/>
      <c r="AQ29" s="1756"/>
      <c r="AR29" s="69"/>
      <c r="AS29" s="69"/>
      <c r="AT29" s="69"/>
      <c r="AU29" s="805"/>
      <c r="AV29" s="753"/>
      <c r="AW29" s="753"/>
      <c r="AX29" s="1433"/>
      <c r="AY29" s="1433"/>
      <c r="AZ29" s="1433"/>
    </row>
    <row r="30" spans="2:52" ht="15.95" customHeight="1" x14ac:dyDescent="0.25">
      <c r="B30" s="1204">
        <v>8</v>
      </c>
      <c r="C30" s="1470"/>
      <c r="D30" s="1471"/>
      <c r="E30" s="1471"/>
      <c r="F30" s="1471"/>
      <c r="G30" s="1471"/>
      <c r="H30" s="1471"/>
      <c r="I30" s="1471"/>
      <c r="J30" s="1471"/>
      <c r="K30" s="1471"/>
      <c r="L30" s="1471"/>
      <c r="M30" s="1472"/>
      <c r="N30" s="1707" t="str">
        <f>IF(C30="","",INDEX(PMEVFD[Base Desc 1],MATCH(C30,PMEVFD[Eff Desc 1],0)))</f>
        <v/>
      </c>
      <c r="O30" s="1708"/>
      <c r="P30" s="1708"/>
      <c r="Q30" s="1708"/>
      <c r="R30" s="1708"/>
      <c r="S30" s="1709"/>
      <c r="T30" s="1764"/>
      <c r="U30" s="1765"/>
      <c r="V30" s="1717"/>
      <c r="W30" s="1718"/>
      <c r="X30" s="1470"/>
      <c r="Y30" s="1471"/>
      <c r="Z30" s="1471"/>
      <c r="AA30" s="1472"/>
      <c r="AB30" s="1470"/>
      <c r="AC30" s="1471"/>
      <c r="AD30" s="1472"/>
      <c r="AE30" s="1722"/>
      <c r="AF30" s="1723"/>
      <c r="AG30" s="1722"/>
      <c r="AH30" s="1723"/>
      <c r="AI30" s="1735" t="str">
        <f>IF(C30="","",INDEX(PMEVFD[Inc Rate Unit],MATCH(C30,PMEVFD[Eff Desc 1],0)))</f>
        <v/>
      </c>
      <c r="AJ30" s="1736"/>
      <c r="AK30" s="1728" t="str">
        <f>IF(OR(C30="",V30="",X30="",AB30="",AE30="",AG30=""),"",ROUND(T30*V30*INDEX(PMEVFD[Savings per Unit kWh],MATCH(C30,PMEVFD[Eff Desc 1],0)),0))</f>
        <v/>
      </c>
      <c r="AL30" s="1729"/>
      <c r="AM30" s="1729"/>
      <c r="AN30" s="1730"/>
      <c r="AO30" s="1751" t="str">
        <f>IF(M02S02F44="","Update Install Status",IF(M02S02F49="Yes","Not Eligible",IF(OR(C30="",V30="",X30="",AB30="",AE30="",AG30=""),"",MIN(AU30,ROUND(T30*V30*AI30,2)))))</f>
        <v>Update Install Status</v>
      </c>
      <c r="AP30" s="1752"/>
      <c r="AQ30" s="1753"/>
      <c r="AR30" s="69"/>
      <c r="AS30" s="69"/>
      <c r="AT30" s="69"/>
      <c r="AU30" s="804" t="str">
        <f t="shared" ref="AU30" si="6">IF(OR(V30="",T30="",X30="",AB30="",AE30="",AG30=""),"",ROUND((AE30+AG30),2))</f>
        <v/>
      </c>
      <c r="AV30" s="752" t="str">
        <f>IF(OR(C30="",V30="",X30="",AB30="",AE30="",AG30=""),"",ROUND(AK30*INDEX(ENDUSEALL[Factor],MATCH(INDEX(PMEVFD[End Use Category],MATCH(C30,PMEVFD[Eff Desc 1],0)),ENDUSEALL[End Use to Coincident Peak Demand Factors],0)),4))</f>
        <v/>
      </c>
      <c r="AW30" s="752" t="str">
        <f>IFERROR(IF(AI30*V30*T30&gt;AO30,"Yes","No"),"")</f>
        <v/>
      </c>
      <c r="AX30" s="1782">
        <f>IFERROR(IF(OR(INDEX(PMEVFD[End Use Category],MATCH(C30,PMEVFD[Eff Desc 1],0))="Cooling",INDEX(PMEVFD[End Use Category],MATCH(C30,PMEVFD[Eff Desc 1],0))="HVAC"),ROUND(AZ30*1.15,2),0),0)</f>
        <v>0</v>
      </c>
      <c r="AY30" s="1432" t="str">
        <f>IF(M02S02F44="","Update Install Status",IF(M02S02F49="Yes","Not Eligible",IF(OR(C30="",V30="",X30="",AB30="",AE30="",AG30=""),"",IF(AX30=0,AZ30,ROUND(AX30*BONUSADJ,2)))))</f>
        <v>Update Install Status</v>
      </c>
      <c r="AZ30" s="1432" t="str">
        <f>IF(M02S02F44="","Update Install Status",IF(M02S02F49="Yes","Not Eligible",IF(OR(C30="",V30="",X30="",AB30="",AE30="",AG30=""),"",MIN(AU30,ROUND(T30*V30*AI30,2)))))</f>
        <v>Update Install Status</v>
      </c>
    </row>
    <row r="31" spans="2:52" ht="15.95" customHeight="1" x14ac:dyDescent="0.25">
      <c r="B31" s="1204"/>
      <c r="C31" s="824"/>
      <c r="D31" s="825"/>
      <c r="E31" s="825"/>
      <c r="F31" s="825"/>
      <c r="G31" s="825"/>
      <c r="H31" s="825"/>
      <c r="I31" s="825"/>
      <c r="J31" s="825"/>
      <c r="K31" s="825"/>
      <c r="L31" s="825"/>
      <c r="M31" s="826"/>
      <c r="N31" s="1710"/>
      <c r="O31" s="1711"/>
      <c r="P31" s="1711"/>
      <c r="Q31" s="1711"/>
      <c r="R31" s="1711"/>
      <c r="S31" s="1712"/>
      <c r="T31" s="1766"/>
      <c r="U31" s="1767"/>
      <c r="V31" s="1719"/>
      <c r="W31" s="1720"/>
      <c r="X31" s="824"/>
      <c r="Y31" s="825"/>
      <c r="Z31" s="825"/>
      <c r="AA31" s="826"/>
      <c r="AB31" s="824"/>
      <c r="AC31" s="825"/>
      <c r="AD31" s="826"/>
      <c r="AE31" s="1724"/>
      <c r="AF31" s="1725"/>
      <c r="AG31" s="1724"/>
      <c r="AH31" s="1725"/>
      <c r="AI31" s="1737"/>
      <c r="AJ31" s="1738"/>
      <c r="AK31" s="1696"/>
      <c r="AL31" s="1697"/>
      <c r="AM31" s="1697"/>
      <c r="AN31" s="1698"/>
      <c r="AO31" s="1754"/>
      <c r="AP31" s="1755"/>
      <c r="AQ31" s="1756"/>
      <c r="AR31" s="69"/>
      <c r="AS31" s="69"/>
      <c r="AT31" s="69"/>
      <c r="AU31" s="805"/>
      <c r="AV31" s="753"/>
      <c r="AW31" s="753"/>
      <c r="AX31" s="1433"/>
      <c r="AY31" s="1433"/>
      <c r="AZ31" s="1433"/>
    </row>
    <row r="32" spans="2:52" ht="15.95" customHeight="1" x14ac:dyDescent="0.25">
      <c r="B32" s="1204">
        <v>9</v>
      </c>
      <c r="C32" s="1470"/>
      <c r="D32" s="1471"/>
      <c r="E32" s="1471"/>
      <c r="F32" s="1471"/>
      <c r="G32" s="1471"/>
      <c r="H32" s="1471"/>
      <c r="I32" s="1471"/>
      <c r="J32" s="1471"/>
      <c r="K32" s="1471"/>
      <c r="L32" s="1471"/>
      <c r="M32" s="1472"/>
      <c r="N32" s="1707" t="str">
        <f>IF(C32="","",INDEX(PMEVFD[Base Desc 1],MATCH(C32,PMEVFD[Eff Desc 1],0)))</f>
        <v/>
      </c>
      <c r="O32" s="1708"/>
      <c r="P32" s="1708"/>
      <c r="Q32" s="1708"/>
      <c r="R32" s="1708"/>
      <c r="S32" s="1709"/>
      <c r="T32" s="1764"/>
      <c r="U32" s="1765"/>
      <c r="V32" s="1717"/>
      <c r="W32" s="1718"/>
      <c r="X32" s="1470"/>
      <c r="Y32" s="1471"/>
      <c r="Z32" s="1471"/>
      <c r="AA32" s="1472"/>
      <c r="AB32" s="1470"/>
      <c r="AC32" s="1471"/>
      <c r="AD32" s="1472"/>
      <c r="AE32" s="1722"/>
      <c r="AF32" s="1723"/>
      <c r="AG32" s="1722"/>
      <c r="AH32" s="1723"/>
      <c r="AI32" s="1735" t="str">
        <f>IF(C32="","",INDEX(PMEVFD[Inc Rate Unit],MATCH(C32,PMEVFD[Eff Desc 1],0)))</f>
        <v/>
      </c>
      <c r="AJ32" s="1736"/>
      <c r="AK32" s="1728" t="str">
        <f>IF(OR(C32="",V32="",X32="",AB32="",AE32="",AG32=""),"",ROUND(T32*V32*INDEX(PMEVFD[Savings per Unit kWh],MATCH(C32,PMEVFD[Eff Desc 1],0)),0))</f>
        <v/>
      </c>
      <c r="AL32" s="1729"/>
      <c r="AM32" s="1729"/>
      <c r="AN32" s="1730"/>
      <c r="AO32" s="1751" t="str">
        <f>IF(M02S02F44="","Update Install Status",IF(M02S02F49="Yes","Not Eligible",IF(OR(C32="",V32="",X32="",AB32="",AE32="",AG32=""),"",MIN(AU32,ROUND(T32*V32*AI32,2)))))</f>
        <v>Update Install Status</v>
      </c>
      <c r="AP32" s="1752"/>
      <c r="AQ32" s="1753"/>
      <c r="AR32" s="69"/>
      <c r="AS32" s="69"/>
      <c r="AT32" s="69"/>
      <c r="AU32" s="804" t="str">
        <f t="shared" ref="AU32" si="7">IF(OR(V32="",T32="",X32="",AB32="",AE32="",AG32=""),"",ROUND((AE32+AG32),2))</f>
        <v/>
      </c>
      <c r="AV32" s="752" t="str">
        <f>IF(OR(C32="",V32="",X32="",AB32="",AE32="",AG32=""),"",ROUND(AK32*INDEX(ENDUSEALL[Factor],MATCH(INDEX(PMEVFD[End Use Category],MATCH(C32,PMEVFD[Eff Desc 1],0)),ENDUSEALL[End Use to Coincident Peak Demand Factors],0)),4))</f>
        <v/>
      </c>
      <c r="AW32" s="752" t="str">
        <f>IFERROR(IF(AI32*V32*T32&gt;AO32,"Yes","No"),"")</f>
        <v/>
      </c>
      <c r="AX32" s="1782">
        <f>IFERROR(IF(OR(INDEX(PMEVFD[End Use Category],MATCH(C32,PMEVFD[Eff Desc 1],0))="Cooling",INDEX(PMEVFD[End Use Category],MATCH(C32,PMEVFD[Eff Desc 1],0))="HVAC"),ROUND(AZ32*1.15,2),0),0)</f>
        <v>0</v>
      </c>
      <c r="AY32" s="1432" t="str">
        <f>IF(M02S02F44="","Update Install Status",IF(M02S02F49="Yes","Not Eligible",IF(OR(C32="",V32="",X32="",AB32="",AE32="",AG32=""),"",IF(AX32=0,AZ32,ROUND(AX32*BONUSADJ,2)))))</f>
        <v>Update Install Status</v>
      </c>
      <c r="AZ32" s="1432" t="str">
        <f>IF(M02S02F44="","Update Install Status",IF(M02S02F49="Yes","Not Eligible",IF(OR(C32="",V32="",X32="",AB32="",AE32="",AG32=""),"",MIN(AU32,ROUND(T32*V32*AI32,2)))))</f>
        <v>Update Install Status</v>
      </c>
    </row>
    <row r="33" spans="2:52" ht="15.95" customHeight="1" x14ac:dyDescent="0.25">
      <c r="B33" s="1204"/>
      <c r="C33" s="824"/>
      <c r="D33" s="825"/>
      <c r="E33" s="825"/>
      <c r="F33" s="825"/>
      <c r="G33" s="825"/>
      <c r="H33" s="825"/>
      <c r="I33" s="825"/>
      <c r="J33" s="825"/>
      <c r="K33" s="825"/>
      <c r="L33" s="825"/>
      <c r="M33" s="826"/>
      <c r="N33" s="1710"/>
      <c r="O33" s="1711"/>
      <c r="P33" s="1711"/>
      <c r="Q33" s="1711"/>
      <c r="R33" s="1711"/>
      <c r="S33" s="1712"/>
      <c r="T33" s="1766"/>
      <c r="U33" s="1767"/>
      <c r="V33" s="1719"/>
      <c r="W33" s="1720"/>
      <c r="X33" s="824"/>
      <c r="Y33" s="825"/>
      <c r="Z33" s="825"/>
      <c r="AA33" s="826"/>
      <c r="AB33" s="824"/>
      <c r="AC33" s="825"/>
      <c r="AD33" s="826"/>
      <c r="AE33" s="1724"/>
      <c r="AF33" s="1725"/>
      <c r="AG33" s="1724"/>
      <c r="AH33" s="1725"/>
      <c r="AI33" s="1737"/>
      <c r="AJ33" s="1738"/>
      <c r="AK33" s="1696"/>
      <c r="AL33" s="1697"/>
      <c r="AM33" s="1697"/>
      <c r="AN33" s="1698"/>
      <c r="AO33" s="1754"/>
      <c r="AP33" s="1755"/>
      <c r="AQ33" s="1756"/>
      <c r="AR33" s="69"/>
      <c r="AS33" s="69"/>
      <c r="AT33" s="69"/>
      <c r="AU33" s="805"/>
      <c r="AV33" s="753"/>
      <c r="AW33" s="753"/>
      <c r="AX33" s="1433"/>
      <c r="AY33" s="1433"/>
      <c r="AZ33" s="1433"/>
    </row>
    <row r="34" spans="2:52" ht="15.95" customHeight="1" x14ac:dyDescent="0.25">
      <c r="B34" s="1204">
        <v>10</v>
      </c>
      <c r="C34" s="1470"/>
      <c r="D34" s="1471"/>
      <c r="E34" s="1471"/>
      <c r="F34" s="1471"/>
      <c r="G34" s="1471"/>
      <c r="H34" s="1471"/>
      <c r="I34" s="1471"/>
      <c r="J34" s="1471"/>
      <c r="K34" s="1471"/>
      <c r="L34" s="1471"/>
      <c r="M34" s="1472"/>
      <c r="N34" s="1707" t="str">
        <f>IF(C34="","",INDEX(PMEVFD[Base Desc 1],MATCH(C34,PMEVFD[Eff Desc 1],0)))</f>
        <v/>
      </c>
      <c r="O34" s="1708"/>
      <c r="P34" s="1708"/>
      <c r="Q34" s="1708"/>
      <c r="R34" s="1708"/>
      <c r="S34" s="1709"/>
      <c r="T34" s="1764"/>
      <c r="U34" s="1765"/>
      <c r="V34" s="1717"/>
      <c r="W34" s="1718"/>
      <c r="X34" s="1470"/>
      <c r="Y34" s="1471"/>
      <c r="Z34" s="1471"/>
      <c r="AA34" s="1472"/>
      <c r="AB34" s="1470"/>
      <c r="AC34" s="1471"/>
      <c r="AD34" s="1472"/>
      <c r="AE34" s="1722"/>
      <c r="AF34" s="1723"/>
      <c r="AG34" s="1722"/>
      <c r="AH34" s="1723"/>
      <c r="AI34" s="1735" t="str">
        <f>IF(C34="","",INDEX(PMEVFD[Inc Rate Unit],MATCH(C34,PMEVFD[Eff Desc 1],0)))</f>
        <v/>
      </c>
      <c r="AJ34" s="1736"/>
      <c r="AK34" s="1728" t="str">
        <f>IF(OR(C34="",V34="",X34="",AB34="",AE34="",AG34=""),"",ROUND(T34*V34*INDEX(PMEVFD[Savings per Unit kWh],MATCH(C34,PMEVFD[Eff Desc 1],0)),0))</f>
        <v/>
      </c>
      <c r="AL34" s="1729"/>
      <c r="AM34" s="1729"/>
      <c r="AN34" s="1730"/>
      <c r="AO34" s="1751" t="str">
        <f>IF(M02S02F44="","Update Install Status",IF(M02S02F49="Yes","Not Eligible",IF(OR(C34="",V34="",X34="",AB34="",AE34="",AG34=""),"",MIN(AU34,ROUND(T34*V34*AI34,2)))))</f>
        <v>Update Install Status</v>
      </c>
      <c r="AP34" s="1752"/>
      <c r="AQ34" s="1753"/>
      <c r="AR34" s="69"/>
      <c r="AS34" s="69"/>
      <c r="AT34" s="69"/>
      <c r="AU34" s="804" t="str">
        <f t="shared" ref="AU34" si="8">IF(OR(V34="",T34="",X34="",AB34="",AE34="",AG34=""),"",ROUND((AE34+AG34),2))</f>
        <v/>
      </c>
      <c r="AV34" s="752" t="str">
        <f>IF(OR(C34="",V34="",X34="",AB34="",AE34="",AG34=""),"",ROUND(AK34*INDEX(ENDUSEALL[Factor],MATCH(INDEX(PMEVFD[End Use Category],MATCH(C34,PMEVFD[Eff Desc 1],0)),ENDUSEALL[End Use to Coincident Peak Demand Factors],0)),4))</f>
        <v/>
      </c>
      <c r="AW34" s="752" t="str">
        <f>IFERROR(IF(AI34*V34*T34&gt;AO34,"Yes","No"),"")</f>
        <v/>
      </c>
      <c r="AX34" s="1782">
        <f>IFERROR(IF(OR(INDEX(PMEVFD[End Use Category],MATCH(C34,PMEVFD[Eff Desc 1],0))="Cooling",INDEX(PMEVFD[End Use Category],MATCH(C34,PMEVFD[Eff Desc 1],0))="HVAC"),ROUND(AZ34*1.15,2),0),0)</f>
        <v>0</v>
      </c>
      <c r="AY34" s="1432" t="str">
        <f>IF(M02S02F44="","Update Install Status",IF(M02S02F49="Yes","Not Eligible",IF(OR(C34="",V34="",X34="",AB34="",AE34="",AG34=""),"",IF(AX34=0,AZ34,ROUND(AX34*BONUSADJ,2)))))</f>
        <v>Update Install Status</v>
      </c>
      <c r="AZ34" s="1432" t="str">
        <f>IF(M02S02F44="","Update Install Status",IF(M02S02F49="Yes","Not Eligible",IF(OR(C34="",V34="",X34="",AB34="",AE34="",AG34=""),"",MIN(AU34,ROUND(T34*V34*AI34,2)))))</f>
        <v>Update Install Status</v>
      </c>
    </row>
    <row r="35" spans="2:52" ht="15.95" customHeight="1" x14ac:dyDescent="0.25">
      <c r="B35" s="1204"/>
      <c r="C35" s="824"/>
      <c r="D35" s="825"/>
      <c r="E35" s="825"/>
      <c r="F35" s="825"/>
      <c r="G35" s="825"/>
      <c r="H35" s="825"/>
      <c r="I35" s="825"/>
      <c r="J35" s="825"/>
      <c r="K35" s="825"/>
      <c r="L35" s="825"/>
      <c r="M35" s="826"/>
      <c r="N35" s="1710"/>
      <c r="O35" s="1711"/>
      <c r="P35" s="1711"/>
      <c r="Q35" s="1711"/>
      <c r="R35" s="1711"/>
      <c r="S35" s="1712"/>
      <c r="T35" s="1766"/>
      <c r="U35" s="1767"/>
      <c r="V35" s="1719"/>
      <c r="W35" s="1720"/>
      <c r="X35" s="824"/>
      <c r="Y35" s="825"/>
      <c r="Z35" s="825"/>
      <c r="AA35" s="826"/>
      <c r="AB35" s="824"/>
      <c r="AC35" s="825"/>
      <c r="AD35" s="826"/>
      <c r="AE35" s="1724"/>
      <c r="AF35" s="1725"/>
      <c r="AG35" s="1724"/>
      <c r="AH35" s="1725"/>
      <c r="AI35" s="1737"/>
      <c r="AJ35" s="1738"/>
      <c r="AK35" s="1696"/>
      <c r="AL35" s="1697"/>
      <c r="AM35" s="1697"/>
      <c r="AN35" s="1698"/>
      <c r="AO35" s="1754"/>
      <c r="AP35" s="1755"/>
      <c r="AQ35" s="1756"/>
      <c r="AR35" s="69"/>
      <c r="AS35" s="69"/>
      <c r="AT35" s="69"/>
      <c r="AU35" s="805"/>
      <c r="AV35" s="753"/>
      <c r="AW35" s="753"/>
      <c r="AX35" s="1433"/>
      <c r="AY35" s="1433"/>
      <c r="AZ35" s="1433"/>
    </row>
    <row r="36" spans="2:52" ht="15.95" hidden="1" customHeight="1" x14ac:dyDescent="0.25">
      <c r="B36" s="1204">
        <v>11</v>
      </c>
      <c r="C36" s="1470"/>
      <c r="D36" s="1471"/>
      <c r="E36" s="1471"/>
      <c r="F36" s="1471"/>
      <c r="G36" s="1471"/>
      <c r="H36" s="1471"/>
      <c r="I36" s="1471"/>
      <c r="J36" s="1471"/>
      <c r="K36" s="1471"/>
      <c r="L36" s="1471"/>
      <c r="M36" s="1472"/>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70"/>
      <c r="Y36" s="1471"/>
      <c r="Z36" s="1471"/>
      <c r="AA36" s="1472"/>
      <c r="AB36" s="1470"/>
      <c r="AC36" s="1471"/>
      <c r="AD36" s="1472"/>
      <c r="AE36" s="1722"/>
      <c r="AF36" s="1723"/>
      <c r="AG36" s="1722"/>
      <c r="AH36" s="1723"/>
      <c r="AI36" s="1735" t="str">
        <f>IF(C36="","",INDEX(PMEMOTOR[Inc Rate Unit],MATCH(C36,PMEMOTOR[Eff Desc 1],0)))</f>
        <v/>
      </c>
      <c r="AJ36" s="1736"/>
      <c r="AK36" s="1728" t="str">
        <f>IF(OR(C36="",V36="",X36="",AB36="",AE36="",AG36=""),"",ROUND(V36*INDEX(PMEMOTOR[Savings per Unit kWh],MATCH(C36,PMEMOTOR[Eff Desc 1],0)),0))</f>
        <v/>
      </c>
      <c r="AL36" s="1729"/>
      <c r="AM36" s="1729"/>
      <c r="AN36" s="1730"/>
      <c r="AO36" s="1726" t="str">
        <f>IF(OR(C36="",V36="",X36="",AB36="",AE36="",AG36=""),"",MIN(AU36,ROUND(V36*AI36,2)))</f>
        <v/>
      </c>
      <c r="AP36" s="1739"/>
      <c r="AQ36" s="1727"/>
      <c r="AR36" s="69"/>
      <c r="AS36" s="69"/>
      <c r="AT36" s="69"/>
      <c r="AU36" s="804" t="str">
        <f>IF(OR(,V36="",X36="",AB36="",AE36="",AG36=""),"",ROUND((AE36+AG36)*V36,2))</f>
        <v/>
      </c>
      <c r="AV36" s="752" t="str">
        <f>IF(OR(C36="",V36="",X36="",AB36="",AE36="",AG36=""),"",ROUND(V36*INDEX(PMEMOTOR[Savings per Unit kW],MATCH(C36,PMEMOTOR[Eff Desc 1],0)),4))</f>
        <v/>
      </c>
      <c r="AY36" s="752" t="str">
        <f>IFERROR(IF(AK36*X36*V36&gt;AQ36,"Yes","No"),"")</f>
        <v/>
      </c>
    </row>
    <row r="37" spans="2:52" ht="15.95" hidden="1" customHeight="1" x14ac:dyDescent="0.25">
      <c r="B37" s="1204"/>
      <c r="C37" s="824"/>
      <c r="D37" s="825"/>
      <c r="E37" s="825"/>
      <c r="F37" s="825"/>
      <c r="G37" s="825"/>
      <c r="H37" s="825"/>
      <c r="I37" s="825"/>
      <c r="J37" s="825"/>
      <c r="K37" s="825"/>
      <c r="L37" s="825"/>
      <c r="M37" s="826"/>
      <c r="N37" s="1710"/>
      <c r="O37" s="1711"/>
      <c r="P37" s="1711"/>
      <c r="Q37" s="1711"/>
      <c r="R37" s="1711"/>
      <c r="S37" s="1712"/>
      <c r="T37" s="1715"/>
      <c r="U37" s="1716"/>
      <c r="V37" s="1719"/>
      <c r="W37" s="1720"/>
      <c r="X37" s="824"/>
      <c r="Y37" s="825"/>
      <c r="Z37" s="825"/>
      <c r="AA37" s="826"/>
      <c r="AB37" s="824"/>
      <c r="AC37" s="825"/>
      <c r="AD37" s="826"/>
      <c r="AE37" s="1724"/>
      <c r="AF37" s="1725"/>
      <c r="AG37" s="1724"/>
      <c r="AH37" s="1725"/>
      <c r="AI37" s="1737"/>
      <c r="AJ37" s="1738"/>
      <c r="AK37" s="1696"/>
      <c r="AL37" s="1697"/>
      <c r="AM37" s="1697"/>
      <c r="AN37" s="1698"/>
      <c r="AO37" s="1687"/>
      <c r="AP37" s="1740"/>
      <c r="AQ37" s="1688"/>
      <c r="AR37" s="69"/>
      <c r="AS37" s="69"/>
      <c r="AT37" s="69"/>
      <c r="AU37" s="805"/>
      <c r="AV37" s="753"/>
      <c r="AY37" s="753"/>
    </row>
    <row r="38" spans="2:52" ht="15.95" hidden="1" customHeight="1" x14ac:dyDescent="0.25">
      <c r="B38" s="1204">
        <v>12</v>
      </c>
      <c r="C38" s="1470"/>
      <c r="D38" s="1471"/>
      <c r="E38" s="1471"/>
      <c r="F38" s="1471"/>
      <c r="G38" s="1471"/>
      <c r="H38" s="1471"/>
      <c r="I38" s="1471"/>
      <c r="J38" s="1471"/>
      <c r="K38" s="1471"/>
      <c r="L38" s="1471"/>
      <c r="M38" s="1472"/>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70"/>
      <c r="Y38" s="1471"/>
      <c r="Z38" s="1471"/>
      <c r="AA38" s="1472"/>
      <c r="AB38" s="1470"/>
      <c r="AC38" s="1471"/>
      <c r="AD38" s="1472"/>
      <c r="AE38" s="1722"/>
      <c r="AF38" s="1723"/>
      <c r="AG38" s="1722"/>
      <c r="AH38" s="1723"/>
      <c r="AI38" s="1735" t="str">
        <f>IF(C38="","",INDEX(PMEMOTOR[Inc Rate Unit],MATCH(C38,PMEMOTOR[Eff Desc 1],0)))</f>
        <v/>
      </c>
      <c r="AJ38" s="1736"/>
      <c r="AK38" s="1728" t="str">
        <f>IF(OR(C38="",V38="",X38="",AB38="",AE38="",AG38=""),"",ROUND(V38*INDEX(PMEMOTOR[Savings per Unit kWh],MATCH(C38,PMEMOTOR[Eff Desc 1],0)),0))</f>
        <v/>
      </c>
      <c r="AL38" s="1729"/>
      <c r="AM38" s="1729"/>
      <c r="AN38" s="1730"/>
      <c r="AO38" s="1726" t="str">
        <f>IF(OR(C38="",V38="",X38="",AB38="",AE38="",AG38=""),"",MIN(AU38,ROUND(V38*AI38,2)))</f>
        <v/>
      </c>
      <c r="AP38" s="1739"/>
      <c r="AQ38" s="1727"/>
      <c r="AR38" s="69"/>
      <c r="AS38" s="69"/>
      <c r="AT38" s="69"/>
      <c r="AU38" s="804" t="str">
        <f>IF(OR(,V38="",X38="",AB38="",AE38="",AG38=""),"",ROUND((AE38+AG38)*V38,2))</f>
        <v/>
      </c>
      <c r="AV38" s="752" t="str">
        <f>IF(OR(C38="",V38="",X38="",AB38="",AE38="",AG38=""),"",ROUND(V38*INDEX(PMEMOTOR[Savings per Unit kW],MATCH(C38,PMEMOTOR[Eff Desc 1],0)),4))</f>
        <v/>
      </c>
      <c r="AY38" s="752" t="str">
        <f>IFERROR(IF(AK38*X38*V38&gt;AQ38,"Yes","No"),"")</f>
        <v/>
      </c>
    </row>
    <row r="39" spans="2:52" ht="15.95" hidden="1" customHeight="1" x14ac:dyDescent="0.25">
      <c r="B39" s="1204"/>
      <c r="C39" s="824"/>
      <c r="D39" s="825"/>
      <c r="E39" s="825"/>
      <c r="F39" s="825"/>
      <c r="G39" s="825"/>
      <c r="H39" s="825"/>
      <c r="I39" s="825"/>
      <c r="J39" s="825"/>
      <c r="K39" s="825"/>
      <c r="L39" s="825"/>
      <c r="M39" s="826"/>
      <c r="N39" s="1710"/>
      <c r="O39" s="1711"/>
      <c r="P39" s="1711"/>
      <c r="Q39" s="1711"/>
      <c r="R39" s="1711"/>
      <c r="S39" s="1712"/>
      <c r="T39" s="1715"/>
      <c r="U39" s="1716"/>
      <c r="V39" s="1719"/>
      <c r="W39" s="1720"/>
      <c r="X39" s="824"/>
      <c r="Y39" s="825"/>
      <c r="Z39" s="825"/>
      <c r="AA39" s="826"/>
      <c r="AB39" s="824"/>
      <c r="AC39" s="825"/>
      <c r="AD39" s="826"/>
      <c r="AE39" s="1724"/>
      <c r="AF39" s="1725"/>
      <c r="AG39" s="1724"/>
      <c r="AH39" s="1725"/>
      <c r="AI39" s="1737"/>
      <c r="AJ39" s="1738"/>
      <c r="AK39" s="1696"/>
      <c r="AL39" s="1697"/>
      <c r="AM39" s="1697"/>
      <c r="AN39" s="1698"/>
      <c r="AO39" s="1687"/>
      <c r="AP39" s="1740"/>
      <c r="AQ39" s="1688"/>
      <c r="AR39" s="69"/>
      <c r="AS39" s="69"/>
      <c r="AT39" s="69"/>
      <c r="AU39" s="805"/>
      <c r="AV39" s="753"/>
      <c r="AY39" s="753"/>
    </row>
    <row r="40" spans="2:52" ht="15.95" hidden="1" customHeight="1" x14ac:dyDescent="0.25">
      <c r="B40" s="1204">
        <v>13</v>
      </c>
      <c r="C40" s="1470"/>
      <c r="D40" s="1471"/>
      <c r="E40" s="1471"/>
      <c r="F40" s="1471"/>
      <c r="G40" s="1471"/>
      <c r="H40" s="1471"/>
      <c r="I40" s="1471"/>
      <c r="J40" s="1471"/>
      <c r="K40" s="1471"/>
      <c r="L40" s="1471"/>
      <c r="M40" s="1472"/>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70"/>
      <c r="Y40" s="1471"/>
      <c r="Z40" s="1471"/>
      <c r="AA40" s="1472"/>
      <c r="AB40" s="1470"/>
      <c r="AC40" s="1471"/>
      <c r="AD40" s="1472"/>
      <c r="AE40" s="1722"/>
      <c r="AF40" s="1723"/>
      <c r="AG40" s="1722"/>
      <c r="AH40" s="1723"/>
      <c r="AI40" s="1735" t="str">
        <f>IF(C40="","",INDEX(PMEMOTOR[Inc Rate Unit],MATCH(C40,PMEMOTOR[Eff Desc 1],0)))</f>
        <v/>
      </c>
      <c r="AJ40" s="1736"/>
      <c r="AK40" s="1728" t="str">
        <f>IF(OR(C40="",V40="",X40="",AB40="",AE40="",AG40=""),"",ROUND(V40*INDEX(PMEMOTOR[Savings per Unit kWh],MATCH(C40,PMEMOTOR[Eff Desc 1],0)),0))</f>
        <v/>
      </c>
      <c r="AL40" s="1729"/>
      <c r="AM40" s="1729"/>
      <c r="AN40" s="1730"/>
      <c r="AO40" s="1726" t="str">
        <f>IF(OR(C40="",V40="",X40="",AB40="",AE40="",AG40=""),"",MIN(AU40,ROUND(V40*AI40,2)))</f>
        <v/>
      </c>
      <c r="AP40" s="1739"/>
      <c r="AQ40" s="1727"/>
      <c r="AR40" s="69"/>
      <c r="AS40" s="69"/>
      <c r="AT40" s="69"/>
      <c r="AU40" s="804" t="str">
        <f>IF(OR(,V40="",X40="",AB40="",AE40="",AG40=""),"",ROUND((AE40+AG40)*V40,2))</f>
        <v/>
      </c>
      <c r="AV40" s="752" t="str">
        <f>IF(OR(C40="",V40="",X40="",AB40="",AE40="",AG40=""),"",ROUND(V40*INDEX(PMEMOTOR[Savings per Unit kW],MATCH(C40,PMEMOTOR[Eff Desc 1],0)),4))</f>
        <v/>
      </c>
    </row>
    <row r="41" spans="2:52" ht="15.95" hidden="1" customHeight="1" x14ac:dyDescent="0.25">
      <c r="B41" s="1204"/>
      <c r="C41" s="824"/>
      <c r="D41" s="825"/>
      <c r="E41" s="825"/>
      <c r="F41" s="825"/>
      <c r="G41" s="825"/>
      <c r="H41" s="825"/>
      <c r="I41" s="825"/>
      <c r="J41" s="825"/>
      <c r="K41" s="825"/>
      <c r="L41" s="825"/>
      <c r="M41" s="826"/>
      <c r="N41" s="1710"/>
      <c r="O41" s="1711"/>
      <c r="P41" s="1711"/>
      <c r="Q41" s="1711"/>
      <c r="R41" s="1711"/>
      <c r="S41" s="1712"/>
      <c r="T41" s="1715"/>
      <c r="U41" s="1716"/>
      <c r="V41" s="1719"/>
      <c r="W41" s="1720"/>
      <c r="X41" s="824"/>
      <c r="Y41" s="825"/>
      <c r="Z41" s="825"/>
      <c r="AA41" s="826"/>
      <c r="AB41" s="824"/>
      <c r="AC41" s="825"/>
      <c r="AD41" s="826"/>
      <c r="AE41" s="1724"/>
      <c r="AF41" s="1725"/>
      <c r="AG41" s="1724"/>
      <c r="AH41" s="1725"/>
      <c r="AI41" s="1737"/>
      <c r="AJ41" s="1738"/>
      <c r="AK41" s="1696"/>
      <c r="AL41" s="1697"/>
      <c r="AM41" s="1697"/>
      <c r="AN41" s="1698"/>
      <c r="AO41" s="1687"/>
      <c r="AP41" s="1740"/>
      <c r="AQ41" s="1688"/>
      <c r="AR41" s="69"/>
      <c r="AS41" s="69"/>
      <c r="AT41" s="69"/>
      <c r="AU41" s="805"/>
      <c r="AV41" s="753"/>
    </row>
    <row r="42" spans="2:52" ht="15.95" hidden="1" customHeight="1" x14ac:dyDescent="0.25">
      <c r="B42" s="1204">
        <v>14</v>
      </c>
      <c r="C42" s="1470"/>
      <c r="D42" s="1471"/>
      <c r="E42" s="1471"/>
      <c r="F42" s="1471"/>
      <c r="G42" s="1471"/>
      <c r="H42" s="1471"/>
      <c r="I42" s="1471"/>
      <c r="J42" s="1471"/>
      <c r="K42" s="1471"/>
      <c r="L42" s="1471"/>
      <c r="M42" s="1472"/>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70"/>
      <c r="Y42" s="1471"/>
      <c r="Z42" s="1471"/>
      <c r="AA42" s="1472"/>
      <c r="AB42" s="1470"/>
      <c r="AC42" s="1471"/>
      <c r="AD42" s="1472"/>
      <c r="AE42" s="1722"/>
      <c r="AF42" s="1723"/>
      <c r="AG42" s="1722"/>
      <c r="AH42" s="1723"/>
      <c r="AI42" s="1735" t="str">
        <f>IF(C42="","",INDEX(PMEMOTOR[Inc Rate Unit],MATCH(C42,PMEMOTOR[Eff Desc 1],0)))</f>
        <v/>
      </c>
      <c r="AJ42" s="1736"/>
      <c r="AK42" s="1728" t="str">
        <f>IF(OR(C42="",V42="",X42="",AB42="",AE42="",AG42=""),"",ROUND(V42*INDEX(PMEMOTOR[Savings per Unit kWh],MATCH(C42,PMEMOTOR[Eff Desc 1],0)),0))</f>
        <v/>
      </c>
      <c r="AL42" s="1729"/>
      <c r="AM42" s="1729"/>
      <c r="AN42" s="1730"/>
      <c r="AO42" s="1726" t="str">
        <f>IF(OR(C42="",V42="",X42="",AB42="",AE42="",AG42=""),"",MIN(AU42,ROUND(V42*AI42,2)))</f>
        <v/>
      </c>
      <c r="AP42" s="1739"/>
      <c r="AQ42" s="1727"/>
      <c r="AR42" s="69"/>
      <c r="AS42" s="69"/>
      <c r="AT42" s="69"/>
      <c r="AU42" s="804" t="str">
        <f>IF(OR(,V42="",X42="",AB42="",AE42="",AG42=""),"",ROUND((AE42+AG42)*V42,2))</f>
        <v/>
      </c>
      <c r="AV42" s="752" t="str">
        <f>IF(OR(C42="",V42="",X42="",AB42="",AE42="",AG42=""),"",ROUND(V42*INDEX(PMEMOTOR[Savings per Unit kW],MATCH(C42,PMEMOTOR[Eff Desc 1],0)),4))</f>
        <v/>
      </c>
    </row>
    <row r="43" spans="2:52" ht="15.95" hidden="1" customHeight="1" x14ac:dyDescent="0.25">
      <c r="B43" s="1204"/>
      <c r="C43" s="824"/>
      <c r="D43" s="825"/>
      <c r="E43" s="825"/>
      <c r="F43" s="825"/>
      <c r="G43" s="825"/>
      <c r="H43" s="825"/>
      <c r="I43" s="825"/>
      <c r="J43" s="825"/>
      <c r="K43" s="825"/>
      <c r="L43" s="825"/>
      <c r="M43" s="826"/>
      <c r="N43" s="1710"/>
      <c r="O43" s="1711"/>
      <c r="P43" s="1711"/>
      <c r="Q43" s="1711"/>
      <c r="R43" s="1711"/>
      <c r="S43" s="1712"/>
      <c r="T43" s="1715"/>
      <c r="U43" s="1716"/>
      <c r="V43" s="1719"/>
      <c r="W43" s="1720"/>
      <c r="X43" s="824"/>
      <c r="Y43" s="825"/>
      <c r="Z43" s="825"/>
      <c r="AA43" s="826"/>
      <c r="AB43" s="824"/>
      <c r="AC43" s="825"/>
      <c r="AD43" s="826"/>
      <c r="AE43" s="1724"/>
      <c r="AF43" s="1725"/>
      <c r="AG43" s="1724"/>
      <c r="AH43" s="1725"/>
      <c r="AI43" s="1737"/>
      <c r="AJ43" s="1738"/>
      <c r="AK43" s="1696"/>
      <c r="AL43" s="1697"/>
      <c r="AM43" s="1697"/>
      <c r="AN43" s="1698"/>
      <c r="AO43" s="1687"/>
      <c r="AP43" s="1740"/>
      <c r="AQ43" s="1688"/>
      <c r="AR43" s="69"/>
      <c r="AS43" s="69"/>
      <c r="AT43" s="69"/>
      <c r="AU43" s="805"/>
      <c r="AV43" s="753"/>
    </row>
    <row r="44" spans="2:52" ht="15.95" hidden="1" customHeight="1" x14ac:dyDescent="0.25">
      <c r="B44" s="1204">
        <v>15</v>
      </c>
      <c r="C44" s="1470"/>
      <c r="D44" s="1471"/>
      <c r="E44" s="1471"/>
      <c r="F44" s="1471"/>
      <c r="G44" s="1471"/>
      <c r="H44" s="1471"/>
      <c r="I44" s="1471"/>
      <c r="J44" s="1471"/>
      <c r="K44" s="1471"/>
      <c r="L44" s="1471"/>
      <c r="M44" s="1472"/>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70"/>
      <c r="Y44" s="1471"/>
      <c r="Z44" s="1471"/>
      <c r="AA44" s="1472"/>
      <c r="AB44" s="1470"/>
      <c r="AC44" s="1471"/>
      <c r="AD44" s="1472"/>
      <c r="AE44" s="1722"/>
      <c r="AF44" s="1723"/>
      <c r="AG44" s="1722"/>
      <c r="AH44" s="1723"/>
      <c r="AI44" s="1735" t="str">
        <f>IF(C44="","",INDEX(PMEMOTOR[Inc Rate Unit],MATCH(C44,PMEMOTOR[Eff Desc 1],0)))</f>
        <v/>
      </c>
      <c r="AJ44" s="1736"/>
      <c r="AK44" s="1728" t="str">
        <f>IF(OR(C44="",V44="",X44="",AB44="",AE44="",AG44=""),"",ROUND(V44*INDEX(PMEMOTOR[Savings per Unit kWh],MATCH(C44,PMEMOTOR[Eff Desc 1],0)),0))</f>
        <v/>
      </c>
      <c r="AL44" s="1729"/>
      <c r="AM44" s="1729"/>
      <c r="AN44" s="1730"/>
      <c r="AO44" s="1726" t="str">
        <f>IF(OR(C44="",V44="",X44="",AB44="",AE44="",AG44=""),"",MIN(AU44,ROUND(V44*AI44,2)))</f>
        <v/>
      </c>
      <c r="AP44" s="1739"/>
      <c r="AQ44" s="1727"/>
      <c r="AR44" s="69"/>
      <c r="AS44" s="69"/>
      <c r="AT44" s="69"/>
      <c r="AU44" s="804" t="str">
        <f>IF(OR(,V44="",X44="",AB44="",AE44="",AG44=""),"",ROUND((AE44+AG44)*V44,2))</f>
        <v/>
      </c>
      <c r="AV44" s="752" t="str">
        <f>IF(OR(C44="",V44="",X44="",AB44="",AE44="",AG44=""),"",ROUND(V44*INDEX(PMEMOTOR[Savings per Unit kW],MATCH(C44,PMEMOTOR[Eff Desc 1],0)),4))</f>
        <v/>
      </c>
    </row>
    <row r="45" spans="2:52" ht="15.95" hidden="1" customHeight="1" x14ac:dyDescent="0.25">
      <c r="B45" s="1204"/>
      <c r="C45" s="824"/>
      <c r="D45" s="825"/>
      <c r="E45" s="825"/>
      <c r="F45" s="825"/>
      <c r="G45" s="825"/>
      <c r="H45" s="825"/>
      <c r="I45" s="825"/>
      <c r="J45" s="825"/>
      <c r="K45" s="825"/>
      <c r="L45" s="825"/>
      <c r="M45" s="826"/>
      <c r="N45" s="1710"/>
      <c r="O45" s="1711"/>
      <c r="P45" s="1711"/>
      <c r="Q45" s="1711"/>
      <c r="R45" s="1711"/>
      <c r="S45" s="1712"/>
      <c r="T45" s="1715"/>
      <c r="U45" s="1716"/>
      <c r="V45" s="1719"/>
      <c r="W45" s="1720"/>
      <c r="X45" s="824"/>
      <c r="Y45" s="825"/>
      <c r="Z45" s="825"/>
      <c r="AA45" s="826"/>
      <c r="AB45" s="824"/>
      <c r="AC45" s="825"/>
      <c r="AD45" s="826"/>
      <c r="AE45" s="1724"/>
      <c r="AF45" s="1725"/>
      <c r="AG45" s="1724"/>
      <c r="AH45" s="1725"/>
      <c r="AI45" s="1737"/>
      <c r="AJ45" s="1738"/>
      <c r="AK45" s="1696"/>
      <c r="AL45" s="1697"/>
      <c r="AM45" s="1697"/>
      <c r="AN45" s="1698"/>
      <c r="AO45" s="1687"/>
      <c r="AP45" s="1740"/>
      <c r="AQ45" s="1688"/>
      <c r="AR45" s="69"/>
      <c r="AS45" s="69"/>
      <c r="AT45" s="69"/>
      <c r="AU45" s="805"/>
      <c r="AV45" s="753"/>
    </row>
    <row r="46" spans="2:52"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2"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2"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1758">
        <f>SUM(AU16:AU199)</f>
        <v>0</v>
      </c>
      <c r="AX200" s="1758">
        <f>SUM(AX16:AX199)</f>
        <v>0</v>
      </c>
      <c r="AY200" s="1758">
        <f>SUM(AY16:AY199)</f>
        <v>0</v>
      </c>
      <c r="AZ200" s="1758">
        <f>SUM(AZ16:AZ199)</f>
        <v>0</v>
      </c>
    </row>
    <row r="201" spans="2:52"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1759"/>
      <c r="AX201" s="1759"/>
      <c r="AY201" s="1759"/>
      <c r="AZ201" s="1759"/>
    </row>
    <row r="202" spans="2:5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Ly3/UvKGxdE6auTmeAdFDpfg5B211YavuK6N4wbBYY/6lvWOY9/CeKnmEr/rkAXqVFSrHbEeaLviRFra9VOBSA==" saltValue="X6t9igsh6lJB+se8Qq8uMg==" spinCount="100000" sheet="1" objects="1" scenarios="1" selectLockedCells="1"/>
  <mergeCells count="369">
    <mergeCell ref="AY36:AY37"/>
    <mergeCell ref="AY38:AY39"/>
    <mergeCell ref="AX200:AX201"/>
    <mergeCell ref="AZ200:AZ201"/>
    <mergeCell ref="AY200:AY201"/>
    <mergeCell ref="AZ14:AZ15"/>
    <mergeCell ref="AZ16:AZ17"/>
    <mergeCell ref="AZ18:AZ19"/>
    <mergeCell ref="AZ20:AZ21"/>
    <mergeCell ref="AZ22:AZ23"/>
    <mergeCell ref="AZ24:AZ25"/>
    <mergeCell ref="AZ26:AZ27"/>
    <mergeCell ref="AZ28:AZ29"/>
    <mergeCell ref="AZ30:AZ31"/>
    <mergeCell ref="AZ32:AZ33"/>
    <mergeCell ref="AZ34:AZ35"/>
    <mergeCell ref="AX32:AX33"/>
    <mergeCell ref="AX34:AX35"/>
    <mergeCell ref="AY14:AY15"/>
    <mergeCell ref="AY16:AY17"/>
    <mergeCell ref="AY18:AY19"/>
    <mergeCell ref="AY20:AY21"/>
    <mergeCell ref="AY22:AY23"/>
    <mergeCell ref="AY24:AY25"/>
    <mergeCell ref="AY26:AY27"/>
    <mergeCell ref="AY28:AY29"/>
    <mergeCell ref="AY30:AY31"/>
    <mergeCell ref="AY32:AY33"/>
    <mergeCell ref="AY34:AY35"/>
    <mergeCell ref="AX14:AX15"/>
    <mergeCell ref="AX16:AX17"/>
    <mergeCell ref="AX18:AX19"/>
    <mergeCell ref="AX20:AX21"/>
    <mergeCell ref="AX22:AX23"/>
    <mergeCell ref="AX24:AX25"/>
    <mergeCell ref="AX26:AX27"/>
    <mergeCell ref="AX28:AX29"/>
    <mergeCell ref="AX30:AX31"/>
    <mergeCell ref="B198:B199"/>
    <mergeCell ref="M200:AG201"/>
    <mergeCell ref="AU200:AU201"/>
    <mergeCell ref="B186:B187"/>
    <mergeCell ref="B188:B189"/>
    <mergeCell ref="B190:B191"/>
    <mergeCell ref="B192:B193"/>
    <mergeCell ref="B194:B195"/>
    <mergeCell ref="B196:B197"/>
    <mergeCell ref="B174:B175"/>
    <mergeCell ref="B176:B177"/>
    <mergeCell ref="B178:B179"/>
    <mergeCell ref="B180:B181"/>
    <mergeCell ref="B182:B183"/>
    <mergeCell ref="B184:B185"/>
    <mergeCell ref="B162:B163"/>
    <mergeCell ref="B164:B165"/>
    <mergeCell ref="B166:B167"/>
    <mergeCell ref="B168:B169"/>
    <mergeCell ref="B170:B171"/>
    <mergeCell ref="B172:B173"/>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02:B103"/>
    <mergeCell ref="B104:B105"/>
    <mergeCell ref="B106:B107"/>
    <mergeCell ref="B108:B109"/>
    <mergeCell ref="B110:B111"/>
    <mergeCell ref="B112:B113"/>
    <mergeCell ref="B90:B91"/>
    <mergeCell ref="B92:B93"/>
    <mergeCell ref="B94:B95"/>
    <mergeCell ref="B96:B97"/>
    <mergeCell ref="B98:B99"/>
    <mergeCell ref="B100:B101"/>
    <mergeCell ref="B78:B79"/>
    <mergeCell ref="B80:B81"/>
    <mergeCell ref="B82:B83"/>
    <mergeCell ref="B84:B85"/>
    <mergeCell ref="B86:B87"/>
    <mergeCell ref="B88:B89"/>
    <mergeCell ref="B66:B67"/>
    <mergeCell ref="B68:B69"/>
    <mergeCell ref="B70:B71"/>
    <mergeCell ref="B72:B73"/>
    <mergeCell ref="B74:B75"/>
    <mergeCell ref="B76:B77"/>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42:B43"/>
    <mergeCell ref="C42:M43"/>
    <mergeCell ref="N42:S43"/>
    <mergeCell ref="T42:U43"/>
    <mergeCell ref="V42:W43"/>
    <mergeCell ref="X42:AA43"/>
    <mergeCell ref="AB42:AD43"/>
    <mergeCell ref="AE42:AF43"/>
    <mergeCell ref="AB40:AD41"/>
    <mergeCell ref="AE40:AF41"/>
    <mergeCell ref="B40:B41"/>
    <mergeCell ref="C40:M41"/>
    <mergeCell ref="AK38:AN39"/>
    <mergeCell ref="AO38:AQ39"/>
    <mergeCell ref="AU38:AU39"/>
    <mergeCell ref="AG42:AH43"/>
    <mergeCell ref="AI42:AJ43"/>
    <mergeCell ref="AK42:AN43"/>
    <mergeCell ref="AO42:AQ43"/>
    <mergeCell ref="AU42:AU43"/>
    <mergeCell ref="AV42:AV43"/>
    <mergeCell ref="AU40:AU41"/>
    <mergeCell ref="AV40:AV41"/>
    <mergeCell ref="AG40:AH41"/>
    <mergeCell ref="AI40:AJ41"/>
    <mergeCell ref="AK40:AN41"/>
    <mergeCell ref="AO40:AQ41"/>
    <mergeCell ref="T36:U37"/>
    <mergeCell ref="V36:W37"/>
    <mergeCell ref="X36:AA37"/>
    <mergeCell ref="N40:S41"/>
    <mergeCell ref="T40:U41"/>
    <mergeCell ref="V40:W41"/>
    <mergeCell ref="X40:AA41"/>
    <mergeCell ref="AG38:AH39"/>
    <mergeCell ref="AI38:AJ39"/>
    <mergeCell ref="N32:S33"/>
    <mergeCell ref="T32:U33"/>
    <mergeCell ref="V32:W33"/>
    <mergeCell ref="X32:AA33"/>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N36:S37"/>
    <mergeCell ref="AI34:AJ35"/>
    <mergeCell ref="AK34:AN35"/>
    <mergeCell ref="AO34:AQ35"/>
    <mergeCell ref="AU34:AU35"/>
    <mergeCell ref="AV34:AV35"/>
    <mergeCell ref="AW34:AW35"/>
    <mergeCell ref="AW32:AW33"/>
    <mergeCell ref="B34:B35"/>
    <mergeCell ref="C34:M35"/>
    <mergeCell ref="N34:S35"/>
    <mergeCell ref="T34:U35"/>
    <mergeCell ref="V34:W35"/>
    <mergeCell ref="X34:AA35"/>
    <mergeCell ref="AB34:AD35"/>
    <mergeCell ref="AE34:AF35"/>
    <mergeCell ref="AG34:AH35"/>
    <mergeCell ref="AG32:AH33"/>
    <mergeCell ref="AI32:AJ33"/>
    <mergeCell ref="AK32:AN33"/>
    <mergeCell ref="AO32:AQ33"/>
    <mergeCell ref="AU32:AU33"/>
    <mergeCell ref="AV32:AV33"/>
    <mergeCell ref="B32:B33"/>
    <mergeCell ref="C32:M33"/>
    <mergeCell ref="B28:B29"/>
    <mergeCell ref="C28:M29"/>
    <mergeCell ref="N28:S29"/>
    <mergeCell ref="T28:U29"/>
    <mergeCell ref="V28:W29"/>
    <mergeCell ref="AG30:AH31"/>
    <mergeCell ref="AI30:AJ31"/>
    <mergeCell ref="AK30:AN31"/>
    <mergeCell ref="AO30:AQ31"/>
    <mergeCell ref="AO24:AQ25"/>
    <mergeCell ref="AU24:AU25"/>
    <mergeCell ref="AV24:AV25"/>
    <mergeCell ref="B24:B25"/>
    <mergeCell ref="C24:M25"/>
    <mergeCell ref="N24:S25"/>
    <mergeCell ref="AB32:AD33"/>
    <mergeCell ref="AE32:AF33"/>
    <mergeCell ref="AE30:AF31"/>
    <mergeCell ref="AU28:AU29"/>
    <mergeCell ref="AV28:AV29"/>
    <mergeCell ref="B30:B31"/>
    <mergeCell ref="C30:M31"/>
    <mergeCell ref="N30:S31"/>
    <mergeCell ref="T30:U31"/>
    <mergeCell ref="V30:W31"/>
    <mergeCell ref="X30:AA31"/>
    <mergeCell ref="AB30:AD31"/>
    <mergeCell ref="AB28:AD29"/>
    <mergeCell ref="AE28:AF29"/>
    <mergeCell ref="AG28:AH29"/>
    <mergeCell ref="AI28:AJ29"/>
    <mergeCell ref="AK28:AN29"/>
    <mergeCell ref="AO28:AQ29"/>
    <mergeCell ref="B26:B27"/>
    <mergeCell ref="C26:M27"/>
    <mergeCell ref="N26:S27"/>
    <mergeCell ref="T26:U27"/>
    <mergeCell ref="V26:W27"/>
    <mergeCell ref="X26:AA27"/>
    <mergeCell ref="AB26:AD27"/>
    <mergeCell ref="AE26:AF27"/>
    <mergeCell ref="AG26:AH27"/>
    <mergeCell ref="AI26:AJ27"/>
    <mergeCell ref="AK26:AN27"/>
    <mergeCell ref="AO26:AQ27"/>
    <mergeCell ref="AU26:AU27"/>
    <mergeCell ref="X28:AA29"/>
    <mergeCell ref="AV30:AV31"/>
    <mergeCell ref="AW30:AW31"/>
    <mergeCell ref="AV26:AV27"/>
    <mergeCell ref="AW26:AW27"/>
    <mergeCell ref="AW28:AW29"/>
    <mergeCell ref="AU30:AU31"/>
    <mergeCell ref="T24:U25"/>
    <mergeCell ref="V24:W25"/>
    <mergeCell ref="X24:AA25"/>
    <mergeCell ref="AB24:AD25"/>
    <mergeCell ref="AE24:AF25"/>
    <mergeCell ref="AE22:AF23"/>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AW24:AW25"/>
    <mergeCell ref="AG24:AH25"/>
    <mergeCell ref="AI24:AJ25"/>
    <mergeCell ref="AK24:AN25"/>
    <mergeCell ref="B22:B23"/>
    <mergeCell ref="C22:M23"/>
    <mergeCell ref="N22:S23"/>
    <mergeCell ref="T22:U23"/>
    <mergeCell ref="V22:W23"/>
    <mergeCell ref="X22:AA23"/>
    <mergeCell ref="AB22:AD23"/>
    <mergeCell ref="AB20:AD21"/>
    <mergeCell ref="AE20:AF21"/>
    <mergeCell ref="B20:B21"/>
    <mergeCell ref="C20:M21"/>
    <mergeCell ref="N20:S21"/>
    <mergeCell ref="T20:U21"/>
    <mergeCell ref="V20:W21"/>
    <mergeCell ref="X20:AA21"/>
    <mergeCell ref="AI18:AJ19"/>
    <mergeCell ref="AK18:AN19"/>
    <mergeCell ref="AO18:AQ19"/>
    <mergeCell ref="AU18:AU19"/>
    <mergeCell ref="AV18:AV19"/>
    <mergeCell ref="AW18:AW19"/>
    <mergeCell ref="AW16:AW17"/>
    <mergeCell ref="B18:B19"/>
    <mergeCell ref="C18:M19"/>
    <mergeCell ref="N18:S19"/>
    <mergeCell ref="T18:U19"/>
    <mergeCell ref="V18:W19"/>
    <mergeCell ref="X18:AA19"/>
    <mergeCell ref="AB18:AD19"/>
    <mergeCell ref="AE18:AF19"/>
    <mergeCell ref="AG18:AH19"/>
    <mergeCell ref="AG16:AH17"/>
    <mergeCell ref="AI16:AJ17"/>
    <mergeCell ref="AK16:AN17"/>
    <mergeCell ref="AO16:AQ17"/>
    <mergeCell ref="AU16:AU17"/>
    <mergeCell ref="AV16:AV17"/>
    <mergeCell ref="AV14:AV15"/>
    <mergeCell ref="AW14:AW15"/>
    <mergeCell ref="B16:B17"/>
    <mergeCell ref="C16:M17"/>
    <mergeCell ref="N16:S17"/>
    <mergeCell ref="T16:U17"/>
    <mergeCell ref="V16:W17"/>
    <mergeCell ref="X16:AA17"/>
    <mergeCell ref="AB16:AD17"/>
    <mergeCell ref="AE16:AF17"/>
    <mergeCell ref="AI14:AJ15"/>
    <mergeCell ref="AK14:AN15"/>
    <mergeCell ref="AO14:AQ15"/>
    <mergeCell ref="AU14:AU15"/>
    <mergeCell ref="AE14:AH14"/>
    <mergeCell ref="AE15:AF15"/>
    <mergeCell ref="AG15:AH15"/>
    <mergeCell ref="O9:AF10"/>
    <mergeCell ref="J11:Q13"/>
    <mergeCell ref="R11:U11"/>
    <mergeCell ref="V11:Y11"/>
    <mergeCell ref="Z11:AC11"/>
    <mergeCell ref="R12:U13"/>
    <mergeCell ref="V12:Y13"/>
    <mergeCell ref="Z12:AC13"/>
    <mergeCell ref="C14:M15"/>
    <mergeCell ref="N14:S15"/>
    <mergeCell ref="T14:U15"/>
    <mergeCell ref="V14:W15"/>
    <mergeCell ref="X14:AA15"/>
    <mergeCell ref="AB14:AD15"/>
    <mergeCell ref="Q1:R1"/>
    <mergeCell ref="U1:V1"/>
    <mergeCell ref="Y1:Z1"/>
    <mergeCell ref="AH1:AK1"/>
    <mergeCell ref="AL1:AP1"/>
    <mergeCell ref="AQ1:AR1"/>
    <mergeCell ref="AL2:AP3"/>
    <mergeCell ref="AQ2:AR3"/>
    <mergeCell ref="AH2:AK3"/>
  </mergeCells>
  <conditionalFormatting sqref="O9">
    <cfRule type="expression" dxfId="190" priority="326">
      <formula>ISNUMBER(SEARCH("Inspection",$O$9))</formula>
    </cfRule>
  </conditionalFormatting>
  <conditionalFormatting sqref="AH2 AL2">
    <cfRule type="expression" dxfId="189" priority="3">
      <formula>PROJSTATUS=PROJSTATELI</formula>
    </cfRule>
    <cfRule type="expression" dxfId="188" priority="4">
      <formula>PROJSTATUS=PROJSTATREVIEW</formula>
    </cfRule>
    <cfRule type="expression" dxfId="187" priority="5">
      <formula>PROJSTATUS=PROJSTATPREAPPROVE</formula>
    </cfRule>
    <cfRule type="expression" dxfId="186" priority="6">
      <formula>PROJSTATUS=PROJSTATSTANDARD</formula>
    </cfRule>
    <cfRule type="expression" dxfId="185" priority="7">
      <formula>PROJSTATUS=PROJSTATEXP</formula>
    </cfRule>
  </conditionalFormatting>
  <conditionalFormatting sqref="AO16:AQ35">
    <cfRule type="expression" dxfId="184" priority="2">
      <formula>ISNUMBER($AO16)=FALSE</formula>
    </cfRule>
    <cfRule type="expression" dxfId="183" priority="8">
      <formula>AW16="Yes"</formula>
    </cfRule>
  </conditionalFormatting>
  <conditionalFormatting sqref="AQ2:AR3">
    <cfRule type="cellIs" dxfId="182" priority="9" operator="equal">
      <formula>1</formula>
    </cfRule>
    <cfRule type="cellIs" dxfId="181" priority="10" operator="between">
      <formula>0.51</formula>
      <formula>0.99</formula>
    </cfRule>
    <cfRule type="cellIs" dxfId="180" priority="11" operator="lessThanOrEqual">
      <formula>0.5</formula>
    </cfRule>
  </conditionalFormatting>
  <dataValidations xWindow="634" yWindow="595" count="5">
    <dataValidation type="list" allowBlank="1" showInputMessage="1" showErrorMessage="1" sqref="C36:M45" xr:uid="{D6022FAC-F271-4031-B751-F716DF34BC55}">
      <formula1>PMEMOTOREFF1</formula1>
    </dataValidation>
    <dataValidation type="decimal" allowBlank="1" showInputMessage="1" showErrorMessage="1" error="Please enter a numerical value" sqref="AE16:AH45" xr:uid="{0E88F41E-5263-452D-94C7-0B370D102BE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36:W45" xr:uid="{BD1B22F2-F887-430F-A384-DA2E12B1A665}">
      <formula1>0</formula1>
      <formula2>99999</formula2>
    </dataValidation>
    <dataValidation type="list" allowBlank="1" showInputMessage="1" showErrorMessage="1" sqref="C16:M35" xr:uid="{CA0992EE-11AB-4137-80AF-DAD469284DA7}">
      <formula1>PMEVFDEFF1</formula1>
    </dataValidation>
    <dataValidation type="decimal" allowBlank="1" showInputMessage="1" showErrorMessage="1" error="Please enter a numerical value within the approved range" prompt="Enter the motor horsepower on EACH drive_x000a_" sqref="V16:W35" xr:uid="{385C2CBC-B816-498E-883B-E240D66A3954}">
      <formula1>INDEX(PMEVFDMINHP,MATCH(C16,PMEVFDEFF1,0))</formula1>
      <formula2>INDEX(PMEVFDMAXHP,MATCH(C16,PMEVFDEFF1,0))</formula2>
    </dataValidation>
  </dataValidations>
  <hyperlinks>
    <hyperlink ref="B202" r:id="rId1" display="NIPSCO.Savings@LMCO.com" xr:uid="{35FED139-5086-4ABD-AF33-0E6EEC710422}"/>
  </hyperlinks>
  <pageMargins left="0.25" right="0.25" top="0.25" bottom="0.25" header="0.25" footer="0.25"/>
  <pageSetup scale="64" fitToHeight="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A9D0A-1760-4E9F-92AE-D98C948C561D}">
  <sheetPr codeName="Sheet17"/>
  <dimension ref="A1:BC202"/>
  <sheetViews>
    <sheetView showGridLines="0" showRowColHeaders="0" zoomScale="85" zoomScaleNormal="85" workbookViewId="0">
      <selection activeCell="C16" sqref="C16:K17"/>
    </sheetView>
  </sheetViews>
  <sheetFormatPr defaultColWidth="0" defaultRowHeight="15.95" customHeight="1" zeroHeight="1" x14ac:dyDescent="0.25"/>
  <cols>
    <col min="1" max="45" width="4.7109375" customWidth="1"/>
    <col min="46" max="46" width="4.7109375" hidden="1" customWidth="1"/>
    <col min="47" max="71" width="9.140625" hidden="1" customWidth="1"/>
    <col min="72" max="16384" width="9.140625" hidden="1"/>
  </cols>
  <sheetData>
    <row r="1" spans="2:55"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5"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5" ht="15.95" customHeight="1" x14ac:dyDescent="0.25">
      <c r="AH3" s="604"/>
      <c r="AI3" s="605"/>
      <c r="AJ3" s="605"/>
      <c r="AK3" s="605"/>
      <c r="AL3" s="614"/>
      <c r="AM3" s="614"/>
      <c r="AN3" s="614"/>
      <c r="AO3" s="614"/>
      <c r="AP3" s="614"/>
      <c r="AQ3" s="610"/>
      <c r="AR3" s="611"/>
    </row>
    <row r="4" spans="2:55" ht="15.95" customHeight="1" x14ac:dyDescent="0.25"/>
    <row r="5" spans="2:55"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5"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5"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5"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5" ht="15.95" customHeight="1" x14ac:dyDescent="0.25">
      <c r="B9" s="69"/>
      <c r="C9" s="69"/>
      <c r="D9" s="69"/>
      <c r="E9" s="69"/>
      <c r="F9" s="69"/>
      <c r="G9" s="69"/>
      <c r="H9" s="69"/>
      <c r="I9" s="69"/>
      <c r="J9" s="69"/>
      <c r="K9" s="69"/>
      <c r="L9" s="69"/>
      <c r="M9" s="69"/>
      <c r="N9" s="69"/>
      <c r="O9" s="794" t="str">
        <f>IF(INCENSTATUS="---",CONCATENATE(M4S6," ","Summary"),IF(INCENSTATUS&gt;15000,"This project may require an inspection. Please submit photos of existing equipment and of new efficient equipment once installed.",CONCATENATE(M4S6," ","Summary")))</f>
        <v>Compressed Air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BC9" t="e" cm="1">
        <f t="array" ref="BC9">INDEX(PMECOMPAIRMIN,MATCH(C18,PMECOMPAIREFF1,0))</f>
        <v>#N/A</v>
      </c>
    </row>
    <row r="10" spans="2:55"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BC10" t="e" cm="1">
        <f t="array" ref="BC10">INDEX(PMECOMPAIRMAX,MATCH(C18,PMECOMPAIREFF1,0))</f>
        <v>#N/A</v>
      </c>
    </row>
    <row r="11" spans="2:55" ht="15.95" customHeight="1" x14ac:dyDescent="0.3">
      <c r="B11" s="69"/>
      <c r="C11" s="69"/>
      <c r="D11" s="69"/>
      <c r="E11" s="69"/>
      <c r="F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1685</v>
      </c>
      <c r="AA11" s="1042"/>
      <c r="AB11" s="1042"/>
      <c r="AC11" s="1042"/>
      <c r="AE11" s="69"/>
      <c r="AK11" s="69"/>
      <c r="AL11" s="69"/>
      <c r="AM11" s="69"/>
      <c r="AN11" s="69"/>
      <c r="AO11" s="69"/>
      <c r="AP11" s="69"/>
      <c r="AQ11" s="69"/>
      <c r="AR11" s="69"/>
    </row>
    <row r="12" spans="2:55" ht="15.95" customHeight="1" x14ac:dyDescent="0.25">
      <c r="B12" s="69"/>
      <c r="C12" s="69"/>
      <c r="D12" s="69"/>
      <c r="E12" s="69"/>
      <c r="F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5"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E13" s="69"/>
      <c r="AF13" s="69"/>
      <c r="AG13" s="69"/>
      <c r="AH13" s="69"/>
      <c r="AI13" s="69"/>
      <c r="AJ13" s="69"/>
      <c r="AK13" s="69"/>
      <c r="AL13" s="69"/>
      <c r="AM13" s="69"/>
      <c r="AN13" s="69"/>
      <c r="AO13" s="69"/>
      <c r="AP13" s="69"/>
      <c r="AQ13" s="69"/>
      <c r="AR13" s="69"/>
      <c r="AU13" s="69">
        <f>SUMPRODUCT(--(LEN(C16:AH35)&gt;0))</f>
        <v>0</v>
      </c>
    </row>
    <row r="14" spans="2:55" ht="15.95" customHeight="1" x14ac:dyDescent="0.25">
      <c r="B14" s="69"/>
      <c r="C14" s="799" t="s">
        <v>1126</v>
      </c>
      <c r="D14" s="799"/>
      <c r="E14" s="799"/>
      <c r="F14" s="799"/>
      <c r="G14" s="799"/>
      <c r="H14" s="799"/>
      <c r="I14" s="799"/>
      <c r="J14" s="799"/>
      <c r="K14" s="799"/>
      <c r="L14" s="745" t="s">
        <v>2058</v>
      </c>
      <c r="M14" s="745"/>
      <c r="N14" s="745"/>
      <c r="O14" s="745"/>
      <c r="P14" s="745"/>
      <c r="Q14" s="745"/>
      <c r="R14" s="745"/>
      <c r="S14" s="745"/>
      <c r="T14" s="745"/>
      <c r="U14" s="745"/>
      <c r="V14" s="745" t="s">
        <v>2059</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S14" s="69"/>
      <c r="AT14" s="69"/>
      <c r="AU14" s="799" t="s">
        <v>191</v>
      </c>
      <c r="AV14" s="799" t="s">
        <v>192</v>
      </c>
      <c r="AW14" s="799" t="s">
        <v>1352</v>
      </c>
      <c r="BC14" t="str">
        <f>IF(C18="","",IF(ISNUMBER(SEARCH("VFD",C18)),"Enter Compressor HP",IF(ISNUMBER(SEARCH("Air Leak",C18)),"Enter Number of Shift (1 - 4)","")))</f>
        <v/>
      </c>
    </row>
    <row r="15" spans="2:55" ht="15.95" customHeight="1" thickBot="1" x14ac:dyDescent="0.3">
      <c r="B15" s="69"/>
      <c r="C15" s="746"/>
      <c r="D15" s="746"/>
      <c r="E15" s="746"/>
      <c r="F15" s="746"/>
      <c r="G15" s="746"/>
      <c r="H15" s="746"/>
      <c r="I15" s="746"/>
      <c r="J15" s="746"/>
      <c r="K15" s="746"/>
      <c r="L15" s="1414"/>
      <c r="M15" s="1414"/>
      <c r="N15" s="1414"/>
      <c r="O15" s="1414"/>
      <c r="P15" s="1414"/>
      <c r="Q15" s="1414"/>
      <c r="R15" s="1414"/>
      <c r="S15" s="1414"/>
      <c r="T15" s="1414"/>
      <c r="U15" s="1414"/>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S15" s="69"/>
      <c r="AT15" s="69"/>
      <c r="AU15" s="746"/>
      <c r="AV15" s="746"/>
      <c r="AW15" s="746"/>
    </row>
    <row r="16" spans="2:55" ht="15.95" customHeight="1" x14ac:dyDescent="0.25">
      <c r="B16" s="1193">
        <v>1</v>
      </c>
      <c r="C16" s="1798"/>
      <c r="D16" s="1799"/>
      <c r="E16" s="1799"/>
      <c r="F16" s="1799"/>
      <c r="G16" s="1799"/>
      <c r="H16" s="1799"/>
      <c r="I16" s="1799"/>
      <c r="J16" s="1799"/>
      <c r="K16" s="1799"/>
      <c r="L16" s="1405" t="str">
        <f>IF(C16="","",INDEX(PMECOMPAIR[Base Desc 1],MATCH(C16,PMECOMPAIR[Eff Desc 1],0)))</f>
        <v/>
      </c>
      <c r="M16" s="1405"/>
      <c r="N16" s="1405"/>
      <c r="O16" s="1405"/>
      <c r="P16" s="1405"/>
      <c r="Q16" s="1405"/>
      <c r="R16" s="1788" t="str">
        <f t="shared" ref="R16" si="0">IF(C16="","",IF(ISNUMBER(SEARCH("VFD",C16)),"Enter Compressor HP",IF(ISNUMBER(SEARCH("Air Leak",C16)),"Enter Number of Shifts (1 - 3)","")))</f>
        <v/>
      </c>
      <c r="S16" s="1788"/>
      <c r="T16" s="1788"/>
      <c r="U16" s="1789"/>
      <c r="V16" s="1790" t="str">
        <f t="shared" ref="V16" si="1">IF(C16="","",IF(ISNUMBER(SEARCH("Air Leak",C16)),"Enter CFM",""))</f>
        <v/>
      </c>
      <c r="W16" s="1791"/>
      <c r="X16" s="1390" t="str">
        <f t="shared" ref="X16" si="2">IF(C16="","",IF(ISNUMBER(SEARCH("Air Leak",C16)),"N/A",""))</f>
        <v/>
      </c>
      <c r="Y16" s="1416"/>
      <c r="Z16" s="1416"/>
      <c r="AA16" s="1417"/>
      <c r="AB16" s="1390" t="str">
        <f t="shared" ref="AB16" si="3">IF(C16="","",IF(ISNUMBER(SEARCH("Air Leak",C16)),"N/A",""))</f>
        <v/>
      </c>
      <c r="AC16" s="1416"/>
      <c r="AD16" s="1417"/>
      <c r="AE16" s="1794"/>
      <c r="AF16" s="1795"/>
      <c r="AG16" s="1794"/>
      <c r="AH16" s="1795"/>
      <c r="AI16" s="1803" t="str">
        <f>IF(C16="","",INDEX(PMECOMPAIR[Inc Rate Unit],MATCH(C16,PMECOMPAIR[Eff Desc 1],0)))</f>
        <v/>
      </c>
      <c r="AJ16" s="1804"/>
      <c r="AK16" s="1785" t="str">
        <f>IF(OR(C16="",V16="",X16="",AB16="",AE16="",AG16=""),"",IF(ISNUMBER(SEARCH("VFD",C16)),ROUND(R16*V16*INDEX(PMECOMPAIR[Savings per Unit kWh],MATCH(C16,PMECOMPAIR[Eff Desc 1],0)),0),ROUND(V16*INDEX(PMECOMPAIR[Savings per Unit kWh],MATCH(C16,PMECOMPAIR[Eff Desc 1],0)),0)))</f>
        <v/>
      </c>
      <c r="AL16" s="1786"/>
      <c r="AM16" s="1786"/>
      <c r="AN16" s="1787"/>
      <c r="AO16" s="1800" t="str">
        <f>IF(M02S02F44="","Update Install Status",IF(M02S02F49="Yes","Not Eligible",IF(OR(C16="",V16="",X16="",AB16="",AE16="",AG16=""),"",IF(OR(ISNUMBER(SEARCH("VFD",C16)),ISNUMBER(SEARCH("Air Leak",C16))),MIN(AU16,ROUND(R16*V16*AI16,2)),MIN(AU16,ROUND(V16*AI16,2))))))</f>
        <v>Update Install Status</v>
      </c>
      <c r="AP16" s="1801"/>
      <c r="AQ16" s="1802"/>
      <c r="AR16" s="69"/>
      <c r="AS16" s="69"/>
      <c r="AT16" s="69"/>
      <c r="AU16" s="804" t="str">
        <f>IF(OR(V16="",X16="",AB16="",AE16=""),"",ROUND((AE16+AG16),2))</f>
        <v/>
      </c>
      <c r="AV16" s="752" t="str">
        <f>IF(OR(C16="",V16="",X16="",AB16="",AE16="",AG16=""),"",ROUND(AK16*INDEX(ENDUSEALL[Factor],MATCH(INDEX(PMECOMPAIR[End Use Category],MATCH(C16,PMECOMPAIR[Eff Desc 1],0)),ENDUSEALL[End Use to Coincident Peak Demand Factors],0)),4))</f>
        <v/>
      </c>
      <c r="AW16" s="752" t="str">
        <f>IF(OR(C16="",V16="",X16="",AB16="",AE16="",AG16=""),"",IF(AO16&lt;&gt;AU16,"No","Yes"))</f>
        <v/>
      </c>
    </row>
    <row r="17" spans="2:49" ht="15.95" customHeight="1" x14ac:dyDescent="0.25">
      <c r="B17" s="1193"/>
      <c r="C17" s="1415"/>
      <c r="D17" s="1416"/>
      <c r="E17" s="1416"/>
      <c r="F17" s="1416"/>
      <c r="G17" s="1416"/>
      <c r="H17" s="1416"/>
      <c r="I17" s="1416"/>
      <c r="J17" s="1416"/>
      <c r="K17" s="1416"/>
      <c r="L17" s="1381"/>
      <c r="M17" s="1381"/>
      <c r="N17" s="1381"/>
      <c r="O17" s="1381"/>
      <c r="P17" s="1381"/>
      <c r="Q17" s="1381"/>
      <c r="R17" s="1788"/>
      <c r="S17" s="1788"/>
      <c r="T17" s="1788"/>
      <c r="U17" s="1789"/>
      <c r="V17" s="1792"/>
      <c r="W17" s="1793"/>
      <c r="X17" s="1415"/>
      <c r="Y17" s="1416"/>
      <c r="Z17" s="1416"/>
      <c r="AA17" s="1417"/>
      <c r="AB17" s="1415"/>
      <c r="AC17" s="1416"/>
      <c r="AD17" s="1417"/>
      <c r="AE17" s="1796"/>
      <c r="AF17" s="1797"/>
      <c r="AG17" s="1796"/>
      <c r="AH17" s="1797"/>
      <c r="AI17" s="1783"/>
      <c r="AJ17" s="1784"/>
      <c r="AK17" s="1785"/>
      <c r="AL17" s="1786"/>
      <c r="AM17" s="1786"/>
      <c r="AN17" s="1787"/>
      <c r="AO17" s="1800"/>
      <c r="AP17" s="1801"/>
      <c r="AQ17" s="1802"/>
      <c r="AR17" s="69"/>
      <c r="AS17" s="69"/>
      <c r="AT17" s="69"/>
      <c r="AU17" s="805"/>
      <c r="AV17" s="753"/>
      <c r="AW17" s="753"/>
    </row>
    <row r="18" spans="2:49" ht="15.95" customHeight="1" x14ac:dyDescent="0.25">
      <c r="B18" s="1204">
        <v>2</v>
      </c>
      <c r="C18" s="1415"/>
      <c r="D18" s="1416"/>
      <c r="E18" s="1416"/>
      <c r="F18" s="1416"/>
      <c r="G18" s="1416"/>
      <c r="H18" s="1416"/>
      <c r="I18" s="1416"/>
      <c r="J18" s="1416"/>
      <c r="K18" s="1416"/>
      <c r="L18" s="1381" t="str">
        <f>IF(C18="","",INDEX(PMECOMPAIR[Base Desc 1],MATCH(C18,PMECOMPAIR[Eff Desc 1],0)))</f>
        <v/>
      </c>
      <c r="M18" s="1381"/>
      <c r="N18" s="1381"/>
      <c r="O18" s="1381"/>
      <c r="P18" s="1381"/>
      <c r="Q18" s="1381"/>
      <c r="R18" s="1788" t="str">
        <f t="shared" ref="R18" si="4">IF(C18="","",IF(ISNUMBER(SEARCH("VFD",C18)),"Enter Compressor HP",IF(ISNUMBER(SEARCH("Air Leak",C18)),"Enter Number of Shifts (1 - 3)","")))</f>
        <v/>
      </c>
      <c r="S18" s="1788"/>
      <c r="T18" s="1788"/>
      <c r="U18" s="1789"/>
      <c r="V18" s="1790" t="str">
        <f t="shared" ref="V18" si="5">IF(C18="","",IF(ISNUMBER(SEARCH("Air Leak",C18)),"Enter CFM",""))</f>
        <v/>
      </c>
      <c r="W18" s="1791"/>
      <c r="X18" s="1390" t="str">
        <f t="shared" ref="X18" si="6">IF(C18="","",IF(ISNUMBER(SEARCH("Air Leak",C18)),"N/A",""))</f>
        <v/>
      </c>
      <c r="Y18" s="1416"/>
      <c r="Z18" s="1416"/>
      <c r="AA18" s="1417"/>
      <c r="AB18" s="1390" t="str">
        <f t="shared" ref="AB18" si="7">IF(C18="","",IF(ISNUMBER(SEARCH("Air Leak",C18)),"N/A",""))</f>
        <v/>
      </c>
      <c r="AC18" s="1416"/>
      <c r="AD18" s="1417"/>
      <c r="AE18" s="1796"/>
      <c r="AF18" s="1797"/>
      <c r="AG18" s="1796"/>
      <c r="AH18" s="1797"/>
      <c r="AI18" s="1783" t="str">
        <f>IF(C18="","",INDEX(PMECOMPAIR[Inc Rate Unit],MATCH(C18,PMECOMPAIR[Eff Desc 1],0)))</f>
        <v/>
      </c>
      <c r="AJ18" s="1784"/>
      <c r="AK18" s="1785" t="str">
        <f>IF(OR(C18="",V18="",X18="",AB18="",AE18="",AG18=""),"",IF(ISNUMBER(SEARCH("VFD",C18)),ROUND(R18*V18*INDEX(PMECOMPAIR[Savings per Unit kWh],MATCH(C18,PMECOMPAIR[Eff Desc 1],0)),0),ROUND(V18*INDEX(PMECOMPAIR[Savings per Unit kWh],MATCH(C18,PMECOMPAIR[Eff Desc 1],0)),0)))</f>
        <v/>
      </c>
      <c r="AL18" s="1786"/>
      <c r="AM18" s="1786"/>
      <c r="AN18" s="1787"/>
      <c r="AO18" s="1800" t="str">
        <f>IF(M02S02F44="","Update Install Status",IF(M02S02F49="Yes","Not Eligible",IF(OR(C18="",V18="",X18="",AB18="",AE18="",AG18=""),"",IF(OR(ISNUMBER(SEARCH("VFD",C18)),ISNUMBER(SEARCH("Air Leak",C18))),MIN(AU18,ROUND(R18*V18*AI18,2)),MIN(AU18,ROUND(V18*AI18,2))))))</f>
        <v>Update Install Status</v>
      </c>
      <c r="AP18" s="1801"/>
      <c r="AQ18" s="1802"/>
      <c r="AR18" s="69"/>
      <c r="AS18" s="69"/>
      <c r="AT18" s="69"/>
      <c r="AU18" s="804" t="str">
        <f t="shared" ref="AU18" si="8">IF(OR(V18="",X18="",AB18="",AE18=""),"",ROUND((AE18+AG18),2))</f>
        <v/>
      </c>
      <c r="AV18" s="752" t="str">
        <f>IF(OR(C18="",V18="",X18="",AB18="",AE18="",AG18=""),"",ROUND(AK18*INDEX(ENDUSEALL[Factor],MATCH(INDEX(PMECOMPAIR[End Use Category],MATCH(C18,PMECOMPAIR[Eff Desc 1],0)),ENDUSEALL[End Use to Coincident Peak Demand Factors],0)),4))</f>
        <v/>
      </c>
      <c r="AW18" s="752" t="str">
        <f t="shared" ref="AW18" si="9">IF(OR(C18="",V18="",X18="",AB18="",AE18="",AG18=""),"",IF(AO18&lt;&gt;AU18,"No","Yes"))</f>
        <v/>
      </c>
    </row>
    <row r="19" spans="2:49" ht="15.95" customHeight="1" x14ac:dyDescent="0.25">
      <c r="B19" s="1204"/>
      <c r="C19" s="1415"/>
      <c r="D19" s="1416"/>
      <c r="E19" s="1416"/>
      <c r="F19" s="1416"/>
      <c r="G19" s="1416"/>
      <c r="H19" s="1416"/>
      <c r="I19" s="1416"/>
      <c r="J19" s="1416"/>
      <c r="K19" s="1416"/>
      <c r="L19" s="1381"/>
      <c r="M19" s="1381"/>
      <c r="N19" s="1381"/>
      <c r="O19" s="1381"/>
      <c r="P19" s="1381"/>
      <c r="Q19" s="1381"/>
      <c r="R19" s="1788"/>
      <c r="S19" s="1788"/>
      <c r="T19" s="1788"/>
      <c r="U19" s="1789"/>
      <c r="V19" s="1792"/>
      <c r="W19" s="1793"/>
      <c r="X19" s="1415"/>
      <c r="Y19" s="1416"/>
      <c r="Z19" s="1416"/>
      <c r="AA19" s="1417"/>
      <c r="AB19" s="1415"/>
      <c r="AC19" s="1416"/>
      <c r="AD19" s="1417"/>
      <c r="AE19" s="1796"/>
      <c r="AF19" s="1797"/>
      <c r="AG19" s="1796"/>
      <c r="AH19" s="1797"/>
      <c r="AI19" s="1783"/>
      <c r="AJ19" s="1784"/>
      <c r="AK19" s="1785"/>
      <c r="AL19" s="1786"/>
      <c r="AM19" s="1786"/>
      <c r="AN19" s="1787"/>
      <c r="AO19" s="1800"/>
      <c r="AP19" s="1801"/>
      <c r="AQ19" s="1802"/>
      <c r="AR19" s="69"/>
      <c r="AS19" s="69"/>
      <c r="AT19" s="69"/>
      <c r="AU19" s="805"/>
      <c r="AV19" s="753"/>
      <c r="AW19" s="753"/>
    </row>
    <row r="20" spans="2:49" ht="15.95" customHeight="1" x14ac:dyDescent="0.25">
      <c r="B20" s="1204">
        <v>3</v>
      </c>
      <c r="C20" s="1415"/>
      <c r="D20" s="1416"/>
      <c r="E20" s="1416"/>
      <c r="F20" s="1416"/>
      <c r="G20" s="1416"/>
      <c r="H20" s="1416"/>
      <c r="I20" s="1416"/>
      <c r="J20" s="1416"/>
      <c r="K20" s="1416"/>
      <c r="L20" s="1381" t="str">
        <f>IF(C20="","",INDEX(PMECOMPAIR[Base Desc 1],MATCH(C20,PMECOMPAIR[Eff Desc 1],0)))</f>
        <v/>
      </c>
      <c r="M20" s="1381"/>
      <c r="N20" s="1381"/>
      <c r="O20" s="1381"/>
      <c r="P20" s="1381"/>
      <c r="Q20" s="1381"/>
      <c r="R20" s="1788" t="str">
        <f t="shared" ref="R20" si="10">IF(C20="","",IF(ISNUMBER(SEARCH("VFD",C20)),"Enter Compressor HP",IF(ISNUMBER(SEARCH("Air Leak",C20)),"Enter Number of Shifts (1 - 3)","")))</f>
        <v/>
      </c>
      <c r="S20" s="1788"/>
      <c r="T20" s="1788"/>
      <c r="U20" s="1789"/>
      <c r="V20" s="1790" t="str">
        <f t="shared" ref="V20" si="11">IF(C20="","",IF(ISNUMBER(SEARCH("Air Leak",C20)),"Enter CFM",""))</f>
        <v/>
      </c>
      <c r="W20" s="1791"/>
      <c r="X20" s="1390" t="str">
        <f>IF(C20="","",IF(ISNUMBER(SEARCH("Air Leak",C20)),"N/A",""))</f>
        <v/>
      </c>
      <c r="Y20" s="1416"/>
      <c r="Z20" s="1416"/>
      <c r="AA20" s="1417"/>
      <c r="AB20" s="1390" t="str">
        <f>IF(C20="","",IF(ISNUMBER(SEARCH("Air Leak",C20)),"N/A",""))</f>
        <v/>
      </c>
      <c r="AC20" s="1416"/>
      <c r="AD20" s="1417"/>
      <c r="AE20" s="1796"/>
      <c r="AF20" s="1797"/>
      <c r="AG20" s="1796"/>
      <c r="AH20" s="1797"/>
      <c r="AI20" s="1783" t="str">
        <f>IF(C20="","",INDEX(PMECOMPAIR[Inc Rate Unit],MATCH(C20,PMECOMPAIR[Eff Desc 1],0)))</f>
        <v/>
      </c>
      <c r="AJ20" s="1784"/>
      <c r="AK20" s="1785" t="str">
        <f>IF(OR(C20="",V20="",X20="",AB20="",AE20="",AG20=""),"",IF(ISNUMBER(SEARCH("VFD",C20)),ROUND(R20*V20*INDEX(PMECOMPAIR[Savings per Unit kWh],MATCH(C20,PMECOMPAIR[Eff Desc 1],0)),0),ROUND(V20*INDEX(PMECOMPAIR[Savings per Unit kWh],MATCH(C20,PMECOMPAIR[Eff Desc 1],0)),0)))</f>
        <v/>
      </c>
      <c r="AL20" s="1786"/>
      <c r="AM20" s="1786"/>
      <c r="AN20" s="1787"/>
      <c r="AO20" s="1800" t="str">
        <f>IF(M02S02F44="","Update Install Status",IF(M02S02F49="Yes","Not Eligible",IF(OR(C20="",V20="",X20="",AB20="",AE20="",AG20=""),"",IF(OR(ISNUMBER(SEARCH("VFD",C20)),ISNUMBER(SEARCH("Air Leak",C20))),MIN(AU20,ROUND(R20*V20*AI20,2)),MIN(AU20,ROUND(V20*AI20,2))))))</f>
        <v>Update Install Status</v>
      </c>
      <c r="AP20" s="1801"/>
      <c r="AQ20" s="1802"/>
      <c r="AR20" s="69"/>
      <c r="AS20" s="69"/>
      <c r="AT20" s="69"/>
      <c r="AU20" s="804" t="str">
        <f t="shared" ref="AU20" si="12">IF(OR(V20="",X20="",AB20="",AE20=""),"",ROUND((AE20+AG20),2))</f>
        <v/>
      </c>
      <c r="AV20" s="752" t="str">
        <f>IF(OR(C20="",V20="",X20="",AB20="",AE20="",AG20=""),"",ROUND(AK20*INDEX(ENDUSEALL[Factor],MATCH(INDEX(PMECOMPAIR[End Use Category],MATCH(C20,PMECOMPAIR[Eff Desc 1],0)),ENDUSEALL[End Use to Coincident Peak Demand Factors],0)),4))</f>
        <v/>
      </c>
      <c r="AW20" s="752" t="str">
        <f t="shared" ref="AW20" si="13">IF(OR(C20="",V20="",X20="",AB20="",AE20="",AG20=""),"",IF(AO20&lt;&gt;AU20,"No","Yes"))</f>
        <v/>
      </c>
    </row>
    <row r="21" spans="2:49" ht="15.95" customHeight="1" x14ac:dyDescent="0.25">
      <c r="B21" s="1204"/>
      <c r="C21" s="1415"/>
      <c r="D21" s="1416"/>
      <c r="E21" s="1416"/>
      <c r="F21" s="1416"/>
      <c r="G21" s="1416"/>
      <c r="H21" s="1416"/>
      <c r="I21" s="1416"/>
      <c r="J21" s="1416"/>
      <c r="K21" s="1416"/>
      <c r="L21" s="1381"/>
      <c r="M21" s="1381"/>
      <c r="N21" s="1381"/>
      <c r="O21" s="1381"/>
      <c r="P21" s="1381"/>
      <c r="Q21" s="1381"/>
      <c r="R21" s="1788"/>
      <c r="S21" s="1788"/>
      <c r="T21" s="1788"/>
      <c r="U21" s="1789"/>
      <c r="V21" s="1792"/>
      <c r="W21" s="1793"/>
      <c r="X21" s="1415"/>
      <c r="Y21" s="1416"/>
      <c r="Z21" s="1416"/>
      <c r="AA21" s="1417"/>
      <c r="AB21" s="1415"/>
      <c r="AC21" s="1416"/>
      <c r="AD21" s="1417"/>
      <c r="AE21" s="1796"/>
      <c r="AF21" s="1797"/>
      <c r="AG21" s="1796"/>
      <c r="AH21" s="1797"/>
      <c r="AI21" s="1783"/>
      <c r="AJ21" s="1784"/>
      <c r="AK21" s="1785"/>
      <c r="AL21" s="1786"/>
      <c r="AM21" s="1786"/>
      <c r="AN21" s="1787"/>
      <c r="AO21" s="1800"/>
      <c r="AP21" s="1801"/>
      <c r="AQ21" s="1802"/>
      <c r="AR21" s="69"/>
      <c r="AS21" s="69"/>
      <c r="AT21" s="69"/>
      <c r="AU21" s="805"/>
      <c r="AV21" s="753"/>
      <c r="AW21" s="753"/>
    </row>
    <row r="22" spans="2:49" ht="15.95" customHeight="1" x14ac:dyDescent="0.25">
      <c r="B22" s="1204">
        <v>4</v>
      </c>
      <c r="C22" s="1415"/>
      <c r="D22" s="1416"/>
      <c r="E22" s="1416"/>
      <c r="F22" s="1416"/>
      <c r="G22" s="1416"/>
      <c r="H22" s="1416"/>
      <c r="I22" s="1416"/>
      <c r="J22" s="1416"/>
      <c r="K22" s="1416"/>
      <c r="L22" s="1381" t="str">
        <f>IF(C22="","",INDEX(PMECOMPAIR[Base Desc 1],MATCH(C22,PMECOMPAIR[Eff Desc 1],0)))</f>
        <v/>
      </c>
      <c r="M22" s="1381"/>
      <c r="N22" s="1381"/>
      <c r="O22" s="1381"/>
      <c r="P22" s="1381"/>
      <c r="Q22" s="1381"/>
      <c r="R22" s="1788" t="str">
        <f t="shared" ref="R22" si="14">IF(C22="","",IF(ISNUMBER(SEARCH("VFD",C22)),"Enter Compressor HP",IF(ISNUMBER(SEARCH("Air Leak",C22)),"Enter Number of Shifts (1 - 3)","")))</f>
        <v/>
      </c>
      <c r="S22" s="1788"/>
      <c r="T22" s="1788"/>
      <c r="U22" s="1789"/>
      <c r="V22" s="1790" t="str">
        <f t="shared" ref="V22" si="15">IF(C22="","",IF(ISNUMBER(SEARCH("Air Leak",C22)),"Enter CFM",""))</f>
        <v/>
      </c>
      <c r="W22" s="1791"/>
      <c r="X22" s="1390" t="str">
        <f t="shared" ref="X22" si="16">IF(C22="","",IF(ISNUMBER(SEARCH("Air Leak",C22)),"N/A",""))</f>
        <v/>
      </c>
      <c r="Y22" s="1416"/>
      <c r="Z22" s="1416"/>
      <c r="AA22" s="1417"/>
      <c r="AB22" s="1390" t="str">
        <f t="shared" ref="AB22" si="17">IF(C22="","",IF(ISNUMBER(SEARCH("Air Leak",C22)),"N/A",""))</f>
        <v/>
      </c>
      <c r="AC22" s="1416"/>
      <c r="AD22" s="1417"/>
      <c r="AE22" s="1796"/>
      <c r="AF22" s="1797"/>
      <c r="AG22" s="1796"/>
      <c r="AH22" s="1797"/>
      <c r="AI22" s="1783" t="str">
        <f>IF(C22="","",INDEX(PMECOMPAIR[Inc Rate Unit],MATCH(C22,PMECOMPAIR[Eff Desc 1],0)))</f>
        <v/>
      </c>
      <c r="AJ22" s="1784"/>
      <c r="AK22" s="1785" t="str">
        <f>IF(OR(C22="",V22="",X22="",AB22="",AE22="",AG22=""),"",IF(ISNUMBER(SEARCH("VFD",C22)),ROUND(R22*V22*INDEX(PMECOMPAIR[Savings per Unit kWh],MATCH(C22,PMECOMPAIR[Eff Desc 1],0)),0),ROUND(V22*INDEX(PMECOMPAIR[Savings per Unit kWh],MATCH(C22,PMECOMPAIR[Eff Desc 1],0)),0)))</f>
        <v/>
      </c>
      <c r="AL22" s="1786"/>
      <c r="AM22" s="1786"/>
      <c r="AN22" s="1787"/>
      <c r="AO22" s="1800" t="str">
        <f>IF(M02S02F44="","Update Install Status",IF(M02S02F49="Yes","Not Eligible",IF(OR(C22="",V22="",X22="",AB22="",AE22="",AG22=""),"",IF(OR(ISNUMBER(SEARCH("VFD",C22)),ISNUMBER(SEARCH("Air Leak",C22))),MIN(AU22,ROUND(R22*V22*AI22,2)),MIN(AU22,ROUND(V22*AI22,2))))))</f>
        <v>Update Install Status</v>
      </c>
      <c r="AP22" s="1801"/>
      <c r="AQ22" s="1802"/>
      <c r="AR22" s="69"/>
      <c r="AS22" s="69"/>
      <c r="AT22" s="69"/>
      <c r="AU22" s="804" t="str">
        <f t="shared" ref="AU22" si="18">IF(OR(V22="",X22="",AB22="",AE22=""),"",ROUND((AE22+AG22),2))</f>
        <v/>
      </c>
      <c r="AV22" s="752" t="str">
        <f>IF(OR(C22="",V22="",X22="",AB22="",AE22="",AG22=""),"",ROUND(AK22*INDEX(ENDUSEALL[Factor],MATCH(INDEX(PMECOMPAIR[End Use Category],MATCH(C22,PMECOMPAIR[Eff Desc 1],0)),ENDUSEALL[End Use to Coincident Peak Demand Factors],0)),4))</f>
        <v/>
      </c>
      <c r="AW22" s="752" t="str">
        <f t="shared" ref="AW22" si="19">IF(OR(C22="",V22="",X22="",AB22="",AE22="",AG22=""),"",IF(AO22&lt;&gt;AU22,"No","Yes"))</f>
        <v/>
      </c>
    </row>
    <row r="23" spans="2:49" ht="15.95" customHeight="1" x14ac:dyDescent="0.25">
      <c r="B23" s="1204"/>
      <c r="C23" s="1415"/>
      <c r="D23" s="1416"/>
      <c r="E23" s="1416"/>
      <c r="F23" s="1416"/>
      <c r="G23" s="1416"/>
      <c r="H23" s="1416"/>
      <c r="I23" s="1416"/>
      <c r="J23" s="1416"/>
      <c r="K23" s="1416"/>
      <c r="L23" s="1381"/>
      <c r="M23" s="1381"/>
      <c r="N23" s="1381"/>
      <c r="O23" s="1381"/>
      <c r="P23" s="1381"/>
      <c r="Q23" s="1381"/>
      <c r="R23" s="1788"/>
      <c r="S23" s="1788"/>
      <c r="T23" s="1788"/>
      <c r="U23" s="1789"/>
      <c r="V23" s="1792"/>
      <c r="W23" s="1793"/>
      <c r="X23" s="1415"/>
      <c r="Y23" s="1416"/>
      <c r="Z23" s="1416"/>
      <c r="AA23" s="1417"/>
      <c r="AB23" s="1415"/>
      <c r="AC23" s="1416"/>
      <c r="AD23" s="1417"/>
      <c r="AE23" s="1796"/>
      <c r="AF23" s="1797"/>
      <c r="AG23" s="1796"/>
      <c r="AH23" s="1797"/>
      <c r="AI23" s="1783"/>
      <c r="AJ23" s="1784"/>
      <c r="AK23" s="1785"/>
      <c r="AL23" s="1786"/>
      <c r="AM23" s="1786"/>
      <c r="AN23" s="1787"/>
      <c r="AO23" s="1800"/>
      <c r="AP23" s="1801"/>
      <c r="AQ23" s="1802"/>
      <c r="AR23" s="69"/>
      <c r="AS23" s="69"/>
      <c r="AT23" s="69"/>
      <c r="AU23" s="805"/>
      <c r="AV23" s="753"/>
      <c r="AW23" s="753"/>
    </row>
    <row r="24" spans="2:49" ht="15.95" customHeight="1" x14ac:dyDescent="0.25">
      <c r="B24" s="1204">
        <v>5</v>
      </c>
      <c r="C24" s="1415"/>
      <c r="D24" s="1416"/>
      <c r="E24" s="1416"/>
      <c r="F24" s="1416"/>
      <c r="G24" s="1416"/>
      <c r="H24" s="1416"/>
      <c r="I24" s="1416"/>
      <c r="J24" s="1416"/>
      <c r="K24" s="1416"/>
      <c r="L24" s="1381" t="str">
        <f>IF(C24="","",INDEX(PMECOMPAIR[Base Desc 1],MATCH(C24,PMECOMPAIR[Eff Desc 1],0)))</f>
        <v/>
      </c>
      <c r="M24" s="1381"/>
      <c r="N24" s="1381"/>
      <c r="O24" s="1381"/>
      <c r="P24" s="1381"/>
      <c r="Q24" s="1381"/>
      <c r="R24" s="1788" t="str">
        <f t="shared" ref="R24" si="20">IF(C24="","",IF(ISNUMBER(SEARCH("VFD",C24)),"Enter Compressor HP",IF(ISNUMBER(SEARCH("Air Leak",C24)),"Enter Number of Shifts (1 - 3)","")))</f>
        <v/>
      </c>
      <c r="S24" s="1788"/>
      <c r="T24" s="1788"/>
      <c r="U24" s="1789"/>
      <c r="V24" s="1790" t="str">
        <f t="shared" ref="V24" si="21">IF(C24="","",IF(ISNUMBER(SEARCH("Air Leak",C24)),"Enter CFM",""))</f>
        <v/>
      </c>
      <c r="W24" s="1791"/>
      <c r="X24" s="1390" t="str">
        <f t="shared" ref="X24" si="22">IF(C24="","",IF(ISNUMBER(SEARCH("Air Leak",C24)),"N/A",""))</f>
        <v/>
      </c>
      <c r="Y24" s="1416"/>
      <c r="Z24" s="1416"/>
      <c r="AA24" s="1417"/>
      <c r="AB24" s="1390" t="str">
        <f t="shared" ref="AB24" si="23">IF(C24="","",IF(ISNUMBER(SEARCH("Air Leak",C24)),"N/A",""))</f>
        <v/>
      </c>
      <c r="AC24" s="1416"/>
      <c r="AD24" s="1417"/>
      <c r="AE24" s="1796"/>
      <c r="AF24" s="1797"/>
      <c r="AG24" s="1796"/>
      <c r="AH24" s="1797"/>
      <c r="AI24" s="1783" t="str">
        <f>IF(C24="","",INDEX(PMECOMPAIR[Inc Rate Unit],MATCH(C24,PMECOMPAIR[Eff Desc 1],0)))</f>
        <v/>
      </c>
      <c r="AJ24" s="1784"/>
      <c r="AK24" s="1785" t="str">
        <f>IF(OR(C24="",V24="",X24="",AB24="",AE24="",AG24=""),"",IF(ISNUMBER(SEARCH("VFD",C24)),ROUND(R24*V24*INDEX(PMECOMPAIR[Savings per Unit kWh],MATCH(C24,PMECOMPAIR[Eff Desc 1],0)),0),ROUND(V24*INDEX(PMECOMPAIR[Savings per Unit kWh],MATCH(C24,PMECOMPAIR[Eff Desc 1],0)),0)))</f>
        <v/>
      </c>
      <c r="AL24" s="1786"/>
      <c r="AM24" s="1786"/>
      <c r="AN24" s="1787"/>
      <c r="AO24" s="1800" t="str">
        <f>IF(M02S02F44="","Update Install Status",IF(M02S02F49="Yes","Not Eligible",IF(OR(C24="",V24="",X24="",AB24="",AE24="",AG24=""),"",IF(OR(ISNUMBER(SEARCH("VFD",C24)),ISNUMBER(SEARCH("Air Leak",C24))),MIN(AU24,ROUND(R24*V24*AI24,2)),MIN(AU24,ROUND(V24*AI24,2))))))</f>
        <v>Update Install Status</v>
      </c>
      <c r="AP24" s="1801"/>
      <c r="AQ24" s="1802"/>
      <c r="AR24" s="69"/>
      <c r="AS24" s="69"/>
      <c r="AT24" s="69"/>
      <c r="AU24" s="804" t="str">
        <f t="shared" ref="AU24" si="24">IF(OR(V24="",X24="",AB24="",AE24=""),"",ROUND((AE24+AG24),2))</f>
        <v/>
      </c>
      <c r="AV24" s="752" t="str">
        <f>IF(OR(C24="",V24="",X24="",AB24="",AE24="",AG24=""),"",ROUND(AK24*INDEX(ENDUSEALL[Factor],MATCH(INDEX(PMECOMPAIR[End Use Category],MATCH(C24,PMECOMPAIR[Eff Desc 1],0)),ENDUSEALL[End Use to Coincident Peak Demand Factors],0)),4))</f>
        <v/>
      </c>
      <c r="AW24" s="752" t="str">
        <f t="shared" ref="AW24" si="25">IF(OR(C24="",V24="",X24="",AB24="",AE24="",AG24=""),"",IF(AO24&lt;&gt;AU24,"No","Yes"))</f>
        <v/>
      </c>
    </row>
    <row r="25" spans="2:49" ht="15.95" customHeight="1" x14ac:dyDescent="0.25">
      <c r="B25" s="1204"/>
      <c r="C25" s="1415"/>
      <c r="D25" s="1416"/>
      <c r="E25" s="1416"/>
      <c r="F25" s="1416"/>
      <c r="G25" s="1416"/>
      <c r="H25" s="1416"/>
      <c r="I25" s="1416"/>
      <c r="J25" s="1416"/>
      <c r="K25" s="1416"/>
      <c r="L25" s="1381"/>
      <c r="M25" s="1381"/>
      <c r="N25" s="1381"/>
      <c r="O25" s="1381"/>
      <c r="P25" s="1381"/>
      <c r="Q25" s="1381"/>
      <c r="R25" s="1788"/>
      <c r="S25" s="1788"/>
      <c r="T25" s="1788"/>
      <c r="U25" s="1789"/>
      <c r="V25" s="1792"/>
      <c r="W25" s="1793"/>
      <c r="X25" s="1415"/>
      <c r="Y25" s="1416"/>
      <c r="Z25" s="1416"/>
      <c r="AA25" s="1417"/>
      <c r="AB25" s="1415"/>
      <c r="AC25" s="1416"/>
      <c r="AD25" s="1417"/>
      <c r="AE25" s="1796"/>
      <c r="AF25" s="1797"/>
      <c r="AG25" s="1796"/>
      <c r="AH25" s="1797"/>
      <c r="AI25" s="1783"/>
      <c r="AJ25" s="1784"/>
      <c r="AK25" s="1785"/>
      <c r="AL25" s="1786"/>
      <c r="AM25" s="1786"/>
      <c r="AN25" s="1787"/>
      <c r="AO25" s="1800"/>
      <c r="AP25" s="1801"/>
      <c r="AQ25" s="1802"/>
      <c r="AR25" s="69"/>
      <c r="AS25" s="69"/>
      <c r="AT25" s="69"/>
      <c r="AU25" s="805"/>
      <c r="AV25" s="753"/>
      <c r="AW25" s="753"/>
    </row>
    <row r="26" spans="2:49" ht="15.95" customHeight="1" x14ac:dyDescent="0.25">
      <c r="B26" s="1204">
        <v>6</v>
      </c>
      <c r="C26" s="1415"/>
      <c r="D26" s="1416"/>
      <c r="E26" s="1416"/>
      <c r="F26" s="1416"/>
      <c r="G26" s="1416"/>
      <c r="H26" s="1416"/>
      <c r="I26" s="1416"/>
      <c r="J26" s="1416"/>
      <c r="K26" s="1416"/>
      <c r="L26" s="1381" t="str">
        <f>IF(C26="","",INDEX(PMECOMPAIR[Base Desc 1],MATCH(C26,PMECOMPAIR[Eff Desc 1],0)))</f>
        <v/>
      </c>
      <c r="M26" s="1381"/>
      <c r="N26" s="1381"/>
      <c r="O26" s="1381"/>
      <c r="P26" s="1381"/>
      <c r="Q26" s="1381"/>
      <c r="R26" s="1788" t="str">
        <f t="shared" ref="R26" si="26">IF(C26="","",IF(ISNUMBER(SEARCH("VFD",C26)),"Enter Compressor HP",IF(ISNUMBER(SEARCH("Air Leak",C26)),"Enter Number of Shifts (1 - 3)","")))</f>
        <v/>
      </c>
      <c r="S26" s="1788"/>
      <c r="T26" s="1788"/>
      <c r="U26" s="1789"/>
      <c r="V26" s="1790" t="str">
        <f t="shared" ref="V26" si="27">IF(C26="","",IF(ISNUMBER(SEARCH("Air Leak",C26)),"Enter CFM",""))</f>
        <v/>
      </c>
      <c r="W26" s="1791"/>
      <c r="X26" s="1390" t="str">
        <f t="shared" ref="X26" si="28">IF(C26="","",IF(ISNUMBER(SEARCH("Air Leak",C26)),"N/A",""))</f>
        <v/>
      </c>
      <c r="Y26" s="1416"/>
      <c r="Z26" s="1416"/>
      <c r="AA26" s="1417"/>
      <c r="AB26" s="1390" t="str">
        <f t="shared" ref="AB26" si="29">IF(C26="","",IF(ISNUMBER(SEARCH("Air Leak",C26)),"N/A",""))</f>
        <v/>
      </c>
      <c r="AC26" s="1416"/>
      <c r="AD26" s="1417"/>
      <c r="AE26" s="1796"/>
      <c r="AF26" s="1797"/>
      <c r="AG26" s="1796"/>
      <c r="AH26" s="1797"/>
      <c r="AI26" s="1783" t="str">
        <f>IF(C26="","",INDEX(PMECOMPAIR[Inc Rate Unit],MATCH(C26,PMECOMPAIR[Eff Desc 1],0)))</f>
        <v/>
      </c>
      <c r="AJ26" s="1784"/>
      <c r="AK26" s="1785" t="str">
        <f>IF(OR(C26="",V26="",X26="",AB26="",AE26="",AG26=""),"",IF(ISNUMBER(SEARCH("VFD",C26)),ROUND(R26*V26*INDEX(PMECOMPAIR[Savings per Unit kWh],MATCH(C26,PMECOMPAIR[Eff Desc 1],0)),0),ROUND(V26*INDEX(PMECOMPAIR[Savings per Unit kWh],MATCH(C26,PMECOMPAIR[Eff Desc 1],0)),0)))</f>
        <v/>
      </c>
      <c r="AL26" s="1786"/>
      <c r="AM26" s="1786"/>
      <c r="AN26" s="1787"/>
      <c r="AO26" s="1800" t="str">
        <f>IF(M02S02F44="","Update Install Status",IF(M02S02F49="Yes","Not Eligible",IF(OR(C26="",V26="",X26="",AB26="",AE26="",AG26=""),"",IF(OR(ISNUMBER(SEARCH("VFD",C26)),ISNUMBER(SEARCH("Air Leak",C26))),MIN(AU26,ROUND(R26*V26*AI26,2)),MIN(AU26,ROUND(V26*AI26,2))))))</f>
        <v>Update Install Status</v>
      </c>
      <c r="AP26" s="1801"/>
      <c r="AQ26" s="1802"/>
      <c r="AR26" s="69"/>
      <c r="AS26" s="69"/>
      <c r="AT26" s="69"/>
      <c r="AU26" s="804" t="str">
        <f t="shared" ref="AU26" si="30">IF(OR(V26="",X26="",AB26="",AE26=""),"",ROUND((AE26+AG26),2))</f>
        <v/>
      </c>
      <c r="AV26" s="752" t="str">
        <f>IF(OR(C26="",V26="",X26="",AB26="",AE26="",AG26=""),"",ROUND(AK26*INDEX(ENDUSEALL[Factor],MATCH(INDEX(PMECOMPAIR[End Use Category],MATCH(C26,PMECOMPAIR[Eff Desc 1],0)),ENDUSEALL[End Use to Coincident Peak Demand Factors],0)),4))</f>
        <v/>
      </c>
      <c r="AW26" s="752" t="str">
        <f t="shared" ref="AW26" si="31">IF(OR(C26="",V26="",X26="",AB26="",AE26="",AG26=""),"",IF(AO26&lt;&gt;AU26,"No","Yes"))</f>
        <v/>
      </c>
    </row>
    <row r="27" spans="2:49" ht="15.95" customHeight="1" x14ac:dyDescent="0.25">
      <c r="B27" s="1204"/>
      <c r="C27" s="1415"/>
      <c r="D27" s="1416"/>
      <c r="E27" s="1416"/>
      <c r="F27" s="1416"/>
      <c r="G27" s="1416"/>
      <c r="H27" s="1416"/>
      <c r="I27" s="1416"/>
      <c r="J27" s="1416"/>
      <c r="K27" s="1416"/>
      <c r="L27" s="1381"/>
      <c r="M27" s="1381"/>
      <c r="N27" s="1381"/>
      <c r="O27" s="1381"/>
      <c r="P27" s="1381"/>
      <c r="Q27" s="1381"/>
      <c r="R27" s="1788"/>
      <c r="S27" s="1788"/>
      <c r="T27" s="1788"/>
      <c r="U27" s="1789"/>
      <c r="V27" s="1792"/>
      <c r="W27" s="1793"/>
      <c r="X27" s="1415"/>
      <c r="Y27" s="1416"/>
      <c r="Z27" s="1416"/>
      <c r="AA27" s="1417"/>
      <c r="AB27" s="1415"/>
      <c r="AC27" s="1416"/>
      <c r="AD27" s="1417"/>
      <c r="AE27" s="1796"/>
      <c r="AF27" s="1797"/>
      <c r="AG27" s="1796"/>
      <c r="AH27" s="1797"/>
      <c r="AI27" s="1783"/>
      <c r="AJ27" s="1784"/>
      <c r="AK27" s="1785"/>
      <c r="AL27" s="1786"/>
      <c r="AM27" s="1786"/>
      <c r="AN27" s="1787"/>
      <c r="AO27" s="1800"/>
      <c r="AP27" s="1801"/>
      <c r="AQ27" s="1802"/>
      <c r="AR27" s="69"/>
      <c r="AS27" s="69"/>
      <c r="AT27" s="69"/>
      <c r="AU27" s="805"/>
      <c r="AV27" s="753"/>
      <c r="AW27" s="753"/>
    </row>
    <row r="28" spans="2:49" ht="15.95" customHeight="1" x14ac:dyDescent="0.25">
      <c r="B28" s="1204">
        <v>7</v>
      </c>
      <c r="C28" s="1415"/>
      <c r="D28" s="1416"/>
      <c r="E28" s="1416"/>
      <c r="F28" s="1416"/>
      <c r="G28" s="1416"/>
      <c r="H28" s="1416"/>
      <c r="I28" s="1416"/>
      <c r="J28" s="1416"/>
      <c r="K28" s="1416"/>
      <c r="L28" s="1381" t="str">
        <f>IF(C28="","",INDEX(PMECOMPAIR[Base Desc 1],MATCH(C28,PMECOMPAIR[Eff Desc 1],0)))</f>
        <v/>
      </c>
      <c r="M28" s="1381"/>
      <c r="N28" s="1381"/>
      <c r="O28" s="1381"/>
      <c r="P28" s="1381"/>
      <c r="Q28" s="1381"/>
      <c r="R28" s="1788" t="str">
        <f t="shared" ref="R28" si="32">IF(C28="","",IF(ISNUMBER(SEARCH("VFD",C28)),"Enter Compressor HP",IF(ISNUMBER(SEARCH("Air Leak",C28)),"Enter Number of Shifts (1 - 3)","")))</f>
        <v/>
      </c>
      <c r="S28" s="1788"/>
      <c r="T28" s="1788"/>
      <c r="U28" s="1789"/>
      <c r="V28" s="1790" t="str">
        <f t="shared" ref="V28" si="33">IF(C28="","",IF(ISNUMBER(SEARCH("Air Leak",C28)),"Enter CFM",""))</f>
        <v/>
      </c>
      <c r="W28" s="1791"/>
      <c r="X28" s="1390" t="str">
        <f t="shared" ref="X28" si="34">IF(C28="","",IF(ISNUMBER(SEARCH("Air Leak",C28)),"N/A",""))</f>
        <v/>
      </c>
      <c r="Y28" s="1416"/>
      <c r="Z28" s="1416"/>
      <c r="AA28" s="1417"/>
      <c r="AB28" s="1390" t="str">
        <f t="shared" ref="AB28" si="35">IF(C28="","",IF(ISNUMBER(SEARCH("Air Leak",C28)),"N/A",""))</f>
        <v/>
      </c>
      <c r="AC28" s="1416"/>
      <c r="AD28" s="1417"/>
      <c r="AE28" s="1796"/>
      <c r="AF28" s="1797"/>
      <c r="AG28" s="1796"/>
      <c r="AH28" s="1797"/>
      <c r="AI28" s="1783" t="str">
        <f>IF(C28="","",INDEX(PMECOMPAIR[Inc Rate Unit],MATCH(C28,PMECOMPAIR[Eff Desc 1],0)))</f>
        <v/>
      </c>
      <c r="AJ28" s="1784"/>
      <c r="AK28" s="1785" t="str">
        <f>IF(OR(C28="",V28="",X28="",AB28="",AE28="",AG28=""),"",IF(ISNUMBER(SEARCH("VFD",C28)),ROUND(R28*V28*INDEX(PMECOMPAIR[Savings per Unit kWh],MATCH(C28,PMECOMPAIR[Eff Desc 1],0)),0),ROUND(V28*INDEX(PMECOMPAIR[Savings per Unit kWh],MATCH(C28,PMECOMPAIR[Eff Desc 1],0)),0)))</f>
        <v/>
      </c>
      <c r="AL28" s="1786"/>
      <c r="AM28" s="1786"/>
      <c r="AN28" s="1787"/>
      <c r="AO28" s="1800" t="str">
        <f>IF(M02S02F44="","Update Install Status",IF(M02S02F49="Yes","Not Eligible",IF(OR(C28="",V28="",X28="",AB28="",AE28="",AG28=""),"",IF(OR(ISNUMBER(SEARCH("VFD",C28)),ISNUMBER(SEARCH("Air Leak",C28))),MIN(AU28,ROUND(R28*V28*AI28,2)),MIN(AU28,ROUND(V28*AI28,2))))))</f>
        <v>Update Install Status</v>
      </c>
      <c r="AP28" s="1801"/>
      <c r="AQ28" s="1802"/>
      <c r="AR28" s="69"/>
      <c r="AS28" s="69"/>
      <c r="AT28" s="69"/>
      <c r="AU28" s="804" t="str">
        <f t="shared" ref="AU28" si="36">IF(OR(V28="",X28="",AB28="",AE28=""),"",ROUND((AE28+AG28),2))</f>
        <v/>
      </c>
      <c r="AV28" s="752" t="str">
        <f>IF(OR(C28="",V28="",X28="",AB28="",AE28="",AG28=""),"",ROUND(AK28*INDEX(ENDUSEALL[Factor],MATCH(INDEX(PMECOMPAIR[End Use Category],MATCH(C28,PMECOMPAIR[Eff Desc 1],0)),ENDUSEALL[End Use to Coincident Peak Demand Factors],0)),4))</f>
        <v/>
      </c>
      <c r="AW28" s="752" t="str">
        <f t="shared" ref="AW28" si="37">IF(OR(C28="",V28="",X28="",AB28="",AE28="",AG28=""),"",IF(AO28&lt;&gt;AU28,"No","Yes"))</f>
        <v/>
      </c>
    </row>
    <row r="29" spans="2:49" ht="15.95" customHeight="1" x14ac:dyDescent="0.25">
      <c r="B29" s="1204"/>
      <c r="C29" s="1415"/>
      <c r="D29" s="1416"/>
      <c r="E29" s="1416"/>
      <c r="F29" s="1416"/>
      <c r="G29" s="1416"/>
      <c r="H29" s="1416"/>
      <c r="I29" s="1416"/>
      <c r="J29" s="1416"/>
      <c r="K29" s="1416"/>
      <c r="L29" s="1381"/>
      <c r="M29" s="1381"/>
      <c r="N29" s="1381"/>
      <c r="O29" s="1381"/>
      <c r="P29" s="1381"/>
      <c r="Q29" s="1381"/>
      <c r="R29" s="1788"/>
      <c r="S29" s="1788"/>
      <c r="T29" s="1788"/>
      <c r="U29" s="1789"/>
      <c r="V29" s="1792"/>
      <c r="W29" s="1793"/>
      <c r="X29" s="1415"/>
      <c r="Y29" s="1416"/>
      <c r="Z29" s="1416"/>
      <c r="AA29" s="1417"/>
      <c r="AB29" s="1415"/>
      <c r="AC29" s="1416"/>
      <c r="AD29" s="1417"/>
      <c r="AE29" s="1796"/>
      <c r="AF29" s="1797"/>
      <c r="AG29" s="1796"/>
      <c r="AH29" s="1797"/>
      <c r="AI29" s="1783"/>
      <c r="AJ29" s="1784"/>
      <c r="AK29" s="1785"/>
      <c r="AL29" s="1786"/>
      <c r="AM29" s="1786"/>
      <c r="AN29" s="1787"/>
      <c r="AO29" s="1800"/>
      <c r="AP29" s="1801"/>
      <c r="AQ29" s="1802"/>
      <c r="AR29" s="69"/>
      <c r="AS29" s="69"/>
      <c r="AT29" s="69"/>
      <c r="AU29" s="805"/>
      <c r="AV29" s="753"/>
      <c r="AW29" s="753"/>
    </row>
    <row r="30" spans="2:49" ht="15.95" customHeight="1" x14ac:dyDescent="0.25">
      <c r="B30" s="1204">
        <v>8</v>
      </c>
      <c r="C30" s="1415"/>
      <c r="D30" s="1416"/>
      <c r="E30" s="1416"/>
      <c r="F30" s="1416"/>
      <c r="G30" s="1416"/>
      <c r="H30" s="1416"/>
      <c r="I30" s="1416"/>
      <c r="J30" s="1416"/>
      <c r="K30" s="1416"/>
      <c r="L30" s="1381" t="str">
        <f>IF(C30="","",INDEX(PMECOMPAIR[Base Desc 1],MATCH(C30,PMECOMPAIR[Eff Desc 1],0)))</f>
        <v/>
      </c>
      <c r="M30" s="1381"/>
      <c r="N30" s="1381"/>
      <c r="O30" s="1381"/>
      <c r="P30" s="1381"/>
      <c r="Q30" s="1381"/>
      <c r="R30" s="1788" t="str">
        <f t="shared" ref="R30" si="38">IF(C30="","",IF(ISNUMBER(SEARCH("VFD",C30)),"Enter Compressor HP",IF(ISNUMBER(SEARCH("Air Leak",C30)),"Enter Number of Shifts (1 - 3)","")))</f>
        <v/>
      </c>
      <c r="S30" s="1788"/>
      <c r="T30" s="1788"/>
      <c r="U30" s="1789"/>
      <c r="V30" s="1790" t="str">
        <f t="shared" ref="V30" si="39">IF(C30="","",IF(ISNUMBER(SEARCH("Air Leak",C30)),"Enter CFM",""))</f>
        <v/>
      </c>
      <c r="W30" s="1791"/>
      <c r="X30" s="1390" t="str">
        <f t="shared" ref="X30" si="40">IF(C30="","",IF(ISNUMBER(SEARCH("Air Leak",C30)),"N/A",""))</f>
        <v/>
      </c>
      <c r="Y30" s="1416"/>
      <c r="Z30" s="1416"/>
      <c r="AA30" s="1417"/>
      <c r="AB30" s="1390" t="str">
        <f t="shared" ref="AB30" si="41">IF(C30="","",IF(ISNUMBER(SEARCH("Air Leak",C30)),"N/A",""))</f>
        <v/>
      </c>
      <c r="AC30" s="1416"/>
      <c r="AD30" s="1417"/>
      <c r="AE30" s="1796"/>
      <c r="AF30" s="1797"/>
      <c r="AG30" s="1796"/>
      <c r="AH30" s="1797"/>
      <c r="AI30" s="1783" t="str">
        <f>IF(C30="","",INDEX(PMECOMPAIR[Inc Rate Unit],MATCH(C30,PMECOMPAIR[Eff Desc 1],0)))</f>
        <v/>
      </c>
      <c r="AJ30" s="1784"/>
      <c r="AK30" s="1785" t="str">
        <f>IF(OR(C30="",V30="",X30="",AB30="",AE30="",AG30=""),"",IF(ISNUMBER(SEARCH("VFD",C30)),ROUND(R30*V30*INDEX(PMECOMPAIR[Savings per Unit kWh],MATCH(C30,PMECOMPAIR[Eff Desc 1],0)),0),ROUND(V30*INDEX(PMECOMPAIR[Savings per Unit kWh],MATCH(C30,PMECOMPAIR[Eff Desc 1],0)),0)))</f>
        <v/>
      </c>
      <c r="AL30" s="1786"/>
      <c r="AM30" s="1786"/>
      <c r="AN30" s="1787"/>
      <c r="AO30" s="1800" t="str">
        <f>IF(M02S02F44="","Update Install Status",IF(M02S02F49="Yes","Not Eligible",IF(OR(C30="",V30="",X30="",AB30="",AE30="",AG30=""),"",IF(OR(ISNUMBER(SEARCH("VFD",C30)),ISNUMBER(SEARCH("Air Leak",C30))),MIN(AU30,ROUND(R30*V30*AI30,2)),MIN(AU30,ROUND(V30*AI30,2))))))</f>
        <v>Update Install Status</v>
      </c>
      <c r="AP30" s="1801"/>
      <c r="AQ30" s="1802"/>
      <c r="AR30" s="69"/>
      <c r="AS30" s="69"/>
      <c r="AT30" s="69"/>
      <c r="AU30" s="804" t="str">
        <f t="shared" ref="AU30" si="42">IF(OR(V30="",X30="",AB30="",AE30=""),"",ROUND((AE30+AG30),2))</f>
        <v/>
      </c>
      <c r="AV30" s="752" t="str">
        <f>IF(OR(C30="",V30="",X30="",AB30="",AE30="",AG30=""),"",ROUND(AK30*INDEX(ENDUSEALL[Factor],MATCH(INDEX(PMECOMPAIR[End Use Category],MATCH(C30,PMECOMPAIR[Eff Desc 1],0)),ENDUSEALL[End Use to Coincident Peak Demand Factors],0)),4))</f>
        <v/>
      </c>
      <c r="AW30" s="752" t="str">
        <f t="shared" ref="AW30" si="43">IF(OR(C30="",V30="",X30="",AB30="",AE30="",AG30=""),"",IF(AO30&lt;&gt;AU30,"No","Yes"))</f>
        <v/>
      </c>
    </row>
    <row r="31" spans="2:49" ht="15.95" customHeight="1" x14ac:dyDescent="0.25">
      <c r="B31" s="1204"/>
      <c r="C31" s="1415"/>
      <c r="D31" s="1416"/>
      <c r="E31" s="1416"/>
      <c r="F31" s="1416"/>
      <c r="G31" s="1416"/>
      <c r="H31" s="1416"/>
      <c r="I31" s="1416"/>
      <c r="J31" s="1416"/>
      <c r="K31" s="1416"/>
      <c r="L31" s="1381"/>
      <c r="M31" s="1381"/>
      <c r="N31" s="1381"/>
      <c r="O31" s="1381"/>
      <c r="P31" s="1381"/>
      <c r="Q31" s="1381"/>
      <c r="R31" s="1788"/>
      <c r="S31" s="1788"/>
      <c r="T31" s="1788"/>
      <c r="U31" s="1789"/>
      <c r="V31" s="1792"/>
      <c r="W31" s="1793"/>
      <c r="X31" s="1415"/>
      <c r="Y31" s="1416"/>
      <c r="Z31" s="1416"/>
      <c r="AA31" s="1417"/>
      <c r="AB31" s="1415"/>
      <c r="AC31" s="1416"/>
      <c r="AD31" s="1417"/>
      <c r="AE31" s="1796"/>
      <c r="AF31" s="1797"/>
      <c r="AG31" s="1796"/>
      <c r="AH31" s="1797"/>
      <c r="AI31" s="1783"/>
      <c r="AJ31" s="1784"/>
      <c r="AK31" s="1785"/>
      <c r="AL31" s="1786"/>
      <c r="AM31" s="1786"/>
      <c r="AN31" s="1787"/>
      <c r="AO31" s="1800"/>
      <c r="AP31" s="1801"/>
      <c r="AQ31" s="1802"/>
      <c r="AR31" s="69"/>
      <c r="AS31" s="69"/>
      <c r="AT31" s="69"/>
      <c r="AU31" s="805"/>
      <c r="AV31" s="753"/>
      <c r="AW31" s="753"/>
    </row>
    <row r="32" spans="2:49" ht="15.95" customHeight="1" x14ac:dyDescent="0.25">
      <c r="B32" s="1204">
        <v>9</v>
      </c>
      <c r="C32" s="1415"/>
      <c r="D32" s="1416"/>
      <c r="E32" s="1416"/>
      <c r="F32" s="1416"/>
      <c r="G32" s="1416"/>
      <c r="H32" s="1416"/>
      <c r="I32" s="1416"/>
      <c r="J32" s="1416"/>
      <c r="K32" s="1416"/>
      <c r="L32" s="1381" t="str">
        <f>IF(C32="","",INDEX(PMECOMPAIR[Base Desc 1],MATCH(C32,PMECOMPAIR[Eff Desc 1],0)))</f>
        <v/>
      </c>
      <c r="M32" s="1381"/>
      <c r="N32" s="1381"/>
      <c r="O32" s="1381"/>
      <c r="P32" s="1381"/>
      <c r="Q32" s="1381"/>
      <c r="R32" s="1788" t="str">
        <f t="shared" ref="R32" si="44">IF(C32="","",IF(ISNUMBER(SEARCH("VFD",C32)),"Enter Compressor HP",IF(ISNUMBER(SEARCH("Air Leak",C32)),"Enter Number of Shifts (1 - 3)","")))</f>
        <v/>
      </c>
      <c r="S32" s="1788"/>
      <c r="T32" s="1788"/>
      <c r="U32" s="1789"/>
      <c r="V32" s="1790" t="str">
        <f t="shared" ref="V32" si="45">IF(C32="","",IF(ISNUMBER(SEARCH("Air Leak",C32)),"Enter CFM",""))</f>
        <v/>
      </c>
      <c r="W32" s="1791"/>
      <c r="X32" s="1390" t="str">
        <f t="shared" ref="X32" si="46">IF(C32="","",IF(ISNUMBER(SEARCH("Air Leak",C32)),"N/A",""))</f>
        <v/>
      </c>
      <c r="Y32" s="1416"/>
      <c r="Z32" s="1416"/>
      <c r="AA32" s="1417"/>
      <c r="AB32" s="1390" t="str">
        <f t="shared" ref="AB32" si="47">IF(C32="","",IF(ISNUMBER(SEARCH("Air Leak",C32)),"N/A",""))</f>
        <v/>
      </c>
      <c r="AC32" s="1416"/>
      <c r="AD32" s="1417"/>
      <c r="AE32" s="1796"/>
      <c r="AF32" s="1797"/>
      <c r="AG32" s="1796"/>
      <c r="AH32" s="1797"/>
      <c r="AI32" s="1783" t="str">
        <f>IF(C32="","",INDEX(PMECOMPAIR[Inc Rate Unit],MATCH(C32,PMECOMPAIR[Eff Desc 1],0)))</f>
        <v/>
      </c>
      <c r="AJ32" s="1784"/>
      <c r="AK32" s="1785" t="str">
        <f>IF(OR(C32="",V32="",X32="",AB32="",AE32="",AG32=""),"",IF(ISNUMBER(SEARCH("VFD",C32)),ROUND(R32*V32*INDEX(PMECOMPAIR[Savings per Unit kWh],MATCH(C32,PMECOMPAIR[Eff Desc 1],0)),0),ROUND(V32*INDEX(PMECOMPAIR[Savings per Unit kWh],MATCH(C32,PMECOMPAIR[Eff Desc 1],0)),0)))</f>
        <v/>
      </c>
      <c r="AL32" s="1786"/>
      <c r="AM32" s="1786"/>
      <c r="AN32" s="1787"/>
      <c r="AO32" s="1800" t="str">
        <f>IF(M02S02F44="","Update Install Status",IF(M02S02F49="Yes","Not Eligible",IF(OR(C32="",V32="",X32="",AB32="",AE32="",AG32=""),"",IF(OR(ISNUMBER(SEARCH("VFD",C32)),ISNUMBER(SEARCH("Air Leak",C32))),MIN(AU32,ROUND(R32*V32*AI32,2)),MIN(AU32,ROUND(V32*AI32,2))))))</f>
        <v>Update Install Status</v>
      </c>
      <c r="AP32" s="1801"/>
      <c r="AQ32" s="1802"/>
      <c r="AR32" s="69"/>
      <c r="AS32" s="69"/>
      <c r="AT32" s="69"/>
      <c r="AU32" s="804" t="str">
        <f t="shared" ref="AU32" si="48">IF(OR(V32="",X32="",AB32="",AE32=""),"",ROUND((AE32+AG32),2))</f>
        <v/>
      </c>
      <c r="AV32" s="752" t="str">
        <f>IF(OR(C32="",V32="",X32="",AB32="",AE32="",AG32=""),"",ROUND(AK32*INDEX(ENDUSEALL[Factor],MATCH(INDEX(PMECOMPAIR[End Use Category],MATCH(C32,PMECOMPAIR[Eff Desc 1],0)),ENDUSEALL[End Use to Coincident Peak Demand Factors],0)),4))</f>
        <v/>
      </c>
      <c r="AW32" s="752" t="str">
        <f t="shared" ref="AW32" si="49">IF(OR(C32="",V32="",X32="",AB32="",AE32="",AG32=""),"",IF(AO32&lt;&gt;AU32,"No","Yes"))</f>
        <v/>
      </c>
    </row>
    <row r="33" spans="2:49" ht="15.95" customHeight="1" x14ac:dyDescent="0.25">
      <c r="B33" s="1204"/>
      <c r="C33" s="1415"/>
      <c r="D33" s="1416"/>
      <c r="E33" s="1416"/>
      <c r="F33" s="1416"/>
      <c r="G33" s="1416"/>
      <c r="H33" s="1416"/>
      <c r="I33" s="1416"/>
      <c r="J33" s="1416"/>
      <c r="K33" s="1416"/>
      <c r="L33" s="1381"/>
      <c r="M33" s="1381"/>
      <c r="N33" s="1381"/>
      <c r="O33" s="1381"/>
      <c r="P33" s="1381"/>
      <c r="Q33" s="1381"/>
      <c r="R33" s="1788"/>
      <c r="S33" s="1788"/>
      <c r="T33" s="1788"/>
      <c r="U33" s="1789"/>
      <c r="V33" s="1792"/>
      <c r="W33" s="1793"/>
      <c r="X33" s="1415"/>
      <c r="Y33" s="1416"/>
      <c r="Z33" s="1416"/>
      <c r="AA33" s="1417"/>
      <c r="AB33" s="1415"/>
      <c r="AC33" s="1416"/>
      <c r="AD33" s="1417"/>
      <c r="AE33" s="1796"/>
      <c r="AF33" s="1797"/>
      <c r="AG33" s="1796"/>
      <c r="AH33" s="1797"/>
      <c r="AI33" s="1783"/>
      <c r="AJ33" s="1784"/>
      <c r="AK33" s="1785"/>
      <c r="AL33" s="1786"/>
      <c r="AM33" s="1786"/>
      <c r="AN33" s="1787"/>
      <c r="AO33" s="1800"/>
      <c r="AP33" s="1801"/>
      <c r="AQ33" s="1802"/>
      <c r="AR33" s="69"/>
      <c r="AS33" s="69"/>
      <c r="AT33" s="69"/>
      <c r="AU33" s="805"/>
      <c r="AV33" s="753"/>
      <c r="AW33" s="753"/>
    </row>
    <row r="34" spans="2:49" ht="15.95" customHeight="1" x14ac:dyDescent="0.25">
      <c r="B34" s="1204">
        <v>10</v>
      </c>
      <c r="C34" s="1415"/>
      <c r="D34" s="1416"/>
      <c r="E34" s="1416"/>
      <c r="F34" s="1416"/>
      <c r="G34" s="1416"/>
      <c r="H34" s="1416"/>
      <c r="I34" s="1416"/>
      <c r="J34" s="1416"/>
      <c r="K34" s="1416"/>
      <c r="L34" s="1381" t="str">
        <f>IF(C34="","",INDEX(PMECOMPAIR[Base Desc 1],MATCH(C34,PMECOMPAIR[Eff Desc 1],0)))</f>
        <v/>
      </c>
      <c r="M34" s="1381"/>
      <c r="N34" s="1381"/>
      <c r="O34" s="1381"/>
      <c r="P34" s="1381"/>
      <c r="Q34" s="1381"/>
      <c r="R34" s="1788" t="str">
        <f t="shared" ref="R34" si="50">IF(C34="","",IF(ISNUMBER(SEARCH("VFD",C34)),"Enter Compressor HP",IF(ISNUMBER(SEARCH("Air Leak",C34)),"Enter Number of Shifts (1 - 3)","")))</f>
        <v/>
      </c>
      <c r="S34" s="1788"/>
      <c r="T34" s="1788"/>
      <c r="U34" s="1789"/>
      <c r="V34" s="1790" t="str">
        <f t="shared" ref="V34" si="51">IF(C34="","",IF(ISNUMBER(SEARCH("Air Leak",C34)),"Enter CFM",""))</f>
        <v/>
      </c>
      <c r="W34" s="1791"/>
      <c r="X34" s="1390" t="str">
        <f t="shared" ref="X34" si="52">IF(C34="","",IF(ISNUMBER(SEARCH("Air Leak",C34)),"N/A",""))</f>
        <v/>
      </c>
      <c r="Y34" s="1416"/>
      <c r="Z34" s="1416"/>
      <c r="AA34" s="1417"/>
      <c r="AB34" s="1390" t="str">
        <f t="shared" ref="AB34" si="53">IF(C34="","",IF(ISNUMBER(SEARCH("Air Leak",C34)),"N/A",""))</f>
        <v/>
      </c>
      <c r="AC34" s="1416"/>
      <c r="AD34" s="1417"/>
      <c r="AE34" s="1796"/>
      <c r="AF34" s="1797"/>
      <c r="AG34" s="1796"/>
      <c r="AH34" s="1797"/>
      <c r="AI34" s="1783" t="str">
        <f>IF(C34="","",INDEX(PMECOMPAIR[Inc Rate Unit],MATCH(C34,PMECOMPAIR[Eff Desc 1],0)))</f>
        <v/>
      </c>
      <c r="AJ34" s="1784"/>
      <c r="AK34" s="1785" t="str">
        <f>IF(OR(C34="",V34="",X34="",AB34="",AE34="",AG34=""),"",IF(ISNUMBER(SEARCH("VFD",C34)),ROUND(R34*V34*INDEX(PMECOMPAIR[Savings per Unit kWh],MATCH(C34,PMECOMPAIR[Eff Desc 1],0)),0),ROUND(V34*INDEX(PMECOMPAIR[Savings per Unit kWh],MATCH(C34,PMECOMPAIR[Eff Desc 1],0)),0)))</f>
        <v/>
      </c>
      <c r="AL34" s="1786"/>
      <c r="AM34" s="1786"/>
      <c r="AN34" s="1787"/>
      <c r="AO34" s="1800" t="str">
        <f>IF(M02S02F44="","Update Install Status",IF(M02S02F49="Yes","Not Eligible",IF(OR(C34="",V34="",X34="",AB34="",AE34="",AG34=""),"",IF(OR(ISNUMBER(SEARCH("VFD",C34)),ISNUMBER(SEARCH("Air Leak",C34))),MIN(AU34,ROUND(R34*V34*AI34,2)),MIN(AU34,ROUND(V34*AI34,2))))))</f>
        <v>Update Install Status</v>
      </c>
      <c r="AP34" s="1801"/>
      <c r="AQ34" s="1802"/>
      <c r="AR34" s="69"/>
      <c r="AS34" s="69"/>
      <c r="AT34" s="69"/>
      <c r="AU34" s="804" t="str">
        <f t="shared" ref="AU34" si="54">IF(OR(V34="",X34="",AB34="",AE34=""),"",ROUND((AE34+AG34),2))</f>
        <v/>
      </c>
      <c r="AV34" s="752" t="str">
        <f>IF(OR(C34="",V34="",X34="",AB34="",AE34="",AG34=""),"",ROUND(AK34*INDEX(ENDUSEALL[Factor],MATCH(INDEX(PMECOMPAIR[End Use Category],MATCH(C34,PMECOMPAIR[Eff Desc 1],0)),ENDUSEALL[End Use to Coincident Peak Demand Factors],0)),4))</f>
        <v/>
      </c>
      <c r="AW34" s="752" t="str">
        <f t="shared" ref="AW34" si="55">IF(OR(C34="",V34="",X34="",AB34="",AE34="",AG34=""),"",IF(AO34&lt;&gt;AU34,"No","Yes"))</f>
        <v/>
      </c>
    </row>
    <row r="35" spans="2:49" ht="15.95" customHeight="1" x14ac:dyDescent="0.25">
      <c r="B35" s="1204"/>
      <c r="C35" s="1415"/>
      <c r="D35" s="1416"/>
      <c r="E35" s="1416"/>
      <c r="F35" s="1416"/>
      <c r="G35" s="1416"/>
      <c r="H35" s="1416"/>
      <c r="I35" s="1416"/>
      <c r="J35" s="1416"/>
      <c r="K35" s="1416"/>
      <c r="L35" s="1381"/>
      <c r="M35" s="1381"/>
      <c r="N35" s="1381"/>
      <c r="O35" s="1381"/>
      <c r="P35" s="1381"/>
      <c r="Q35" s="1381"/>
      <c r="R35" s="1788"/>
      <c r="S35" s="1788"/>
      <c r="T35" s="1788"/>
      <c r="U35" s="1789"/>
      <c r="V35" s="1792"/>
      <c r="W35" s="1793"/>
      <c r="X35" s="1415"/>
      <c r="Y35" s="1416"/>
      <c r="Z35" s="1416"/>
      <c r="AA35" s="1417"/>
      <c r="AB35" s="1415"/>
      <c r="AC35" s="1416"/>
      <c r="AD35" s="1417"/>
      <c r="AE35" s="1796"/>
      <c r="AF35" s="1797"/>
      <c r="AG35" s="1796"/>
      <c r="AH35" s="1797"/>
      <c r="AI35" s="1783"/>
      <c r="AJ35" s="1784"/>
      <c r="AK35" s="1785"/>
      <c r="AL35" s="1786"/>
      <c r="AM35" s="1786"/>
      <c r="AN35" s="1787"/>
      <c r="AO35" s="1800"/>
      <c r="AP35" s="1801"/>
      <c r="AQ35" s="1802"/>
      <c r="AR35" s="69"/>
      <c r="AS35" s="69"/>
      <c r="AT35" s="69"/>
      <c r="AU35" s="805"/>
      <c r="AV35" s="753"/>
      <c r="AW35" s="753"/>
    </row>
    <row r="36" spans="2:49" ht="15.95" hidden="1" customHeight="1" x14ac:dyDescent="0.25">
      <c r="B36" s="1204">
        <v>11</v>
      </c>
      <c r="C36" s="1470"/>
      <c r="D36" s="1471"/>
      <c r="E36" s="1471"/>
      <c r="F36" s="1471"/>
      <c r="G36" s="1471"/>
      <c r="H36" s="1471"/>
      <c r="I36" s="1471"/>
      <c r="J36" s="1471"/>
      <c r="K36" s="1471"/>
      <c r="L36" s="1471"/>
      <c r="M36" s="1472"/>
      <c r="N36" s="1707" t="str">
        <f>IF(C36="","",INDEX(PMEMOTOR[Base Desc 1],MATCH(C36,PMEMOTOR[Eff Desc 1],0)))</f>
        <v/>
      </c>
      <c r="O36" s="1708"/>
      <c r="P36" s="1708"/>
      <c r="Q36" s="1708"/>
      <c r="R36" s="1708"/>
      <c r="S36" s="1709"/>
      <c r="T36" s="1713" t="str">
        <f>IF(C36="","",INDEX(PMEMOTOR[Unit of Measure],MATCH(C36,PMEMOTOR[Eff Desc 1],0)))</f>
        <v/>
      </c>
      <c r="U36" s="1714"/>
      <c r="V36" s="1717"/>
      <c r="W36" s="1718"/>
      <c r="X36" s="1470"/>
      <c r="Y36" s="1471"/>
      <c r="Z36" s="1471"/>
      <c r="AA36" s="1472"/>
      <c r="AB36" s="1470"/>
      <c r="AC36" s="1471"/>
      <c r="AD36" s="1472"/>
      <c r="AE36" s="1722"/>
      <c r="AF36" s="1723"/>
      <c r="AG36" s="1722"/>
      <c r="AH36" s="1723"/>
      <c r="AI36" s="1735" t="str">
        <f>IF(C36="","",INDEX(PMEMOTOR[Inc Rate Unit],MATCH(C36,PMEMOTOR[Eff Desc 1],0)))</f>
        <v/>
      </c>
      <c r="AJ36" s="1736"/>
      <c r="AK36" s="1728" t="str">
        <f>IF(OR(C36="",V36="",X36="",AB36="",AE36="",AG36=""),"",ROUND(V36*INDEX(PMEMOTOR[Savings per Unit kWh],MATCH(C36,PMEMOTOR[Eff Desc 1],0)),0))</f>
        <v/>
      </c>
      <c r="AL36" s="1729"/>
      <c r="AM36" s="1729"/>
      <c r="AN36" s="1730"/>
      <c r="AO36" s="1726" t="str">
        <f>IF(OR(C36="",V36="",X36="",AB36="",AE36="",AG36=""),"",MIN(AU36,ROUND(V36*AI36,2)))</f>
        <v/>
      </c>
      <c r="AP36" s="1739"/>
      <c r="AQ36" s="1727"/>
      <c r="AR36" s="69"/>
      <c r="AS36" s="69"/>
      <c r="AT36" s="69"/>
      <c r="AU36" s="804" t="str">
        <f>IF(OR(,V36="",X36="",AB36="",AE36="",AG36=""),"",ROUND((AE36+AG36)*V36,2))</f>
        <v/>
      </c>
      <c r="AV36" s="752" t="str">
        <f>IF(OR(C36="",V36="",X36="",AB36="",AE36="",AG36=""),"",ROUND(V36*INDEX(PMEMOTOR[Savings per Unit kW],MATCH(C36,PMEMOTOR[Eff Desc 1],0)),4))</f>
        <v/>
      </c>
    </row>
    <row r="37" spans="2:49" ht="15.95" hidden="1" customHeight="1" x14ac:dyDescent="0.25">
      <c r="B37" s="1204"/>
      <c r="C37" s="824"/>
      <c r="D37" s="825"/>
      <c r="E37" s="825"/>
      <c r="F37" s="825"/>
      <c r="G37" s="825"/>
      <c r="H37" s="825"/>
      <c r="I37" s="825"/>
      <c r="J37" s="825"/>
      <c r="K37" s="825"/>
      <c r="L37" s="825"/>
      <c r="M37" s="826"/>
      <c r="N37" s="1710"/>
      <c r="O37" s="1711"/>
      <c r="P37" s="1711"/>
      <c r="Q37" s="1711"/>
      <c r="R37" s="1711"/>
      <c r="S37" s="1712"/>
      <c r="T37" s="1715"/>
      <c r="U37" s="1716"/>
      <c r="V37" s="1719"/>
      <c r="W37" s="1720"/>
      <c r="X37" s="824"/>
      <c r="Y37" s="825"/>
      <c r="Z37" s="825"/>
      <c r="AA37" s="826"/>
      <c r="AB37" s="824"/>
      <c r="AC37" s="825"/>
      <c r="AD37" s="826"/>
      <c r="AE37" s="1724"/>
      <c r="AF37" s="1725"/>
      <c r="AG37" s="1724"/>
      <c r="AH37" s="1725"/>
      <c r="AI37" s="1737"/>
      <c r="AJ37" s="1738"/>
      <c r="AK37" s="1696"/>
      <c r="AL37" s="1697"/>
      <c r="AM37" s="1697"/>
      <c r="AN37" s="1698"/>
      <c r="AO37" s="1687"/>
      <c r="AP37" s="1740"/>
      <c r="AQ37" s="1688"/>
      <c r="AR37" s="69"/>
      <c r="AS37" s="69"/>
      <c r="AT37" s="69"/>
      <c r="AU37" s="805"/>
      <c r="AV37" s="753"/>
    </row>
    <row r="38" spans="2:49" ht="15.95" hidden="1" customHeight="1" x14ac:dyDescent="0.25">
      <c r="B38" s="1204">
        <v>12</v>
      </c>
      <c r="C38" s="1470"/>
      <c r="D38" s="1471"/>
      <c r="E38" s="1471"/>
      <c r="F38" s="1471"/>
      <c r="G38" s="1471"/>
      <c r="H38" s="1471"/>
      <c r="I38" s="1471"/>
      <c r="J38" s="1471"/>
      <c r="K38" s="1471"/>
      <c r="L38" s="1471"/>
      <c r="M38" s="1472"/>
      <c r="N38" s="1707" t="str">
        <f>IF(C38="","",INDEX(PMEMOTOR[Base Desc 1],MATCH(C38,PMEMOTOR[Eff Desc 1],0)))</f>
        <v/>
      </c>
      <c r="O38" s="1708"/>
      <c r="P38" s="1708"/>
      <c r="Q38" s="1708"/>
      <c r="R38" s="1708"/>
      <c r="S38" s="1709"/>
      <c r="T38" s="1713" t="str">
        <f>IF(C38="","",INDEX(PMEMOTOR[Unit of Measure],MATCH(C38,PMEMOTOR[Eff Desc 1],0)))</f>
        <v/>
      </c>
      <c r="U38" s="1714"/>
      <c r="V38" s="1717"/>
      <c r="W38" s="1718"/>
      <c r="X38" s="1470"/>
      <c r="Y38" s="1471"/>
      <c r="Z38" s="1471"/>
      <c r="AA38" s="1472"/>
      <c r="AB38" s="1470"/>
      <c r="AC38" s="1471"/>
      <c r="AD38" s="1472"/>
      <c r="AE38" s="1722"/>
      <c r="AF38" s="1723"/>
      <c r="AG38" s="1722"/>
      <c r="AH38" s="1723"/>
      <c r="AI38" s="1735" t="str">
        <f>IF(C38="","",INDEX(PMEMOTOR[Inc Rate Unit],MATCH(C38,PMEMOTOR[Eff Desc 1],0)))</f>
        <v/>
      </c>
      <c r="AJ38" s="1736"/>
      <c r="AK38" s="1728" t="str">
        <f>IF(OR(C38="",V38="",X38="",AB38="",AE38="",AG38=""),"",ROUND(V38*INDEX(PMEMOTOR[Savings per Unit kWh],MATCH(C38,PMEMOTOR[Eff Desc 1],0)),0))</f>
        <v/>
      </c>
      <c r="AL38" s="1729"/>
      <c r="AM38" s="1729"/>
      <c r="AN38" s="1730"/>
      <c r="AO38" s="1726" t="str">
        <f>IF(OR(C38="",V38="",X38="",AB38="",AE38="",AG38=""),"",MIN(AU38,ROUND(V38*AI38,2)))</f>
        <v/>
      </c>
      <c r="AP38" s="1739"/>
      <c r="AQ38" s="1727"/>
      <c r="AR38" s="69"/>
      <c r="AS38" s="69"/>
      <c r="AT38" s="69"/>
      <c r="AU38" s="804" t="str">
        <f>IF(OR(,V38="",X38="",AB38="",AE38="",AG38=""),"",ROUND((AE38+AG38)*V38,2))</f>
        <v/>
      </c>
      <c r="AV38" s="752" t="str">
        <f>IF(OR(C38="",V38="",X38="",AB38="",AE38="",AG38=""),"",ROUND(V38*INDEX(PMEMOTOR[Savings per Unit kW],MATCH(C38,PMEMOTOR[Eff Desc 1],0)),4))</f>
        <v/>
      </c>
    </row>
    <row r="39" spans="2:49" ht="15.95" hidden="1" customHeight="1" x14ac:dyDescent="0.25">
      <c r="B39" s="1204"/>
      <c r="C39" s="824"/>
      <c r="D39" s="825"/>
      <c r="E39" s="825"/>
      <c r="F39" s="825"/>
      <c r="G39" s="825"/>
      <c r="H39" s="825"/>
      <c r="I39" s="825"/>
      <c r="J39" s="825"/>
      <c r="K39" s="825"/>
      <c r="L39" s="825"/>
      <c r="M39" s="826"/>
      <c r="N39" s="1710"/>
      <c r="O39" s="1711"/>
      <c r="P39" s="1711"/>
      <c r="Q39" s="1711"/>
      <c r="R39" s="1711"/>
      <c r="S39" s="1712"/>
      <c r="T39" s="1715"/>
      <c r="U39" s="1716"/>
      <c r="V39" s="1719"/>
      <c r="W39" s="1720"/>
      <c r="X39" s="824"/>
      <c r="Y39" s="825"/>
      <c r="Z39" s="825"/>
      <c r="AA39" s="826"/>
      <c r="AB39" s="824"/>
      <c r="AC39" s="825"/>
      <c r="AD39" s="826"/>
      <c r="AE39" s="1724"/>
      <c r="AF39" s="1725"/>
      <c r="AG39" s="1724"/>
      <c r="AH39" s="1725"/>
      <c r="AI39" s="1737"/>
      <c r="AJ39" s="1738"/>
      <c r="AK39" s="1696"/>
      <c r="AL39" s="1697"/>
      <c r="AM39" s="1697"/>
      <c r="AN39" s="1698"/>
      <c r="AO39" s="1687"/>
      <c r="AP39" s="1740"/>
      <c r="AQ39" s="1688"/>
      <c r="AR39" s="69"/>
      <c r="AS39" s="69"/>
      <c r="AT39" s="69"/>
      <c r="AU39" s="805"/>
      <c r="AV39" s="753"/>
    </row>
    <row r="40" spans="2:49" ht="15.95" hidden="1" customHeight="1" x14ac:dyDescent="0.25">
      <c r="B40" s="1204">
        <v>13</v>
      </c>
      <c r="C40" s="1470"/>
      <c r="D40" s="1471"/>
      <c r="E40" s="1471"/>
      <c r="F40" s="1471"/>
      <c r="G40" s="1471"/>
      <c r="H40" s="1471"/>
      <c r="I40" s="1471"/>
      <c r="J40" s="1471"/>
      <c r="K40" s="1471"/>
      <c r="L40" s="1471"/>
      <c r="M40" s="1472"/>
      <c r="N40" s="1707" t="str">
        <f>IF(C40="","",INDEX(PMEMOTOR[Base Desc 1],MATCH(C40,PMEMOTOR[Eff Desc 1],0)))</f>
        <v/>
      </c>
      <c r="O40" s="1708"/>
      <c r="P40" s="1708"/>
      <c r="Q40" s="1708"/>
      <c r="R40" s="1708"/>
      <c r="S40" s="1709"/>
      <c r="T40" s="1713" t="str">
        <f>IF(C40="","",INDEX(PMEMOTOR[Unit of Measure],MATCH(C40,PMEMOTOR[Eff Desc 1],0)))</f>
        <v/>
      </c>
      <c r="U40" s="1714"/>
      <c r="V40" s="1717"/>
      <c r="W40" s="1718"/>
      <c r="X40" s="1470"/>
      <c r="Y40" s="1471"/>
      <c r="Z40" s="1471"/>
      <c r="AA40" s="1472"/>
      <c r="AB40" s="1470"/>
      <c r="AC40" s="1471"/>
      <c r="AD40" s="1472"/>
      <c r="AE40" s="1722"/>
      <c r="AF40" s="1723"/>
      <c r="AG40" s="1722"/>
      <c r="AH40" s="1723"/>
      <c r="AI40" s="1735" t="str">
        <f>IF(C40="","",INDEX(PMEMOTOR[Inc Rate Unit],MATCH(C40,PMEMOTOR[Eff Desc 1],0)))</f>
        <v/>
      </c>
      <c r="AJ40" s="1736"/>
      <c r="AK40" s="1728" t="str">
        <f>IF(OR(C40="",V40="",X40="",AB40="",AE40="",AG40=""),"",ROUND(V40*INDEX(PMEMOTOR[Savings per Unit kWh],MATCH(C40,PMEMOTOR[Eff Desc 1],0)),0))</f>
        <v/>
      </c>
      <c r="AL40" s="1729"/>
      <c r="AM40" s="1729"/>
      <c r="AN40" s="1730"/>
      <c r="AO40" s="1726" t="str">
        <f>IF(OR(C40="",V40="",X40="",AB40="",AE40="",AG40=""),"",MIN(AU40,ROUND(V40*AI40,2)))</f>
        <v/>
      </c>
      <c r="AP40" s="1739"/>
      <c r="AQ40" s="1727"/>
      <c r="AR40" s="69"/>
      <c r="AS40" s="69"/>
      <c r="AT40" s="69"/>
      <c r="AU40" s="804" t="str">
        <f>IF(OR(,V40="",X40="",AB40="",AE40="",AG40=""),"",ROUND((AE40+AG40)*V40,2))</f>
        <v/>
      </c>
      <c r="AV40" s="752" t="str">
        <f>IF(OR(C40="",V40="",X40="",AB40="",AE40="",AG40=""),"",ROUND(V40*INDEX(PMEMOTOR[Savings per Unit kW],MATCH(C40,PMEMOTOR[Eff Desc 1],0)),4))</f>
        <v/>
      </c>
    </row>
    <row r="41" spans="2:49" ht="15.95" hidden="1" customHeight="1" x14ac:dyDescent="0.25">
      <c r="B41" s="1204"/>
      <c r="C41" s="824"/>
      <c r="D41" s="825"/>
      <c r="E41" s="825"/>
      <c r="F41" s="825"/>
      <c r="G41" s="825"/>
      <c r="H41" s="825"/>
      <c r="I41" s="825"/>
      <c r="J41" s="825"/>
      <c r="K41" s="825"/>
      <c r="L41" s="825"/>
      <c r="M41" s="826"/>
      <c r="N41" s="1710"/>
      <c r="O41" s="1711"/>
      <c r="P41" s="1711"/>
      <c r="Q41" s="1711"/>
      <c r="R41" s="1711"/>
      <c r="S41" s="1712"/>
      <c r="T41" s="1715"/>
      <c r="U41" s="1716"/>
      <c r="V41" s="1719"/>
      <c r="W41" s="1720"/>
      <c r="X41" s="824"/>
      <c r="Y41" s="825"/>
      <c r="Z41" s="825"/>
      <c r="AA41" s="826"/>
      <c r="AB41" s="824"/>
      <c r="AC41" s="825"/>
      <c r="AD41" s="826"/>
      <c r="AE41" s="1724"/>
      <c r="AF41" s="1725"/>
      <c r="AG41" s="1724"/>
      <c r="AH41" s="1725"/>
      <c r="AI41" s="1737"/>
      <c r="AJ41" s="1738"/>
      <c r="AK41" s="1696"/>
      <c r="AL41" s="1697"/>
      <c r="AM41" s="1697"/>
      <c r="AN41" s="1698"/>
      <c r="AO41" s="1687"/>
      <c r="AP41" s="1740"/>
      <c r="AQ41" s="1688"/>
      <c r="AR41" s="69"/>
      <c r="AS41" s="69"/>
      <c r="AT41" s="69"/>
      <c r="AU41" s="805"/>
      <c r="AV41" s="753"/>
    </row>
    <row r="42" spans="2:49" ht="15.95" hidden="1" customHeight="1" x14ac:dyDescent="0.25">
      <c r="B42" s="1204">
        <v>14</v>
      </c>
      <c r="C42" s="1470"/>
      <c r="D42" s="1471"/>
      <c r="E42" s="1471"/>
      <c r="F42" s="1471"/>
      <c r="G42" s="1471"/>
      <c r="H42" s="1471"/>
      <c r="I42" s="1471"/>
      <c r="J42" s="1471"/>
      <c r="K42" s="1471"/>
      <c r="L42" s="1471"/>
      <c r="M42" s="1472"/>
      <c r="N42" s="1707" t="str">
        <f>IF(C42="","",INDEX(PMEMOTOR[Base Desc 1],MATCH(C42,PMEMOTOR[Eff Desc 1],0)))</f>
        <v/>
      </c>
      <c r="O42" s="1708"/>
      <c r="P42" s="1708"/>
      <c r="Q42" s="1708"/>
      <c r="R42" s="1708"/>
      <c r="S42" s="1709"/>
      <c r="T42" s="1713" t="str">
        <f>IF(C42="","",INDEX(PMEMOTOR[Unit of Measure],MATCH(C42,PMEMOTOR[Eff Desc 1],0)))</f>
        <v/>
      </c>
      <c r="U42" s="1714"/>
      <c r="V42" s="1717"/>
      <c r="W42" s="1718"/>
      <c r="X42" s="1470"/>
      <c r="Y42" s="1471"/>
      <c r="Z42" s="1471"/>
      <c r="AA42" s="1472"/>
      <c r="AB42" s="1470"/>
      <c r="AC42" s="1471"/>
      <c r="AD42" s="1472"/>
      <c r="AE42" s="1722"/>
      <c r="AF42" s="1723"/>
      <c r="AG42" s="1722"/>
      <c r="AH42" s="1723"/>
      <c r="AI42" s="1735" t="str">
        <f>IF(C42="","",INDEX(PMEMOTOR[Inc Rate Unit],MATCH(C42,PMEMOTOR[Eff Desc 1],0)))</f>
        <v/>
      </c>
      <c r="AJ42" s="1736"/>
      <c r="AK42" s="1728" t="str">
        <f>IF(OR(C42="",V42="",X42="",AB42="",AE42="",AG42=""),"",ROUND(V42*INDEX(PMEMOTOR[Savings per Unit kWh],MATCH(C42,PMEMOTOR[Eff Desc 1],0)),0))</f>
        <v/>
      </c>
      <c r="AL42" s="1729"/>
      <c r="AM42" s="1729"/>
      <c r="AN42" s="1730"/>
      <c r="AO42" s="1726" t="str">
        <f>IF(OR(C42="",V42="",X42="",AB42="",AE42="",AG42=""),"",MIN(AU42,ROUND(V42*AI42,2)))</f>
        <v/>
      </c>
      <c r="AP42" s="1739"/>
      <c r="AQ42" s="1727"/>
      <c r="AR42" s="69"/>
      <c r="AS42" s="69"/>
      <c r="AT42" s="69"/>
      <c r="AU42" s="804" t="str">
        <f>IF(OR(,V42="",X42="",AB42="",AE42="",AG42=""),"",ROUND((AE42+AG42)*V42,2))</f>
        <v/>
      </c>
      <c r="AV42" s="752" t="str">
        <f>IF(OR(C42="",V42="",X42="",AB42="",AE42="",AG42=""),"",ROUND(V42*INDEX(PMEMOTOR[Savings per Unit kW],MATCH(C42,PMEMOTOR[Eff Desc 1],0)),4))</f>
        <v/>
      </c>
    </row>
    <row r="43" spans="2:49" ht="15.95" hidden="1" customHeight="1" x14ac:dyDescent="0.25">
      <c r="B43" s="1204"/>
      <c r="C43" s="824"/>
      <c r="D43" s="825"/>
      <c r="E43" s="825"/>
      <c r="F43" s="825"/>
      <c r="G43" s="825"/>
      <c r="H43" s="825"/>
      <c r="I43" s="825"/>
      <c r="J43" s="825"/>
      <c r="K43" s="825"/>
      <c r="L43" s="825"/>
      <c r="M43" s="826"/>
      <c r="N43" s="1710"/>
      <c r="O43" s="1711"/>
      <c r="P43" s="1711"/>
      <c r="Q43" s="1711"/>
      <c r="R43" s="1711"/>
      <c r="S43" s="1712"/>
      <c r="T43" s="1715"/>
      <c r="U43" s="1716"/>
      <c r="V43" s="1719"/>
      <c r="W43" s="1720"/>
      <c r="X43" s="824"/>
      <c r="Y43" s="825"/>
      <c r="Z43" s="825"/>
      <c r="AA43" s="826"/>
      <c r="AB43" s="824"/>
      <c r="AC43" s="825"/>
      <c r="AD43" s="826"/>
      <c r="AE43" s="1724"/>
      <c r="AF43" s="1725"/>
      <c r="AG43" s="1724"/>
      <c r="AH43" s="1725"/>
      <c r="AI43" s="1737"/>
      <c r="AJ43" s="1738"/>
      <c r="AK43" s="1696"/>
      <c r="AL43" s="1697"/>
      <c r="AM43" s="1697"/>
      <c r="AN43" s="1698"/>
      <c r="AO43" s="1687"/>
      <c r="AP43" s="1740"/>
      <c r="AQ43" s="1688"/>
      <c r="AR43" s="69"/>
      <c r="AS43" s="69"/>
      <c r="AT43" s="69"/>
      <c r="AU43" s="805"/>
      <c r="AV43" s="753"/>
    </row>
    <row r="44" spans="2:49" ht="15.95" hidden="1" customHeight="1" x14ac:dyDescent="0.25">
      <c r="B44" s="1204">
        <v>15</v>
      </c>
      <c r="C44" s="1470"/>
      <c r="D44" s="1471"/>
      <c r="E44" s="1471"/>
      <c r="F44" s="1471"/>
      <c r="G44" s="1471"/>
      <c r="H44" s="1471"/>
      <c r="I44" s="1471"/>
      <c r="J44" s="1471"/>
      <c r="K44" s="1471"/>
      <c r="L44" s="1471"/>
      <c r="M44" s="1472"/>
      <c r="N44" s="1707" t="str">
        <f>IF(C44="","",INDEX(PMEMOTOR[Base Desc 1],MATCH(C44,PMEMOTOR[Eff Desc 1],0)))</f>
        <v/>
      </c>
      <c r="O44" s="1708"/>
      <c r="P44" s="1708"/>
      <c r="Q44" s="1708"/>
      <c r="R44" s="1708"/>
      <c r="S44" s="1709"/>
      <c r="T44" s="1713" t="str">
        <f>IF(C44="","",INDEX(PMEMOTOR[Unit of Measure],MATCH(C44,PMEMOTOR[Eff Desc 1],0)))</f>
        <v/>
      </c>
      <c r="U44" s="1714"/>
      <c r="V44" s="1717"/>
      <c r="W44" s="1718"/>
      <c r="X44" s="1470"/>
      <c r="Y44" s="1471"/>
      <c r="Z44" s="1471"/>
      <c r="AA44" s="1472"/>
      <c r="AB44" s="1470"/>
      <c r="AC44" s="1471"/>
      <c r="AD44" s="1472"/>
      <c r="AE44" s="1722"/>
      <c r="AF44" s="1723"/>
      <c r="AG44" s="1722"/>
      <c r="AH44" s="1723"/>
      <c r="AI44" s="1735" t="str">
        <f>IF(C44="","",INDEX(PMEMOTOR[Inc Rate Unit],MATCH(C44,PMEMOTOR[Eff Desc 1],0)))</f>
        <v/>
      </c>
      <c r="AJ44" s="1736"/>
      <c r="AK44" s="1728" t="str">
        <f>IF(OR(C44="",V44="",X44="",AB44="",AE44="",AG44=""),"",ROUND(V44*INDEX(PMEMOTOR[Savings per Unit kWh],MATCH(C44,PMEMOTOR[Eff Desc 1],0)),0))</f>
        <v/>
      </c>
      <c r="AL44" s="1729"/>
      <c r="AM44" s="1729"/>
      <c r="AN44" s="1730"/>
      <c r="AO44" s="1726" t="str">
        <f>IF(OR(C44="",V44="",X44="",AB44="",AE44="",AG44=""),"",MIN(AU44,ROUND(V44*AI44,2)))</f>
        <v/>
      </c>
      <c r="AP44" s="1739"/>
      <c r="AQ44" s="1727"/>
      <c r="AR44" s="69"/>
      <c r="AS44" s="69"/>
      <c r="AT44" s="69"/>
      <c r="AU44" s="804" t="str">
        <f>IF(OR(,V44="",X44="",AB44="",AE44="",AG44=""),"",ROUND((AE44+AG44)*V44,2))</f>
        <v/>
      </c>
      <c r="AV44" s="752" t="str">
        <f>IF(OR(C44="",V44="",X44="",AB44="",AE44="",AG44=""),"",ROUND(V44*INDEX(PMEMOTOR[Savings per Unit kW],MATCH(C44,PMEMOTOR[Eff Desc 1],0)),4))</f>
        <v/>
      </c>
    </row>
    <row r="45" spans="2:49" ht="15.95" hidden="1" customHeight="1" x14ac:dyDescent="0.25">
      <c r="B45" s="1204"/>
      <c r="C45" s="824"/>
      <c r="D45" s="825"/>
      <c r="E45" s="825"/>
      <c r="F45" s="825"/>
      <c r="G45" s="825"/>
      <c r="H45" s="825"/>
      <c r="I45" s="825"/>
      <c r="J45" s="825"/>
      <c r="K45" s="825"/>
      <c r="L45" s="825"/>
      <c r="M45" s="826"/>
      <c r="N45" s="1710"/>
      <c r="O45" s="1711"/>
      <c r="P45" s="1711"/>
      <c r="Q45" s="1711"/>
      <c r="R45" s="1711"/>
      <c r="S45" s="1712"/>
      <c r="T45" s="1715"/>
      <c r="U45" s="1716"/>
      <c r="V45" s="1719"/>
      <c r="W45" s="1720"/>
      <c r="X45" s="824"/>
      <c r="Y45" s="825"/>
      <c r="Z45" s="825"/>
      <c r="AA45" s="826"/>
      <c r="AB45" s="824"/>
      <c r="AC45" s="825"/>
      <c r="AD45" s="826"/>
      <c r="AE45" s="1724"/>
      <c r="AF45" s="1725"/>
      <c r="AG45" s="1724"/>
      <c r="AH45" s="1725"/>
      <c r="AI45" s="1737"/>
      <c r="AJ45" s="1738"/>
      <c r="AK45" s="1696"/>
      <c r="AL45" s="1697"/>
      <c r="AM45" s="1697"/>
      <c r="AN45" s="1698"/>
      <c r="AO45" s="1687"/>
      <c r="AP45" s="1740"/>
      <c r="AQ45" s="1688"/>
      <c r="AR45" s="69"/>
      <c r="AS45" s="69"/>
      <c r="AT45" s="69"/>
      <c r="AU45" s="805"/>
      <c r="AV45" s="753"/>
    </row>
    <row r="46" spans="2:49"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49"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49"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8"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8"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8"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8"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8"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8"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8"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8"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1758">
        <f>SUM(AU16:AU199)</f>
        <v>0</v>
      </c>
      <c r="AV200" s="1761">
        <f>SUM(AV16:AV199)</f>
        <v>0</v>
      </c>
    </row>
    <row r="201" spans="2:48"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1759"/>
      <c r="AV201" s="1762"/>
    </row>
    <row r="202" spans="2:48"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EXgE8CcsNdgHG2b5DwnSep5XtzbhKxcyrQEhhNYT03Gu5E5n08WmDRfMxLeizaEfwbHLTMevTLKaM9q8ok8t/Q==" saltValue="cO1sOLfNXQ6Z3QwkGLixcg==" spinCount="100000" sheet="1" objects="1" scenarios="1" selectLockedCells="1"/>
  <mergeCells count="331">
    <mergeCell ref="AV200:AV201"/>
    <mergeCell ref="B198:B199"/>
    <mergeCell ref="M200:AG201"/>
    <mergeCell ref="AU200:AU201"/>
    <mergeCell ref="B186:B187"/>
    <mergeCell ref="B188:B189"/>
    <mergeCell ref="B190:B191"/>
    <mergeCell ref="B192:B193"/>
    <mergeCell ref="B194:B195"/>
    <mergeCell ref="B196:B197"/>
    <mergeCell ref="B174:B175"/>
    <mergeCell ref="B176:B177"/>
    <mergeCell ref="B178:B179"/>
    <mergeCell ref="B180:B181"/>
    <mergeCell ref="B182:B183"/>
    <mergeCell ref="B184:B185"/>
    <mergeCell ref="B162:B163"/>
    <mergeCell ref="B164:B165"/>
    <mergeCell ref="B166:B167"/>
    <mergeCell ref="B168:B169"/>
    <mergeCell ref="B170:B171"/>
    <mergeCell ref="B172:B173"/>
    <mergeCell ref="B150:B151"/>
    <mergeCell ref="B152:B153"/>
    <mergeCell ref="B154:B155"/>
    <mergeCell ref="B156:B157"/>
    <mergeCell ref="B158:B159"/>
    <mergeCell ref="B160:B161"/>
    <mergeCell ref="B138:B139"/>
    <mergeCell ref="B140:B141"/>
    <mergeCell ref="B142:B143"/>
    <mergeCell ref="B144:B145"/>
    <mergeCell ref="B146:B147"/>
    <mergeCell ref="B148:B149"/>
    <mergeCell ref="B126:B127"/>
    <mergeCell ref="B128:B129"/>
    <mergeCell ref="B130:B131"/>
    <mergeCell ref="B132:B133"/>
    <mergeCell ref="B134:B135"/>
    <mergeCell ref="B136:B137"/>
    <mergeCell ref="B114:B115"/>
    <mergeCell ref="B116:B117"/>
    <mergeCell ref="B118:B119"/>
    <mergeCell ref="B120:B121"/>
    <mergeCell ref="B122:B123"/>
    <mergeCell ref="B124:B125"/>
    <mergeCell ref="B102:B103"/>
    <mergeCell ref="B104:B105"/>
    <mergeCell ref="B106:B107"/>
    <mergeCell ref="B108:B109"/>
    <mergeCell ref="B110:B111"/>
    <mergeCell ref="B112:B113"/>
    <mergeCell ref="B90:B91"/>
    <mergeCell ref="B92:B93"/>
    <mergeCell ref="B94:B95"/>
    <mergeCell ref="B96:B97"/>
    <mergeCell ref="B98:B99"/>
    <mergeCell ref="B100:B101"/>
    <mergeCell ref="B78:B79"/>
    <mergeCell ref="B80:B81"/>
    <mergeCell ref="B82:B83"/>
    <mergeCell ref="B84:B85"/>
    <mergeCell ref="B86:B87"/>
    <mergeCell ref="B88:B89"/>
    <mergeCell ref="B66:B67"/>
    <mergeCell ref="B68:B69"/>
    <mergeCell ref="B70:B71"/>
    <mergeCell ref="B72:B73"/>
    <mergeCell ref="B74:B75"/>
    <mergeCell ref="B76:B77"/>
    <mergeCell ref="B54:B55"/>
    <mergeCell ref="B56:B57"/>
    <mergeCell ref="B58:B59"/>
    <mergeCell ref="B60:B61"/>
    <mergeCell ref="B62:B63"/>
    <mergeCell ref="B64:B65"/>
    <mergeCell ref="AU44:AU45"/>
    <mergeCell ref="AV44:AV45"/>
    <mergeCell ref="B46:B47"/>
    <mergeCell ref="B48:B49"/>
    <mergeCell ref="B50:B51"/>
    <mergeCell ref="B52:B53"/>
    <mergeCell ref="AB44:AD45"/>
    <mergeCell ref="AE44:AF45"/>
    <mergeCell ref="AG44:AH45"/>
    <mergeCell ref="AI44:AJ45"/>
    <mergeCell ref="AK44:AN45"/>
    <mergeCell ref="AO44:AQ45"/>
    <mergeCell ref="B44:B45"/>
    <mergeCell ref="C44:M45"/>
    <mergeCell ref="N44:S45"/>
    <mergeCell ref="T44:U45"/>
    <mergeCell ref="V44:W45"/>
    <mergeCell ref="X44:AA45"/>
    <mergeCell ref="B42:B43"/>
    <mergeCell ref="C42:M43"/>
    <mergeCell ref="N42:S43"/>
    <mergeCell ref="T42:U43"/>
    <mergeCell ref="V42:W43"/>
    <mergeCell ref="X42:AA43"/>
    <mergeCell ref="AB42:AD43"/>
    <mergeCell ref="AE42:AF43"/>
    <mergeCell ref="AB40:AD41"/>
    <mergeCell ref="AE40:AF41"/>
    <mergeCell ref="B40:B41"/>
    <mergeCell ref="C40:M41"/>
    <mergeCell ref="N40:S41"/>
    <mergeCell ref="T40:U41"/>
    <mergeCell ref="V40:W41"/>
    <mergeCell ref="X40:AA41"/>
    <mergeCell ref="AG42:AH43"/>
    <mergeCell ref="AI42:AJ43"/>
    <mergeCell ref="AK42:AN43"/>
    <mergeCell ref="AO42:AQ43"/>
    <mergeCell ref="AU42:AU43"/>
    <mergeCell ref="AV42:AV43"/>
    <mergeCell ref="AU40:AU41"/>
    <mergeCell ref="AV40:AV41"/>
    <mergeCell ref="AG40:AH41"/>
    <mergeCell ref="AI40:AJ41"/>
    <mergeCell ref="AK40:AN41"/>
    <mergeCell ref="AO40:AQ41"/>
    <mergeCell ref="AG38:AH39"/>
    <mergeCell ref="AI38:AJ39"/>
    <mergeCell ref="AK38:AN39"/>
    <mergeCell ref="AO38:AQ39"/>
    <mergeCell ref="AU38:AU39"/>
    <mergeCell ref="AV38:AV39"/>
    <mergeCell ref="AU36:AU37"/>
    <mergeCell ref="AV36:AV37"/>
    <mergeCell ref="B38:B39"/>
    <mergeCell ref="C38:M39"/>
    <mergeCell ref="N38:S39"/>
    <mergeCell ref="T38:U39"/>
    <mergeCell ref="V38:W39"/>
    <mergeCell ref="X38:AA39"/>
    <mergeCell ref="AB38:AD39"/>
    <mergeCell ref="AE38:AF39"/>
    <mergeCell ref="AB36:AD37"/>
    <mergeCell ref="AE36:AF37"/>
    <mergeCell ref="AG36:AH37"/>
    <mergeCell ref="AI36:AJ37"/>
    <mergeCell ref="AK36:AN37"/>
    <mergeCell ref="AO36:AQ37"/>
    <mergeCell ref="B36:B37"/>
    <mergeCell ref="C36:M37"/>
    <mergeCell ref="N36:S37"/>
    <mergeCell ref="T36:U37"/>
    <mergeCell ref="V36:W37"/>
    <mergeCell ref="X36:AA37"/>
    <mergeCell ref="AI34:AJ35"/>
    <mergeCell ref="AK34:AN35"/>
    <mergeCell ref="AO34:AQ35"/>
    <mergeCell ref="AU34:AU35"/>
    <mergeCell ref="AV34:AV35"/>
    <mergeCell ref="AW34:AW35"/>
    <mergeCell ref="AW32:AW33"/>
    <mergeCell ref="B34:B35"/>
    <mergeCell ref="V34:W35"/>
    <mergeCell ref="X34:AA35"/>
    <mergeCell ref="AB34:AD35"/>
    <mergeCell ref="AE34:AF35"/>
    <mergeCell ref="AG34:AH35"/>
    <mergeCell ref="AG32:AH33"/>
    <mergeCell ref="AI32:AJ33"/>
    <mergeCell ref="AK32:AN33"/>
    <mergeCell ref="AO32:AQ33"/>
    <mergeCell ref="AU32:AU33"/>
    <mergeCell ref="AV32:AV33"/>
    <mergeCell ref="B32:B33"/>
    <mergeCell ref="V32:W33"/>
    <mergeCell ref="X32:AA33"/>
    <mergeCell ref="AB32:AD33"/>
    <mergeCell ref="AE32:AF33"/>
    <mergeCell ref="L32:Q33"/>
    <mergeCell ref="L34:Q35"/>
    <mergeCell ref="R32:U33"/>
    <mergeCell ref="R34:U35"/>
    <mergeCell ref="C32:K33"/>
    <mergeCell ref="B30:B31"/>
    <mergeCell ref="V30:W31"/>
    <mergeCell ref="X30:AA31"/>
    <mergeCell ref="AB30:AD31"/>
    <mergeCell ref="AE28:AF29"/>
    <mergeCell ref="AG28:AH29"/>
    <mergeCell ref="AI28:AJ29"/>
    <mergeCell ref="AK28:AN29"/>
    <mergeCell ref="B28:B29"/>
    <mergeCell ref="AG30:AH31"/>
    <mergeCell ref="AI30:AJ31"/>
    <mergeCell ref="AK30:AN31"/>
    <mergeCell ref="L28:Q29"/>
    <mergeCell ref="L30:Q31"/>
    <mergeCell ref="R30:U31"/>
    <mergeCell ref="C28:K29"/>
    <mergeCell ref="C30:K31"/>
    <mergeCell ref="B26:B27"/>
    <mergeCell ref="AU24:AU25"/>
    <mergeCell ref="AV24:AV25"/>
    <mergeCell ref="B24:B25"/>
    <mergeCell ref="AI26:AJ27"/>
    <mergeCell ref="AK26:AN27"/>
    <mergeCell ref="AO26:AQ27"/>
    <mergeCell ref="AU26:AU27"/>
    <mergeCell ref="L26:Q27"/>
    <mergeCell ref="C26:K27"/>
    <mergeCell ref="AW30:AW31"/>
    <mergeCell ref="AV26:AV27"/>
    <mergeCell ref="AW26:AW27"/>
    <mergeCell ref="AW28:AW29"/>
    <mergeCell ref="AU30:AU31"/>
    <mergeCell ref="AW24:AW25"/>
    <mergeCell ref="AE30:AF31"/>
    <mergeCell ref="AU28:AU29"/>
    <mergeCell ref="AV28:AV29"/>
    <mergeCell ref="AO28:AQ29"/>
    <mergeCell ref="AO30:AQ31"/>
    <mergeCell ref="AV30:AV31"/>
    <mergeCell ref="AE24:AF25"/>
    <mergeCell ref="AG24:AH25"/>
    <mergeCell ref="AI24:AJ25"/>
    <mergeCell ref="AE26:AF27"/>
    <mergeCell ref="AG26:AH27"/>
    <mergeCell ref="AK24:AN25"/>
    <mergeCell ref="AO24:AQ25"/>
    <mergeCell ref="AU20:AU21"/>
    <mergeCell ref="AV20:AV21"/>
    <mergeCell ref="AW20:AW21"/>
    <mergeCell ref="AG20:AH21"/>
    <mergeCell ref="AI20:AJ21"/>
    <mergeCell ref="AK20:AN21"/>
    <mergeCell ref="AO20:AQ21"/>
    <mergeCell ref="AV22:AV23"/>
    <mergeCell ref="AW22:AW23"/>
    <mergeCell ref="AG22:AH23"/>
    <mergeCell ref="AI22:AJ23"/>
    <mergeCell ref="AK22:AN23"/>
    <mergeCell ref="AO22:AQ23"/>
    <mergeCell ref="AU22:AU23"/>
    <mergeCell ref="B22:B23"/>
    <mergeCell ref="V22:W23"/>
    <mergeCell ref="X22:AA23"/>
    <mergeCell ref="AB22:AD23"/>
    <mergeCell ref="AB20:AD21"/>
    <mergeCell ref="AE20:AF21"/>
    <mergeCell ref="B20:B21"/>
    <mergeCell ref="V20:W21"/>
    <mergeCell ref="X20:AA21"/>
    <mergeCell ref="C20:K21"/>
    <mergeCell ref="C22:K23"/>
    <mergeCell ref="R20:U21"/>
    <mergeCell ref="R22:U23"/>
    <mergeCell ref="L20:Q21"/>
    <mergeCell ref="L22:Q23"/>
    <mergeCell ref="AE22:AF23"/>
    <mergeCell ref="AO18:AQ19"/>
    <mergeCell ref="AU18:AU19"/>
    <mergeCell ref="AV18:AV19"/>
    <mergeCell ref="AW18:AW19"/>
    <mergeCell ref="AW16:AW17"/>
    <mergeCell ref="B18:B19"/>
    <mergeCell ref="V18:W19"/>
    <mergeCell ref="X18:AA19"/>
    <mergeCell ref="AB18:AD19"/>
    <mergeCell ref="AE18:AF19"/>
    <mergeCell ref="AG18:AH19"/>
    <mergeCell ref="AG16:AH17"/>
    <mergeCell ref="AI16:AJ17"/>
    <mergeCell ref="AK16:AN17"/>
    <mergeCell ref="AO16:AQ17"/>
    <mergeCell ref="AU16:AU17"/>
    <mergeCell ref="AV16:AV17"/>
    <mergeCell ref="C18:K19"/>
    <mergeCell ref="R18:U19"/>
    <mergeCell ref="L18:Q19"/>
    <mergeCell ref="AV14:AV15"/>
    <mergeCell ref="AW14:AW15"/>
    <mergeCell ref="B16:B17"/>
    <mergeCell ref="V16:W17"/>
    <mergeCell ref="X16:AA17"/>
    <mergeCell ref="AB16:AD17"/>
    <mergeCell ref="AE16:AF17"/>
    <mergeCell ref="AI14:AJ15"/>
    <mergeCell ref="AK14:AN15"/>
    <mergeCell ref="AO14:AQ15"/>
    <mergeCell ref="AU14:AU15"/>
    <mergeCell ref="AE14:AH14"/>
    <mergeCell ref="AE15:AF15"/>
    <mergeCell ref="AG15:AH15"/>
    <mergeCell ref="C16:K17"/>
    <mergeCell ref="L16:Q17"/>
    <mergeCell ref="R16:U17"/>
    <mergeCell ref="C14:K15"/>
    <mergeCell ref="L14:U15"/>
    <mergeCell ref="AL1:AP1"/>
    <mergeCell ref="AQ1:AR1"/>
    <mergeCell ref="AL2:AP3"/>
    <mergeCell ref="AQ2:AR3"/>
    <mergeCell ref="AH2:AK3"/>
    <mergeCell ref="J11:Q13"/>
    <mergeCell ref="R11:U11"/>
    <mergeCell ref="V11:Y11"/>
    <mergeCell ref="Z11:AC11"/>
    <mergeCell ref="R12:U13"/>
    <mergeCell ref="V12:Y13"/>
    <mergeCell ref="Z12:AC13"/>
    <mergeCell ref="O9:AF10"/>
    <mergeCell ref="C34:K35"/>
    <mergeCell ref="Q1:R1"/>
    <mergeCell ref="U1:V1"/>
    <mergeCell ref="Y1:Z1"/>
    <mergeCell ref="AH1:AK1"/>
    <mergeCell ref="V14:W15"/>
    <mergeCell ref="X14:AA15"/>
    <mergeCell ref="AB14:AD15"/>
    <mergeCell ref="AI18:AJ19"/>
    <mergeCell ref="AK18:AN19"/>
    <mergeCell ref="C24:K25"/>
    <mergeCell ref="L24:Q25"/>
    <mergeCell ref="R24:U25"/>
    <mergeCell ref="R26:U27"/>
    <mergeCell ref="R28:U29"/>
    <mergeCell ref="V24:W25"/>
    <mergeCell ref="V26:W27"/>
    <mergeCell ref="V28:W29"/>
    <mergeCell ref="X24:AA25"/>
    <mergeCell ref="X26:AA27"/>
    <mergeCell ref="X28:AA29"/>
    <mergeCell ref="AB24:AD25"/>
    <mergeCell ref="AB26:AD27"/>
    <mergeCell ref="AB28:AD29"/>
  </mergeCells>
  <conditionalFormatting sqref="O9">
    <cfRule type="expression" dxfId="179" priority="334">
      <formula>ISNUMBER(SEARCH("Inspection",$O$9))</formula>
    </cfRule>
  </conditionalFormatting>
  <conditionalFormatting sqref="R16:U35">
    <cfRule type="expression" dxfId="178" priority="3">
      <formula>ISNUMBER(SEARCH("Air Leak",C16))</formula>
    </cfRule>
    <cfRule type="expression" dxfId="177" priority="4">
      <formula>ISNUMBER(SEARCH("VFD Air Compressor",C16))</formula>
    </cfRule>
  </conditionalFormatting>
  <conditionalFormatting sqref="X16:AA35">
    <cfRule type="expression" dxfId="176" priority="2">
      <formula>ISNUMBER(SEARCH("Air Leak",C16))</formula>
    </cfRule>
  </conditionalFormatting>
  <conditionalFormatting sqref="AB16:AD21">
    <cfRule type="expression" dxfId="175" priority="1">
      <formula>ISNUMBER(SEARCH("Air Leak",C16))</formula>
    </cfRule>
  </conditionalFormatting>
  <conditionalFormatting sqref="AH2 AL2">
    <cfRule type="expression" dxfId="174" priority="11">
      <formula>PROJSTATUS=PROJSTATELI</formula>
    </cfRule>
    <cfRule type="expression" dxfId="173" priority="12">
      <formula>PROJSTATUS=PROJSTATREVIEW</formula>
    </cfRule>
    <cfRule type="expression" dxfId="172" priority="13">
      <formula>PROJSTATUS=PROJSTATPREAPPROVE</formula>
    </cfRule>
    <cfRule type="expression" dxfId="171" priority="14">
      <formula>PROJSTATUS=PROJSTATSTANDARD</formula>
    </cfRule>
    <cfRule type="expression" dxfId="170" priority="15">
      <formula>PROJSTATUS=PROJSTATEXP</formula>
    </cfRule>
  </conditionalFormatting>
  <conditionalFormatting sqref="AO16:AQ35">
    <cfRule type="expression" dxfId="169" priority="10">
      <formula>ISNUMBER($AO16)=FALSE</formula>
    </cfRule>
    <cfRule type="expression" dxfId="168" priority="16">
      <formula>AW16="Yes"</formula>
    </cfRule>
  </conditionalFormatting>
  <conditionalFormatting sqref="AQ2:AR3">
    <cfRule type="cellIs" dxfId="167" priority="17" operator="equal">
      <formula>1</formula>
    </cfRule>
    <cfRule type="cellIs" dxfId="166" priority="18" operator="between">
      <formula>0.51</formula>
      <formula>0.99</formula>
    </cfRule>
    <cfRule type="cellIs" dxfId="165" priority="19" operator="lessThanOrEqual">
      <formula>0.5</formula>
    </cfRule>
  </conditionalFormatting>
  <dataValidations count="5">
    <dataValidation type="decimal" allowBlank="1" showInputMessage="1" showErrorMessage="1" error="Please enter a numerical value" prompt="Reference the &quot;Unit of Measure&quot; column to ensure you enter the correct value based on unit type." sqref="V36:W45" xr:uid="{6AEC07EF-E2E6-44A7-92DF-BCA86A8C296A}">
      <formula1>0</formula1>
      <formula2>99999</formula2>
    </dataValidation>
    <dataValidation type="decimal" allowBlank="1" showInputMessage="1" showErrorMessage="1" error="Please enter a numerical value" sqref="AE16:AH45" xr:uid="{922FAFA0-46F8-448F-BD5D-2247267CCC33}">
      <formula1>0</formula1>
      <formula2>999999</formula2>
    </dataValidation>
    <dataValidation type="list" allowBlank="1" showInputMessage="1" showErrorMessage="1" sqref="C36:M45" xr:uid="{A100E673-609D-4F2F-9B4A-A63A50BFADC0}">
      <formula1>PMEMOTOREFF1</formula1>
    </dataValidation>
    <dataValidation type="list" allowBlank="1" showInputMessage="1" showErrorMessage="1" sqref="C16 C22 C18 C20 C24 C26 C28 C30 C32 C34" xr:uid="{221E21D5-979D-4561-A0C2-A8E1B8F63384}">
      <formula1>PMECOMPAIREFF1</formula1>
    </dataValidation>
    <dataValidation operator="greaterThan" allowBlank="1" showInputMessage="1" showErrorMessage="1" error="Please enter a numerical value within the approved range" prompt="For non-leak measures, please enter the number of drains or nozzles being installed, or the number of compressors being controlled by VFDs_x000a__x000a_For air leak repair, please enter the size of the leak in CFM_x000a_" sqref="V16:W35" xr:uid="{ABFC925C-8CD1-427F-8965-1E32DA1F8D89}"/>
  </dataValidations>
  <hyperlinks>
    <hyperlink ref="B202" r:id="rId1" display="NIPSCO.Savings@LMCO.com" xr:uid="{CAE94D87-B2E3-415F-986B-4EAD1C2F82A3}"/>
  </hyperlinks>
  <pageMargins left="0.7" right="0.7" top="0.75" bottom="0.75" header="0.3" footer="0.3"/>
  <pageSetup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9A5-7BA9-4B44-8394-214DB54891FB}">
  <sheetPr codeName="Sheet23"/>
  <dimension ref="A1:AZ202"/>
  <sheetViews>
    <sheetView showGridLines="0" showRowColHeaders="0" zoomScale="85" zoomScaleNormal="85" workbookViewId="0">
      <selection activeCell="C18" sqref="C18:M19"/>
    </sheetView>
  </sheetViews>
  <sheetFormatPr defaultColWidth="0" defaultRowHeight="15" zeroHeight="1" x14ac:dyDescent="0.25"/>
  <cols>
    <col min="1" max="45" width="4.7109375" customWidth="1"/>
    <col min="46" max="46" width="4.7109375" hidden="1" customWidth="1"/>
    <col min="47" max="71" width="9.140625" hidden="1" customWidth="1"/>
    <col min="72" max="16384" width="9.140625" hidden="1"/>
  </cols>
  <sheetData>
    <row r="1" spans="2:52"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2"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2" ht="15.95" customHeight="1" x14ac:dyDescent="0.25">
      <c r="AH3" s="604"/>
      <c r="AI3" s="605"/>
      <c r="AJ3" s="605"/>
      <c r="AK3" s="605"/>
      <c r="AL3" s="614"/>
      <c r="AM3" s="614"/>
      <c r="AN3" s="614"/>
      <c r="AO3" s="614"/>
      <c r="AP3" s="614"/>
      <c r="AQ3" s="610"/>
      <c r="AR3" s="611"/>
    </row>
    <row r="4" spans="2:52" ht="15.95" customHeight="1" x14ac:dyDescent="0.25"/>
    <row r="5" spans="2:52" ht="15.95" customHeight="1" x14ac:dyDescent="0.25">
      <c r="C5" s="275"/>
      <c r="D5" s="275"/>
      <c r="E5" s="276" t="str">
        <f>IF('M04-S01'!AU13=0,"","P")</f>
        <v/>
      </c>
      <c r="F5" s="275"/>
      <c r="G5" s="275"/>
      <c r="H5" s="275"/>
      <c r="I5" s="275"/>
      <c r="J5" s="276" t="str">
        <f>IF('M04-S02'!AU13=0,"","P")</f>
        <v/>
      </c>
      <c r="K5" s="275"/>
      <c r="L5" s="275"/>
      <c r="M5" s="275"/>
      <c r="N5" s="275"/>
      <c r="O5" s="276" t="str">
        <f>IF('M04-S03'!AU13=0,"","P")</f>
        <v/>
      </c>
      <c r="P5" s="275"/>
      <c r="Q5" s="275"/>
      <c r="R5" s="275"/>
      <c r="S5" s="275"/>
      <c r="T5" s="276" t="str">
        <f>IF('M04-S04'!AU13=0,"","P")</f>
        <v/>
      </c>
      <c r="U5" s="275"/>
      <c r="V5" s="275"/>
      <c r="W5" s="275"/>
      <c r="X5" s="275"/>
      <c r="Y5" s="276" t="str">
        <f>IF('M04-S05'!AU13=0,"","P")</f>
        <v/>
      </c>
      <c r="Z5" s="275"/>
      <c r="AA5" s="275"/>
      <c r="AB5" s="275"/>
      <c r="AC5" s="275"/>
      <c r="AD5" s="276" t="str">
        <f>IF('M04-S06'!AU13=0,"","P")</f>
        <v/>
      </c>
      <c r="AE5" s="275"/>
      <c r="AF5" s="275"/>
      <c r="AG5" s="275"/>
      <c r="AH5" s="275"/>
      <c r="AI5" s="276" t="str">
        <f>IF('M04-S07'!AU13=0,"","P")</f>
        <v/>
      </c>
      <c r="AJ5" s="275"/>
      <c r="AK5" s="275"/>
      <c r="AL5" s="275"/>
    </row>
    <row r="6" spans="2:52" ht="15.95" customHeight="1" x14ac:dyDescent="0.25">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U6" s="69" t="s">
        <v>1195</v>
      </c>
      <c r="AV6" s="69">
        <f>PROJID</f>
        <v>0</v>
      </c>
    </row>
    <row r="7" spans="2:52" ht="15.95" customHeight="1" x14ac:dyDescent="0.25">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row>
    <row r="8" spans="2:52" ht="15.95" customHeight="1" x14ac:dyDescent="0.25">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row>
    <row r="9" spans="2:52" ht="15.95" customHeight="1" x14ac:dyDescent="0.25">
      <c r="B9" s="69"/>
      <c r="C9" s="69"/>
      <c r="D9" s="69"/>
      <c r="E9" s="69"/>
      <c r="F9" s="69"/>
      <c r="G9" s="69"/>
      <c r="H9" s="69"/>
      <c r="I9" s="69"/>
      <c r="J9" s="69"/>
      <c r="K9" s="69"/>
      <c r="L9" s="69"/>
      <c r="M9" s="69"/>
      <c r="N9" s="69"/>
      <c r="O9" s="794" t="str">
        <f>IF(INCENSTATUS="---",CONCATENATE(M4S7," ","Summary"),IF(INCENSTATUS&gt;15000,"This project may require an inspection. Please submit photos of existing equipment and of new efficient equipment once installed.",CONCATENATE(M4S7," ","Summary")))</f>
        <v>High Volume, Low Speed Fans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row>
    <row r="10" spans="2:52" ht="15.95" customHeight="1" x14ac:dyDescent="0.25">
      <c r="B10" s="69"/>
      <c r="C10" s="69"/>
      <c r="D10" s="69"/>
      <c r="E10" s="69"/>
      <c r="F10" s="69"/>
      <c r="G10" s="69"/>
      <c r="H10" s="69"/>
      <c r="I10" s="69"/>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row>
    <row r="11" spans="2:52" ht="15.95" customHeight="1" x14ac:dyDescent="0.3">
      <c r="B11" s="69"/>
      <c r="C11" s="69"/>
      <c r="D11" s="69"/>
      <c r="E11" s="69"/>
      <c r="F11" s="69"/>
      <c r="I11" s="69"/>
      <c r="J11" s="876" t="str">
        <f>IF(COUNTIF(AW16:AW35,"Yes")&gt;0,"The incentives for one or more measures are being capped at total measure cost","")</f>
        <v/>
      </c>
      <c r="K11" s="876"/>
      <c r="L11" s="876"/>
      <c r="M11" s="876"/>
      <c r="N11" s="876"/>
      <c r="O11" s="876"/>
      <c r="P11" s="876"/>
      <c r="Q11" s="876"/>
      <c r="R11" s="1042" t="s">
        <v>68</v>
      </c>
      <c r="S11" s="1042"/>
      <c r="T11" s="1042"/>
      <c r="U11" s="1042"/>
      <c r="V11" s="1042" t="s">
        <v>69</v>
      </c>
      <c r="W11" s="1042"/>
      <c r="X11" s="1042"/>
      <c r="Y11" s="1042"/>
      <c r="Z11" s="1042" t="s">
        <v>1685</v>
      </c>
      <c r="AA11" s="1042"/>
      <c r="AB11" s="1042"/>
      <c r="AC11" s="1042"/>
      <c r="AE11" s="69"/>
      <c r="AK11" s="69"/>
      <c r="AL11" s="69"/>
      <c r="AM11" s="69"/>
      <c r="AN11" s="69"/>
      <c r="AO11" s="69"/>
      <c r="AP11" s="69"/>
      <c r="AQ11" s="69"/>
      <c r="AR11" s="69"/>
    </row>
    <row r="12" spans="2:52" ht="15.95" customHeight="1" x14ac:dyDescent="0.25">
      <c r="B12" s="69"/>
      <c r="C12" s="69"/>
      <c r="D12" s="69"/>
      <c r="E12" s="69"/>
      <c r="F12" s="69"/>
      <c r="I12" s="69"/>
      <c r="J12" s="876"/>
      <c r="K12" s="876"/>
      <c r="L12" s="876"/>
      <c r="M12" s="876"/>
      <c r="N12" s="876"/>
      <c r="O12" s="876"/>
      <c r="P12" s="876"/>
      <c r="Q12" s="876"/>
      <c r="R12" s="1699">
        <f>SUM(AO16:AQ199)</f>
        <v>0</v>
      </c>
      <c r="S12" s="1699"/>
      <c r="T12" s="1699"/>
      <c r="U12" s="1699"/>
      <c r="V12" s="1699">
        <f>AU200</f>
        <v>0</v>
      </c>
      <c r="W12" s="1699"/>
      <c r="X12" s="1699"/>
      <c r="Y12" s="1699"/>
      <c r="Z12" s="1700">
        <f>SUM(AK16:AN199)</f>
        <v>0</v>
      </c>
      <c r="AA12" s="1700"/>
      <c r="AB12" s="1700"/>
      <c r="AC12" s="1700"/>
      <c r="AE12" s="69"/>
      <c r="AJ12" s="69"/>
      <c r="AK12" s="69"/>
      <c r="AL12" s="69"/>
      <c r="AM12" s="69"/>
      <c r="AN12" s="69"/>
      <c r="AO12" s="69"/>
      <c r="AP12" s="69"/>
      <c r="AQ12" s="69"/>
      <c r="AR12" s="69"/>
      <c r="AU12" t="str">
        <f>IF(M02S02F44="","CLICK HERE to update install status.",IF(M02S02F44="Yes","You ARE eligible to receive Standard Incentives", IF(M02S02F44="No", "Have you already installed? CLICK HERE")))</f>
        <v>CLICK HERE to update install status.</v>
      </c>
    </row>
    <row r="13" spans="2:52" ht="15.95" customHeight="1" x14ac:dyDescent="0.25">
      <c r="B13" s="69"/>
      <c r="C13" s="69"/>
      <c r="D13" s="69"/>
      <c r="E13" s="69"/>
      <c r="F13" s="69"/>
      <c r="G13" s="69"/>
      <c r="H13" s="69"/>
      <c r="I13" s="69"/>
      <c r="J13" s="876"/>
      <c r="K13" s="876"/>
      <c r="L13" s="876"/>
      <c r="M13" s="876"/>
      <c r="N13" s="876"/>
      <c r="O13" s="876"/>
      <c r="P13" s="876"/>
      <c r="Q13" s="876"/>
      <c r="R13" s="1699"/>
      <c r="S13" s="1699"/>
      <c r="T13" s="1699"/>
      <c r="U13" s="1699"/>
      <c r="V13" s="1699"/>
      <c r="W13" s="1699"/>
      <c r="X13" s="1699"/>
      <c r="Y13" s="1699"/>
      <c r="Z13" s="1700"/>
      <c r="AA13" s="1700"/>
      <c r="AB13" s="1700"/>
      <c r="AC13" s="1700"/>
      <c r="AE13" s="69"/>
      <c r="AF13" s="69"/>
      <c r="AG13" s="69"/>
      <c r="AH13" s="69"/>
      <c r="AI13" s="69"/>
      <c r="AJ13" s="69"/>
      <c r="AK13" s="69"/>
      <c r="AL13" s="69"/>
      <c r="AM13" s="69"/>
      <c r="AN13" s="69"/>
      <c r="AO13" s="69"/>
      <c r="AP13" s="69"/>
      <c r="AQ13" s="69"/>
      <c r="AR13" s="69"/>
      <c r="AU13" s="69">
        <f>SUMPRODUCT(--(LEN(C16:AH35)&gt;0))</f>
        <v>0</v>
      </c>
    </row>
    <row r="14" spans="2:52" ht="15.95" customHeight="1" x14ac:dyDescent="0.25">
      <c r="B14" s="69"/>
      <c r="C14" s="799" t="s">
        <v>1126</v>
      </c>
      <c r="D14" s="799"/>
      <c r="E14" s="799"/>
      <c r="F14" s="799"/>
      <c r="G14" s="799"/>
      <c r="H14" s="799"/>
      <c r="I14" s="799"/>
      <c r="J14" s="799"/>
      <c r="K14" s="799"/>
      <c r="L14" s="799"/>
      <c r="M14" s="799"/>
      <c r="N14" s="799" t="s">
        <v>91</v>
      </c>
      <c r="O14" s="799"/>
      <c r="P14" s="799"/>
      <c r="Q14" s="799"/>
      <c r="R14" s="799"/>
      <c r="S14" s="799"/>
      <c r="T14" s="1809" t="s">
        <v>90</v>
      </c>
      <c r="U14" s="799"/>
      <c r="V14" s="1809" t="s">
        <v>86</v>
      </c>
      <c r="W14" s="799"/>
      <c r="X14" s="799" t="s">
        <v>103</v>
      </c>
      <c r="Y14" s="799"/>
      <c r="Z14" s="799"/>
      <c r="AA14" s="799"/>
      <c r="AB14" s="799" t="s">
        <v>92</v>
      </c>
      <c r="AC14" s="799"/>
      <c r="AD14" s="799"/>
      <c r="AE14" s="1430" t="s">
        <v>1987</v>
      </c>
      <c r="AF14" s="1430"/>
      <c r="AG14" s="1430"/>
      <c r="AH14" s="1430"/>
      <c r="AI14" s="1430" t="s">
        <v>1363</v>
      </c>
      <c r="AJ14" s="799"/>
      <c r="AK14" s="799" t="s">
        <v>88</v>
      </c>
      <c r="AL14" s="799"/>
      <c r="AM14" s="799"/>
      <c r="AN14" s="799"/>
      <c r="AO14" s="799" t="s">
        <v>87</v>
      </c>
      <c r="AP14" s="799"/>
      <c r="AQ14" s="799"/>
      <c r="AR14" s="69"/>
      <c r="AS14" s="69"/>
      <c r="AT14" s="69"/>
      <c r="AU14" s="799" t="s">
        <v>191</v>
      </c>
      <c r="AV14" s="799" t="s">
        <v>192</v>
      </c>
      <c r="AW14" s="799" t="s">
        <v>1352</v>
      </c>
      <c r="AX14" s="745" t="s">
        <v>2006</v>
      </c>
      <c r="AY14" s="745" t="s">
        <v>2007</v>
      </c>
      <c r="AZ14" s="745" t="s">
        <v>2008</v>
      </c>
    </row>
    <row r="15" spans="2:52" ht="15.95" customHeight="1" thickBot="1" x14ac:dyDescent="0.3">
      <c r="B15" s="69"/>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1418" t="s">
        <v>98</v>
      </c>
      <c r="AF15" s="1418"/>
      <c r="AG15" s="1418" t="s">
        <v>99</v>
      </c>
      <c r="AH15" s="1418"/>
      <c r="AI15" s="746"/>
      <c r="AJ15" s="746"/>
      <c r="AK15" s="746"/>
      <c r="AL15" s="746"/>
      <c r="AM15" s="746"/>
      <c r="AN15" s="746"/>
      <c r="AO15" s="746"/>
      <c r="AP15" s="746"/>
      <c r="AQ15" s="746"/>
      <c r="AR15" s="69"/>
      <c r="AS15" s="69"/>
      <c r="AT15" s="69"/>
      <c r="AU15" s="746"/>
      <c r="AV15" s="746"/>
      <c r="AW15" s="746"/>
      <c r="AX15" s="746"/>
      <c r="AY15" s="746"/>
      <c r="AZ15" s="746"/>
    </row>
    <row r="16" spans="2:52" ht="15.95" customHeight="1" x14ac:dyDescent="0.25">
      <c r="B16" s="1193">
        <v>1</v>
      </c>
      <c r="C16" s="1470"/>
      <c r="D16" s="1471"/>
      <c r="E16" s="1471"/>
      <c r="F16" s="1471"/>
      <c r="G16" s="1471"/>
      <c r="H16" s="1471"/>
      <c r="I16" s="1471"/>
      <c r="J16" s="1471"/>
      <c r="K16" s="1471"/>
      <c r="L16" s="1471"/>
      <c r="M16" s="1472"/>
      <c r="N16" s="1707" t="str">
        <f>IF(C16="","",INDEX(PMEFANS[Base Desc 1],MATCH(C16,PMEFANS[Measure Type],0)))</f>
        <v/>
      </c>
      <c r="O16" s="1708"/>
      <c r="P16" s="1708"/>
      <c r="Q16" s="1708"/>
      <c r="R16" s="1708"/>
      <c r="S16" s="1709"/>
      <c r="T16" s="1713" t="str">
        <f>IF(C16="","",INDEX(PMEFANS[Unit],MATCH(C16,PMEFANS[Measure Type],0)))</f>
        <v/>
      </c>
      <c r="U16" s="1714"/>
      <c r="V16" s="1805"/>
      <c r="W16" s="1806"/>
      <c r="X16" s="1750"/>
      <c r="Y16" s="1471"/>
      <c r="Z16" s="1471"/>
      <c r="AA16" s="1472"/>
      <c r="AB16" s="1750"/>
      <c r="AC16" s="1471"/>
      <c r="AD16" s="1472"/>
      <c r="AE16" s="1722"/>
      <c r="AF16" s="1723"/>
      <c r="AG16" s="1722"/>
      <c r="AH16" s="1723"/>
      <c r="AI16" s="1735" t="str">
        <f>IF(C16="","",INDEX(PMEFANS[Inc Rate Unit],MATCH(C16,PMEFANS[Measure Type],0)))</f>
        <v/>
      </c>
      <c r="AJ16" s="1736"/>
      <c r="AK16" s="1728" t="str">
        <f>IF(OR(C16="",V16="",X16="",AB16="",AE16="",AG16=""),"",ROUND(V16*INDEX(PMEFANS[Savings per Unit kWh],MATCH(C16,PMEFANS[Measure Type],0)),0))</f>
        <v/>
      </c>
      <c r="AL16" s="1729"/>
      <c r="AM16" s="1729"/>
      <c r="AN16" s="1730"/>
      <c r="AO16" s="1751" t="str">
        <f>IF(M02S02F44="","Update Install Status",IF(M02S02F49="Yes","Not Eligible",IF(OR(C16="",V16="",X16="",AB16="",AE16="",AG16=""),"",MIN(AU16,ROUND(V16*AI16,2)))))</f>
        <v>Update Install Status</v>
      </c>
      <c r="AP16" s="1752"/>
      <c r="AQ16" s="1753"/>
      <c r="AR16" s="69"/>
      <c r="AS16" s="69"/>
      <c r="AT16" s="69"/>
      <c r="AU16" s="804" t="str">
        <f>IF(OR(V16="",T16="",X16="",AB16="",AE16="",AG16=""),"",ROUND((AE16+AG16),2))</f>
        <v/>
      </c>
      <c r="AV16" s="752" t="str">
        <f>IF(OR(C16="",V16="",X16="",AB16="",AE16="",AG16=""),"",ROUND(AK16*INDEX(ENDUSEALL[Factor],MATCH(INDEX(PMEFANS[End Use],MATCH(C16,PMEFANS[Measure Type],0)),ENDUSEALL[End Use to Coincident Peak Demand Factors],0)),4))</f>
        <v/>
      </c>
      <c r="AW16" s="752" t="str">
        <f>IFERROR(IF(AI16*V16&gt;AO16,"Yes","No"),"")</f>
        <v/>
      </c>
      <c r="AX16" s="1422">
        <f>IFERROR(ROUND(AZ16*1.15,2),0)</f>
        <v>0</v>
      </c>
      <c r="AY16" s="1370" t="str">
        <f>IF(M02S02F44="","Update Install Status",IF(M02S02F49="Yes","Not Eligible",IF(OR(C16="",V16="",X16="",AB16="",AE16="",AG16=""),"",ROUND(BONUSADJ*AX16,2))))</f>
        <v>Update Install Status</v>
      </c>
      <c r="AZ16" s="1370" t="str">
        <f>IF(M02S02F44="","Update Install Status",IF(M02S02F49="Yes","Not Eligible",IF(OR(C16="",V16="",X16="",AB16="",AE16="",AG16=""),"",MIN(AU16,ROUND(V16*AI16,2)))))</f>
        <v>Update Install Status</v>
      </c>
    </row>
    <row r="17" spans="2:52" ht="15.95" customHeight="1" x14ac:dyDescent="0.25">
      <c r="B17" s="1193"/>
      <c r="C17" s="824"/>
      <c r="D17" s="825"/>
      <c r="E17" s="825"/>
      <c r="F17" s="825"/>
      <c r="G17" s="825"/>
      <c r="H17" s="825"/>
      <c r="I17" s="825"/>
      <c r="J17" s="825"/>
      <c r="K17" s="825"/>
      <c r="L17" s="825"/>
      <c r="M17" s="826"/>
      <c r="N17" s="1710"/>
      <c r="O17" s="1711"/>
      <c r="P17" s="1711"/>
      <c r="Q17" s="1711"/>
      <c r="R17" s="1711"/>
      <c r="S17" s="1712"/>
      <c r="T17" s="1715"/>
      <c r="U17" s="1716"/>
      <c r="V17" s="1807"/>
      <c r="W17" s="1808"/>
      <c r="X17" s="824"/>
      <c r="Y17" s="825"/>
      <c r="Z17" s="825"/>
      <c r="AA17" s="826"/>
      <c r="AB17" s="824"/>
      <c r="AC17" s="825"/>
      <c r="AD17" s="826"/>
      <c r="AE17" s="1724"/>
      <c r="AF17" s="1725"/>
      <c r="AG17" s="1724"/>
      <c r="AH17" s="1725"/>
      <c r="AI17" s="1737"/>
      <c r="AJ17" s="1738"/>
      <c r="AK17" s="1696"/>
      <c r="AL17" s="1697"/>
      <c r="AM17" s="1697"/>
      <c r="AN17" s="1698"/>
      <c r="AO17" s="1754"/>
      <c r="AP17" s="1755"/>
      <c r="AQ17" s="1756"/>
      <c r="AR17" s="69"/>
      <c r="AS17" s="69"/>
      <c r="AT17" s="69"/>
      <c r="AU17" s="805"/>
      <c r="AV17" s="753"/>
      <c r="AW17" s="753"/>
      <c r="AX17" s="1423"/>
      <c r="AY17" s="1371"/>
      <c r="AZ17" s="1371"/>
    </row>
    <row r="18" spans="2:52" ht="15.95" customHeight="1" x14ac:dyDescent="0.25">
      <c r="B18" s="1204">
        <v>2</v>
      </c>
      <c r="C18" s="1470"/>
      <c r="D18" s="1471"/>
      <c r="E18" s="1471"/>
      <c r="F18" s="1471"/>
      <c r="G18" s="1471"/>
      <c r="H18" s="1471"/>
      <c r="I18" s="1471"/>
      <c r="J18" s="1471"/>
      <c r="K18" s="1471"/>
      <c r="L18" s="1471"/>
      <c r="M18" s="1472"/>
      <c r="N18" s="1707" t="str">
        <f>IF(C18="","",INDEX(PMEFANS[Base Desc 1],MATCH(C18,PMEFANS[Measure Type],0)))</f>
        <v/>
      </c>
      <c r="O18" s="1708"/>
      <c r="P18" s="1708"/>
      <c r="Q18" s="1708"/>
      <c r="R18" s="1708"/>
      <c r="S18" s="1709"/>
      <c r="T18" s="1713" t="str">
        <f>IF(C18="","",INDEX(PMEFANS[Unit],MATCH(C18,PMEFANS[Measure Type],0)))</f>
        <v/>
      </c>
      <c r="U18" s="1714"/>
      <c r="V18" s="1805"/>
      <c r="W18" s="1806"/>
      <c r="X18" s="1721"/>
      <c r="Y18" s="1471"/>
      <c r="Z18" s="1471"/>
      <c r="AA18" s="1472"/>
      <c r="AB18" s="1721"/>
      <c r="AC18" s="1471"/>
      <c r="AD18" s="1472"/>
      <c r="AE18" s="1722"/>
      <c r="AF18" s="1723"/>
      <c r="AG18" s="1722"/>
      <c r="AH18" s="1723"/>
      <c r="AI18" s="1735" t="str">
        <f>IF(C18="","",INDEX(PMEFANS[Inc Rate Unit],MATCH(C18,PMEFANS[Measure Type],0)))</f>
        <v/>
      </c>
      <c r="AJ18" s="1736"/>
      <c r="AK18" s="1728" t="str">
        <f>IF(OR(C18="",V18="",X18="",AB18="",AE18="",AG18=""),"",ROUND(V18*INDEX(PMEFANS[Savings per Unit kWh],MATCH(C18,PMEFANS[Measure Type],0)),0))</f>
        <v/>
      </c>
      <c r="AL18" s="1729"/>
      <c r="AM18" s="1729"/>
      <c r="AN18" s="1730"/>
      <c r="AO18" s="1751" t="str">
        <f>IF(M02S02F44="","Update Install Status",IF(M02S02F49="Yes","Not Eligible",IF(OR(C18="",V18="",X18="",AB18="",AE18="",AG18=""),"",MIN(AU18,ROUND(V18*AI18,2)))))</f>
        <v>Update Install Status</v>
      </c>
      <c r="AP18" s="1752"/>
      <c r="AQ18" s="1753"/>
      <c r="AR18" s="69"/>
      <c r="AS18" s="69"/>
      <c r="AT18" s="69"/>
      <c r="AU18" s="804" t="str">
        <f t="shared" ref="AU18" si="0">IF(OR(V18="",T18="",X18="",AB18="",AE18="",AG18=""),"",ROUND((AE18+AG18),2))</f>
        <v/>
      </c>
      <c r="AV18" s="752" t="str">
        <f>IF(OR(C18="",V18="",X18="",AB18="",AE18="",AG18=""),"",ROUND(AK18*INDEX(ENDUSEALL[Factor],MATCH(INDEX(PMEFANS[End Use],MATCH(C18,PMEFANS[Measure Type],0)),ENDUSEALL[End Use to Coincident Peak Demand Factors],0)),4))</f>
        <v/>
      </c>
      <c r="AW18" s="752" t="str">
        <f t="shared" ref="AW18" si="1">IFERROR(IF(AI18*V18&gt;AO18,"Yes","No"),"")</f>
        <v/>
      </c>
      <c r="AX18" s="1422">
        <f t="shared" ref="AX18" si="2">IFERROR(ROUND(AZ18*1.15,2),0)</f>
        <v>0</v>
      </c>
      <c r="AY18" s="1370" t="str">
        <f>IF(M02S02F44="","Update Install Status",IF(M02S02F49="Yes","Not Eligible",IF(OR(C18="",V18="",X18="",AB18="",AE18="",AG18=""),"",ROUND(BONUSADJ*AX18,2))))</f>
        <v>Update Install Status</v>
      </c>
      <c r="AZ18" s="1370" t="str">
        <f>IF(M02S02F44="","Update Install Status",IF(M02S02F49="Yes","Not Eligible",IF(OR(C18="",V18="",X18="",AB18="",AE18="",AG18=""),"",MIN(AU18,ROUND(V18*AI18,2)))))</f>
        <v>Update Install Status</v>
      </c>
    </row>
    <row r="19" spans="2:52" ht="15.95" customHeight="1" x14ac:dyDescent="0.25">
      <c r="B19" s="1204"/>
      <c r="C19" s="824"/>
      <c r="D19" s="825"/>
      <c r="E19" s="825"/>
      <c r="F19" s="825"/>
      <c r="G19" s="825"/>
      <c r="H19" s="825"/>
      <c r="I19" s="825"/>
      <c r="J19" s="825"/>
      <c r="K19" s="825"/>
      <c r="L19" s="825"/>
      <c r="M19" s="826"/>
      <c r="N19" s="1710"/>
      <c r="O19" s="1711"/>
      <c r="P19" s="1711"/>
      <c r="Q19" s="1711"/>
      <c r="R19" s="1711"/>
      <c r="S19" s="1712"/>
      <c r="T19" s="1715"/>
      <c r="U19" s="1716"/>
      <c r="V19" s="1807"/>
      <c r="W19" s="1808"/>
      <c r="X19" s="824"/>
      <c r="Y19" s="825"/>
      <c r="Z19" s="825"/>
      <c r="AA19" s="826"/>
      <c r="AB19" s="824"/>
      <c r="AC19" s="825"/>
      <c r="AD19" s="826"/>
      <c r="AE19" s="1724"/>
      <c r="AF19" s="1725"/>
      <c r="AG19" s="1724"/>
      <c r="AH19" s="1725"/>
      <c r="AI19" s="1737"/>
      <c r="AJ19" s="1738"/>
      <c r="AK19" s="1696"/>
      <c r="AL19" s="1697"/>
      <c r="AM19" s="1697"/>
      <c r="AN19" s="1698"/>
      <c r="AO19" s="1754"/>
      <c r="AP19" s="1755"/>
      <c r="AQ19" s="1756"/>
      <c r="AR19" s="69"/>
      <c r="AS19" s="69"/>
      <c r="AT19" s="69"/>
      <c r="AU19" s="805"/>
      <c r="AV19" s="753"/>
      <c r="AW19" s="753"/>
      <c r="AX19" s="1423"/>
      <c r="AY19" s="1371"/>
      <c r="AZ19" s="1371"/>
    </row>
    <row r="20" spans="2:52" ht="15.95" customHeight="1" x14ac:dyDescent="0.25">
      <c r="B20" s="1204">
        <v>3</v>
      </c>
      <c r="C20" s="1470"/>
      <c r="D20" s="1471"/>
      <c r="E20" s="1471"/>
      <c r="F20" s="1471"/>
      <c r="G20" s="1471"/>
      <c r="H20" s="1471"/>
      <c r="I20" s="1471"/>
      <c r="J20" s="1471"/>
      <c r="K20" s="1471"/>
      <c r="L20" s="1471"/>
      <c r="M20" s="1472"/>
      <c r="N20" s="1707" t="str">
        <f>IF(C20="","",INDEX(PMEFANS[Base Desc 1],MATCH(C20,PMEFANS[Measure Type],0)))</f>
        <v/>
      </c>
      <c r="O20" s="1708"/>
      <c r="P20" s="1708"/>
      <c r="Q20" s="1708"/>
      <c r="R20" s="1708"/>
      <c r="S20" s="1709"/>
      <c r="T20" s="1713" t="str">
        <f>IF(C20="","",INDEX(PMEFANS[Unit],MATCH(C20,PMEFANS[Measure Type],0)))</f>
        <v/>
      </c>
      <c r="U20" s="1714"/>
      <c r="V20" s="1805"/>
      <c r="W20" s="1806"/>
      <c r="X20" s="1750"/>
      <c r="Y20" s="1471"/>
      <c r="Z20" s="1471"/>
      <c r="AA20" s="1472"/>
      <c r="AB20" s="1750"/>
      <c r="AC20" s="1471"/>
      <c r="AD20" s="1472"/>
      <c r="AE20" s="1722"/>
      <c r="AF20" s="1723"/>
      <c r="AG20" s="1722"/>
      <c r="AH20" s="1723"/>
      <c r="AI20" s="1735" t="str">
        <f>IF(C20="","",INDEX(PMEFANS[Inc Rate Unit],MATCH(C20,PMEFANS[Measure Type],0)))</f>
        <v/>
      </c>
      <c r="AJ20" s="1736"/>
      <c r="AK20" s="1728" t="str">
        <f>IF(OR(C20="",V20="",X20="",AB20="",AE20="",AG20=""),"",ROUND(V20*INDEX(PMEFANS[Savings per Unit kWh],MATCH(C20,PMEFANS[Measure Type],0)),0))</f>
        <v/>
      </c>
      <c r="AL20" s="1729"/>
      <c r="AM20" s="1729"/>
      <c r="AN20" s="1730"/>
      <c r="AO20" s="1751" t="str">
        <f>IF(M02S02F44="","Update Install Status",IF(M02S02F49="Yes","Not Eligible",IF(OR(C20="",V20="",X20="",AB20="",AE20="",AG20=""),"",MIN(AU20,ROUND(V20*AI20,2)))))</f>
        <v>Update Install Status</v>
      </c>
      <c r="AP20" s="1752"/>
      <c r="AQ20" s="1753"/>
      <c r="AR20" s="69"/>
      <c r="AS20" s="69"/>
      <c r="AT20" s="69"/>
      <c r="AU20" s="804" t="str">
        <f t="shared" ref="AU20" si="3">IF(OR(V20="",T20="",X20="",AB20="",AE20="",AG20=""),"",ROUND((AE20+AG20),2))</f>
        <v/>
      </c>
      <c r="AV20" s="752" t="str">
        <f>IF(OR(C20="",V20="",X20="",AB20="",AE20="",AG20=""),"",ROUND(AK20*INDEX(ENDUSEALL[Factor],MATCH(INDEX(PMEFANS[End Use],MATCH(C20,PMEFANS[Measure Type],0)),ENDUSEALL[End Use to Coincident Peak Demand Factors],0)),4))</f>
        <v/>
      </c>
      <c r="AW20" s="752" t="str">
        <f t="shared" ref="AW20" si="4">IFERROR(IF(AI20*V20&gt;AO20,"Yes","No"),"")</f>
        <v/>
      </c>
      <c r="AX20" s="1422">
        <f t="shared" ref="AX20" si="5">IFERROR(ROUND(AZ20*1.15,2),0)</f>
        <v>0</v>
      </c>
      <c r="AY20" s="1370" t="str">
        <f>IF(M02S02F44="","Update Install Status",IF(M02S02F49="Yes","Not Eligible",IF(OR(C20="",V20="",X20="",AB20="",AE20="",AG20=""),"",ROUND(BONUSADJ*AX20,2))))</f>
        <v>Update Install Status</v>
      </c>
      <c r="AZ20" s="1370" t="str">
        <f>IF(M02S02F44="","Update Install Status",IF(M02S02F49="Yes","Not Eligible",IF(OR(C20="",V20="",X20="",AB20="",AE20="",AG20=""),"",MIN(AU20,ROUND(V20*AI20,2)))))</f>
        <v>Update Install Status</v>
      </c>
    </row>
    <row r="21" spans="2:52" ht="15.95" customHeight="1" x14ac:dyDescent="0.25">
      <c r="B21" s="1204"/>
      <c r="C21" s="824"/>
      <c r="D21" s="825"/>
      <c r="E21" s="825"/>
      <c r="F21" s="825"/>
      <c r="G21" s="825"/>
      <c r="H21" s="825"/>
      <c r="I21" s="825"/>
      <c r="J21" s="825"/>
      <c r="K21" s="825"/>
      <c r="L21" s="825"/>
      <c r="M21" s="826"/>
      <c r="N21" s="1710"/>
      <c r="O21" s="1711"/>
      <c r="P21" s="1711"/>
      <c r="Q21" s="1711"/>
      <c r="R21" s="1711"/>
      <c r="S21" s="1712"/>
      <c r="T21" s="1715"/>
      <c r="U21" s="1716"/>
      <c r="V21" s="1807"/>
      <c r="W21" s="1808"/>
      <c r="X21" s="824"/>
      <c r="Y21" s="825"/>
      <c r="Z21" s="825"/>
      <c r="AA21" s="826"/>
      <c r="AB21" s="824"/>
      <c r="AC21" s="825"/>
      <c r="AD21" s="826"/>
      <c r="AE21" s="1724"/>
      <c r="AF21" s="1725"/>
      <c r="AG21" s="1724"/>
      <c r="AH21" s="1725"/>
      <c r="AI21" s="1737"/>
      <c r="AJ21" s="1738"/>
      <c r="AK21" s="1696"/>
      <c r="AL21" s="1697"/>
      <c r="AM21" s="1697"/>
      <c r="AN21" s="1698"/>
      <c r="AO21" s="1754"/>
      <c r="AP21" s="1755"/>
      <c r="AQ21" s="1756"/>
      <c r="AR21" s="69"/>
      <c r="AS21" s="69"/>
      <c r="AT21" s="69"/>
      <c r="AU21" s="805"/>
      <c r="AV21" s="753"/>
      <c r="AW21" s="753"/>
      <c r="AX21" s="1423"/>
      <c r="AY21" s="1371"/>
      <c r="AZ21" s="1371"/>
    </row>
    <row r="22" spans="2:52" ht="15.95" customHeight="1" x14ac:dyDescent="0.25">
      <c r="B22" s="1204">
        <v>4</v>
      </c>
      <c r="C22" s="1470"/>
      <c r="D22" s="1471"/>
      <c r="E22" s="1471"/>
      <c r="F22" s="1471"/>
      <c r="G22" s="1471"/>
      <c r="H22" s="1471"/>
      <c r="I22" s="1471"/>
      <c r="J22" s="1471"/>
      <c r="K22" s="1471"/>
      <c r="L22" s="1471"/>
      <c r="M22" s="1472"/>
      <c r="N22" s="1707" t="str">
        <f>IF(C22="","",INDEX(PMEFANS[Base Desc 1],MATCH(C22,PMEFANS[Measure Type],0)))</f>
        <v/>
      </c>
      <c r="O22" s="1708"/>
      <c r="P22" s="1708"/>
      <c r="Q22" s="1708"/>
      <c r="R22" s="1708"/>
      <c r="S22" s="1709"/>
      <c r="T22" s="1713" t="str">
        <f>IF(C22="","",INDEX(PMEFANS[Unit],MATCH(C22,PMEFANS[Measure Type],0)))</f>
        <v/>
      </c>
      <c r="U22" s="1714"/>
      <c r="V22" s="1805"/>
      <c r="W22" s="1806"/>
      <c r="X22" s="1721"/>
      <c r="Y22" s="1471"/>
      <c r="Z22" s="1471"/>
      <c r="AA22" s="1472"/>
      <c r="AB22" s="1721"/>
      <c r="AC22" s="1471"/>
      <c r="AD22" s="1472"/>
      <c r="AE22" s="1722"/>
      <c r="AF22" s="1723"/>
      <c r="AG22" s="1722"/>
      <c r="AH22" s="1723"/>
      <c r="AI22" s="1735" t="str">
        <f>IF(C22="","",INDEX(PMEFANS[Inc Rate Unit],MATCH(C22,PMEFANS[Measure Type],0)))</f>
        <v/>
      </c>
      <c r="AJ22" s="1736"/>
      <c r="AK22" s="1728" t="str">
        <f>IF(OR(C22="",V22="",X22="",AB22="",AE22="",AG22=""),"",ROUND(V22*INDEX(PMEFANS[Savings per Unit kWh],MATCH(C22,PMEFANS[Measure Type],0)),0))</f>
        <v/>
      </c>
      <c r="AL22" s="1729"/>
      <c r="AM22" s="1729"/>
      <c r="AN22" s="1730"/>
      <c r="AO22" s="1751" t="str">
        <f>IF(M02S02F44="","Update Install Status",IF(M02S02F49="Yes","Not Eligible",IF(OR(C22="",V22="",X22="",AB22="",AE22="",AG22=""),"",MIN(AU22,ROUND(V22*AI22,2)))))</f>
        <v>Update Install Status</v>
      </c>
      <c r="AP22" s="1752"/>
      <c r="AQ22" s="1753"/>
      <c r="AR22" s="69"/>
      <c r="AS22" s="69"/>
      <c r="AT22" s="69"/>
      <c r="AU22" s="804" t="str">
        <f t="shared" ref="AU22" si="6">IF(OR(V22="",T22="",X22="",AB22="",AE22="",AG22=""),"",ROUND((AE22+AG22),2))</f>
        <v/>
      </c>
      <c r="AV22" s="752" t="str">
        <f>IF(OR(C22="",V22="",X22="",AB22="",AE22="",AG22=""),"",ROUND(AK22*INDEX(ENDUSEALL[Factor],MATCH(INDEX(PMEFANS[End Use],MATCH(C22,PMEFANS[Measure Type],0)),ENDUSEALL[End Use to Coincident Peak Demand Factors],0)),4))</f>
        <v/>
      </c>
      <c r="AW22" s="752" t="str">
        <f t="shared" ref="AW22" si="7">IFERROR(IF(AI22*V22&gt;AO22,"Yes","No"),"")</f>
        <v/>
      </c>
      <c r="AX22" s="1422">
        <f t="shared" ref="AX22" si="8">IFERROR(ROUND(AZ22*1.15,2),0)</f>
        <v>0</v>
      </c>
      <c r="AY22" s="1370" t="str">
        <f>IF(M02S02F44="","Update Install Status",IF(M02S02F49="Yes","Not Eligible",IF(OR(C22="",V22="",X22="",AB22="",AE22="",AG22=""),"",ROUND(BONUSADJ*AX22,2))))</f>
        <v>Update Install Status</v>
      </c>
      <c r="AZ22" s="1370" t="str">
        <f>IF(M02S02F44="","Update Install Status",IF(M02S02F49="Yes","Not Eligible",IF(OR(C22="",V22="",X22="",AB22="",AE22="",AG22=""),"",MIN(AU22,ROUND(V22*AI22,2)))))</f>
        <v>Update Install Status</v>
      </c>
    </row>
    <row r="23" spans="2:52" ht="15.95" customHeight="1" x14ac:dyDescent="0.25">
      <c r="B23" s="1204"/>
      <c r="C23" s="824"/>
      <c r="D23" s="825"/>
      <c r="E23" s="825"/>
      <c r="F23" s="825"/>
      <c r="G23" s="825"/>
      <c r="H23" s="825"/>
      <c r="I23" s="825"/>
      <c r="J23" s="825"/>
      <c r="K23" s="825"/>
      <c r="L23" s="825"/>
      <c r="M23" s="826"/>
      <c r="N23" s="1710"/>
      <c r="O23" s="1711"/>
      <c r="P23" s="1711"/>
      <c r="Q23" s="1711"/>
      <c r="R23" s="1711"/>
      <c r="S23" s="1712"/>
      <c r="T23" s="1715"/>
      <c r="U23" s="1716"/>
      <c r="V23" s="1807"/>
      <c r="W23" s="1808"/>
      <c r="X23" s="824"/>
      <c r="Y23" s="825"/>
      <c r="Z23" s="825"/>
      <c r="AA23" s="826"/>
      <c r="AB23" s="824"/>
      <c r="AC23" s="825"/>
      <c r="AD23" s="826"/>
      <c r="AE23" s="1724"/>
      <c r="AF23" s="1725"/>
      <c r="AG23" s="1724"/>
      <c r="AH23" s="1725"/>
      <c r="AI23" s="1737"/>
      <c r="AJ23" s="1738"/>
      <c r="AK23" s="1696"/>
      <c r="AL23" s="1697"/>
      <c r="AM23" s="1697"/>
      <c r="AN23" s="1698"/>
      <c r="AO23" s="1754"/>
      <c r="AP23" s="1755"/>
      <c r="AQ23" s="1756"/>
      <c r="AR23" s="69"/>
      <c r="AS23" s="69"/>
      <c r="AT23" s="69"/>
      <c r="AU23" s="805"/>
      <c r="AV23" s="753"/>
      <c r="AW23" s="753"/>
      <c r="AX23" s="1423"/>
      <c r="AY23" s="1371"/>
      <c r="AZ23" s="1371"/>
    </row>
    <row r="24" spans="2:52" ht="15.95" customHeight="1" x14ac:dyDescent="0.25">
      <c r="B24" s="1204">
        <v>5</v>
      </c>
      <c r="C24" s="1470"/>
      <c r="D24" s="1471"/>
      <c r="E24" s="1471"/>
      <c r="F24" s="1471"/>
      <c r="G24" s="1471"/>
      <c r="H24" s="1471"/>
      <c r="I24" s="1471"/>
      <c r="J24" s="1471"/>
      <c r="K24" s="1471"/>
      <c r="L24" s="1471"/>
      <c r="M24" s="1472"/>
      <c r="N24" s="1707" t="str">
        <f>IF(C24="","",INDEX(PMEFANS[Base Desc 1],MATCH(C24,PMEFANS[Measure Type],0)))</f>
        <v/>
      </c>
      <c r="O24" s="1708"/>
      <c r="P24" s="1708"/>
      <c r="Q24" s="1708"/>
      <c r="R24" s="1708"/>
      <c r="S24" s="1709"/>
      <c r="T24" s="1713" t="str">
        <f>IF(C24="","",INDEX(PMEFANS[Unit],MATCH(C24,PMEFANS[Measure Type],0)))</f>
        <v/>
      </c>
      <c r="U24" s="1714"/>
      <c r="V24" s="1805"/>
      <c r="W24" s="1806"/>
      <c r="X24" s="1721"/>
      <c r="Y24" s="1471"/>
      <c r="Z24" s="1471"/>
      <c r="AA24" s="1472"/>
      <c r="AB24" s="1721"/>
      <c r="AC24" s="1471"/>
      <c r="AD24" s="1472"/>
      <c r="AE24" s="1722"/>
      <c r="AF24" s="1723"/>
      <c r="AG24" s="1722"/>
      <c r="AH24" s="1723"/>
      <c r="AI24" s="1735" t="str">
        <f>IF(C24="","",INDEX(PMEFANS[Inc Rate Unit],MATCH(C24,PMEFANS[Measure Type],0)))</f>
        <v/>
      </c>
      <c r="AJ24" s="1736"/>
      <c r="AK24" s="1728" t="str">
        <f>IF(OR(C24="",V24="",X24="",AB24="",AE24="",AG24=""),"",ROUND(V24*INDEX(PMEFANS[Savings per Unit kWh],MATCH(C24,PMEFANS[Measure Type],0)),0))</f>
        <v/>
      </c>
      <c r="AL24" s="1729"/>
      <c r="AM24" s="1729"/>
      <c r="AN24" s="1730"/>
      <c r="AO24" s="1751" t="str">
        <f>IF(M02S02F44="","Update Install Status",IF(M02S02F49="Yes","Not Eligible",IF(OR(C24="",V24="",X24="",AB24="",AE24="",AG24=""),"",MIN(AU24,ROUND(V24*AI24,2)))))</f>
        <v>Update Install Status</v>
      </c>
      <c r="AP24" s="1752"/>
      <c r="AQ24" s="1753"/>
      <c r="AR24" s="69"/>
      <c r="AS24" s="69"/>
      <c r="AT24" s="69"/>
      <c r="AU24" s="804" t="str">
        <f t="shared" ref="AU24" si="9">IF(OR(V24="",T24="",X24="",AB24="",AE24="",AG24=""),"",ROUND((AE24+AG24),2))</f>
        <v/>
      </c>
      <c r="AV24" s="752" t="str">
        <f>IF(OR(C24="",V24="",X24="",AB24="",AE24="",AG24=""),"",ROUND(AK24*INDEX(ENDUSEALL[Factor],MATCH(INDEX(PMEFANS[End Use],MATCH(C24,PMEFANS[Measure Type],0)),ENDUSEALL[End Use to Coincident Peak Demand Factors],0)),4))</f>
        <v/>
      </c>
      <c r="AW24" s="752" t="str">
        <f t="shared" ref="AW24" si="10">IFERROR(IF(AI24*V24&gt;AO24,"Yes","No"),"")</f>
        <v/>
      </c>
      <c r="AX24" s="1422">
        <f t="shared" ref="AX24" si="11">IFERROR(ROUND(AZ24*1.15,2),0)</f>
        <v>0</v>
      </c>
      <c r="AY24" s="1370" t="str">
        <f>IF(M02S02F44="","Update Install Status",IF(M02S02F49="Yes","Not Eligible",IF(OR(C24="",V24="",X24="",AB24="",AE24="",AG24=""),"",ROUND(BONUSADJ*AX24,2))))</f>
        <v>Update Install Status</v>
      </c>
      <c r="AZ24" s="1370" t="str">
        <f>IF(M02S02F44="","Update Install Status",IF(M02S02F49="Yes","Not Eligible",IF(OR(C24="",V24="",X24="",AB24="",AE24="",AG24=""),"",MIN(AU24,ROUND(V24*AI24,2)))))</f>
        <v>Update Install Status</v>
      </c>
    </row>
    <row r="25" spans="2:52" ht="15.95" customHeight="1" x14ac:dyDescent="0.25">
      <c r="B25" s="1204"/>
      <c r="C25" s="824"/>
      <c r="D25" s="825"/>
      <c r="E25" s="825"/>
      <c r="F25" s="825"/>
      <c r="G25" s="825"/>
      <c r="H25" s="825"/>
      <c r="I25" s="825"/>
      <c r="J25" s="825"/>
      <c r="K25" s="825"/>
      <c r="L25" s="825"/>
      <c r="M25" s="826"/>
      <c r="N25" s="1710"/>
      <c r="O25" s="1711"/>
      <c r="P25" s="1711"/>
      <c r="Q25" s="1711"/>
      <c r="R25" s="1711"/>
      <c r="S25" s="1712"/>
      <c r="T25" s="1715"/>
      <c r="U25" s="1716"/>
      <c r="V25" s="1807"/>
      <c r="W25" s="1808"/>
      <c r="X25" s="824"/>
      <c r="Y25" s="825"/>
      <c r="Z25" s="825"/>
      <c r="AA25" s="826"/>
      <c r="AB25" s="824"/>
      <c r="AC25" s="825"/>
      <c r="AD25" s="826"/>
      <c r="AE25" s="1724"/>
      <c r="AF25" s="1725"/>
      <c r="AG25" s="1724"/>
      <c r="AH25" s="1725"/>
      <c r="AI25" s="1737"/>
      <c r="AJ25" s="1738"/>
      <c r="AK25" s="1696"/>
      <c r="AL25" s="1697"/>
      <c r="AM25" s="1697"/>
      <c r="AN25" s="1698"/>
      <c r="AO25" s="1754"/>
      <c r="AP25" s="1755"/>
      <c r="AQ25" s="1756"/>
      <c r="AR25" s="69"/>
      <c r="AS25" s="69"/>
      <c r="AT25" s="69"/>
      <c r="AU25" s="805"/>
      <c r="AV25" s="753"/>
      <c r="AW25" s="753"/>
      <c r="AX25" s="1423"/>
      <c r="AY25" s="1371"/>
      <c r="AZ25" s="1371"/>
    </row>
    <row r="26" spans="2:52" ht="15.95" customHeight="1" x14ac:dyDescent="0.25">
      <c r="B26" s="1204">
        <v>6</v>
      </c>
      <c r="C26" s="1470"/>
      <c r="D26" s="1471"/>
      <c r="E26" s="1471"/>
      <c r="F26" s="1471"/>
      <c r="G26" s="1471"/>
      <c r="H26" s="1471"/>
      <c r="I26" s="1471"/>
      <c r="J26" s="1471"/>
      <c r="K26" s="1471"/>
      <c r="L26" s="1471"/>
      <c r="M26" s="1472"/>
      <c r="N26" s="1707" t="str">
        <f>IF(C26="","",INDEX(PMEFANS[Base Desc 1],MATCH(C26,PMEFANS[Measure Type],0)))</f>
        <v/>
      </c>
      <c r="O26" s="1708"/>
      <c r="P26" s="1708"/>
      <c r="Q26" s="1708"/>
      <c r="R26" s="1708"/>
      <c r="S26" s="1709"/>
      <c r="T26" s="1713" t="str">
        <f>IF(C26="","",INDEX(PMEFANS[Unit],MATCH(C26,PMEFANS[Measure Type],0)))</f>
        <v/>
      </c>
      <c r="U26" s="1714"/>
      <c r="V26" s="1805"/>
      <c r="W26" s="1806"/>
      <c r="X26" s="1721"/>
      <c r="Y26" s="1471"/>
      <c r="Z26" s="1471"/>
      <c r="AA26" s="1472"/>
      <c r="AB26" s="1721"/>
      <c r="AC26" s="1471"/>
      <c r="AD26" s="1472"/>
      <c r="AE26" s="1722"/>
      <c r="AF26" s="1723"/>
      <c r="AG26" s="1722"/>
      <c r="AH26" s="1723"/>
      <c r="AI26" s="1735" t="str">
        <f>IF(C26="","",INDEX(PMEFANS[Inc Rate Unit],MATCH(C26,PMEFANS[Measure Type],0)))</f>
        <v/>
      </c>
      <c r="AJ26" s="1736"/>
      <c r="AK26" s="1728" t="str">
        <f>IF(OR(C26="",V26="",X26="",AB26="",AE26="",AG26=""),"",ROUND(V26*INDEX(PMEFANS[Savings per Unit kWh],MATCH(C26,PMEFANS[Measure Type],0)),0))</f>
        <v/>
      </c>
      <c r="AL26" s="1729"/>
      <c r="AM26" s="1729"/>
      <c r="AN26" s="1730"/>
      <c r="AO26" s="1751" t="str">
        <f>IF(M02S02F44="","Update Install Status",IF(M02S02F49="Yes","Not Eligible",IF(OR(C26="",V26="",X26="",AB26="",AE26="",AG26=""),"",MIN(AU26,ROUND(V26*AI26,2)))))</f>
        <v>Update Install Status</v>
      </c>
      <c r="AP26" s="1752"/>
      <c r="AQ26" s="1753"/>
      <c r="AR26" s="69"/>
      <c r="AS26" s="69"/>
      <c r="AT26" s="69"/>
      <c r="AU26" s="804" t="str">
        <f t="shared" ref="AU26" si="12">IF(OR(V26="",T26="",X26="",AB26="",AE26="",AG26=""),"",ROUND((AE26+AG26),2))</f>
        <v/>
      </c>
      <c r="AV26" s="752" t="str">
        <f>IF(OR(C26="",V26="",X26="",AB26="",AE26="",AG26=""),"",ROUND(AK26*INDEX(ENDUSEALL[Factor],MATCH(INDEX(PMEFANS[End Use],MATCH(C26,PMEFANS[Measure Type],0)),ENDUSEALL[End Use to Coincident Peak Demand Factors],0)),4))</f>
        <v/>
      </c>
      <c r="AW26" s="752" t="str">
        <f t="shared" ref="AW26" si="13">IFERROR(IF(AI26*V26&gt;AO26,"Yes","No"),"")</f>
        <v/>
      </c>
      <c r="AX26" s="1422">
        <f t="shared" ref="AX26" si="14">IFERROR(ROUND(AZ26*1.15,2),0)</f>
        <v>0</v>
      </c>
      <c r="AY26" s="1370" t="str">
        <f>IF(M02S02F44="","Update Install Status",IF(M02S02F49="Yes","Not Eligible",IF(OR(C26="",V26="",X26="",AB26="",AE26="",AG26=""),"",ROUND(BONUSADJ*AX26,2))))</f>
        <v>Update Install Status</v>
      </c>
      <c r="AZ26" s="1370" t="str">
        <f>IF(M02S02F44="","Update Install Status",IF(M02S02F49="Yes","Not Eligible",IF(OR(C26="",V26="",X26="",AB26="",AE26="",AG26=""),"",MIN(AU26,ROUND(V26*AI26,2)))))</f>
        <v>Update Install Status</v>
      </c>
    </row>
    <row r="27" spans="2:52" ht="15.95" customHeight="1" x14ac:dyDescent="0.25">
      <c r="B27" s="1204"/>
      <c r="C27" s="824"/>
      <c r="D27" s="825"/>
      <c r="E27" s="825"/>
      <c r="F27" s="825"/>
      <c r="G27" s="825"/>
      <c r="H27" s="825"/>
      <c r="I27" s="825"/>
      <c r="J27" s="825"/>
      <c r="K27" s="825"/>
      <c r="L27" s="825"/>
      <c r="M27" s="826"/>
      <c r="N27" s="1710"/>
      <c r="O27" s="1711"/>
      <c r="P27" s="1711"/>
      <c r="Q27" s="1711"/>
      <c r="R27" s="1711"/>
      <c r="S27" s="1712"/>
      <c r="T27" s="1715"/>
      <c r="U27" s="1716"/>
      <c r="V27" s="1807"/>
      <c r="W27" s="1808"/>
      <c r="X27" s="824"/>
      <c r="Y27" s="825"/>
      <c r="Z27" s="825"/>
      <c r="AA27" s="826"/>
      <c r="AB27" s="824"/>
      <c r="AC27" s="825"/>
      <c r="AD27" s="826"/>
      <c r="AE27" s="1724"/>
      <c r="AF27" s="1725"/>
      <c r="AG27" s="1724"/>
      <c r="AH27" s="1725"/>
      <c r="AI27" s="1737"/>
      <c r="AJ27" s="1738"/>
      <c r="AK27" s="1696"/>
      <c r="AL27" s="1697"/>
      <c r="AM27" s="1697"/>
      <c r="AN27" s="1698"/>
      <c r="AO27" s="1754"/>
      <c r="AP27" s="1755"/>
      <c r="AQ27" s="1756"/>
      <c r="AR27" s="69"/>
      <c r="AS27" s="69"/>
      <c r="AT27" s="69"/>
      <c r="AU27" s="805"/>
      <c r="AV27" s="753"/>
      <c r="AW27" s="753"/>
      <c r="AX27" s="1423"/>
      <c r="AY27" s="1371"/>
      <c r="AZ27" s="1371"/>
    </row>
    <row r="28" spans="2:52" ht="15.95" customHeight="1" x14ac:dyDescent="0.25">
      <c r="B28" s="1204">
        <v>7</v>
      </c>
      <c r="C28" s="1470"/>
      <c r="D28" s="1471"/>
      <c r="E28" s="1471"/>
      <c r="F28" s="1471"/>
      <c r="G28" s="1471"/>
      <c r="H28" s="1471"/>
      <c r="I28" s="1471"/>
      <c r="J28" s="1471"/>
      <c r="K28" s="1471"/>
      <c r="L28" s="1471"/>
      <c r="M28" s="1472"/>
      <c r="N28" s="1707" t="str">
        <f>IF(C28="","",INDEX(PMEFANS[Base Desc 1],MATCH(C28,PMEFANS[Measure Type],0)))</f>
        <v/>
      </c>
      <c r="O28" s="1708"/>
      <c r="P28" s="1708"/>
      <c r="Q28" s="1708"/>
      <c r="R28" s="1708"/>
      <c r="S28" s="1709"/>
      <c r="T28" s="1713" t="str">
        <f>IF(C28="","",INDEX(PMEFANS[Unit],MATCH(C28,PMEFANS[Measure Type],0)))</f>
        <v/>
      </c>
      <c r="U28" s="1714"/>
      <c r="V28" s="1805"/>
      <c r="W28" s="1806"/>
      <c r="X28" s="1721"/>
      <c r="Y28" s="1471"/>
      <c r="Z28" s="1471"/>
      <c r="AA28" s="1472"/>
      <c r="AB28" s="1721"/>
      <c r="AC28" s="1471"/>
      <c r="AD28" s="1472"/>
      <c r="AE28" s="1722"/>
      <c r="AF28" s="1723"/>
      <c r="AG28" s="1722"/>
      <c r="AH28" s="1723"/>
      <c r="AI28" s="1735" t="str">
        <f>IF(C28="","",INDEX(PMEFANS[Inc Rate Unit],MATCH(C28,PMEFANS[Measure Type],0)))</f>
        <v/>
      </c>
      <c r="AJ28" s="1736"/>
      <c r="AK28" s="1728" t="str">
        <f>IF(OR(C28="",V28="",X28="",AB28="",AE28="",AG28=""),"",ROUND(V28*INDEX(PMEFANS[Savings per Unit kWh],MATCH(C28,PMEFANS[Measure Type],0)),0))</f>
        <v/>
      </c>
      <c r="AL28" s="1729"/>
      <c r="AM28" s="1729"/>
      <c r="AN28" s="1730"/>
      <c r="AO28" s="1751" t="str">
        <f>IF(M02S02F44="","Update Install Status",IF(M02S02F49="Yes","Not Eligible",IF(OR(C28="",V28="",X28="",AB28="",AE28="",AG28=""),"",MIN(AU28,ROUND(V28*AI28,2)))))</f>
        <v>Update Install Status</v>
      </c>
      <c r="AP28" s="1752"/>
      <c r="AQ28" s="1753"/>
      <c r="AR28" s="69"/>
      <c r="AS28" s="69"/>
      <c r="AT28" s="69"/>
      <c r="AU28" s="804" t="str">
        <f t="shared" ref="AU28" si="15">IF(OR(V28="",T28="",X28="",AB28="",AE28="",AG28=""),"",ROUND((AE28+AG28),2))</f>
        <v/>
      </c>
      <c r="AV28" s="752" t="str">
        <f>IF(OR(C28="",V28="",X28="",AB28="",AE28="",AG28=""),"",ROUND(AK28*INDEX(ENDUSEALL[Factor],MATCH(INDEX(PMEFANS[End Use],MATCH(C28,PMEFANS[Measure Type],0)),ENDUSEALL[End Use to Coincident Peak Demand Factors],0)),4))</f>
        <v/>
      </c>
      <c r="AW28" s="752" t="str">
        <f t="shared" ref="AW28" si="16">IFERROR(IF(AI28*V28&gt;AO28,"Yes","No"),"")</f>
        <v/>
      </c>
      <c r="AX28" s="1422">
        <f t="shared" ref="AX28" si="17">IFERROR(ROUND(AZ28*1.15,2),0)</f>
        <v>0</v>
      </c>
      <c r="AY28" s="1370" t="str">
        <f>IF(M02S02F44="","Update Install Status",IF(M02S02F49="Yes","Not Eligible",IF(OR(C28="",V28="",X28="",AB28="",AE28="",AG28=""),"",ROUND(BONUSADJ*AX28,2))))</f>
        <v>Update Install Status</v>
      </c>
      <c r="AZ28" s="1370" t="str">
        <f>IF(M02S02F44="","Update Install Status",IF(M02S02F49="Yes","Not Eligible",IF(OR(C28="",V28="",X28="",AB28="",AE28="",AG28=""),"",MIN(AU28,ROUND(V28*AI28,2)))))</f>
        <v>Update Install Status</v>
      </c>
    </row>
    <row r="29" spans="2:52" ht="15.95" customHeight="1" x14ac:dyDescent="0.25">
      <c r="B29" s="1204"/>
      <c r="C29" s="824"/>
      <c r="D29" s="825"/>
      <c r="E29" s="825"/>
      <c r="F29" s="825"/>
      <c r="G29" s="825"/>
      <c r="H29" s="825"/>
      <c r="I29" s="825"/>
      <c r="J29" s="825"/>
      <c r="K29" s="825"/>
      <c r="L29" s="825"/>
      <c r="M29" s="826"/>
      <c r="N29" s="1710"/>
      <c r="O29" s="1711"/>
      <c r="P29" s="1711"/>
      <c r="Q29" s="1711"/>
      <c r="R29" s="1711"/>
      <c r="S29" s="1712"/>
      <c r="T29" s="1715"/>
      <c r="U29" s="1716"/>
      <c r="V29" s="1807"/>
      <c r="W29" s="1808"/>
      <c r="X29" s="824"/>
      <c r="Y29" s="825"/>
      <c r="Z29" s="825"/>
      <c r="AA29" s="826"/>
      <c r="AB29" s="824"/>
      <c r="AC29" s="825"/>
      <c r="AD29" s="826"/>
      <c r="AE29" s="1724"/>
      <c r="AF29" s="1725"/>
      <c r="AG29" s="1724"/>
      <c r="AH29" s="1725"/>
      <c r="AI29" s="1737"/>
      <c r="AJ29" s="1738"/>
      <c r="AK29" s="1696"/>
      <c r="AL29" s="1697"/>
      <c r="AM29" s="1697"/>
      <c r="AN29" s="1698"/>
      <c r="AO29" s="1754"/>
      <c r="AP29" s="1755"/>
      <c r="AQ29" s="1756"/>
      <c r="AR29" s="69"/>
      <c r="AS29" s="69"/>
      <c r="AT29" s="69"/>
      <c r="AU29" s="805"/>
      <c r="AV29" s="753"/>
      <c r="AW29" s="753"/>
      <c r="AX29" s="1423"/>
      <c r="AY29" s="1371"/>
      <c r="AZ29" s="1371"/>
    </row>
    <row r="30" spans="2:52" ht="15.95" customHeight="1" x14ac:dyDescent="0.25">
      <c r="B30" s="1204">
        <v>8</v>
      </c>
      <c r="C30" s="1470"/>
      <c r="D30" s="1471"/>
      <c r="E30" s="1471"/>
      <c r="F30" s="1471"/>
      <c r="G30" s="1471"/>
      <c r="H30" s="1471"/>
      <c r="I30" s="1471"/>
      <c r="J30" s="1471"/>
      <c r="K30" s="1471"/>
      <c r="L30" s="1471"/>
      <c r="M30" s="1472"/>
      <c r="N30" s="1707" t="str">
        <f>IF(C30="","",INDEX(PMEFANS[Base Desc 1],MATCH(C30,PMEFANS[Measure Type],0)))</f>
        <v/>
      </c>
      <c r="O30" s="1708"/>
      <c r="P30" s="1708"/>
      <c r="Q30" s="1708"/>
      <c r="R30" s="1708"/>
      <c r="S30" s="1709"/>
      <c r="T30" s="1713" t="str">
        <f>IF(C30="","",INDEX(PMEFANS[Unit],MATCH(C30,PMEFANS[Measure Type],0)))</f>
        <v/>
      </c>
      <c r="U30" s="1714"/>
      <c r="V30" s="1805"/>
      <c r="W30" s="1806"/>
      <c r="X30" s="1721"/>
      <c r="Y30" s="1471"/>
      <c r="Z30" s="1471"/>
      <c r="AA30" s="1472"/>
      <c r="AB30" s="1721"/>
      <c r="AC30" s="1471"/>
      <c r="AD30" s="1472"/>
      <c r="AE30" s="1722"/>
      <c r="AF30" s="1723"/>
      <c r="AG30" s="1722"/>
      <c r="AH30" s="1723"/>
      <c r="AI30" s="1735" t="str">
        <f>IF(C30="","",INDEX(PMEFANS[Inc Rate Unit],MATCH(C30,PMEFANS[Measure Type],0)))</f>
        <v/>
      </c>
      <c r="AJ30" s="1736"/>
      <c r="AK30" s="1728" t="str">
        <f>IF(OR(C30="",V30="",X30="",AB30="",AE30="",AG30=""),"",ROUND(V30*INDEX(PMEFANS[Savings per Unit kWh],MATCH(C30,PMEFANS[Measure Type],0)),0))</f>
        <v/>
      </c>
      <c r="AL30" s="1729"/>
      <c r="AM30" s="1729"/>
      <c r="AN30" s="1730"/>
      <c r="AO30" s="1751" t="str">
        <f>IF(M02S02F44="","Update Install Status",IF(M02S02F49="Yes","Not Eligible",IF(OR(C30="",V30="",X30="",AB30="",AE30="",AG30=""),"",MIN(AU30,ROUND(V30*AI30,2)))))</f>
        <v>Update Install Status</v>
      </c>
      <c r="AP30" s="1752"/>
      <c r="AQ30" s="1753"/>
      <c r="AR30" s="69"/>
      <c r="AS30" s="69"/>
      <c r="AT30" s="69"/>
      <c r="AU30" s="804" t="str">
        <f t="shared" ref="AU30" si="18">IF(OR(V30="",T30="",X30="",AB30="",AE30="",AG30=""),"",ROUND((AE30+AG30),2))</f>
        <v/>
      </c>
      <c r="AV30" s="752" t="str">
        <f>IF(OR(C30="",V30="",X30="",AB30="",AE30="",AG30=""),"",ROUND(AK30*INDEX(ENDUSEALL[Factor],MATCH(INDEX(PMEFANS[End Use],MATCH(C30,PMEFANS[Measure Type],0)),ENDUSEALL[End Use to Coincident Peak Demand Factors],0)),4))</f>
        <v/>
      </c>
      <c r="AW30" s="752" t="str">
        <f t="shared" ref="AW30" si="19">IFERROR(IF(AI30*V30&gt;AO30,"Yes","No"),"")</f>
        <v/>
      </c>
      <c r="AX30" s="1422">
        <f t="shared" ref="AX30" si="20">IFERROR(ROUND(AZ30*1.15,2),0)</f>
        <v>0</v>
      </c>
      <c r="AY30" s="1370" t="str">
        <f>IF(M02S02F44="","Update Install Status",IF(M02S02F49="Yes","Not Eligible",IF(OR(C30="",V30="",X30="",AB30="",AE30="",AG30=""),"",ROUND(BONUSADJ*AX30,2))))</f>
        <v>Update Install Status</v>
      </c>
      <c r="AZ30" s="1370" t="str">
        <f>IF(M02S02F44="","Update Install Status",IF(M02S02F49="Yes","Not Eligible",IF(OR(C30="",V30="",X30="",AB30="",AE30="",AG30=""),"",MIN(AU30,ROUND(V30*AI30,2)))))</f>
        <v>Update Install Status</v>
      </c>
    </row>
    <row r="31" spans="2:52" ht="15.95" customHeight="1" x14ac:dyDescent="0.25">
      <c r="B31" s="1204"/>
      <c r="C31" s="824"/>
      <c r="D31" s="825"/>
      <c r="E31" s="825"/>
      <c r="F31" s="825"/>
      <c r="G31" s="825"/>
      <c r="H31" s="825"/>
      <c r="I31" s="825"/>
      <c r="J31" s="825"/>
      <c r="K31" s="825"/>
      <c r="L31" s="825"/>
      <c r="M31" s="826"/>
      <c r="N31" s="1710"/>
      <c r="O31" s="1711"/>
      <c r="P31" s="1711"/>
      <c r="Q31" s="1711"/>
      <c r="R31" s="1711"/>
      <c r="S31" s="1712"/>
      <c r="T31" s="1715"/>
      <c r="U31" s="1716"/>
      <c r="V31" s="1807"/>
      <c r="W31" s="1808"/>
      <c r="X31" s="824"/>
      <c r="Y31" s="825"/>
      <c r="Z31" s="825"/>
      <c r="AA31" s="826"/>
      <c r="AB31" s="824"/>
      <c r="AC31" s="825"/>
      <c r="AD31" s="826"/>
      <c r="AE31" s="1724"/>
      <c r="AF31" s="1725"/>
      <c r="AG31" s="1724"/>
      <c r="AH31" s="1725"/>
      <c r="AI31" s="1737"/>
      <c r="AJ31" s="1738"/>
      <c r="AK31" s="1696"/>
      <c r="AL31" s="1697"/>
      <c r="AM31" s="1697"/>
      <c r="AN31" s="1698"/>
      <c r="AO31" s="1754"/>
      <c r="AP31" s="1755"/>
      <c r="AQ31" s="1756"/>
      <c r="AR31" s="69"/>
      <c r="AS31" s="69"/>
      <c r="AT31" s="69"/>
      <c r="AU31" s="805"/>
      <c r="AV31" s="753"/>
      <c r="AW31" s="753"/>
      <c r="AX31" s="1423"/>
      <c r="AY31" s="1371"/>
      <c r="AZ31" s="1371"/>
    </row>
    <row r="32" spans="2:52" ht="15.95" customHeight="1" x14ac:dyDescent="0.25">
      <c r="B32" s="1204">
        <v>9</v>
      </c>
      <c r="C32" s="1470"/>
      <c r="D32" s="1471"/>
      <c r="E32" s="1471"/>
      <c r="F32" s="1471"/>
      <c r="G32" s="1471"/>
      <c r="H32" s="1471"/>
      <c r="I32" s="1471"/>
      <c r="J32" s="1471"/>
      <c r="K32" s="1471"/>
      <c r="L32" s="1471"/>
      <c r="M32" s="1472"/>
      <c r="N32" s="1707" t="str">
        <f>IF(C32="","",INDEX(PMEFANS[Base Desc 1],MATCH(C32,PMEFANS[Measure Type],0)))</f>
        <v/>
      </c>
      <c r="O32" s="1708"/>
      <c r="P32" s="1708"/>
      <c r="Q32" s="1708"/>
      <c r="R32" s="1708"/>
      <c r="S32" s="1709"/>
      <c r="T32" s="1713" t="str">
        <f>IF(C32="","",INDEX(PMEFANS[Unit],MATCH(C32,PMEFANS[Measure Type],0)))</f>
        <v/>
      </c>
      <c r="U32" s="1714"/>
      <c r="V32" s="1805"/>
      <c r="W32" s="1806"/>
      <c r="X32" s="1721"/>
      <c r="Y32" s="1471"/>
      <c r="Z32" s="1471"/>
      <c r="AA32" s="1472"/>
      <c r="AB32" s="1721"/>
      <c r="AC32" s="1471"/>
      <c r="AD32" s="1472"/>
      <c r="AE32" s="1722"/>
      <c r="AF32" s="1723"/>
      <c r="AG32" s="1722"/>
      <c r="AH32" s="1723"/>
      <c r="AI32" s="1735" t="str">
        <f>IF(C32="","",INDEX(PMEFANS[Inc Rate Unit],MATCH(C32,PMEFANS[Measure Type],0)))</f>
        <v/>
      </c>
      <c r="AJ32" s="1736"/>
      <c r="AK32" s="1728" t="str">
        <f>IF(OR(C32="",V32="",X32="",AB32="",AE32="",AG32=""),"",ROUND(V32*INDEX(PMEFANS[Savings per Unit kWh],MATCH(C32,PMEFANS[Measure Type],0)),0))</f>
        <v/>
      </c>
      <c r="AL32" s="1729"/>
      <c r="AM32" s="1729"/>
      <c r="AN32" s="1730"/>
      <c r="AO32" s="1751" t="str">
        <f>IF(M02S02F44="","Update Install Status",IF(M02S02F49="Yes","Not Eligible",IF(OR(C32="",V32="",X32="",AB32="",AE32="",AG32=""),"",MIN(AU32,ROUND(V32*AI32,2)))))</f>
        <v>Update Install Status</v>
      </c>
      <c r="AP32" s="1752"/>
      <c r="AQ32" s="1753"/>
      <c r="AR32" s="69"/>
      <c r="AS32" s="69"/>
      <c r="AT32" s="69"/>
      <c r="AU32" s="804" t="str">
        <f t="shared" ref="AU32" si="21">IF(OR(V32="",T32="",X32="",AB32="",AE32="",AG32=""),"",ROUND((AE32+AG32),2))</f>
        <v/>
      </c>
      <c r="AV32" s="752" t="str">
        <f>IF(OR(C32="",V32="",X32="",AB32="",AE32="",AG32=""),"",ROUND(AK32*INDEX(ENDUSEALL[Factor],MATCH(INDEX(PMEFANS[End Use],MATCH(C32,PMEFANS[Measure Type],0)),ENDUSEALL[End Use to Coincident Peak Demand Factors],0)),4))</f>
        <v/>
      </c>
      <c r="AW32" s="752" t="str">
        <f t="shared" ref="AW32" si="22">IFERROR(IF(AI32*V32&gt;AO32,"Yes","No"),"")</f>
        <v/>
      </c>
      <c r="AX32" s="1422">
        <f t="shared" ref="AX32" si="23">IFERROR(ROUND(AZ32*1.15,2),0)</f>
        <v>0</v>
      </c>
      <c r="AY32" s="1370" t="str">
        <f>IF(M02S02F44="","Update Install Status",IF(M02S02F49="Yes","Not Eligible",IF(OR(C32="",V32="",X32="",AB32="",AE32="",AG32=""),"",ROUND(BONUSADJ*AX32,2))))</f>
        <v>Update Install Status</v>
      </c>
      <c r="AZ32" s="1370" t="str">
        <f>IF(M02S02F44="","Update Install Status",IF(M02S02F49="Yes","Not Eligible",IF(OR(C32="",V32="",X32="",AB32="",AE32="",AG32=""),"",MIN(AU32,ROUND(V32*AI32,2)))))</f>
        <v>Update Install Status</v>
      </c>
    </row>
    <row r="33" spans="2:52" ht="15.95" customHeight="1" x14ac:dyDescent="0.25">
      <c r="B33" s="1204"/>
      <c r="C33" s="824"/>
      <c r="D33" s="825"/>
      <c r="E33" s="825"/>
      <c r="F33" s="825"/>
      <c r="G33" s="825"/>
      <c r="H33" s="825"/>
      <c r="I33" s="825"/>
      <c r="J33" s="825"/>
      <c r="K33" s="825"/>
      <c r="L33" s="825"/>
      <c r="M33" s="826"/>
      <c r="N33" s="1710"/>
      <c r="O33" s="1711"/>
      <c r="P33" s="1711"/>
      <c r="Q33" s="1711"/>
      <c r="R33" s="1711"/>
      <c r="S33" s="1712"/>
      <c r="T33" s="1715"/>
      <c r="U33" s="1716"/>
      <c r="V33" s="1807"/>
      <c r="W33" s="1808"/>
      <c r="X33" s="824"/>
      <c r="Y33" s="825"/>
      <c r="Z33" s="825"/>
      <c r="AA33" s="826"/>
      <c r="AB33" s="824"/>
      <c r="AC33" s="825"/>
      <c r="AD33" s="826"/>
      <c r="AE33" s="1724"/>
      <c r="AF33" s="1725"/>
      <c r="AG33" s="1724"/>
      <c r="AH33" s="1725"/>
      <c r="AI33" s="1737"/>
      <c r="AJ33" s="1738"/>
      <c r="AK33" s="1696"/>
      <c r="AL33" s="1697"/>
      <c r="AM33" s="1697"/>
      <c r="AN33" s="1698"/>
      <c r="AO33" s="1754"/>
      <c r="AP33" s="1755"/>
      <c r="AQ33" s="1756"/>
      <c r="AR33" s="69"/>
      <c r="AS33" s="69"/>
      <c r="AT33" s="69"/>
      <c r="AU33" s="805"/>
      <c r="AV33" s="753"/>
      <c r="AW33" s="753"/>
      <c r="AX33" s="1423"/>
      <c r="AY33" s="1371"/>
      <c r="AZ33" s="1371"/>
    </row>
    <row r="34" spans="2:52" ht="15.95" customHeight="1" x14ac:dyDescent="0.25">
      <c r="B34" s="1204">
        <v>10</v>
      </c>
      <c r="C34" s="1470"/>
      <c r="D34" s="1471"/>
      <c r="E34" s="1471"/>
      <c r="F34" s="1471"/>
      <c r="G34" s="1471"/>
      <c r="H34" s="1471"/>
      <c r="I34" s="1471"/>
      <c r="J34" s="1471"/>
      <c r="K34" s="1471"/>
      <c r="L34" s="1471"/>
      <c r="M34" s="1472"/>
      <c r="N34" s="1707" t="str">
        <f>IF(C34="","",INDEX(PMEFANS[Base Desc 1],MATCH(C34,PMEFANS[Measure Type],0)))</f>
        <v/>
      </c>
      <c r="O34" s="1708"/>
      <c r="P34" s="1708"/>
      <c r="Q34" s="1708"/>
      <c r="R34" s="1708"/>
      <c r="S34" s="1709"/>
      <c r="T34" s="1713" t="str">
        <f>IF(C34="","",INDEX(PMEFANS[Unit],MATCH(C34,PMEFANS[Measure Type],0)))</f>
        <v/>
      </c>
      <c r="U34" s="1714"/>
      <c r="V34" s="1805"/>
      <c r="W34" s="1806"/>
      <c r="X34" s="1721"/>
      <c r="Y34" s="1471"/>
      <c r="Z34" s="1471"/>
      <c r="AA34" s="1472"/>
      <c r="AB34" s="1721"/>
      <c r="AC34" s="1471"/>
      <c r="AD34" s="1472"/>
      <c r="AE34" s="1722"/>
      <c r="AF34" s="1723"/>
      <c r="AG34" s="1722"/>
      <c r="AH34" s="1723"/>
      <c r="AI34" s="1735" t="str">
        <f>IF(C34="","",INDEX(PMEFANS[Inc Rate Unit],MATCH(C34,PMEFANS[Measure Type],0)))</f>
        <v/>
      </c>
      <c r="AJ34" s="1736"/>
      <c r="AK34" s="1728" t="str">
        <f>IF(OR(C34="",V34="",X34="",AB34="",AE34="",AG34=""),"",ROUND(V34*INDEX(PMEFANS[Savings per Unit kWh],MATCH(C34,PMEFANS[Measure Type],0)),0))</f>
        <v/>
      </c>
      <c r="AL34" s="1729"/>
      <c r="AM34" s="1729"/>
      <c r="AN34" s="1730"/>
      <c r="AO34" s="1751" t="str">
        <f>IF(M02S02F44="","Update Install Status",IF(M02S02F49="Yes","Not Eligible",IF(OR(C34="",V34="",X34="",AB34="",AE34="",AG34=""),"",MIN(AU34,ROUND(V34*AI34,2)))))</f>
        <v>Update Install Status</v>
      </c>
      <c r="AP34" s="1752"/>
      <c r="AQ34" s="1753"/>
      <c r="AR34" s="69"/>
      <c r="AS34" s="69"/>
      <c r="AT34" s="69"/>
      <c r="AU34" s="804" t="str">
        <f t="shared" ref="AU34" si="24">IF(OR(V34="",T34="",X34="",AB34="",AE34="",AG34=""),"",ROUND((AE34+AG34),2))</f>
        <v/>
      </c>
      <c r="AV34" s="752" t="str">
        <f>IF(OR(C34="",V34="",X34="",AB34="",AE34="",AG34=""),"",ROUND(AK34*INDEX(ENDUSEALL[Factor],MATCH(INDEX(PMEFANS[End Use],MATCH(C34,PMEFANS[Measure Type],0)),ENDUSEALL[End Use to Coincident Peak Demand Factors],0)),4))</f>
        <v/>
      </c>
      <c r="AW34" s="752" t="str">
        <f t="shared" ref="AW34" si="25">IFERROR(IF(AI34*V34&gt;AO34,"Yes","No"),"")</f>
        <v/>
      </c>
      <c r="AX34" s="1422">
        <f t="shared" ref="AX34" si="26">IFERROR(ROUND(AZ34*1.15,2),0)</f>
        <v>0</v>
      </c>
      <c r="AY34" s="1370" t="str">
        <f>IF(M02S02F44="","Update Install Status",IF(M02S02F49="Yes","Not Eligible",IF(OR(C34="",V34="",X34="",AB34="",AE34="",AG34=""),"",ROUND(BONUSADJ*AX34,2))))</f>
        <v>Update Install Status</v>
      </c>
      <c r="AZ34" s="1370" t="str">
        <f>IF(M02S02F44="","Update Install Status",IF(M02S02F49="Yes","Not Eligible",IF(OR(C34="",V34="",X34="",AB34="",AE34="",AG34=""),"",MIN(AU34,ROUND(V34*AI34,2)))))</f>
        <v>Update Install Status</v>
      </c>
    </row>
    <row r="35" spans="2:52" ht="15.95" customHeight="1" x14ac:dyDescent="0.25">
      <c r="B35" s="1204"/>
      <c r="C35" s="824"/>
      <c r="D35" s="825"/>
      <c r="E35" s="825"/>
      <c r="F35" s="825"/>
      <c r="G35" s="825"/>
      <c r="H35" s="825"/>
      <c r="I35" s="825"/>
      <c r="J35" s="825"/>
      <c r="K35" s="825"/>
      <c r="L35" s="825"/>
      <c r="M35" s="826"/>
      <c r="N35" s="1710"/>
      <c r="O35" s="1711"/>
      <c r="P35" s="1711"/>
      <c r="Q35" s="1711"/>
      <c r="R35" s="1711"/>
      <c r="S35" s="1712"/>
      <c r="T35" s="1715"/>
      <c r="U35" s="1716"/>
      <c r="V35" s="1807"/>
      <c r="W35" s="1808"/>
      <c r="X35" s="824"/>
      <c r="Y35" s="825"/>
      <c r="Z35" s="825"/>
      <c r="AA35" s="826"/>
      <c r="AB35" s="824"/>
      <c r="AC35" s="825"/>
      <c r="AD35" s="826"/>
      <c r="AE35" s="1724"/>
      <c r="AF35" s="1725"/>
      <c r="AG35" s="1724"/>
      <c r="AH35" s="1725"/>
      <c r="AI35" s="1737"/>
      <c r="AJ35" s="1738"/>
      <c r="AK35" s="1696"/>
      <c r="AL35" s="1697"/>
      <c r="AM35" s="1697"/>
      <c r="AN35" s="1698"/>
      <c r="AO35" s="1754"/>
      <c r="AP35" s="1755"/>
      <c r="AQ35" s="1756"/>
      <c r="AR35" s="69"/>
      <c r="AS35" s="69"/>
      <c r="AT35" s="69"/>
      <c r="AU35" s="805"/>
      <c r="AV35" s="753"/>
      <c r="AW35" s="753"/>
      <c r="AX35" s="1423"/>
      <c r="AY35" s="1371"/>
      <c r="AZ35" s="1371"/>
    </row>
    <row r="36" spans="2:52" ht="15.95" hidden="1" customHeight="1" x14ac:dyDescent="0.25">
      <c r="B36" s="1204">
        <v>11</v>
      </c>
      <c r="AR36" s="69"/>
      <c r="AS36" s="69"/>
      <c r="AT36" s="69"/>
      <c r="AU36" s="804" t="str">
        <f>IF(OR(,V36="",X36="",AB36="",AE36="",AG36=""),"",ROUND((AE36+AG36)*V36,2))</f>
        <v/>
      </c>
      <c r="AV36" s="752" t="str">
        <f>IF(OR(C36="",V36="",X36="",AB36="",AE36="",AG36=""),"",ROUND(V36*INDEX(PMEMOTOR[Savings per Unit kW],MATCH(C36,PMEMOTOR[Eff Desc 1],0)),4))</f>
        <v/>
      </c>
    </row>
    <row r="37" spans="2:52" ht="15.95" hidden="1" customHeight="1" x14ac:dyDescent="0.25">
      <c r="B37" s="1204"/>
      <c r="AR37" s="69"/>
      <c r="AS37" s="69"/>
      <c r="AT37" s="69"/>
      <c r="AU37" s="805"/>
      <c r="AV37" s="753"/>
    </row>
    <row r="38" spans="2:52" ht="15.95" hidden="1" customHeight="1" x14ac:dyDescent="0.25">
      <c r="B38" s="1204">
        <v>12</v>
      </c>
      <c r="AR38" s="69"/>
      <c r="AS38" s="69"/>
      <c r="AT38" s="69"/>
      <c r="AU38" s="804" t="str">
        <f>IF(OR(,V38="",X38="",AB38="",AE38="",AG38=""),"",ROUND((AE38+AG38)*V38,2))</f>
        <v/>
      </c>
      <c r="AV38" s="752" t="str">
        <f>IF(OR(C38="",V38="",X38="",AB38="",AE38="",AG38=""),"",ROUND(V38*INDEX(PMEMOTOR[Savings per Unit kW],MATCH(C38,PMEMOTOR[Eff Desc 1],0)),4))</f>
        <v/>
      </c>
    </row>
    <row r="39" spans="2:52" ht="15.95" hidden="1" customHeight="1" x14ac:dyDescent="0.25">
      <c r="B39" s="1204"/>
      <c r="AR39" s="69"/>
      <c r="AS39" s="69"/>
      <c r="AT39" s="69"/>
      <c r="AU39" s="805"/>
      <c r="AV39" s="753"/>
    </row>
    <row r="40" spans="2:52" ht="15.95" hidden="1" customHeight="1" x14ac:dyDescent="0.25">
      <c r="B40" s="1204">
        <v>13</v>
      </c>
      <c r="AR40" s="69"/>
      <c r="AS40" s="69"/>
      <c r="AT40" s="69"/>
      <c r="AU40" s="804" t="str">
        <f>IF(OR(,V40="",X40="",AB40="",AE40="",AG40=""),"",ROUND((AE40+AG40)*V40,2))</f>
        <v/>
      </c>
      <c r="AV40" s="752" t="str">
        <f>IF(OR(C40="",V40="",X40="",AB40="",AE40="",AG40=""),"",ROUND(V40*INDEX(PMEMOTOR[Savings per Unit kW],MATCH(C40,PMEMOTOR[Eff Desc 1],0)),4))</f>
        <v/>
      </c>
    </row>
    <row r="41" spans="2:52" ht="15.95" hidden="1" customHeight="1" x14ac:dyDescent="0.25">
      <c r="B41" s="1204"/>
      <c r="AR41" s="69"/>
      <c r="AS41" s="69"/>
      <c r="AT41" s="69"/>
      <c r="AU41" s="805"/>
      <c r="AV41" s="753"/>
    </row>
    <row r="42" spans="2:52" ht="15.95" hidden="1" customHeight="1" x14ac:dyDescent="0.25">
      <c r="B42" s="1204">
        <v>14</v>
      </c>
      <c r="AR42" s="69"/>
      <c r="AS42" s="69"/>
      <c r="AT42" s="69"/>
      <c r="AU42" s="804" t="str">
        <f>IF(OR(,V42="",X42="",AB42="",AE42="",AG42=""),"",ROUND((AE42+AG42)*V42,2))</f>
        <v/>
      </c>
      <c r="AV42" s="752" t="str">
        <f>IF(OR(C42="",V42="",X42="",AB42="",AE42="",AG42=""),"",ROUND(V42*INDEX(PMEMOTOR[Savings per Unit kW],MATCH(C42,PMEMOTOR[Eff Desc 1],0)),4))</f>
        <v/>
      </c>
    </row>
    <row r="43" spans="2:52" ht="15.95" hidden="1" customHeight="1" x14ac:dyDescent="0.25">
      <c r="B43" s="1204"/>
      <c r="AR43" s="69"/>
      <c r="AS43" s="69"/>
      <c r="AT43" s="69"/>
      <c r="AU43" s="805"/>
      <c r="AV43" s="753"/>
    </row>
    <row r="44" spans="2:52" ht="15.95" hidden="1" customHeight="1" x14ac:dyDescent="0.25">
      <c r="B44" s="1204">
        <v>15</v>
      </c>
      <c r="AR44" s="69"/>
      <c r="AS44" s="69"/>
      <c r="AT44" s="69"/>
      <c r="AU44" s="804" t="str">
        <f>IF(OR(,V44="",X44="",AB44="",AE44="",AG44=""),"",ROUND((AE44+AG44)*V44,2))</f>
        <v/>
      </c>
      <c r="AV44" s="752" t="str">
        <f>IF(OR(C44="",V44="",X44="",AB44="",AE44="",AG44=""),"",ROUND(V44*INDEX(PMEMOTOR[Savings per Unit kW],MATCH(C44,PMEMOTOR[Eff Desc 1],0)),4))</f>
        <v/>
      </c>
    </row>
    <row r="45" spans="2:52" ht="15.95" hidden="1" customHeight="1" x14ac:dyDescent="0.25">
      <c r="B45" s="1204"/>
      <c r="AR45" s="69"/>
      <c r="AS45" s="69"/>
      <c r="AT45" s="69"/>
      <c r="AU45" s="805"/>
      <c r="AV45" s="753"/>
    </row>
    <row r="46" spans="2:52"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2"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2"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2"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2"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2"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2"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2"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2"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2"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2"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U200" s="1758">
        <f>SUM(AU16:AU199)</f>
        <v>0</v>
      </c>
      <c r="AV200" s="1761">
        <f>SUM(AV16:AV199)</f>
        <v>0</v>
      </c>
      <c r="AX200" s="1758">
        <f>SUM(AX16:AX199)</f>
        <v>0</v>
      </c>
      <c r="AY200" s="1758">
        <f t="shared" ref="AY200:AZ200" si="27">SUM(AY16:AY199)</f>
        <v>0</v>
      </c>
      <c r="AZ200" s="1758">
        <f t="shared" si="27"/>
        <v>0</v>
      </c>
    </row>
    <row r="201" spans="2:52"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U201" s="1759"/>
      <c r="AV201" s="1762"/>
      <c r="AX201" s="1759"/>
      <c r="AY201" s="1759"/>
      <c r="AZ201" s="1759"/>
    </row>
    <row r="202" spans="2:52"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JYZnVU1eOEVhw+3O72m3wG/XbWtXbWDYdcc0uKph2SrT9yeV4o5A5VutsWHnhVvwTQmshpWsYd///60yym6ZjQ==" saltValue="ZcPgAjtXg2i+P58o/+MHvg==" spinCount="100000" sheet="1" objects="1" scenarios="1" selectLockedCells="1"/>
  <mergeCells count="313">
    <mergeCell ref="Q1:R1"/>
    <mergeCell ref="U1:V1"/>
    <mergeCell ref="Y1:Z1"/>
    <mergeCell ref="AH1:AK1"/>
    <mergeCell ref="AL1:AP1"/>
    <mergeCell ref="AQ1:AR1"/>
    <mergeCell ref="AV200:AV201"/>
    <mergeCell ref="AL2:AP3"/>
    <mergeCell ref="AQ2:AR3"/>
    <mergeCell ref="J11:Q13"/>
    <mergeCell ref="R11:U11"/>
    <mergeCell ref="V11:Y11"/>
    <mergeCell ref="Z11:AC11"/>
    <mergeCell ref="R12:U13"/>
    <mergeCell ref="V12:Y13"/>
    <mergeCell ref="Z12:AC13"/>
    <mergeCell ref="C14:M15"/>
    <mergeCell ref="N14:S15"/>
    <mergeCell ref="T14:U15"/>
    <mergeCell ref="V14:W15"/>
    <mergeCell ref="X14:AA15"/>
    <mergeCell ref="AE16:AF17"/>
    <mergeCell ref="AH2:AK3"/>
    <mergeCell ref="V22:W23"/>
    <mergeCell ref="AW14:AW15"/>
    <mergeCell ref="AE15:AF15"/>
    <mergeCell ref="AG15:AH15"/>
    <mergeCell ref="B16:B17"/>
    <mergeCell ref="C16:M17"/>
    <mergeCell ref="N16:S17"/>
    <mergeCell ref="T16:U17"/>
    <mergeCell ref="V16:W17"/>
    <mergeCell ref="X16:AA17"/>
    <mergeCell ref="AB16:AD17"/>
    <mergeCell ref="AE14:AH14"/>
    <mergeCell ref="AI14:AJ15"/>
    <mergeCell ref="AK14:AN15"/>
    <mergeCell ref="AO14:AQ15"/>
    <mergeCell ref="AU14:AU15"/>
    <mergeCell ref="AV14:AV15"/>
    <mergeCell ref="AV16:AV17"/>
    <mergeCell ref="AW16:AW17"/>
    <mergeCell ref="AG16:AH17"/>
    <mergeCell ref="AI16:AJ17"/>
    <mergeCell ref="AK16:AN17"/>
    <mergeCell ref="AO16:AQ17"/>
    <mergeCell ref="AB14:AD15"/>
    <mergeCell ref="AU16:AU17"/>
    <mergeCell ref="AW18:AW19"/>
    <mergeCell ref="B20:B21"/>
    <mergeCell ref="C20:M21"/>
    <mergeCell ref="N20:S21"/>
    <mergeCell ref="T20:U21"/>
    <mergeCell ref="V20:W21"/>
    <mergeCell ref="X20:AA21"/>
    <mergeCell ref="AB20:AD21"/>
    <mergeCell ref="AE20:AF21"/>
    <mergeCell ref="AG20:AH21"/>
    <mergeCell ref="AG18:AH19"/>
    <mergeCell ref="AI18:AJ19"/>
    <mergeCell ref="AK18:AN19"/>
    <mergeCell ref="AO18:AQ19"/>
    <mergeCell ref="AU18:AU19"/>
    <mergeCell ref="AV18:AV19"/>
    <mergeCell ref="B18:B19"/>
    <mergeCell ref="C18:M19"/>
    <mergeCell ref="N18:S19"/>
    <mergeCell ref="T18:U19"/>
    <mergeCell ref="V18:W19"/>
    <mergeCell ref="X18:AA19"/>
    <mergeCell ref="AB18:AD19"/>
    <mergeCell ref="AE18:AF19"/>
    <mergeCell ref="X22:AA23"/>
    <mergeCell ref="AV24:AV25"/>
    <mergeCell ref="AW24:AW25"/>
    <mergeCell ref="AI20:AJ21"/>
    <mergeCell ref="AK20:AN21"/>
    <mergeCell ref="AO20:AQ21"/>
    <mergeCell ref="AU20:AU21"/>
    <mergeCell ref="AV20:AV21"/>
    <mergeCell ref="AW20:AW21"/>
    <mergeCell ref="AG24:AH25"/>
    <mergeCell ref="AI24:AJ25"/>
    <mergeCell ref="AK24:AN25"/>
    <mergeCell ref="AO24:AQ25"/>
    <mergeCell ref="AU24:AU25"/>
    <mergeCell ref="X26:AA27"/>
    <mergeCell ref="AB26:AD27"/>
    <mergeCell ref="AE26:AF27"/>
    <mergeCell ref="AE24:AF25"/>
    <mergeCell ref="AU22:AU23"/>
    <mergeCell ref="AV22:AV23"/>
    <mergeCell ref="AW22:AW23"/>
    <mergeCell ref="B24:B25"/>
    <mergeCell ref="C24:M25"/>
    <mergeCell ref="N24:S25"/>
    <mergeCell ref="T24:U25"/>
    <mergeCell ref="V24:W25"/>
    <mergeCell ref="X24:AA25"/>
    <mergeCell ref="AB24:AD25"/>
    <mergeCell ref="AB22:AD23"/>
    <mergeCell ref="AE22:AF23"/>
    <mergeCell ref="AG22:AH23"/>
    <mergeCell ref="AI22:AJ23"/>
    <mergeCell ref="AK22:AN23"/>
    <mergeCell ref="AO22:AQ23"/>
    <mergeCell ref="B22:B23"/>
    <mergeCell ref="C22:M23"/>
    <mergeCell ref="N22:S23"/>
    <mergeCell ref="T22:U23"/>
    <mergeCell ref="AI28:AJ29"/>
    <mergeCell ref="AK28:AN29"/>
    <mergeCell ref="AO28:AQ29"/>
    <mergeCell ref="AU28:AU29"/>
    <mergeCell ref="AW32:AW33"/>
    <mergeCell ref="AV28:AV29"/>
    <mergeCell ref="AW28:AW29"/>
    <mergeCell ref="AW26:AW27"/>
    <mergeCell ref="B28:B29"/>
    <mergeCell ref="C28:M29"/>
    <mergeCell ref="N28:S29"/>
    <mergeCell ref="T28:U29"/>
    <mergeCell ref="V28:W29"/>
    <mergeCell ref="X28:AA29"/>
    <mergeCell ref="AB28:AD29"/>
    <mergeCell ref="AE28:AF29"/>
    <mergeCell ref="AG28:AH29"/>
    <mergeCell ref="AG26:AH27"/>
    <mergeCell ref="AI26:AJ27"/>
    <mergeCell ref="AK26:AN27"/>
    <mergeCell ref="AO26:AQ27"/>
    <mergeCell ref="AU26:AU27"/>
    <mergeCell ref="AV26:AV27"/>
    <mergeCell ref="B26:B27"/>
    <mergeCell ref="C26:M27"/>
    <mergeCell ref="N26:S27"/>
    <mergeCell ref="T26:U27"/>
    <mergeCell ref="V26:W27"/>
    <mergeCell ref="AE32:AF33"/>
    <mergeCell ref="AU30:AU31"/>
    <mergeCell ref="AV30:AV31"/>
    <mergeCell ref="AW30:AW31"/>
    <mergeCell ref="B32:B33"/>
    <mergeCell ref="C32:M33"/>
    <mergeCell ref="N32:S33"/>
    <mergeCell ref="T32:U33"/>
    <mergeCell ref="V32:W33"/>
    <mergeCell ref="X32:AA33"/>
    <mergeCell ref="AB32:AD33"/>
    <mergeCell ref="AB30:AD31"/>
    <mergeCell ref="AE30:AF31"/>
    <mergeCell ref="AG30:AH31"/>
    <mergeCell ref="AI30:AJ31"/>
    <mergeCell ref="AK30:AN31"/>
    <mergeCell ref="AO30:AQ31"/>
    <mergeCell ref="B30:B31"/>
    <mergeCell ref="C30:M31"/>
    <mergeCell ref="N30:S31"/>
    <mergeCell ref="T30:U31"/>
    <mergeCell ref="V30:W31"/>
    <mergeCell ref="X30:AA31"/>
    <mergeCell ref="AV32:AV33"/>
    <mergeCell ref="AG32:AH33"/>
    <mergeCell ref="AI32:AJ33"/>
    <mergeCell ref="AK32:AN33"/>
    <mergeCell ref="AO32:AQ33"/>
    <mergeCell ref="AU32:AU33"/>
    <mergeCell ref="AU38:AU39"/>
    <mergeCell ref="AV38:AV39"/>
    <mergeCell ref="B40:B41"/>
    <mergeCell ref="AU36:AU37"/>
    <mergeCell ref="AV36:AV37"/>
    <mergeCell ref="B38:B39"/>
    <mergeCell ref="AW34:AW35"/>
    <mergeCell ref="B36:B37"/>
    <mergeCell ref="AG34:AH35"/>
    <mergeCell ref="AI34:AJ35"/>
    <mergeCell ref="AK34:AN35"/>
    <mergeCell ref="AO34:AQ35"/>
    <mergeCell ref="AU34:AU35"/>
    <mergeCell ref="AV34:AV35"/>
    <mergeCell ref="B34:B35"/>
    <mergeCell ref="C34:M35"/>
    <mergeCell ref="N34:S35"/>
    <mergeCell ref="T34:U35"/>
    <mergeCell ref="V34:W35"/>
    <mergeCell ref="X34:AA35"/>
    <mergeCell ref="AB34:AD35"/>
    <mergeCell ref="AE34:AF35"/>
    <mergeCell ref="AU44:AU45"/>
    <mergeCell ref="AV44:AV45"/>
    <mergeCell ref="B46:B47"/>
    <mergeCell ref="B48:B49"/>
    <mergeCell ref="B50:B51"/>
    <mergeCell ref="AU42:AU43"/>
    <mergeCell ref="AV42:AV43"/>
    <mergeCell ref="B44:B45"/>
    <mergeCell ref="AV40:AV41"/>
    <mergeCell ref="B42:B43"/>
    <mergeCell ref="AU40:AU41"/>
    <mergeCell ref="B64:B65"/>
    <mergeCell ref="B66:B67"/>
    <mergeCell ref="B68:B69"/>
    <mergeCell ref="B70:B71"/>
    <mergeCell ref="B72:B73"/>
    <mergeCell ref="B74:B75"/>
    <mergeCell ref="B52:B53"/>
    <mergeCell ref="B54:B55"/>
    <mergeCell ref="B56:B57"/>
    <mergeCell ref="B58:B59"/>
    <mergeCell ref="B60:B61"/>
    <mergeCell ref="B62:B63"/>
    <mergeCell ref="B88:B89"/>
    <mergeCell ref="B90:B91"/>
    <mergeCell ref="B92:B93"/>
    <mergeCell ref="B94:B95"/>
    <mergeCell ref="B96:B97"/>
    <mergeCell ref="B98:B99"/>
    <mergeCell ref="B76:B77"/>
    <mergeCell ref="B78:B79"/>
    <mergeCell ref="B80:B81"/>
    <mergeCell ref="B82:B83"/>
    <mergeCell ref="B84:B85"/>
    <mergeCell ref="B86:B87"/>
    <mergeCell ref="B112:B113"/>
    <mergeCell ref="B114:B115"/>
    <mergeCell ref="B116:B117"/>
    <mergeCell ref="B118:B119"/>
    <mergeCell ref="B120:B121"/>
    <mergeCell ref="B122:B123"/>
    <mergeCell ref="B100:B101"/>
    <mergeCell ref="B102:B103"/>
    <mergeCell ref="B104:B105"/>
    <mergeCell ref="B106:B107"/>
    <mergeCell ref="B108:B109"/>
    <mergeCell ref="B110:B111"/>
    <mergeCell ref="AX20:AX21"/>
    <mergeCell ref="AY20:AY21"/>
    <mergeCell ref="AX26:AX27"/>
    <mergeCell ref="AY26:AY27"/>
    <mergeCell ref="B184:B185"/>
    <mergeCell ref="B186:B187"/>
    <mergeCell ref="B188:B189"/>
    <mergeCell ref="B190:B191"/>
    <mergeCell ref="B192:B193"/>
    <mergeCell ref="B172:B173"/>
    <mergeCell ref="B174:B175"/>
    <mergeCell ref="B176:B177"/>
    <mergeCell ref="B178:B179"/>
    <mergeCell ref="B180:B181"/>
    <mergeCell ref="B182:B183"/>
    <mergeCell ref="B160:B161"/>
    <mergeCell ref="B162:B163"/>
    <mergeCell ref="B164:B165"/>
    <mergeCell ref="B166:B167"/>
    <mergeCell ref="B126:B127"/>
    <mergeCell ref="B128:B129"/>
    <mergeCell ref="B130:B131"/>
    <mergeCell ref="B132:B133"/>
    <mergeCell ref="B134:B135"/>
    <mergeCell ref="B136:B137"/>
    <mergeCell ref="B138:B139"/>
    <mergeCell ref="B140:B141"/>
    <mergeCell ref="B142:B143"/>
    <mergeCell ref="B144:B145"/>
    <mergeCell ref="B146:B147"/>
    <mergeCell ref="B124:B125"/>
    <mergeCell ref="M200:AG201"/>
    <mergeCell ref="AU200:AU201"/>
    <mergeCell ref="B194:B195"/>
    <mergeCell ref="B196:B197"/>
    <mergeCell ref="B198:B199"/>
    <mergeCell ref="B168:B169"/>
    <mergeCell ref="B170:B171"/>
    <mergeCell ref="B148:B149"/>
    <mergeCell ref="B150:B151"/>
    <mergeCell ref="B152:B153"/>
    <mergeCell ref="B154:B155"/>
    <mergeCell ref="B156:B157"/>
    <mergeCell ref="B158:B159"/>
    <mergeCell ref="AX200:AX201"/>
    <mergeCell ref="AY200:AY201"/>
    <mergeCell ref="AZ200:AZ201"/>
    <mergeCell ref="AX32:AX33"/>
    <mergeCell ref="AY32:AY33"/>
    <mergeCell ref="AZ32:AZ33"/>
    <mergeCell ref="AX34:AX35"/>
    <mergeCell ref="AY34:AY35"/>
    <mergeCell ref="AZ34:AZ35"/>
    <mergeCell ref="O9:AF10"/>
    <mergeCell ref="AZ26:AZ27"/>
    <mergeCell ref="AX28:AX29"/>
    <mergeCell ref="AY28:AY29"/>
    <mergeCell ref="AZ28:AZ29"/>
    <mergeCell ref="AX30:AX31"/>
    <mergeCell ref="AY30:AY31"/>
    <mergeCell ref="AZ30:AZ31"/>
    <mergeCell ref="AZ20:AZ21"/>
    <mergeCell ref="AX22:AX23"/>
    <mergeCell ref="AY22:AY23"/>
    <mergeCell ref="AZ22:AZ23"/>
    <mergeCell ref="AX24:AX25"/>
    <mergeCell ref="AY24:AY25"/>
    <mergeCell ref="AZ24:AZ25"/>
    <mergeCell ref="AZ14:AZ15"/>
    <mergeCell ref="AX16:AX17"/>
    <mergeCell ref="AY16:AY17"/>
    <mergeCell ref="AZ16:AZ17"/>
    <mergeCell ref="AX18:AX19"/>
    <mergeCell ref="AY18:AY19"/>
    <mergeCell ref="AZ18:AZ19"/>
    <mergeCell ref="AX14:AX15"/>
    <mergeCell ref="AY14:AY15"/>
  </mergeCells>
  <conditionalFormatting sqref="O9">
    <cfRule type="expression" dxfId="164" priority="328">
      <formula>ISNUMBER(SEARCH("Inspection",$O$9))</formula>
    </cfRule>
  </conditionalFormatting>
  <conditionalFormatting sqref="AH2 AL2">
    <cfRule type="expression" dxfId="163" priority="3">
      <formula>PROJSTATUS=PROJSTATELI</formula>
    </cfRule>
    <cfRule type="expression" dxfId="162" priority="4">
      <formula>PROJSTATUS=PROJSTATREVIEW</formula>
    </cfRule>
    <cfRule type="expression" dxfId="161" priority="5">
      <formula>PROJSTATUS=PROJSTATPREAPPROVE</formula>
    </cfRule>
    <cfRule type="expression" dxfId="160" priority="6">
      <formula>PROJSTATUS=PROJSTATSTANDARD</formula>
    </cfRule>
    <cfRule type="expression" dxfId="159" priority="7">
      <formula>PROJSTATUS=PROJSTATEXP</formula>
    </cfRule>
  </conditionalFormatting>
  <conditionalFormatting sqref="AO16:AQ35">
    <cfRule type="expression" dxfId="158" priority="2">
      <formula>ISNUMBER($AO16)=FALSE</formula>
    </cfRule>
    <cfRule type="expression" dxfId="157" priority="8">
      <formula>AW16="Yes"</formula>
    </cfRule>
  </conditionalFormatting>
  <conditionalFormatting sqref="AQ2:AR3">
    <cfRule type="cellIs" dxfId="156" priority="9" operator="equal">
      <formula>1</formula>
    </cfRule>
    <cfRule type="cellIs" dxfId="155" priority="10" operator="between">
      <formula>0.51</formula>
      <formula>0.99</formula>
    </cfRule>
    <cfRule type="cellIs" dxfId="154" priority="11" operator="lessThanOrEqual">
      <formula>0.5</formula>
    </cfRule>
  </conditionalFormatting>
  <dataValidations count="3">
    <dataValidation type="whole" operator="greaterThan" allowBlank="1" showInputMessage="1" showErrorMessage="1" error="Please enter a numerical value within the approved range" prompt="Reference the &quot;Unit of Measure&quot; column to ensure you enter the correct value based on unit type." sqref="V16:W35" xr:uid="{045FC316-ADBF-458F-A11E-B961B182C663}">
      <formula1>0</formula1>
    </dataValidation>
    <dataValidation type="list" allowBlank="1" showInputMessage="1" showErrorMessage="1" sqref="C16:M35" xr:uid="{01381000-915A-48C7-BEF2-EF2CAA277E80}">
      <formula1>PMEFANSMEAS</formula1>
    </dataValidation>
    <dataValidation type="decimal" allowBlank="1" showInputMessage="1" showErrorMessage="1" error="Please enter a numerical value" sqref="AE16:AH35" xr:uid="{4752EE3A-81BB-4174-8E9B-575C64993716}">
      <formula1>0</formula1>
      <formula2>999999</formula2>
    </dataValidation>
  </dataValidations>
  <hyperlinks>
    <hyperlink ref="B202" r:id="rId1" display="NIPSCO.Savings@LMCO.com" xr:uid="{272E1FBA-5A2E-44B2-92EE-AF849140BADB}"/>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61" width="9.140625" style="69" hidden="1" customWidth="1"/>
    <col min="62" max="78" width="9.140625" hidden="1" customWidth="1"/>
    <col min="79" max="16384" width="9.140625" hidden="1"/>
  </cols>
  <sheetData>
    <row r="1" spans="1:59" ht="15.95" customHeight="1" x14ac:dyDescent="0.3">
      <c r="A1" s="270"/>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1:5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1:59" ht="15.95" customHeight="1" x14ac:dyDescent="0.25">
      <c r="AH3" s="604"/>
      <c r="AI3" s="605"/>
      <c r="AJ3" s="605"/>
      <c r="AK3" s="605"/>
      <c r="AL3" s="614"/>
      <c r="AM3" s="614"/>
      <c r="AN3" s="614"/>
      <c r="AO3" s="614"/>
      <c r="AP3" s="614"/>
      <c r="AQ3" s="610"/>
      <c r="AR3" s="611"/>
    </row>
    <row r="4" spans="1:59" ht="15.95" customHeight="1" x14ac:dyDescent="0.25"/>
    <row r="5" spans="1: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1: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1: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1:59" ht="15.95" customHeight="1" x14ac:dyDescent="0.25">
      <c r="AU8" s="121" t="s">
        <v>208</v>
      </c>
      <c r="AV8" s="121" t="str">
        <f ca="1">CBPRESE</f>
        <v>NA</v>
      </c>
      <c r="AW8" s="121" t="str">
        <f ca="1">CBCUSE</f>
        <v>NA</v>
      </c>
      <c r="AX8" s="121" t="str">
        <f ca="1">CBALL</f>
        <v>NA</v>
      </c>
      <c r="AY8" s="121"/>
    </row>
    <row r="9" spans="1:59"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IF(INCENSTATUS="---",CONCATENATE(M5S1," ","Summary"),IF(INCENSTATUS&gt;15000,"This project may require an inspection. Please submit photos of existing equipment and of new efficient equipment once installed.",CONCATENATE(M5S1," ","Summary")))</f>
        <v>HVAC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1:59"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1:59"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259"/>
      <c r="AG11" s="69"/>
      <c r="AH11" s="69"/>
      <c r="AI11" s="69"/>
      <c r="AJ11" s="69"/>
      <c r="AK11" s="69"/>
      <c r="AL11" s="69"/>
      <c r="AM11" s="69"/>
      <c r="AN11" s="69"/>
      <c r="AO11" s="69"/>
      <c r="AP11" s="69"/>
      <c r="AQ11" s="69"/>
      <c r="AR11" s="69"/>
      <c r="AU11" s="122" t="s">
        <v>1149</v>
      </c>
    </row>
    <row r="12" spans="1:59"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69"/>
      <c r="AE12" s="69"/>
      <c r="AF12" s="69"/>
      <c r="AG12" s="69"/>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1:59"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69"/>
      <c r="AE13" s="69"/>
      <c r="AF13" s="69"/>
      <c r="AG13" s="69"/>
      <c r="AH13" s="69"/>
      <c r="AI13" s="69"/>
      <c r="AJ13" s="69"/>
      <c r="AK13" s="69"/>
      <c r="AL13" s="69"/>
      <c r="AM13" s="69"/>
      <c r="AN13" s="69"/>
      <c r="AO13" s="69"/>
      <c r="AP13" s="69"/>
      <c r="AQ13" s="69"/>
      <c r="AR13" s="69"/>
      <c r="AU13" s="69">
        <f>SUMPRODUCT(--(LEN(C16:AG35)&gt;0))</f>
        <v>0</v>
      </c>
      <c r="AV13" s="69">
        <f>COUNTIF(F16:J35,"*Others*")</f>
        <v>0</v>
      </c>
    </row>
    <row r="14" spans="1:59" ht="15.95" customHeight="1" x14ac:dyDescent="0.25">
      <c r="B14" s="69"/>
      <c r="C14" s="799" t="s">
        <v>923</v>
      </c>
      <c r="D14" s="799"/>
      <c r="E14" s="799"/>
      <c r="F14" s="799" t="s">
        <v>830</v>
      </c>
      <c r="G14" s="799"/>
      <c r="H14" s="799"/>
      <c r="I14" s="799"/>
      <c r="J14" s="799"/>
      <c r="K14" s="799" t="s">
        <v>1313</v>
      </c>
      <c r="L14" s="799"/>
      <c r="M14" s="799" t="s">
        <v>826</v>
      </c>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c r="BE14" s="745" t="s">
        <v>2006</v>
      </c>
      <c r="BF14" s="745" t="s">
        <v>2007</v>
      </c>
      <c r="BG14" s="745" t="s">
        <v>2008</v>
      </c>
    </row>
    <row r="15" spans="1:59"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t="s">
        <v>1348</v>
      </c>
      <c r="BE15" s="746"/>
      <c r="BF15" s="746"/>
      <c r="BG15" s="746"/>
    </row>
    <row r="16" spans="1:59" ht="15.95" customHeight="1" x14ac:dyDescent="0.25">
      <c r="B16" s="1193">
        <v>1</v>
      </c>
      <c r="C16" s="1826"/>
      <c r="D16" s="1827"/>
      <c r="E16" s="1828"/>
      <c r="F16" s="842"/>
      <c r="G16" s="822"/>
      <c r="H16" s="822"/>
      <c r="I16" s="822"/>
      <c r="J16" s="823"/>
      <c r="K16" s="842"/>
      <c r="L16" s="823"/>
      <c r="M16" s="881"/>
      <c r="N16" s="822"/>
      <c r="O16" s="822"/>
      <c r="P16" s="823"/>
      <c r="Q16" s="1832"/>
      <c r="R16" s="1832"/>
      <c r="S16" s="1817"/>
      <c r="T16" s="1822"/>
      <c r="U16" s="1769"/>
      <c r="V16" s="1824"/>
      <c r="W16" s="1824"/>
      <c r="X16" s="1824"/>
      <c r="Y16" s="1824"/>
      <c r="Z16" s="1832"/>
      <c r="AA16" s="1832"/>
      <c r="AB16" s="1817"/>
      <c r="AC16" s="1818"/>
      <c r="AD16" s="1723"/>
      <c r="AE16" s="1821"/>
      <c r="AF16" s="1723"/>
      <c r="AG16" s="1821"/>
      <c r="AH16" s="1688" t="str">
        <f>IF(OR(C16="",F16="",K16="",M16="",Q16="",S16="",U16="",Z16="",AB16="",AD16="",AF16=""),"",ROUND(AD16+AF16,2))</f>
        <v/>
      </c>
      <c r="AI16" s="1834"/>
      <c r="AJ16" s="1834"/>
      <c r="AK16" s="1836" t="str">
        <f>IF(M02S02F44="","Update Install Status",IF(M02S02F44="Yes","Not Eligible if Pre-Purchased",IF(OR(C16="",F16="",K16="",M16="",Q16="",S16="",U16="",Z16="",AB16="",AD16="",AF16=""),"",IF(BC16&lt;&gt;"",BC16,IF(C16="New/Replace Failed Equip.",BA16,AZ16)))))</f>
        <v>Update Install Status</v>
      </c>
      <c r="AL16" s="1836"/>
      <c r="AM16" s="1836"/>
      <c r="AN16" s="1836"/>
      <c r="AO16" s="1838" t="str">
        <f>IF(OR(C16="",F16="",K16="",M16="",Q16="",S16="",U16="",Z16="",AB16="",AD16="",AF16=""),"",IF((Q16*S16)-(Z16*AB16)&lt;=0,0,ROUND((Q16*S16)-(Z16*AB16),0)))</f>
        <v/>
      </c>
      <c r="AP16" s="1838"/>
      <c r="AQ16" s="1838"/>
      <c r="AR16" s="69"/>
      <c r="AU16" s="1051" t="str">
        <f>IFERROR(IF(OR(C16="",F16="",K16="",M16="",Q16="",S16="",U16="",Z16="",AB16="",AD16="",AF16=""),"",((1+ELOSS)*PEAKTD*(1+INDEX(ELECCB[Capacity Reserve Margin],MATCH(AX16,ELECCB[Year Number],0)))*((AO16*INDEX(ELECCB[NPV AEC $/kWh],MATCH(AX16,ELECCB[Year Number],1)))+(AV16*INDEX(ELECCB[NPV ACC+T&amp;D $/kW],MATCH(AX16,ELECCB[Year Number],1))))/AH16)),0)</f>
        <v/>
      </c>
      <c r="AV16" s="1813" t="str">
        <f>IF(OR(C16="",F16="",K16="",M16="",Q16="",S16="",U16="",Z16="",AB16="",AD16="",AF16=""),"",ROUND(AO16*INDEX(ENDUSEALL[Factor],MATCH(AW16,ENDUSEALL[End Use to Coincident Peak Demand Factors],0)),4))</f>
        <v/>
      </c>
      <c r="AW16" s="1815" t="str">
        <f>IF(OR(C16="",F16="",K16="",M16="",,Q16="",S16="",U16="",Z16="",AB16="",AD16="",AF16=""),"",K16)</f>
        <v/>
      </c>
      <c r="AX16" s="800" t="str">
        <f>IF(OR(C16="",F16="",K16="",M16="",Q16="",S16="",U16="",Z16="",AB16="",AD16="",AF16=""),"",INDEX(CMEHVAC[EUL],MATCH(F16,CMEHVAC[Proj Desc 1],0)))</f>
        <v/>
      </c>
      <c r="AY16" s="1811" t="str">
        <f>IF(OR(C16="",F16="",K16="",M16="",Q16="",S16="",U16="",Z16="",AB16="",AD16="",AF16=""),"",INDEX(CMEHVAC[Measure Number],MATCH(F16,CMEHVAC[Proj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22">
        <f>IFERROR(ROUND(BG16*1.15,2),0)</f>
        <v>0</v>
      </c>
      <c r="BF16" s="1422" t="str">
        <f>IF(M02S02F44="","Update Install Status",IF(M02S02F44="Yes","Not Eligible if Pre-Purchased",IF(OR(C16="",F16="",K16="",M16="",Q16="",S16="",U16="",Z16="",AB16="",AD16="",AF16=""),"",IF(BC16&lt;&gt;"",BC16,ROUND(BE16*BONUSADJ,2)))))</f>
        <v>Update Install Status</v>
      </c>
      <c r="BG16" s="1851" t="str">
        <f>IF(M02S02F44="","Update Install Status",IF(M02S02F44="Yes","Not Eligible if Pre-Purchased",IF(OR(C16="",F16="",K16="",M16="",Q16="",S16="",U16="",Z16="",AB16="",AD16="",AF16=""),"",IF(BC16&lt;&gt;"",BC16,IF(C16="New/Replace Failed Equip.",BA16,AZ16)))))</f>
        <v>Update Install Status</v>
      </c>
    </row>
    <row r="17" spans="2:59" ht="15.95" customHeight="1" x14ac:dyDescent="0.25">
      <c r="B17" s="1193"/>
      <c r="C17" s="1829"/>
      <c r="D17" s="1830"/>
      <c r="E17" s="1831"/>
      <c r="F17" s="824"/>
      <c r="G17" s="825"/>
      <c r="H17" s="825"/>
      <c r="I17" s="825"/>
      <c r="J17" s="826"/>
      <c r="K17" s="824"/>
      <c r="L17" s="826"/>
      <c r="M17" s="824"/>
      <c r="N17" s="825"/>
      <c r="O17" s="825"/>
      <c r="P17" s="826"/>
      <c r="Q17" s="1833"/>
      <c r="R17" s="1833"/>
      <c r="S17" s="1819"/>
      <c r="T17" s="1823"/>
      <c r="U17" s="826"/>
      <c r="V17" s="1825"/>
      <c r="W17" s="1825"/>
      <c r="X17" s="1825"/>
      <c r="Y17" s="1825"/>
      <c r="Z17" s="1833"/>
      <c r="AA17" s="1833"/>
      <c r="AB17" s="1819"/>
      <c r="AC17" s="1820"/>
      <c r="AD17" s="1725"/>
      <c r="AE17" s="1215"/>
      <c r="AF17" s="1725"/>
      <c r="AG17" s="1215"/>
      <c r="AH17" s="1835"/>
      <c r="AI17" s="1400"/>
      <c r="AJ17" s="1400"/>
      <c r="AK17" s="1837"/>
      <c r="AL17" s="1837"/>
      <c r="AM17" s="1837"/>
      <c r="AN17" s="1837"/>
      <c r="AO17" s="1424"/>
      <c r="AP17" s="1424"/>
      <c r="AQ17" s="1424"/>
      <c r="AR17" s="69"/>
      <c r="AU17" s="1052"/>
      <c r="AV17" s="1814"/>
      <c r="AW17" s="1816"/>
      <c r="AX17" s="801"/>
      <c r="AY17" s="1812"/>
      <c r="AZ17" s="1462"/>
      <c r="BA17" s="1462"/>
      <c r="BB17" s="1462"/>
      <c r="BC17" s="1462"/>
      <c r="BD17" s="1462"/>
      <c r="BE17" s="1423"/>
      <c r="BF17" s="1423"/>
      <c r="BG17" s="1423"/>
    </row>
    <row r="18" spans="2:59" ht="15.95" customHeight="1" x14ac:dyDescent="0.25">
      <c r="B18" s="1204">
        <v>2</v>
      </c>
      <c r="C18" s="1826"/>
      <c r="D18" s="1827"/>
      <c r="E18" s="1828"/>
      <c r="F18" s="842"/>
      <c r="G18" s="822"/>
      <c r="H18" s="822"/>
      <c r="I18" s="822"/>
      <c r="J18" s="823"/>
      <c r="K18" s="842"/>
      <c r="L18" s="823"/>
      <c r="M18" s="881"/>
      <c r="N18" s="822"/>
      <c r="O18" s="822"/>
      <c r="P18" s="823"/>
      <c r="Q18" s="1832"/>
      <c r="R18" s="1832"/>
      <c r="S18" s="1817"/>
      <c r="T18" s="1822"/>
      <c r="U18" s="1769"/>
      <c r="V18" s="1824"/>
      <c r="W18" s="1824"/>
      <c r="X18" s="1824"/>
      <c r="Y18" s="1824"/>
      <c r="Z18" s="1832"/>
      <c r="AA18" s="1832"/>
      <c r="AB18" s="1817"/>
      <c r="AC18" s="1818"/>
      <c r="AD18" s="1723"/>
      <c r="AE18" s="1821"/>
      <c r="AF18" s="1723"/>
      <c r="AG18" s="1821"/>
      <c r="AH18" s="1688" t="str">
        <f>IF(OR(C18="",F18="",K18="",M18="",Q18="",S18="",U18="",Z18="",AB18="",AD18="",AF18=""),"",ROUND(AD18+AF18,2))</f>
        <v/>
      </c>
      <c r="AI18" s="1834"/>
      <c r="AJ18" s="1834"/>
      <c r="AK18" s="1836" t="str">
        <f>IF(M02S02F44="","Update Install Status",IF(M02S02F44="Yes","Not Eligible if Pre-Purchased",IF(OR(C18="",F18="",K18="",M18="",Q18="",S18="",U18="",Z18="",AB18="",AD18="",AF18=""),"",IF(BC18&lt;&gt;"",BC18,IF(C18="New/Replace Failed Equip.",BA18,AZ18)))))</f>
        <v>Update Install Status</v>
      </c>
      <c r="AL18" s="1836"/>
      <c r="AM18" s="1836"/>
      <c r="AN18" s="1836"/>
      <c r="AO18" s="1838" t="str">
        <f>IF(OR(C18="",F18="",K18="",M18="",Q18="",S18="",U18="",Z18="",AB18="",AD18="",AF18=""),"",IF((Q18*S18)-(Z18*AB18)&lt;=0,0,ROUND((Q18*S18)-(Z18*AB18),0)))</f>
        <v/>
      </c>
      <c r="AP18" s="1838"/>
      <c r="AQ18" s="1838"/>
      <c r="AR18" s="69"/>
      <c r="AU18" s="1051" t="str">
        <f>IFERROR(IF(OR(C18="",F18="",K18="",M18="",Q18="",S18="",U18="",Z18="",AB18="",AD18="",AF18=""),"",((1+ELOSS)*PEAKTD*(1+INDEX(ELECCB[Capacity Reserve Margin],MATCH(AX18,ELECCB[Year Number],0)))*((AO18*INDEX(ELECCB[NPV AEC $/kWh],MATCH(AX18,ELECCB[Year Number],1)))+(AV18*INDEX(ELECCB[NPV ACC+T&amp;D $/kW],MATCH(AX18,ELECCB[Year Number],1))))/AH18)),0)</f>
        <v/>
      </c>
      <c r="AV18" s="1813" t="str">
        <f>IF(OR(C18="",F18="",K18="",M18="",Q18="",S18="",U18="",Z18="",AB18="",AD18="",AF18=""),"",ROUND(AO18*INDEX(ENDUSEALL[Factor],MATCH(AW18,ENDUSEALL[End Use to Coincident Peak Demand Factors],0)),4))</f>
        <v/>
      </c>
      <c r="AW18" s="1815" t="str">
        <f>IF(OR(C18="",F18="",K18="",M18="",,Q18="",S18="",U18="",Z18="",AB18="",AD18="",AF18=""),"",K18)</f>
        <v/>
      </c>
      <c r="AX18" s="800" t="str">
        <f>IF(OR(C18="",F18="",K18="",M18="",Q18="",S18="",U18="",Z18="",AB18="",AD18="",AF18=""),"",INDEX(CMEHVAC[EUL],MATCH(F18,CMEHVAC[Proj Desc 1],0)))</f>
        <v/>
      </c>
      <c r="AY18" s="1811" t="str">
        <f>IF(OR(C18="",F18="",K18="",M18="",Q18="",S18="",U18="",Z18="",AB18="",AD18="",AF18=""),"",INDEX(CMEHVAC[Measure Number],MATCH(F18,CMEHVAC[Proj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22">
        <f t="shared" ref="BE18" si="0">IFERROR(ROUND(BG18*1.15,2),0)</f>
        <v>0</v>
      </c>
      <c r="BF18" s="1422" t="str">
        <f>IF(M02S02F44="","Update Install Status",IF(M02S02F44="Yes","Not Eligible if Pre-Purchased",IF(OR(C18="",F18="",K18="",M18="",Q18="",S18="",U18="",Z18="",AB18="",AD18="",AF18=""),"",IF(BC18&lt;&gt;"",BC18,ROUND(BE18*BONUSADJ,2)))))</f>
        <v>Update Install Status</v>
      </c>
      <c r="BG18" s="1851" t="str">
        <f>IF(M02S02F44="","Update Install Status",IF(M02S02F44="Yes","Not Eligible if Pre-Purchased",IF(OR(C18="",F18="",K18="",M18="",Q18="",S18="",U18="",Z18="",AB18="",AD18="",AF18=""),"",IF(BC18&lt;&gt;"",BC18,IF(C18="New/Replace Failed Equip.",BA18,AZ18)))))</f>
        <v>Update Install Status</v>
      </c>
    </row>
    <row r="19" spans="2:59" ht="15.95" customHeight="1" x14ac:dyDescent="0.25">
      <c r="B19" s="1204"/>
      <c r="C19" s="1829"/>
      <c r="D19" s="1830"/>
      <c r="E19" s="1831"/>
      <c r="F19" s="824"/>
      <c r="G19" s="825"/>
      <c r="H19" s="825"/>
      <c r="I19" s="825"/>
      <c r="J19" s="826"/>
      <c r="K19" s="824"/>
      <c r="L19" s="826"/>
      <c r="M19" s="824"/>
      <c r="N19" s="825"/>
      <c r="O19" s="825"/>
      <c r="P19" s="826"/>
      <c r="Q19" s="1833"/>
      <c r="R19" s="1833"/>
      <c r="S19" s="1819"/>
      <c r="T19" s="1823"/>
      <c r="U19" s="826"/>
      <c r="V19" s="1825"/>
      <c r="W19" s="1825"/>
      <c r="X19" s="1825"/>
      <c r="Y19" s="1825"/>
      <c r="Z19" s="1833"/>
      <c r="AA19" s="1833"/>
      <c r="AB19" s="1819"/>
      <c r="AC19" s="1820"/>
      <c r="AD19" s="1725"/>
      <c r="AE19" s="1215"/>
      <c r="AF19" s="1725"/>
      <c r="AG19" s="1215"/>
      <c r="AH19" s="1835"/>
      <c r="AI19" s="1400"/>
      <c r="AJ19" s="1400"/>
      <c r="AK19" s="1837"/>
      <c r="AL19" s="1837"/>
      <c r="AM19" s="1837"/>
      <c r="AN19" s="1837"/>
      <c r="AO19" s="1424"/>
      <c r="AP19" s="1424"/>
      <c r="AQ19" s="1424"/>
      <c r="AR19" s="69"/>
      <c r="AU19" s="1052"/>
      <c r="AV19" s="1814"/>
      <c r="AW19" s="1816"/>
      <c r="AX19" s="801"/>
      <c r="AY19" s="1812"/>
      <c r="AZ19" s="1462"/>
      <c r="BA19" s="1462"/>
      <c r="BB19" s="1462"/>
      <c r="BC19" s="1462"/>
      <c r="BD19" s="1462"/>
      <c r="BE19" s="1423"/>
      <c r="BF19" s="1423"/>
      <c r="BG19" s="1423"/>
    </row>
    <row r="20" spans="2:59" ht="15.95" customHeight="1" x14ac:dyDescent="0.25">
      <c r="B20" s="1204">
        <v>3</v>
      </c>
      <c r="C20" s="1826"/>
      <c r="D20" s="1827"/>
      <c r="E20" s="1828"/>
      <c r="F20" s="881"/>
      <c r="G20" s="894"/>
      <c r="H20" s="894"/>
      <c r="I20" s="894"/>
      <c r="J20" s="895"/>
      <c r="K20" s="881"/>
      <c r="L20" s="895"/>
      <c r="M20" s="881"/>
      <c r="N20" s="894"/>
      <c r="O20" s="894"/>
      <c r="P20" s="895"/>
      <c r="Q20" s="1840"/>
      <c r="R20" s="1840"/>
      <c r="S20" s="1842"/>
      <c r="T20" s="1847"/>
      <c r="U20" s="1769"/>
      <c r="V20" s="1846"/>
      <c r="W20" s="1846"/>
      <c r="X20" s="1846"/>
      <c r="Y20" s="1846"/>
      <c r="Z20" s="1840"/>
      <c r="AA20" s="1840"/>
      <c r="AB20" s="1842"/>
      <c r="AC20" s="1843"/>
      <c r="AD20" s="1779"/>
      <c r="AE20" s="1839"/>
      <c r="AF20" s="1779"/>
      <c r="AG20" s="1839"/>
      <c r="AH20" s="1688" t="str">
        <f>IF(OR(C20="",F20="",K20="",M20="",Q20="",S20="",U20="",Z20="",AB20="",AD20="",AF20=""),"",ROUND(AD20+AF20,2))</f>
        <v/>
      </c>
      <c r="AI20" s="1834"/>
      <c r="AJ20" s="1834"/>
      <c r="AK20" s="1836" t="str">
        <f>IF(M02S02F44="","Update Install Status",IF(M02S02F44="Yes","Not Eligible if Pre-Purchased",IF(OR(C20="",F20="",K20="",M20="",Q20="",S20="",U20="",Z20="",AB20="",AD20="",AF20=""),"",IF(BC20&lt;&gt;"",BC20,IF(C20="New/Replace Failed Equip.",BA20,AZ20)))))</f>
        <v>Update Install Status</v>
      </c>
      <c r="AL20" s="1836"/>
      <c r="AM20" s="1836"/>
      <c r="AN20" s="1836"/>
      <c r="AO20" s="1838" t="str">
        <f t="shared" ref="AO20" si="1">IF(OR(C20="",F20="",K20="",M20="",Q20="",S20="",U20="",Z20="",AB20="",AD20="",AF20=""),"",IF((Q20*S20)-(Z20*AB20)&lt;=0,0,ROUND((Q20*S20)-(Z20*AB20),0)))</f>
        <v/>
      </c>
      <c r="AP20" s="1838"/>
      <c r="AQ20" s="1838"/>
      <c r="AR20" s="69"/>
      <c r="AU20" s="1051" t="str">
        <f>IFERROR(IF(OR(C20="",F20="",K20="",M20="",Q20="",S20="",U20="",Z20="",AB20="",AD20="",AF20=""),"",((1+ELOSS)*PEAKTD*(1+INDEX(ELECCB[Capacity Reserve Margin],MATCH(AX20,ELECCB[Year Number],0)))*((AO20*INDEX(ELECCB[NPV AEC $/kWh],MATCH(AX20,ELECCB[Year Number],1)))+(AV20*INDEX(ELECCB[NPV ACC+T&amp;D $/kW],MATCH(AX20,ELECCB[Year Number],1))))/AH20)),0)</f>
        <v/>
      </c>
      <c r="AV20" s="1813" t="str">
        <f>IF(OR(C20="",F20="",K20="",M20="",Q20="",S20="",U20="",Z20="",AB20="",AD20="",AF20=""),"",ROUND(AO20*INDEX(ENDUSEALL[Factor],MATCH(AW20,ENDUSEALL[End Use to Coincident Peak Demand Factors],0)),4))</f>
        <v/>
      </c>
      <c r="AW20" s="1815" t="str">
        <f>IF(OR(C20="",F20="",K20="",M20="",,Q20="",S20="",U20="",Z20="",AB20="",AD20="",AF20=""),"",K20)</f>
        <v/>
      </c>
      <c r="AX20" s="800" t="str">
        <f>IF(OR(C20="",F20="",K20="",M20="",Q20="",S20="",U20="",Z20="",AB20="",AD20="",AF20=""),"",INDEX(CMEHVAC[EUL],MATCH(F20,CMEHVAC[Proj Desc 1],0)))</f>
        <v/>
      </c>
      <c r="AY20" s="1811" t="str">
        <f>IF(OR(C20="",F20="",K20="",M20="",Q20="",S20="",U20="",Z20="",AB20="",AD20="",AF20=""),"",INDEX(CMEHVAC[Measure Number],MATCH(F20,CMEHVAC[Proj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22">
        <f t="shared" ref="BE20" si="2">IFERROR(ROUND(BG20*1.15,2),0)</f>
        <v>0</v>
      </c>
      <c r="BF20" s="1422" t="str">
        <f>IF(M02S02F44="","Update Install Status",IF(M02S02F44="Yes","Not Eligible if Pre-Purchased",IF(OR(C20="",F20="",K20="",M20="",Q20="",S20="",U20="",Z20="",AB20="",AD20="",AF20=""),"",IF(BC20&lt;&gt;"",BC20,ROUND(BE20*BONUSADJ,2)))))</f>
        <v>Update Install Status</v>
      </c>
      <c r="BG20" s="1851" t="str">
        <f>IF(M02S02F44="","Update Install Status",IF(M02S02F44="Yes","Not Eligible if Pre-Purchased",IF(OR(C20="",F20="",K20="",M20="",Q20="",S20="",U20="",Z20="",AB20="",AD20="",AF20=""),"",IF(BC20&lt;&gt;"",BC20,IF(C20="New/Replace Failed Equip.",BA20,AZ20)))))</f>
        <v>Update Install Status</v>
      </c>
    </row>
    <row r="21" spans="2:59" ht="15.95" customHeight="1" x14ac:dyDescent="0.25">
      <c r="B21" s="1204"/>
      <c r="C21" s="1829"/>
      <c r="D21" s="1830"/>
      <c r="E21" s="1831"/>
      <c r="F21" s="896"/>
      <c r="G21" s="897"/>
      <c r="H21" s="897"/>
      <c r="I21" s="897"/>
      <c r="J21" s="898"/>
      <c r="K21" s="896"/>
      <c r="L21" s="898"/>
      <c r="M21" s="896"/>
      <c r="N21" s="897"/>
      <c r="O21" s="897"/>
      <c r="P21" s="898"/>
      <c r="Q21" s="1841"/>
      <c r="R21" s="1841"/>
      <c r="S21" s="1844"/>
      <c r="T21" s="1848"/>
      <c r="U21" s="898"/>
      <c r="V21" s="1675"/>
      <c r="W21" s="1675"/>
      <c r="X21" s="1675"/>
      <c r="Y21" s="1675"/>
      <c r="Z21" s="1841"/>
      <c r="AA21" s="1841"/>
      <c r="AB21" s="1844"/>
      <c r="AC21" s="1845"/>
      <c r="AD21" s="1781"/>
      <c r="AE21" s="1201"/>
      <c r="AF21" s="1781"/>
      <c r="AG21" s="1201"/>
      <c r="AH21" s="1835"/>
      <c r="AI21" s="1400"/>
      <c r="AJ21" s="1400"/>
      <c r="AK21" s="1837"/>
      <c r="AL21" s="1837"/>
      <c r="AM21" s="1837"/>
      <c r="AN21" s="1837"/>
      <c r="AO21" s="1424"/>
      <c r="AP21" s="1424"/>
      <c r="AQ21" s="1424"/>
      <c r="AR21" s="69"/>
      <c r="AU21" s="1052"/>
      <c r="AV21" s="1814"/>
      <c r="AW21" s="1816"/>
      <c r="AX21" s="801"/>
      <c r="AY21" s="1812"/>
      <c r="AZ21" s="1462"/>
      <c r="BA21" s="1462"/>
      <c r="BB21" s="1462"/>
      <c r="BC21" s="1462"/>
      <c r="BD21" s="1462"/>
      <c r="BE21" s="1423"/>
      <c r="BF21" s="1423"/>
      <c r="BG21" s="1423"/>
    </row>
    <row r="22" spans="2:59" ht="15.95" customHeight="1" x14ac:dyDescent="0.25">
      <c r="B22" s="1204">
        <v>4</v>
      </c>
      <c r="C22" s="1826"/>
      <c r="D22" s="1827"/>
      <c r="E22" s="1828"/>
      <c r="F22" s="842"/>
      <c r="G22" s="822"/>
      <c r="H22" s="822"/>
      <c r="I22" s="822"/>
      <c r="J22" s="823"/>
      <c r="K22" s="842"/>
      <c r="L22" s="823"/>
      <c r="M22" s="842"/>
      <c r="N22" s="822"/>
      <c r="O22" s="822"/>
      <c r="P22" s="823"/>
      <c r="Q22" s="1832"/>
      <c r="R22" s="1832"/>
      <c r="S22" s="1817"/>
      <c r="T22" s="1822"/>
      <c r="U22" s="1472"/>
      <c r="V22" s="1824"/>
      <c r="W22" s="1824"/>
      <c r="X22" s="1824"/>
      <c r="Y22" s="1824"/>
      <c r="Z22" s="1832"/>
      <c r="AA22" s="1832"/>
      <c r="AB22" s="1817"/>
      <c r="AC22" s="1818"/>
      <c r="AD22" s="1723"/>
      <c r="AE22" s="1821"/>
      <c r="AF22" s="1723"/>
      <c r="AG22" s="1821"/>
      <c r="AH22" s="1688" t="str">
        <f>IF(OR(C22="",F22="",K22="",M22="",Q22="",S22="",U22="",Z22="",AB22="",AD22="",AF22=""),"",ROUND(AD22+AF22,2))</f>
        <v/>
      </c>
      <c r="AI22" s="1834"/>
      <c r="AJ22" s="1834"/>
      <c r="AK22" s="1836" t="str">
        <f>IF(M02S02F44="","Update Install Status",IF(M02S02F44="Yes","Not Eligible if Pre-Purchased",IF(OR(C22="",F22="",K22="",M22="",Q22="",S22="",U22="",Z22="",AB22="",AD22="",AF22=""),"",IF(BC22&lt;&gt;"",BC22,IF(C22="New/Replace Failed Equip.",BA22,AZ22)))))</f>
        <v>Update Install Status</v>
      </c>
      <c r="AL22" s="1836"/>
      <c r="AM22" s="1836"/>
      <c r="AN22" s="1836"/>
      <c r="AO22" s="1838" t="str">
        <f t="shared" ref="AO22" si="3">IF(OR(C22="",F22="",K22="",M22="",Q22="",S22="",U22="",Z22="",AB22="",AD22="",AF22=""),"",IF((Q22*S22)-(Z22*AB22)&lt;=0,0,ROUND((Q22*S22)-(Z22*AB22),0)))</f>
        <v/>
      </c>
      <c r="AP22" s="1838"/>
      <c r="AQ22" s="1838"/>
      <c r="AR22" s="69"/>
      <c r="AU22" s="1051" t="str">
        <f>IFERROR(IF(OR(C22="",F22="",K22="",M22="",Q22="",S22="",U22="",Z22="",AB22="",AD22="",AF22=""),"",((1+ELOSS)*PEAKTD*(1+INDEX(ELECCB[Capacity Reserve Margin],MATCH(AX22,ELECCB[Year Number],0)))*((AO22*INDEX(ELECCB[NPV AEC $/kWh],MATCH(AX22,ELECCB[Year Number],1)))+(AV22*INDEX(ELECCB[NPV ACC+T&amp;D $/kW],MATCH(AX22,ELECCB[Year Number],1))))/AH22)),0)</f>
        <v/>
      </c>
      <c r="AV22" s="1813" t="str">
        <f>IF(OR(C22="",F22="",K22="",M22="",Q22="",S22="",U22="",Z22="",AB22="",AD22="",AF22=""),"",ROUND(AO22*INDEX(ENDUSEALL[Factor],MATCH(AW22,ENDUSEALL[End Use to Coincident Peak Demand Factors],0)),4))</f>
        <v/>
      </c>
      <c r="AW22" s="1815" t="str">
        <f>IF(OR(C22="",F22="",K22="",M22="",,Q22="",S22="",U22="",Z22="",AB22="",AD22="",AF22=""),"",K22)</f>
        <v/>
      </c>
      <c r="AX22" s="800" t="str">
        <f>IF(OR(C22="",F22="",K22="",M22="",Q22="",S22="",U22="",Z22="",AB22="",AD22="",AF22=""),"",INDEX(CMEHVAC[EUL],MATCH(F22,CMEHVAC[Proj Desc 1],0)))</f>
        <v/>
      </c>
      <c r="AY22" s="1811" t="str">
        <f>IF(OR(C22="",F22="",K22="",M22="",Q22="",S22="",U22="",Z22="",AB22="",AD22="",AF22=""),"",INDEX(CMEHVAC[Measure Number],MATCH(F22,CMEHVAC[Proj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22">
        <f t="shared" ref="BE22" si="4">IFERROR(ROUND(BG22*1.15,2),0)</f>
        <v>0</v>
      </c>
      <c r="BF22" s="1422" t="str">
        <f>IF(M02S02F44="","Update Install Status",IF(M02S02F44="Yes","Not Eligible if Pre-Purchased",IF(OR(C22="",F22="",K22="",M22="",Q22="",S22="",U22="",Z22="",AB22="",AD22="",AF22=""),"",IF(BC22&lt;&gt;"",BC22,ROUND(BE22*BONUSADJ,2)))))</f>
        <v>Update Install Status</v>
      </c>
      <c r="BG22" s="1851" t="str">
        <f>IF(M02S02F44="","Update Install Status",IF(M02S02F44="Yes","Not Eligible if Pre-Purchased",IF(OR(C22="",F22="",K22="",M22="",Q22="",S22="",U22="",Z22="",AB22="",AD22="",AF22=""),"",IF(BC22&lt;&gt;"",BC22,IF(C22="New/Replace Failed Equip.",BA22,AZ22)))))</f>
        <v>Update Install Status</v>
      </c>
    </row>
    <row r="23" spans="2:59" ht="15.95" customHeight="1" x14ac:dyDescent="0.25">
      <c r="B23" s="1204"/>
      <c r="C23" s="1829"/>
      <c r="D23" s="1830"/>
      <c r="E23" s="1831"/>
      <c r="F23" s="824"/>
      <c r="G23" s="825"/>
      <c r="H23" s="825"/>
      <c r="I23" s="825"/>
      <c r="J23" s="826"/>
      <c r="K23" s="824"/>
      <c r="L23" s="826"/>
      <c r="M23" s="824"/>
      <c r="N23" s="825"/>
      <c r="O23" s="825"/>
      <c r="P23" s="826"/>
      <c r="Q23" s="1833"/>
      <c r="R23" s="1833"/>
      <c r="S23" s="1819"/>
      <c r="T23" s="1823"/>
      <c r="U23" s="826"/>
      <c r="V23" s="1825"/>
      <c r="W23" s="1825"/>
      <c r="X23" s="1825"/>
      <c r="Y23" s="1825"/>
      <c r="Z23" s="1833"/>
      <c r="AA23" s="1833"/>
      <c r="AB23" s="1819"/>
      <c r="AC23" s="1820"/>
      <c r="AD23" s="1725"/>
      <c r="AE23" s="1215"/>
      <c r="AF23" s="1725"/>
      <c r="AG23" s="1215"/>
      <c r="AH23" s="1835"/>
      <c r="AI23" s="1400"/>
      <c r="AJ23" s="1400"/>
      <c r="AK23" s="1837"/>
      <c r="AL23" s="1837"/>
      <c r="AM23" s="1837"/>
      <c r="AN23" s="1837"/>
      <c r="AO23" s="1424"/>
      <c r="AP23" s="1424"/>
      <c r="AQ23" s="1424"/>
      <c r="AR23" s="69"/>
      <c r="AU23" s="1052"/>
      <c r="AV23" s="1814"/>
      <c r="AW23" s="1816"/>
      <c r="AX23" s="801"/>
      <c r="AY23" s="1812"/>
      <c r="AZ23" s="1462"/>
      <c r="BA23" s="1462"/>
      <c r="BB23" s="1462"/>
      <c r="BC23" s="1462"/>
      <c r="BD23" s="1462"/>
      <c r="BE23" s="1423"/>
      <c r="BF23" s="1423"/>
      <c r="BG23" s="1423"/>
    </row>
    <row r="24" spans="2:59" ht="15.95" customHeight="1" x14ac:dyDescent="0.25">
      <c r="B24" s="1204">
        <v>5</v>
      </c>
      <c r="C24" s="1826"/>
      <c r="D24" s="1827"/>
      <c r="E24" s="1828"/>
      <c r="F24" s="842"/>
      <c r="G24" s="822"/>
      <c r="H24" s="822"/>
      <c r="I24" s="822"/>
      <c r="J24" s="823"/>
      <c r="K24" s="842"/>
      <c r="L24" s="823"/>
      <c r="M24" s="842"/>
      <c r="N24" s="822"/>
      <c r="O24" s="822"/>
      <c r="P24" s="823"/>
      <c r="Q24" s="1832"/>
      <c r="R24" s="1832"/>
      <c r="S24" s="1817"/>
      <c r="T24" s="1822"/>
      <c r="U24" s="1472"/>
      <c r="V24" s="1824"/>
      <c r="W24" s="1824"/>
      <c r="X24" s="1824"/>
      <c r="Y24" s="1824"/>
      <c r="Z24" s="1832"/>
      <c r="AA24" s="1832"/>
      <c r="AB24" s="1817"/>
      <c r="AC24" s="1818"/>
      <c r="AD24" s="1723"/>
      <c r="AE24" s="1821"/>
      <c r="AF24" s="1723"/>
      <c r="AG24" s="1821"/>
      <c r="AH24" s="1688" t="str">
        <f>IF(OR(C24="",F24="",K24="",M24="",Q24="",S24="",U24="",Z24="",AB24="",AD24="",AF24=""),"",ROUND(AD24+AF24,2))</f>
        <v/>
      </c>
      <c r="AI24" s="1834"/>
      <c r="AJ24" s="1834"/>
      <c r="AK24" s="1836" t="str">
        <f>IF(M02S02F44="","Update Install Status",IF(M02S02F44="Yes","Not Eligible if Pre-Purchased",IF(OR(C24="",F24="",K24="",M24="",Q24="",S24="",U24="",Z24="",AB24="",AD24="",AF24=""),"",IF(BC24&lt;&gt;"",BC24,IF(C24="New/Replace Failed Equip.",BA24,AZ24)))))</f>
        <v>Update Install Status</v>
      </c>
      <c r="AL24" s="1836"/>
      <c r="AM24" s="1836"/>
      <c r="AN24" s="1836"/>
      <c r="AO24" s="1838" t="str">
        <f t="shared" ref="AO24" si="5">IF(OR(C24="",F24="",K24="",M24="",Q24="",S24="",U24="",Z24="",AB24="",AD24="",AF24=""),"",IF((Q24*S24)-(Z24*AB24)&lt;=0,0,ROUND((Q24*S24)-(Z24*AB24),0)))</f>
        <v/>
      </c>
      <c r="AP24" s="1838"/>
      <c r="AQ24" s="1838"/>
      <c r="AR24" s="69"/>
      <c r="AU24" s="1051" t="str">
        <f>IFERROR(IF(OR(C24="",F24="",K24="",M24="",Q24="",S24="",U24="",Z24="",AB24="",AD24="",AF24=""),"",((1+ELOSS)*PEAKTD*(1+INDEX(ELECCB[Capacity Reserve Margin],MATCH(AX24,ELECCB[Year Number],0)))*((AO24*INDEX(ELECCB[NPV AEC $/kWh],MATCH(AX24,ELECCB[Year Number],1)))+(AV24*INDEX(ELECCB[NPV ACC+T&amp;D $/kW],MATCH(AX24,ELECCB[Year Number],1))))/AH24)),0)</f>
        <v/>
      </c>
      <c r="AV24" s="1813" t="str">
        <f>IF(OR(C24="",F24="",K24="",M24="",Q24="",S24="",U24="",Z24="",AB24="",AD24="",AF24=""),"",ROUND(AO24*INDEX(ENDUSEALL[Factor],MATCH(AW24,ENDUSEALL[End Use to Coincident Peak Demand Factors],0)),4))</f>
        <v/>
      </c>
      <c r="AW24" s="1815" t="str">
        <f>IF(OR(C24="",F24="",K24="",M24="",,Q24="",S24="",U24="",Z24="",AB24="",AD24="",AF24=""),"",K24)</f>
        <v/>
      </c>
      <c r="AX24" s="800" t="str">
        <f>IF(OR(C24="",F24="",K24="",M24="",Q24="",S24="",U24="",Z24="",AB24="",AD24="",AF24=""),"",INDEX(CMEHVAC[EUL],MATCH(F24,CMEHVAC[Proj Desc 1],0)))</f>
        <v/>
      </c>
      <c r="AY24" s="1811" t="str">
        <f>IF(OR(C24="",F24="",K24="",M24="",Q24="",S24="",U24="",Z24="",AB24="",AD24="",AF24=""),"",INDEX(CMEHVAC[Measure Number],MATCH(F24,CMEHVAC[Proj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22">
        <f t="shared" ref="BE24" si="6">IFERROR(ROUND(BG24*1.15,2),0)</f>
        <v>0</v>
      </c>
      <c r="BF24" s="1422" t="str">
        <f>IF(M02S02F44="","Update Install Status",IF(M02S02F44="Yes","Not Eligible if Pre-Purchased",IF(OR(C24="",F24="",K24="",M24="",Q24="",S24="",U24="",Z24="",AB24="",AD24="",AF24=""),"",IF(BC24&lt;&gt;"",BC24,ROUND(BE24*BONUSADJ,2)))))</f>
        <v>Update Install Status</v>
      </c>
      <c r="BG24" s="1851" t="str">
        <f>IF(M02S02F44="","Update Install Status",IF(M02S02F44="Yes","Not Eligible if Pre-Purchased",IF(OR(C24="",F24="",K24="",M24="",Q24="",S24="",U24="",Z24="",AB24="",AD24="",AF24=""),"",IF(BC24&lt;&gt;"",BC24,IF(C24="New/Replace Failed Equip.",BA24,AZ24)))))</f>
        <v>Update Install Status</v>
      </c>
    </row>
    <row r="25" spans="2:59" ht="15.95" customHeight="1" x14ac:dyDescent="0.25">
      <c r="B25" s="1204"/>
      <c r="C25" s="1829"/>
      <c r="D25" s="1830"/>
      <c r="E25" s="1831"/>
      <c r="F25" s="824"/>
      <c r="G25" s="825"/>
      <c r="H25" s="825"/>
      <c r="I25" s="825"/>
      <c r="J25" s="826"/>
      <c r="K25" s="824"/>
      <c r="L25" s="826"/>
      <c r="M25" s="824"/>
      <c r="N25" s="825"/>
      <c r="O25" s="825"/>
      <c r="P25" s="826"/>
      <c r="Q25" s="1833"/>
      <c r="R25" s="1833"/>
      <c r="S25" s="1819"/>
      <c r="T25" s="1823"/>
      <c r="U25" s="826"/>
      <c r="V25" s="1825"/>
      <c r="W25" s="1825"/>
      <c r="X25" s="1825"/>
      <c r="Y25" s="1825"/>
      <c r="Z25" s="1833"/>
      <c r="AA25" s="1833"/>
      <c r="AB25" s="1819"/>
      <c r="AC25" s="1820"/>
      <c r="AD25" s="1725"/>
      <c r="AE25" s="1215"/>
      <c r="AF25" s="1725"/>
      <c r="AG25" s="1215"/>
      <c r="AH25" s="1835"/>
      <c r="AI25" s="1400"/>
      <c r="AJ25" s="1400"/>
      <c r="AK25" s="1837"/>
      <c r="AL25" s="1837"/>
      <c r="AM25" s="1837"/>
      <c r="AN25" s="1837"/>
      <c r="AO25" s="1424"/>
      <c r="AP25" s="1424"/>
      <c r="AQ25" s="1424"/>
      <c r="AR25" s="69"/>
      <c r="AU25" s="1052"/>
      <c r="AV25" s="1814"/>
      <c r="AW25" s="1816"/>
      <c r="AX25" s="801"/>
      <c r="AY25" s="1812"/>
      <c r="AZ25" s="1462"/>
      <c r="BA25" s="1462"/>
      <c r="BB25" s="1462"/>
      <c r="BC25" s="1462"/>
      <c r="BD25" s="1462"/>
      <c r="BE25" s="1423"/>
      <c r="BF25" s="1423"/>
      <c r="BG25" s="1423"/>
    </row>
    <row r="26" spans="2:59" ht="15.95" customHeight="1" x14ac:dyDescent="0.25">
      <c r="B26" s="1204">
        <v>6</v>
      </c>
      <c r="C26" s="1826"/>
      <c r="D26" s="1827"/>
      <c r="E26" s="1828"/>
      <c r="F26" s="842"/>
      <c r="G26" s="822"/>
      <c r="H26" s="822"/>
      <c r="I26" s="822"/>
      <c r="J26" s="823"/>
      <c r="K26" s="842"/>
      <c r="L26" s="823"/>
      <c r="M26" s="881"/>
      <c r="N26" s="822"/>
      <c r="O26" s="822"/>
      <c r="P26" s="823"/>
      <c r="Q26" s="1832"/>
      <c r="R26" s="1832"/>
      <c r="S26" s="1817"/>
      <c r="T26" s="1822"/>
      <c r="U26" s="1769"/>
      <c r="V26" s="1824"/>
      <c r="W26" s="1824"/>
      <c r="X26" s="1824"/>
      <c r="Y26" s="1824"/>
      <c r="Z26" s="1832"/>
      <c r="AA26" s="1832"/>
      <c r="AB26" s="1817"/>
      <c r="AC26" s="1818"/>
      <c r="AD26" s="1723"/>
      <c r="AE26" s="1821"/>
      <c r="AF26" s="1723"/>
      <c r="AG26" s="1821"/>
      <c r="AH26" s="1688" t="str">
        <f>IF(OR(C26="",F26="",K26="",M26="",Q26="",S26="",U26="",Z26="",AB26="",AD26="",AF26=""),"",ROUND(AD26+AF26,2))</f>
        <v/>
      </c>
      <c r="AI26" s="1834"/>
      <c r="AJ26" s="1834"/>
      <c r="AK26" s="1836" t="str">
        <f>IF(M02S02F44="","Update Install Status",IF(M02S02F44="Yes","Not Eligible if Pre-Purchased",IF(OR(C26="",F26="",K26="",M26="",Q26="",S26="",U26="",Z26="",AB26="",AD26="",AF26=""),"",IF(BC26&lt;&gt;"",BC26,IF(C26="New/Replace Failed Equip.",BA26,AZ26)))))</f>
        <v>Update Install Status</v>
      </c>
      <c r="AL26" s="1836"/>
      <c r="AM26" s="1836"/>
      <c r="AN26" s="1836"/>
      <c r="AO26" s="1838" t="str">
        <f t="shared" ref="AO26" si="7">IF(OR(C26="",F26="",K26="",M26="",Q26="",S26="",U26="",Z26="",AB26="",AD26="",AF26=""),"",IF((Q26*S26)-(Z26*AB26)&lt;=0,0,ROUND((Q26*S26)-(Z26*AB26),0)))</f>
        <v/>
      </c>
      <c r="AP26" s="1838"/>
      <c r="AQ26" s="1838"/>
      <c r="AR26" s="69"/>
      <c r="AU26" s="1051" t="str">
        <f>IFERROR(IF(OR(C26="",F26="",K26="",M26="",Q26="",S26="",U26="",Z26="",AB26="",AD26="",AF26=""),"",((1+ELOSS)*PEAKTD*(1+INDEX(ELECCB[Capacity Reserve Margin],MATCH(AX26,ELECCB[Year Number],0)))*((AO26*INDEX(ELECCB[NPV AEC $/kWh],MATCH(AX26,ELECCB[Year Number],1)))+(AV26*INDEX(ELECCB[NPV ACC+T&amp;D $/kW],MATCH(AX26,ELECCB[Year Number],1))))/AH26)),0)</f>
        <v/>
      </c>
      <c r="AV26" s="1813" t="str">
        <f>IF(OR(C26="",F26="",K26="",M26="",Q26="",S26="",U26="",Z26="",AB26="",AD26="",AF26=""),"",ROUND(AO26*INDEX(ENDUSEALL[Factor],MATCH(AW26,ENDUSEALL[End Use to Coincident Peak Demand Factors],0)),4))</f>
        <v/>
      </c>
      <c r="AW26" s="1815" t="str">
        <f>IF(OR(C26="",F26="",K26="",M26="",,Q26="",S26="",U26="",Z26="",AB26="",AD26="",AF26=""),"",K26)</f>
        <v/>
      </c>
      <c r="AX26" s="800" t="str">
        <f>IF(OR(C26="",F26="",K26="",M26="",Q26="",S26="",U26="",Z26="",AB26="",AD26="",AF26=""),"",INDEX(CMEHVAC[EUL],MATCH(F26,CMEHVAC[Proj Desc 1],0)))</f>
        <v/>
      </c>
      <c r="AY26" s="1811" t="str">
        <f>IF(OR(C26="",F26="",K26="",M26="",Q26="",S26="",U26="",Z26="",AB26="",AD26="",AF26=""),"",INDEX(CMEHVAC[Measure Number],MATCH(F26,CMEHVAC[Proj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22">
        <f t="shared" ref="BE26" si="8">IFERROR(ROUND(BG26*1.15,2),0)</f>
        <v>0</v>
      </c>
      <c r="BF26" s="1422" t="str">
        <f>IF(M02S02F44="","Update Install Status",IF(M02S02F44="Yes","Not Eligible if Pre-Purchased",IF(OR(C26="",F26="",K26="",M26="",Q26="",S26="",U26="",Z26="",AB26="",AD26="",AF26=""),"",IF(BC26&lt;&gt;"",BC26,ROUND(BE26*BONUSADJ,2)))))</f>
        <v>Update Install Status</v>
      </c>
      <c r="BG26" s="1851" t="str">
        <f>IF(M02S02F44="","Update Install Status",IF(M02S02F44="Yes","Not Eligible if Pre-Purchased",IF(OR(C26="",F26="",K26="",M26="",Q26="",S26="",U26="",Z26="",AB26="",AD26="",AF26=""),"",IF(BC26&lt;&gt;"",BC26,IF(C26="New/Replace Failed Equip.",BA26,AZ26)))))</f>
        <v>Update Install Status</v>
      </c>
    </row>
    <row r="27" spans="2:59" ht="15.95" customHeight="1" x14ac:dyDescent="0.25">
      <c r="B27" s="1204"/>
      <c r="C27" s="1829"/>
      <c r="D27" s="1830"/>
      <c r="E27" s="1831"/>
      <c r="F27" s="824"/>
      <c r="G27" s="825"/>
      <c r="H27" s="825"/>
      <c r="I27" s="825"/>
      <c r="J27" s="826"/>
      <c r="K27" s="824"/>
      <c r="L27" s="826"/>
      <c r="M27" s="824"/>
      <c r="N27" s="825"/>
      <c r="O27" s="825"/>
      <c r="P27" s="826"/>
      <c r="Q27" s="1833"/>
      <c r="R27" s="1833"/>
      <c r="S27" s="1819"/>
      <c r="T27" s="1823"/>
      <c r="U27" s="826"/>
      <c r="V27" s="1825"/>
      <c r="W27" s="1825"/>
      <c r="X27" s="1825"/>
      <c r="Y27" s="1825"/>
      <c r="Z27" s="1833"/>
      <c r="AA27" s="1833"/>
      <c r="AB27" s="1819"/>
      <c r="AC27" s="1820"/>
      <c r="AD27" s="1725"/>
      <c r="AE27" s="1215"/>
      <c r="AF27" s="1725"/>
      <c r="AG27" s="1215"/>
      <c r="AH27" s="1835"/>
      <c r="AI27" s="1400"/>
      <c r="AJ27" s="1400"/>
      <c r="AK27" s="1837"/>
      <c r="AL27" s="1837"/>
      <c r="AM27" s="1837"/>
      <c r="AN27" s="1837"/>
      <c r="AO27" s="1424"/>
      <c r="AP27" s="1424"/>
      <c r="AQ27" s="1424"/>
      <c r="AR27" s="69"/>
      <c r="AU27" s="1052"/>
      <c r="AV27" s="1814"/>
      <c r="AW27" s="1816"/>
      <c r="AX27" s="801"/>
      <c r="AY27" s="1812"/>
      <c r="AZ27" s="1462"/>
      <c r="BA27" s="1462"/>
      <c r="BB27" s="1462"/>
      <c r="BC27" s="1462"/>
      <c r="BD27" s="1462"/>
      <c r="BE27" s="1423"/>
      <c r="BF27" s="1423"/>
      <c r="BG27" s="1423"/>
    </row>
    <row r="28" spans="2:59" ht="15.95" customHeight="1" x14ac:dyDescent="0.25">
      <c r="B28" s="1204">
        <v>7</v>
      </c>
      <c r="C28" s="1826"/>
      <c r="D28" s="1827"/>
      <c r="E28" s="1828"/>
      <c r="F28" s="842"/>
      <c r="G28" s="822"/>
      <c r="H28" s="822"/>
      <c r="I28" s="822"/>
      <c r="J28" s="823"/>
      <c r="K28" s="842"/>
      <c r="L28" s="823"/>
      <c r="M28" s="842"/>
      <c r="N28" s="822"/>
      <c r="O28" s="822"/>
      <c r="P28" s="823"/>
      <c r="Q28" s="1832"/>
      <c r="R28" s="1832"/>
      <c r="S28" s="1817"/>
      <c r="T28" s="1822"/>
      <c r="U28" s="1472"/>
      <c r="V28" s="1824"/>
      <c r="W28" s="1824"/>
      <c r="X28" s="1824"/>
      <c r="Y28" s="1824"/>
      <c r="Z28" s="1832"/>
      <c r="AA28" s="1832"/>
      <c r="AB28" s="1817"/>
      <c r="AC28" s="1818"/>
      <c r="AD28" s="1723"/>
      <c r="AE28" s="1821"/>
      <c r="AF28" s="1723"/>
      <c r="AG28" s="1821"/>
      <c r="AH28" s="1688" t="str">
        <f>IF(OR(C28="",F28="",K28="",M28="",Q28="",S28="",U28="",Z28="",AB28="",AD28="",AF28=""),"",ROUND(AD28+AF28,2))</f>
        <v/>
      </c>
      <c r="AI28" s="1834"/>
      <c r="AJ28" s="1834"/>
      <c r="AK28" s="1836" t="str">
        <f>IF(M02S02F44="","Update Install Status",IF(M02S02F44="Yes","Not Eligible if Pre-Purchased",IF(OR(C28="",F28="",K28="",M28="",Q28="",S28="",U28="",Z28="",AB28="",AD28="",AF28=""),"",IF(BC28&lt;&gt;"",BC28,IF(C28="New/Replace Failed Equip.",BA28,AZ28)))))</f>
        <v>Update Install Status</v>
      </c>
      <c r="AL28" s="1836"/>
      <c r="AM28" s="1836"/>
      <c r="AN28" s="1836"/>
      <c r="AO28" s="1838" t="str">
        <f t="shared" ref="AO28" si="9">IF(OR(C28="",F28="",K28="",M28="",Q28="",S28="",U28="",Z28="",AB28="",AD28="",AF28=""),"",IF((Q28*S28)-(Z28*AB28)&lt;=0,0,ROUND((Q28*S28)-(Z28*AB28),0)))</f>
        <v/>
      </c>
      <c r="AP28" s="1838"/>
      <c r="AQ28" s="1838"/>
      <c r="AR28" s="69"/>
      <c r="AU28" s="1051" t="str">
        <f>IFERROR(IF(OR(C28="",F28="",K28="",M28="",Q28="",S28="",U28="",Z28="",AB28="",AD28="",AF28=""),"",((1+ELOSS)*PEAKTD*(1+INDEX(ELECCB[Capacity Reserve Margin],MATCH(AX28,ELECCB[Year Number],0)))*((AO28*INDEX(ELECCB[NPV AEC $/kWh],MATCH(AX28,ELECCB[Year Number],1)))+(AV28*INDEX(ELECCB[NPV ACC+T&amp;D $/kW],MATCH(AX28,ELECCB[Year Number],1))))/AH28)),0)</f>
        <v/>
      </c>
      <c r="AV28" s="1813" t="str">
        <f>IF(OR(C28="",F28="",K28="",M28="",Q28="",S28="",U28="",Z28="",AB28="",AD28="",AF28=""),"",ROUND(AO28*INDEX(ENDUSEALL[Factor],MATCH(AW28,ENDUSEALL[End Use to Coincident Peak Demand Factors],0)),4))</f>
        <v/>
      </c>
      <c r="AW28" s="1815" t="str">
        <f>IF(OR(C28="",F28="",K28="",M28="",,Q28="",S28="",U28="",Z28="",AB28="",AD28="",AF28=""),"",K28)</f>
        <v/>
      </c>
      <c r="AX28" s="800" t="str">
        <f>IF(OR(C28="",F28="",K28="",M28="",Q28="",S28="",U28="",Z28="",AB28="",AD28="",AF28=""),"",INDEX(CMEHVAC[EUL],MATCH(F28,CMEHVAC[Proj Desc 1],0)))</f>
        <v/>
      </c>
      <c r="AY28" s="1811" t="str">
        <f>IF(OR(C28="",F28="",K28="",M28="",Q28="",S28="",U28="",Z28="",AB28="",AD28="",AF28=""),"",INDEX(CMEHVAC[Measure Number],MATCH(F28,CMEHVAC[Proj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22">
        <f t="shared" ref="BE28" si="10">IFERROR(ROUND(BG28*1.15,2),0)</f>
        <v>0</v>
      </c>
      <c r="BF28" s="1422" t="str">
        <f>IF(M02S02F44="","Update Install Status",IF(M02S02F44="Yes","Not Eligible if Pre-Purchased",IF(OR(C28="",F28="",K28="",M28="",Q28="",S28="",U28="",Z28="",AB28="",AD28="",AF28=""),"",IF(BC28&lt;&gt;"",BC28,ROUND(BE28*BONUSADJ,2)))))</f>
        <v>Update Install Status</v>
      </c>
      <c r="BG28" s="1851" t="str">
        <f>IF(M02S02F44="","Update Install Status",IF(M02S02F44="Yes","Not Eligible if Pre-Purchased",IF(OR(C28="",F28="",K28="",M28="",Q28="",S28="",U28="",Z28="",AB28="",AD28="",AF28=""),"",IF(BC28&lt;&gt;"",BC28,IF(C28="New/Replace Failed Equip.",BA28,AZ28)))))</f>
        <v>Update Install Status</v>
      </c>
    </row>
    <row r="29" spans="2:59" ht="15.95" customHeight="1" x14ac:dyDescent="0.25">
      <c r="B29" s="1204"/>
      <c r="C29" s="1829"/>
      <c r="D29" s="1830"/>
      <c r="E29" s="1831"/>
      <c r="F29" s="824"/>
      <c r="G29" s="825"/>
      <c r="H29" s="825"/>
      <c r="I29" s="825"/>
      <c r="J29" s="826"/>
      <c r="K29" s="824"/>
      <c r="L29" s="826"/>
      <c r="M29" s="824"/>
      <c r="N29" s="825"/>
      <c r="O29" s="825"/>
      <c r="P29" s="826"/>
      <c r="Q29" s="1833"/>
      <c r="R29" s="1833"/>
      <c r="S29" s="1819"/>
      <c r="T29" s="1823"/>
      <c r="U29" s="826"/>
      <c r="V29" s="1825"/>
      <c r="W29" s="1825"/>
      <c r="X29" s="1825"/>
      <c r="Y29" s="1825"/>
      <c r="Z29" s="1833"/>
      <c r="AA29" s="1833"/>
      <c r="AB29" s="1819"/>
      <c r="AC29" s="1820"/>
      <c r="AD29" s="1725"/>
      <c r="AE29" s="1215"/>
      <c r="AF29" s="1725"/>
      <c r="AG29" s="1215"/>
      <c r="AH29" s="1835"/>
      <c r="AI29" s="1400"/>
      <c r="AJ29" s="1400"/>
      <c r="AK29" s="1837"/>
      <c r="AL29" s="1837"/>
      <c r="AM29" s="1837"/>
      <c r="AN29" s="1837"/>
      <c r="AO29" s="1424"/>
      <c r="AP29" s="1424"/>
      <c r="AQ29" s="1424"/>
      <c r="AR29" s="69"/>
      <c r="AU29" s="1052"/>
      <c r="AV29" s="1814"/>
      <c r="AW29" s="1816"/>
      <c r="AX29" s="801"/>
      <c r="AY29" s="1812"/>
      <c r="AZ29" s="1462"/>
      <c r="BA29" s="1462"/>
      <c r="BB29" s="1462"/>
      <c r="BC29" s="1462"/>
      <c r="BD29" s="1462"/>
      <c r="BE29" s="1423"/>
      <c r="BF29" s="1423"/>
      <c r="BG29" s="1423"/>
    </row>
    <row r="30" spans="2:59" ht="15.95" customHeight="1" x14ac:dyDescent="0.25">
      <c r="B30" s="1204">
        <v>8</v>
      </c>
      <c r="C30" s="1826"/>
      <c r="D30" s="1827"/>
      <c r="E30" s="1828"/>
      <c r="F30" s="842"/>
      <c r="G30" s="822"/>
      <c r="H30" s="822"/>
      <c r="I30" s="822"/>
      <c r="J30" s="823"/>
      <c r="K30" s="842"/>
      <c r="L30" s="823"/>
      <c r="M30" s="842"/>
      <c r="N30" s="822"/>
      <c r="O30" s="822"/>
      <c r="P30" s="823"/>
      <c r="Q30" s="1832"/>
      <c r="R30" s="1832"/>
      <c r="S30" s="1817"/>
      <c r="T30" s="1822"/>
      <c r="U30" s="1472"/>
      <c r="V30" s="1824"/>
      <c r="W30" s="1824"/>
      <c r="X30" s="1824"/>
      <c r="Y30" s="1824"/>
      <c r="Z30" s="1832"/>
      <c r="AA30" s="1832"/>
      <c r="AB30" s="1817"/>
      <c r="AC30" s="1818"/>
      <c r="AD30" s="1723"/>
      <c r="AE30" s="1821"/>
      <c r="AF30" s="1723"/>
      <c r="AG30" s="1821"/>
      <c r="AH30" s="1688" t="str">
        <f>IF(OR(C30="",F30="",K30="",M30="",Q30="",S30="",U30="",Z30="",AB30="",AD30="",AF30=""),"",ROUND(AD30+AF30,2))</f>
        <v/>
      </c>
      <c r="AI30" s="1834"/>
      <c r="AJ30" s="1834"/>
      <c r="AK30" s="1836" t="str">
        <f>IF(M02S02F44="","Update Install Status",IF(M02S02F44="Yes","Not Eligible if Pre-Purchased",IF(OR(C30="",F30="",K30="",M30="",Q30="",S30="",U30="",Z30="",AB30="",AD30="",AF30=""),"",IF(BC30&lt;&gt;"",BC30,IF(C30="New/Replace Failed Equip.",BA30,AZ30)))))</f>
        <v>Update Install Status</v>
      </c>
      <c r="AL30" s="1836"/>
      <c r="AM30" s="1836"/>
      <c r="AN30" s="1836"/>
      <c r="AO30" s="1838" t="str">
        <f t="shared" ref="AO30" si="11">IF(OR(C30="",F30="",K30="",M30="",Q30="",S30="",U30="",Z30="",AB30="",AD30="",AF30=""),"",IF((Q30*S30)-(Z30*AB30)&lt;=0,0,ROUND((Q30*S30)-(Z30*AB30),0)))</f>
        <v/>
      </c>
      <c r="AP30" s="1838"/>
      <c r="AQ30" s="1838"/>
      <c r="AR30" s="69"/>
      <c r="AU30" s="1051" t="str">
        <f>IFERROR(IF(OR(C30="",F30="",K30="",M30="",Q30="",S30="",U30="",Z30="",AB30="",AD30="",AF30=""),"",((1+ELOSS)*PEAKTD*(1+INDEX(ELECCB[Capacity Reserve Margin],MATCH(AX30,ELECCB[Year Number],0)))*((AO30*INDEX(ELECCB[NPV AEC $/kWh],MATCH(AX30,ELECCB[Year Number],1)))+(AV30*INDEX(ELECCB[NPV ACC+T&amp;D $/kW],MATCH(AX30,ELECCB[Year Number],1))))/AH30)),0)</f>
        <v/>
      </c>
      <c r="AV30" s="1813" t="str">
        <f>IF(OR(C30="",F30="",K30="",M30="",Q30="",S30="",U30="",Z30="",AB30="",AD30="",AF30=""),"",ROUND(AO30*INDEX(ENDUSEALL[Factor],MATCH(AW30,ENDUSEALL[End Use to Coincident Peak Demand Factors],0)),4))</f>
        <v/>
      </c>
      <c r="AW30" s="1815" t="str">
        <f>IF(OR(C30="",F30="",K30="",M30="",,Q30="",S30="",U30="",Z30="",AB30="",AD30="",AF30=""),"",K30)</f>
        <v/>
      </c>
      <c r="AX30" s="800" t="str">
        <f>IF(OR(C30="",F30="",K30="",M30="",Q30="",S30="",U30="",Z30="",AB30="",AD30="",AF30=""),"",INDEX(CMEHVAC[EUL],MATCH(F30,CMEHVAC[Proj Desc 1],0)))</f>
        <v/>
      </c>
      <c r="AY30" s="1811" t="str">
        <f>IF(OR(C30="",F30="",K30="",M30="",Q30="",S30="",U30="",Z30="",AB30="",AD30="",AF30=""),"",INDEX(CMEHVAC[Measure Number],MATCH(F30,CMEHVAC[Proj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22">
        <f t="shared" ref="BE30" si="12">IFERROR(ROUND(BG30*1.15,2),0)</f>
        <v>0</v>
      </c>
      <c r="BF30" s="1422" t="str">
        <f>IF(M02S02F44="","Update Install Status",IF(M02S02F44="Yes","Not Eligible if Pre-Purchased",IF(OR(C30="",F30="",K30="",M30="",Q30="",S30="",U30="",Z30="",AB30="",AD30="",AF30=""),"",IF(BC30&lt;&gt;"",BC30,ROUND(BE30*BONUSADJ,2)))))</f>
        <v>Update Install Status</v>
      </c>
      <c r="BG30" s="1851" t="str">
        <f>IF(M02S02F44="","Update Install Status",IF(M02S02F44="Yes","Not Eligible if Pre-Purchased",IF(OR(C30="",F30="",K30="",M30="",Q30="",S30="",U30="",Z30="",AB30="",AD30="",AF30=""),"",IF(BC30&lt;&gt;"",BC30,IF(C30="New/Replace Failed Equip.",BA30,AZ30)))))</f>
        <v>Update Install Status</v>
      </c>
    </row>
    <row r="31" spans="2:59" ht="15.95" customHeight="1" x14ac:dyDescent="0.25">
      <c r="B31" s="1204"/>
      <c r="C31" s="1829"/>
      <c r="D31" s="1830"/>
      <c r="E31" s="1831"/>
      <c r="F31" s="824"/>
      <c r="G31" s="825"/>
      <c r="H31" s="825"/>
      <c r="I31" s="825"/>
      <c r="J31" s="826"/>
      <c r="K31" s="824"/>
      <c r="L31" s="826"/>
      <c r="M31" s="824"/>
      <c r="N31" s="825"/>
      <c r="O31" s="825"/>
      <c r="P31" s="826"/>
      <c r="Q31" s="1833"/>
      <c r="R31" s="1833"/>
      <c r="S31" s="1819"/>
      <c r="T31" s="1823"/>
      <c r="U31" s="826"/>
      <c r="V31" s="1825"/>
      <c r="W31" s="1825"/>
      <c r="X31" s="1825"/>
      <c r="Y31" s="1825"/>
      <c r="Z31" s="1833"/>
      <c r="AA31" s="1833"/>
      <c r="AB31" s="1819"/>
      <c r="AC31" s="1820"/>
      <c r="AD31" s="1725"/>
      <c r="AE31" s="1215"/>
      <c r="AF31" s="1725"/>
      <c r="AG31" s="1215"/>
      <c r="AH31" s="1835"/>
      <c r="AI31" s="1400"/>
      <c r="AJ31" s="1400"/>
      <c r="AK31" s="1837"/>
      <c r="AL31" s="1837"/>
      <c r="AM31" s="1837"/>
      <c r="AN31" s="1837"/>
      <c r="AO31" s="1424"/>
      <c r="AP31" s="1424"/>
      <c r="AQ31" s="1424"/>
      <c r="AR31" s="69"/>
      <c r="AU31" s="1052"/>
      <c r="AV31" s="1814"/>
      <c r="AW31" s="1816"/>
      <c r="AX31" s="801"/>
      <c r="AY31" s="1812"/>
      <c r="AZ31" s="1462"/>
      <c r="BA31" s="1462"/>
      <c r="BB31" s="1462"/>
      <c r="BC31" s="1462"/>
      <c r="BD31" s="1462"/>
      <c r="BE31" s="1423"/>
      <c r="BF31" s="1423"/>
      <c r="BG31" s="1423"/>
    </row>
    <row r="32" spans="2:59" ht="15.95" customHeight="1" x14ac:dyDescent="0.25">
      <c r="B32" s="1204">
        <v>9</v>
      </c>
      <c r="C32" s="1826"/>
      <c r="D32" s="1827"/>
      <c r="E32" s="1828"/>
      <c r="F32" s="842"/>
      <c r="G32" s="822"/>
      <c r="H32" s="822"/>
      <c r="I32" s="822"/>
      <c r="J32" s="823"/>
      <c r="K32" s="842"/>
      <c r="L32" s="823"/>
      <c r="M32" s="842"/>
      <c r="N32" s="822"/>
      <c r="O32" s="822"/>
      <c r="P32" s="823"/>
      <c r="Q32" s="1832"/>
      <c r="R32" s="1832"/>
      <c r="S32" s="1817"/>
      <c r="T32" s="1822"/>
      <c r="U32" s="1472"/>
      <c r="V32" s="1824"/>
      <c r="W32" s="1824"/>
      <c r="X32" s="1824"/>
      <c r="Y32" s="1824"/>
      <c r="Z32" s="1832"/>
      <c r="AA32" s="1832"/>
      <c r="AB32" s="1817"/>
      <c r="AC32" s="1818"/>
      <c r="AD32" s="1723"/>
      <c r="AE32" s="1821"/>
      <c r="AF32" s="1723"/>
      <c r="AG32" s="1821"/>
      <c r="AH32" s="1688" t="str">
        <f>IF(OR(C32="",F32="",K32="",M32="",Q32="",S32="",U32="",Z32="",AB32="",AD32="",AF32=""),"",ROUND(AD32+AF32,2))</f>
        <v/>
      </c>
      <c r="AI32" s="1834"/>
      <c r="AJ32" s="1834"/>
      <c r="AK32" s="1836" t="str">
        <f>IF(M02S02F44="","Update Install Status",IF(M02S02F44="Yes","Not Eligible if Pre-Purchased",IF(OR(C32="",F32="",K32="",M32="",Q32="",S32="",U32="",Z32="",AB32="",AD32="",AF32=""),"",IF(BC32&lt;&gt;"",BC32,IF(C32="New/Replace Failed Equip.",BA32,AZ32)))))</f>
        <v>Update Install Status</v>
      </c>
      <c r="AL32" s="1836"/>
      <c r="AM32" s="1836"/>
      <c r="AN32" s="1836"/>
      <c r="AO32" s="1838" t="str">
        <f t="shared" ref="AO32" si="13">IF(OR(C32="",F32="",K32="",M32="",Q32="",S32="",U32="",Z32="",AB32="",AD32="",AF32=""),"",IF((Q32*S32)-(Z32*AB32)&lt;=0,0,ROUND((Q32*S32)-(Z32*AB32),0)))</f>
        <v/>
      </c>
      <c r="AP32" s="1838"/>
      <c r="AQ32" s="1838"/>
      <c r="AR32" s="69"/>
      <c r="AU32" s="1051" t="str">
        <f>IFERROR(IF(OR(C32="",F32="",K32="",M32="",Q32="",S32="",U32="",Z32="",AB32="",AD32="",AF32=""),"",((1+ELOSS)*PEAKTD*(1+INDEX(ELECCB[Capacity Reserve Margin],MATCH(AX32,ELECCB[Year Number],0)))*((AO32*INDEX(ELECCB[NPV AEC $/kWh],MATCH(AX32,ELECCB[Year Number],1)))+(AV32*INDEX(ELECCB[NPV ACC+T&amp;D $/kW],MATCH(AX32,ELECCB[Year Number],1))))/AH32)),0)</f>
        <v/>
      </c>
      <c r="AV32" s="1813" t="str">
        <f>IF(OR(C32="",F32="",K32="",M32="",Q32="",S32="",U32="",Z32="",AB32="",AD32="",AF32=""),"",ROUND(AO32*INDEX(ENDUSEALL[Factor],MATCH(AW32,ENDUSEALL[End Use to Coincident Peak Demand Factors],0)),4))</f>
        <v/>
      </c>
      <c r="AW32" s="1815" t="str">
        <f>IF(OR(C32="",F32="",K32="",M32="",,Q32="",S32="",U32="",Z32="",AB32="",AD32="",AF32=""),"",K32)</f>
        <v/>
      </c>
      <c r="AX32" s="800" t="str">
        <f>IF(OR(C32="",F32="",K32="",M32="",Q32="",S32="",U32="",Z32="",AB32="",AD32="",AF32=""),"",INDEX(CMEHVAC[EUL],MATCH(F32,CMEHVAC[Proj Desc 1],0)))</f>
        <v/>
      </c>
      <c r="AY32" s="1811" t="str">
        <f>IF(OR(C32="",F32="",K32="",M32="",Q32="",S32="",U32="",Z32="",AB32="",AD32="",AF32=""),"",INDEX(CMEHVAC[Measure Number],MATCH(F32,CMEHVAC[Proj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22">
        <f t="shared" ref="BE32" si="14">IFERROR(ROUND(BG32*1.15,2),0)</f>
        <v>0</v>
      </c>
      <c r="BF32" s="1422" t="str">
        <f>IF(M02S02F44="","Update Install Status",IF(M02S02F44="Yes","Not Eligible if Pre-Purchased",IF(OR(C32="",F32="",K32="",M32="",Q32="",S32="",U32="",Z32="",AB32="",AD32="",AF32=""),"",IF(BC32&lt;&gt;"",BC32,ROUND(BE32*BONUSADJ,2)))))</f>
        <v>Update Install Status</v>
      </c>
      <c r="BG32" s="1851" t="str">
        <f>IF(M02S02F44="","Update Install Status",IF(M02S02F44="Yes","Not Eligible if Pre-Purchased",IF(OR(C32="",F32="",K32="",M32="",Q32="",S32="",U32="",Z32="",AB32="",AD32="",AF32=""),"",IF(BC32&lt;&gt;"",BC32,IF(C32="New/Replace Failed Equip.",BA32,AZ32)))))</f>
        <v>Update Install Status</v>
      </c>
    </row>
    <row r="33" spans="2:59" ht="15.95" customHeight="1" x14ac:dyDescent="0.25">
      <c r="B33" s="1204"/>
      <c r="C33" s="1829"/>
      <c r="D33" s="1830"/>
      <c r="E33" s="1831"/>
      <c r="F33" s="824"/>
      <c r="G33" s="825"/>
      <c r="H33" s="825"/>
      <c r="I33" s="825"/>
      <c r="J33" s="826"/>
      <c r="K33" s="824"/>
      <c r="L33" s="826"/>
      <c r="M33" s="824"/>
      <c r="N33" s="825"/>
      <c r="O33" s="825"/>
      <c r="P33" s="826"/>
      <c r="Q33" s="1833"/>
      <c r="R33" s="1833"/>
      <c r="S33" s="1819"/>
      <c r="T33" s="1823"/>
      <c r="U33" s="826"/>
      <c r="V33" s="1825"/>
      <c r="W33" s="1825"/>
      <c r="X33" s="1825"/>
      <c r="Y33" s="1825"/>
      <c r="Z33" s="1833"/>
      <c r="AA33" s="1833"/>
      <c r="AB33" s="1819"/>
      <c r="AC33" s="1820"/>
      <c r="AD33" s="1725"/>
      <c r="AE33" s="1215"/>
      <c r="AF33" s="1725"/>
      <c r="AG33" s="1215"/>
      <c r="AH33" s="1835"/>
      <c r="AI33" s="1400"/>
      <c r="AJ33" s="1400"/>
      <c r="AK33" s="1837"/>
      <c r="AL33" s="1837"/>
      <c r="AM33" s="1837"/>
      <c r="AN33" s="1837"/>
      <c r="AO33" s="1424"/>
      <c r="AP33" s="1424"/>
      <c r="AQ33" s="1424"/>
      <c r="AR33" s="69"/>
      <c r="AU33" s="1052"/>
      <c r="AV33" s="1814"/>
      <c r="AW33" s="1816"/>
      <c r="AX33" s="801"/>
      <c r="AY33" s="1812"/>
      <c r="AZ33" s="1462"/>
      <c r="BA33" s="1462"/>
      <c r="BB33" s="1462"/>
      <c r="BC33" s="1462"/>
      <c r="BD33" s="1462"/>
      <c r="BE33" s="1423"/>
      <c r="BF33" s="1423"/>
      <c r="BG33" s="1423"/>
    </row>
    <row r="34" spans="2:59" ht="15.95" customHeight="1" x14ac:dyDescent="0.25">
      <c r="B34" s="1204">
        <v>10</v>
      </c>
      <c r="C34" s="1826"/>
      <c r="D34" s="1827"/>
      <c r="E34" s="1828"/>
      <c r="F34" s="842"/>
      <c r="G34" s="822"/>
      <c r="H34" s="822"/>
      <c r="I34" s="822"/>
      <c r="J34" s="823"/>
      <c r="K34" s="842"/>
      <c r="L34" s="823"/>
      <c r="M34" s="842"/>
      <c r="N34" s="822"/>
      <c r="O34" s="822"/>
      <c r="P34" s="823"/>
      <c r="Q34" s="1832"/>
      <c r="R34" s="1832"/>
      <c r="S34" s="1817"/>
      <c r="T34" s="1822"/>
      <c r="U34" s="1472"/>
      <c r="V34" s="1824"/>
      <c r="W34" s="1824"/>
      <c r="X34" s="1824"/>
      <c r="Y34" s="1824"/>
      <c r="Z34" s="1832"/>
      <c r="AA34" s="1832"/>
      <c r="AB34" s="1817"/>
      <c r="AC34" s="1818"/>
      <c r="AD34" s="1723"/>
      <c r="AE34" s="1821"/>
      <c r="AF34" s="1723"/>
      <c r="AG34" s="1821"/>
      <c r="AH34" s="1688" t="str">
        <f>IF(OR(C34="",F34="",K34="",M34="",Q34="",S34="",U34="",Z34="",AB34="",AD34="",AF34=""),"",ROUND(AD34+AF34,2))</f>
        <v/>
      </c>
      <c r="AI34" s="1834"/>
      <c r="AJ34" s="1834"/>
      <c r="AK34" s="1836" t="str">
        <f>IF(M02S02F44="","Update Install Status",IF(M02S02F44="Yes","Not Eligible if Pre-Purchased",IF(OR(C34="",F34="",K34="",M34="",Q34="",S34="",U34="",Z34="",AB34="",AD34="",AF34=""),"",IF(BC34&lt;&gt;"",BC34,IF(C34="New/Replace Failed Equip.",BA34,AZ34)))))</f>
        <v>Update Install Status</v>
      </c>
      <c r="AL34" s="1836"/>
      <c r="AM34" s="1836"/>
      <c r="AN34" s="1836"/>
      <c r="AO34" s="1838" t="str">
        <f t="shared" ref="AO34" si="15">IF(OR(C34="",F34="",K34="",M34="",Q34="",S34="",U34="",Z34="",AB34="",AD34="",AF34=""),"",IF((Q34*S34)-(Z34*AB34)&lt;=0,0,ROUND((Q34*S34)-(Z34*AB34),0)))</f>
        <v/>
      </c>
      <c r="AP34" s="1838"/>
      <c r="AQ34" s="1838"/>
      <c r="AR34" s="69"/>
      <c r="AU34" s="1051" t="str">
        <f>IFERROR(IF(OR(C34="",F34="",K34="",M34="",Q34="",S34="",U34="",Z34="",AB34="",AD34="",AF34=""),"",((1+ELOSS)*PEAKTD*(1+INDEX(ELECCB[Capacity Reserve Margin],MATCH(AX34,ELECCB[Year Number],0)))*((AO34*INDEX(ELECCB[NPV AEC $/kWh],MATCH(AX34,ELECCB[Year Number],1)))+(AV34*INDEX(ELECCB[NPV ACC+T&amp;D $/kW],MATCH(AX34,ELECCB[Year Number],1))))/AH34)),0)</f>
        <v/>
      </c>
      <c r="AV34" s="1813" t="str">
        <f>IF(OR(C34="",F34="",K34="",M34="",Q34="",S34="",U34="",Z34="",AB34="",AD34="",AF34=""),"",ROUND(AO34*INDEX(ENDUSEALL[Factor],MATCH(AW34,ENDUSEALL[End Use to Coincident Peak Demand Factors],0)),4))</f>
        <v/>
      </c>
      <c r="AW34" s="1815" t="str">
        <f>IF(OR(C34="",F34="",K34="",M34="",,Q34="",S34="",U34="",Z34="",AB34="",AD34="",AF34=""),"",K34)</f>
        <v/>
      </c>
      <c r="AX34" s="800" t="str">
        <f>IF(OR(C34="",F34="",K34="",M34="",Q34="",S34="",U34="",Z34="",AB34="",AD34="",AF34=""),"",INDEX(CMEHVAC[EUL],MATCH(F34,CMEHVAC[Proj Desc 1],0)))</f>
        <v/>
      </c>
      <c r="AY34" s="1811" t="str">
        <f>IF(OR(C34="",F34="",K34="",M34="",Q34="",S34="",U34="",Z34="",AB34="",AD34="",AF34=""),"",INDEX(CMEHVAC[Measure Number],MATCH(F34,CMEHVAC[Proj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22">
        <f t="shared" ref="BE34" si="16">IFERROR(ROUND(BG34*1.15,2),0)</f>
        <v>0</v>
      </c>
      <c r="BF34" s="1422" t="str">
        <f>IF(M02S02F44="","Update Install Status",IF(M02S02F44="Yes","Not Eligible if Pre-Purchased",IF(OR(C34="",F34="",K34="",M34="",Q34="",S34="",U34="",Z34="",AB34="",AD34="",AF34=""),"",IF(BC34&lt;&gt;"",BC34,ROUND(BE34*BONUSADJ,2)))))</f>
        <v>Update Install Status</v>
      </c>
      <c r="BG34" s="1851" t="str">
        <f>IF(M02S02F44="","Update Install Status",IF(M02S02F44="Yes","Not Eligible if Pre-Purchased",IF(OR(C34="",F34="",K34="",M34="",Q34="",S34="",U34="",Z34="",AB34="",AD34="",AF34=""),"",IF(BC34&lt;&gt;"",BC34,IF(C34="New/Replace Failed Equip.",BA34,AZ34)))))</f>
        <v>Update Install Status</v>
      </c>
    </row>
    <row r="35" spans="2:59" ht="15.95" customHeight="1" x14ac:dyDescent="0.25">
      <c r="B35" s="1204"/>
      <c r="C35" s="1829"/>
      <c r="D35" s="1830"/>
      <c r="E35" s="1831"/>
      <c r="F35" s="824"/>
      <c r="G35" s="825"/>
      <c r="H35" s="825"/>
      <c r="I35" s="825"/>
      <c r="J35" s="826"/>
      <c r="K35" s="824"/>
      <c r="L35" s="826"/>
      <c r="M35" s="824"/>
      <c r="N35" s="825"/>
      <c r="O35" s="825"/>
      <c r="P35" s="826"/>
      <c r="Q35" s="1833"/>
      <c r="R35" s="1833"/>
      <c r="S35" s="1819"/>
      <c r="T35" s="1823"/>
      <c r="U35" s="826"/>
      <c r="V35" s="1825"/>
      <c r="W35" s="1825"/>
      <c r="X35" s="1825"/>
      <c r="Y35" s="1825"/>
      <c r="Z35" s="1833"/>
      <c r="AA35" s="1833"/>
      <c r="AB35" s="1819"/>
      <c r="AC35" s="1820"/>
      <c r="AD35" s="1725"/>
      <c r="AE35" s="1215"/>
      <c r="AF35" s="1725"/>
      <c r="AG35" s="1215"/>
      <c r="AH35" s="1835"/>
      <c r="AI35" s="1400"/>
      <c r="AJ35" s="1400"/>
      <c r="AK35" s="1837"/>
      <c r="AL35" s="1837"/>
      <c r="AM35" s="1837"/>
      <c r="AN35" s="1837"/>
      <c r="AO35" s="1424"/>
      <c r="AP35" s="1424"/>
      <c r="AQ35" s="1424"/>
      <c r="AR35" s="69"/>
      <c r="AU35" s="1052"/>
      <c r="AV35" s="1814"/>
      <c r="AW35" s="1816"/>
      <c r="AX35" s="801"/>
      <c r="AY35" s="1812"/>
      <c r="AZ35" s="1462"/>
      <c r="BA35" s="1462"/>
      <c r="BB35" s="1462"/>
      <c r="BC35" s="1462"/>
      <c r="BD35" s="1462"/>
      <c r="BE35" s="1423"/>
      <c r="BF35" s="1423"/>
      <c r="BG35" s="1423"/>
    </row>
    <row r="36" spans="2:59" ht="15.95" hidden="1" customHeight="1" x14ac:dyDescent="0.25">
      <c r="B36" s="1204">
        <v>11</v>
      </c>
      <c r="AR36" s="69"/>
      <c r="AV36" s="188"/>
    </row>
    <row r="37" spans="2:59" ht="15.95" hidden="1" customHeight="1" x14ac:dyDescent="0.25">
      <c r="B37" s="1204"/>
      <c r="AR37" s="69"/>
      <c r="AV37" s="188"/>
    </row>
    <row r="38" spans="2:59" ht="15.95" hidden="1" customHeight="1" x14ac:dyDescent="0.25">
      <c r="B38" s="1204">
        <v>12</v>
      </c>
      <c r="AR38" s="69"/>
      <c r="AV38" s="188"/>
    </row>
    <row r="39" spans="2:59" ht="15.95" hidden="1" customHeight="1" x14ac:dyDescent="0.25">
      <c r="B39" s="1204"/>
      <c r="AR39" s="69"/>
      <c r="AV39" s="188"/>
    </row>
    <row r="40" spans="2:59" ht="15.95" hidden="1" customHeight="1" x14ac:dyDescent="0.25">
      <c r="B40" s="1204">
        <v>13</v>
      </c>
      <c r="AR40" s="69"/>
      <c r="AV40" s="188"/>
    </row>
    <row r="41" spans="2:59" ht="15.95" hidden="1" customHeight="1" x14ac:dyDescent="0.25">
      <c r="B41" s="1204"/>
      <c r="AR41" s="69"/>
      <c r="AV41" s="188"/>
    </row>
    <row r="42" spans="2:59" ht="15.95" hidden="1" customHeight="1" x14ac:dyDescent="0.25">
      <c r="B42" s="873">
        <v>14</v>
      </c>
      <c r="AV42" s="188"/>
    </row>
    <row r="43" spans="2:59" ht="15.95" hidden="1" customHeight="1" x14ac:dyDescent="0.25">
      <c r="B43" s="873"/>
      <c r="AV43" s="188"/>
    </row>
    <row r="44" spans="2:59" ht="15.95" hidden="1" customHeight="1" x14ac:dyDescent="0.25">
      <c r="B44" s="873">
        <v>15</v>
      </c>
      <c r="AV44" s="188"/>
    </row>
    <row r="45" spans="2:59" ht="15.95" hidden="1" customHeight="1" x14ac:dyDescent="0.25">
      <c r="B45" s="873"/>
      <c r="AV45" s="188"/>
    </row>
    <row r="46" spans="2:59" ht="15.95" hidden="1" customHeight="1" x14ac:dyDescent="0.25">
      <c r="B46" s="873">
        <v>16</v>
      </c>
      <c r="AV46" s="188"/>
    </row>
    <row r="47" spans="2:59" ht="15.95" hidden="1" customHeight="1" x14ac:dyDescent="0.25">
      <c r="B47" s="873"/>
      <c r="AV47" s="188"/>
    </row>
    <row r="48" spans="2:59" ht="15.95" hidden="1" customHeight="1" x14ac:dyDescent="0.25">
      <c r="B48" s="873">
        <v>17</v>
      </c>
      <c r="AV48" s="188"/>
    </row>
    <row r="49" spans="2:51" ht="15.95" hidden="1" customHeight="1" x14ac:dyDescent="0.25">
      <c r="B49" s="873"/>
      <c r="AV49" s="188"/>
    </row>
    <row r="50" spans="2:51" ht="15.95" hidden="1" customHeight="1" x14ac:dyDescent="0.25">
      <c r="B50" s="873">
        <v>18</v>
      </c>
      <c r="AV50" s="188"/>
    </row>
    <row r="51" spans="2:51" ht="15.95" hidden="1" customHeight="1" x14ac:dyDescent="0.25">
      <c r="B51" s="873"/>
      <c r="AV51" s="188"/>
    </row>
    <row r="52" spans="2:51" ht="15.95" hidden="1" customHeight="1" x14ac:dyDescent="0.25">
      <c r="B52" s="873">
        <v>19</v>
      </c>
      <c r="AV52" s="188"/>
    </row>
    <row r="53" spans="2:51" ht="15.95" hidden="1" customHeight="1" x14ac:dyDescent="0.25">
      <c r="B53" s="873"/>
      <c r="AV53" s="188"/>
    </row>
    <row r="54" spans="2:51" ht="15.95" hidden="1" customHeight="1" x14ac:dyDescent="0.25">
      <c r="B54" s="873">
        <v>20</v>
      </c>
      <c r="AU54" s="1434" t="str">
        <f>IF(OR(C54="",F54="",J54="",N54="",P54="",R54="",V54="",X54="",Z54="",AB54="",AD54="",AF54=""),"",((1+ELOSS)*PEAKTD*(1+INDEX(ELECCB[Capacity Reserve Margin],MATCH(AB54,ELECCB[Year Number],0)))*((AO54*INDEX(ELECCB[NPV AEC $/kWh],MATCH(AB54,ELECCB[Year Number],1)))+(AX54*INDEX(ELECCB[NPV ACC+T&amp;D $/kW],MATCH(AB54,ELECCB[Year Number],1))))/AH54))</f>
        <v/>
      </c>
      <c r="AV54" s="1813" t="str">
        <f>IF(OR(C54="",F54="",J54="",N54="",P54="",R54="",V54="",X54="",Z54="",AB54="",AD54="",AF54=""),"",IF((N54*P54)-(V54*X54)&lt;=0,"No Savings",IF(M02S02F35="","Enter Utility Rate (Site Info Tab)",IF(AH54/M02S02F35/AO54&lt;1,"Payback Too Fast, Submit for Review",IF(AU54&lt;1,"Not Cost Effective Submit for Review",ROUND(MIN(AH54*0.5,AO54*INDEX(#REF!,MATCH("CMNONLIGHT",#REF!))),2))))))</f>
        <v/>
      </c>
      <c r="AW54" s="1461" t="str">
        <f>IF(OR(C54="",F54="",J54="",N54="",P54="",R54="",V54="",X54="",Z54="",AB54="",AD54="",AF54=""),"",IF((N54*P54)-(V54*X54)&lt;=0,"No Savings",IF(M02S02F35="","Enter Utility Rate (Site Info Tab)",IF(AH54/M02S02F35/AO54&lt;1,"Payback Too Fast, Submit for Review",IF(AU54&lt;1,"Not Cost Effective Submit for Review",ROUND(MIN(AH54,AO54*INDEX(#REF!,MATCH("NCNONLIGHT",#REF!))),2))))))</f>
        <v/>
      </c>
      <c r="AX54" s="1290" t="str">
        <f>IF(OR(C54="",F54="",J54="",N54="",P54="",R54="",V54="",X54="",Z54="",AB54="",AD54="",AF54=""),"",ROUND(AO54*INDEX(#REF!,MATCH(F54,#REF!,0)),4))</f>
        <v/>
      </c>
      <c r="AY54" s="808"/>
    </row>
    <row r="55" spans="2:51" ht="15.95" hidden="1" customHeight="1" x14ac:dyDescent="0.25">
      <c r="B55" s="873"/>
      <c r="AU55" s="1435"/>
      <c r="AV55" s="1814"/>
      <c r="AW55" s="1462"/>
      <c r="AX55" s="1291"/>
      <c r="AY55" s="797"/>
    </row>
    <row r="56" spans="2:51" ht="15.95" hidden="1" customHeight="1" x14ac:dyDescent="0.25">
      <c r="B56" s="873">
        <v>21</v>
      </c>
      <c r="AU56" s="1434" t="str">
        <f>IF(OR(C56="",F56="",J56="",N56="",P56="",R56="",V56="",X56="",Z56="",AB56="",AD56="",AF56=""),"",((1+ELOSS)*PEAKTD*(1+INDEX(ELECCB[Capacity Reserve Margin],MATCH(AB56,ELECCB[Year Number],0)))*((AO56*INDEX(ELECCB[NPV AEC $/kWh],MATCH(AB56,ELECCB[Year Number],1)))+(AX56*INDEX(ELECCB[NPV ACC+T&amp;D $/kW],MATCH(AB56,ELECCB[Year Number],1))))/AH56))</f>
        <v/>
      </c>
      <c r="AV56" s="1813" t="str">
        <f>IF(OR(C56="",F56="",J56="",N56="",P56="",R56="",V56="",X56="",Z56="",AB56="",AD56="",AF56=""),"",IF((N56*P56)-(V56*X56)&lt;=0,"No Savings",IF(M02S02F35="","Enter Utility Rate (Site Info Tab)",IF(AH56/M02S02F35/AO56&lt;1,"Payback Too Fast, Submit for Review",IF(AU56&lt;1,"Not Cost Effective Submit for Review",ROUND(MIN(AH56*0.5,AO56*INDEX(#REF!,MATCH("CMNONLIGHT",#REF!))),2))))))</f>
        <v/>
      </c>
      <c r="AW56" s="1461" t="str">
        <f>IF(OR(C56="",F56="",J56="",N56="",P56="",R56="",V56="",X56="",Z56="",AB56="",AD56="",AF56=""),"",IF((N56*P56)-(V56*X56)&lt;=0,"No Savings",IF(M02S02F35="","Enter Utility Rate (Site Info Tab)",IF(AH56/M02S02F35/AO56&lt;1,"Payback Too Fast, Submit for Review",IF(AU56&lt;1,"Not Cost Effective Submit for Review",ROUND(MIN(AH56,AO56*INDEX(#REF!,MATCH("NCNONLIGHT",#REF!))),2))))))</f>
        <v/>
      </c>
      <c r="AX56" s="1290" t="str">
        <f>IF(OR(C56="",F56="",J56="",N56="",P56="",R56="",V56="",X56="",Z56="",AB56="",AD56="",AF56=""),"",ROUND(AO56*INDEX(#REF!,MATCH(F56,#REF!,0)),4))</f>
        <v/>
      </c>
      <c r="AY56" s="808"/>
    </row>
    <row r="57" spans="2:51" ht="15.95" hidden="1" customHeight="1" x14ac:dyDescent="0.25">
      <c r="B57" s="873"/>
      <c r="AU57" s="1435"/>
      <c r="AV57" s="1814"/>
      <c r="AW57" s="1462"/>
      <c r="AX57" s="1291"/>
      <c r="AY57" s="797"/>
    </row>
    <row r="58" spans="2:51" ht="15.95" hidden="1" customHeight="1" x14ac:dyDescent="0.25">
      <c r="B58" s="873">
        <v>22</v>
      </c>
      <c r="AV58" s="188"/>
    </row>
    <row r="59" spans="2:51" ht="15.95" hidden="1" customHeight="1" x14ac:dyDescent="0.25">
      <c r="B59" s="873"/>
      <c r="AV59" s="188"/>
    </row>
    <row r="60" spans="2:51" ht="15.95" hidden="1" customHeight="1" x14ac:dyDescent="0.25">
      <c r="B60" s="873">
        <v>23</v>
      </c>
      <c r="AV60" s="188"/>
    </row>
    <row r="61" spans="2:51" ht="15.95" hidden="1" customHeight="1" x14ac:dyDescent="0.25">
      <c r="B61" s="873"/>
      <c r="AV61" s="188"/>
    </row>
    <row r="62" spans="2:51" ht="15.95" hidden="1" customHeight="1" x14ac:dyDescent="0.25">
      <c r="B62" s="873">
        <v>24</v>
      </c>
      <c r="AV62" s="188"/>
    </row>
    <row r="63" spans="2:51" ht="15.95" hidden="1" customHeight="1" x14ac:dyDescent="0.25">
      <c r="B63" s="873"/>
      <c r="AV63" s="188"/>
    </row>
    <row r="64" spans="2:51" ht="15.95" hidden="1" customHeight="1" x14ac:dyDescent="0.25">
      <c r="B64" s="873">
        <v>25</v>
      </c>
      <c r="AV64" s="188"/>
    </row>
    <row r="65" spans="2:48" ht="15.95" hidden="1" customHeight="1" x14ac:dyDescent="0.25">
      <c r="B65" s="873"/>
      <c r="AV65" s="188"/>
    </row>
    <row r="66" spans="2:48" ht="15.95" hidden="1" customHeight="1" x14ac:dyDescent="0.25">
      <c r="B66" s="873">
        <v>26</v>
      </c>
      <c r="AV66" s="188"/>
    </row>
    <row r="67" spans="2:48" ht="15.95" hidden="1" customHeight="1" x14ac:dyDescent="0.25">
      <c r="B67" s="873"/>
      <c r="AV67" s="188"/>
    </row>
    <row r="68" spans="2:48" ht="15.95" hidden="1" customHeight="1" x14ac:dyDescent="0.25">
      <c r="B68" s="873">
        <v>27</v>
      </c>
      <c r="AV68" s="188"/>
    </row>
    <row r="69" spans="2:48" ht="15.95" hidden="1" customHeight="1" x14ac:dyDescent="0.25">
      <c r="B69" s="873"/>
      <c r="AV69" s="188"/>
    </row>
    <row r="70" spans="2:48" ht="15.95" hidden="1" customHeight="1" x14ac:dyDescent="0.25">
      <c r="B70" s="873">
        <v>28</v>
      </c>
      <c r="AV70" s="188"/>
    </row>
    <row r="71" spans="2:48" ht="15.95" hidden="1" customHeight="1" x14ac:dyDescent="0.25">
      <c r="B71" s="873"/>
      <c r="AV71" s="188"/>
    </row>
    <row r="72" spans="2:48" ht="15.95" hidden="1" customHeight="1" x14ac:dyDescent="0.25">
      <c r="B72" s="873">
        <v>29</v>
      </c>
      <c r="AV72" s="188"/>
    </row>
    <row r="73" spans="2:48" ht="15.95" hidden="1" customHeight="1" x14ac:dyDescent="0.25">
      <c r="B73" s="873"/>
      <c r="AV73" s="188"/>
    </row>
    <row r="74" spans="2:48" ht="15.95" hidden="1" customHeight="1" x14ac:dyDescent="0.25">
      <c r="B74" s="873">
        <v>30</v>
      </c>
      <c r="AV74" s="188"/>
    </row>
    <row r="75" spans="2:48" ht="15.95" hidden="1" customHeight="1" x14ac:dyDescent="0.25">
      <c r="B75" s="873"/>
      <c r="AV75" s="188"/>
    </row>
    <row r="76" spans="2:48" ht="15.95" hidden="1" customHeight="1" x14ac:dyDescent="0.25">
      <c r="B76" s="873">
        <v>31</v>
      </c>
      <c r="AV76" s="188"/>
    </row>
    <row r="77" spans="2:48" ht="15.95" hidden="1" customHeight="1" x14ac:dyDescent="0.25">
      <c r="B77" s="873"/>
      <c r="AV77" s="188"/>
    </row>
    <row r="78" spans="2:48" ht="15.95" hidden="1" customHeight="1" x14ac:dyDescent="0.25">
      <c r="B78" s="873">
        <v>32</v>
      </c>
      <c r="AV78" s="188"/>
    </row>
    <row r="79" spans="2:48" ht="15.95" hidden="1" customHeight="1" x14ac:dyDescent="0.25">
      <c r="B79" s="873"/>
      <c r="AV79" s="188"/>
    </row>
    <row r="80" spans="2:48" ht="15.95" hidden="1" customHeight="1" x14ac:dyDescent="0.25">
      <c r="B80" s="873">
        <v>33</v>
      </c>
      <c r="AV80" s="188"/>
    </row>
    <row r="81" spans="2:48" ht="15.95" hidden="1" customHeight="1" x14ac:dyDescent="0.25">
      <c r="B81" s="873"/>
      <c r="AV81" s="188"/>
    </row>
    <row r="82" spans="2:48" ht="15.95" hidden="1" customHeight="1" x14ac:dyDescent="0.25">
      <c r="B82" s="873">
        <v>34</v>
      </c>
      <c r="AV82" s="188"/>
    </row>
    <row r="83" spans="2:48" ht="15.95" hidden="1" customHeight="1" x14ac:dyDescent="0.25">
      <c r="B83" s="873"/>
      <c r="AV83" s="188"/>
    </row>
    <row r="84" spans="2:48" ht="15.95" hidden="1" customHeight="1" x14ac:dyDescent="0.25">
      <c r="B84" s="873">
        <v>35</v>
      </c>
      <c r="AV84" s="188"/>
    </row>
    <row r="85" spans="2:48" ht="15.95" hidden="1" customHeight="1" x14ac:dyDescent="0.25">
      <c r="B85" s="873"/>
      <c r="AV85" s="188"/>
    </row>
    <row r="86" spans="2:48" ht="15.95" hidden="1" customHeight="1" x14ac:dyDescent="0.25">
      <c r="B86" s="873">
        <v>36</v>
      </c>
      <c r="AV86" s="188"/>
    </row>
    <row r="87" spans="2:48" ht="15.95" hidden="1" customHeight="1" x14ac:dyDescent="0.25">
      <c r="B87" s="873"/>
      <c r="AV87" s="188"/>
    </row>
    <row r="88" spans="2:48" ht="15.95" hidden="1" customHeight="1" x14ac:dyDescent="0.25">
      <c r="B88" s="873">
        <v>37</v>
      </c>
      <c r="AV88" s="188"/>
    </row>
    <row r="89" spans="2:48" ht="15.95" hidden="1" customHeight="1" x14ac:dyDescent="0.25">
      <c r="B89" s="873"/>
      <c r="AV89" s="188"/>
    </row>
    <row r="90" spans="2:48" ht="15.95" hidden="1" customHeight="1" x14ac:dyDescent="0.25">
      <c r="B90" s="873">
        <v>38</v>
      </c>
      <c r="AV90" s="188"/>
    </row>
    <row r="91" spans="2:48" ht="15.95" hidden="1" customHeight="1" x14ac:dyDescent="0.25">
      <c r="B91" s="873"/>
      <c r="AV91" s="188"/>
    </row>
    <row r="92" spans="2:48" ht="15.95" hidden="1" customHeight="1" x14ac:dyDescent="0.25">
      <c r="B92" s="873">
        <v>39</v>
      </c>
      <c r="AV92" s="188"/>
    </row>
    <row r="93" spans="2:48" ht="15.95" hidden="1" customHeight="1" x14ac:dyDescent="0.25">
      <c r="B93" s="873"/>
      <c r="AV93" s="188"/>
    </row>
    <row r="94" spans="2:48" ht="15.95" hidden="1" customHeight="1" x14ac:dyDescent="0.25">
      <c r="B94" s="873">
        <v>40</v>
      </c>
      <c r="AV94" s="188"/>
    </row>
    <row r="95" spans="2:48" ht="15.95" hidden="1" customHeight="1" x14ac:dyDescent="0.25">
      <c r="B95" s="873"/>
      <c r="AV95" s="188"/>
    </row>
    <row r="96" spans="2:48" ht="15.95" hidden="1" customHeight="1" x14ac:dyDescent="0.25">
      <c r="B96" s="873">
        <v>41</v>
      </c>
      <c r="AV96" s="188"/>
    </row>
    <row r="97" spans="2:48" ht="15.95" hidden="1" customHeight="1" x14ac:dyDescent="0.25">
      <c r="B97" s="873"/>
      <c r="AV97" s="188"/>
    </row>
    <row r="98" spans="2:48" ht="15.95" hidden="1" customHeight="1" x14ac:dyDescent="0.25">
      <c r="B98" s="873">
        <v>42</v>
      </c>
      <c r="AV98" s="188"/>
    </row>
    <row r="99" spans="2:48" ht="15.95" hidden="1" customHeight="1" x14ac:dyDescent="0.25">
      <c r="B99" s="873"/>
      <c r="AV99" s="188"/>
    </row>
    <row r="100" spans="2:48" ht="15.95" hidden="1" customHeight="1" x14ac:dyDescent="0.25">
      <c r="B100" s="873">
        <v>43</v>
      </c>
      <c r="AV100" s="188"/>
    </row>
    <row r="101" spans="2:48" ht="15.95" hidden="1" customHeight="1" x14ac:dyDescent="0.25">
      <c r="B101" s="873"/>
      <c r="AV101" s="188"/>
    </row>
    <row r="102" spans="2:48" ht="15.95" hidden="1" customHeight="1" x14ac:dyDescent="0.25">
      <c r="B102" s="873">
        <v>44</v>
      </c>
      <c r="AV102" s="188"/>
    </row>
    <row r="103" spans="2:48" ht="15.95" hidden="1" customHeight="1" x14ac:dyDescent="0.25">
      <c r="B103" s="873"/>
      <c r="AV103" s="188"/>
    </row>
    <row r="104" spans="2:48" ht="15.95" hidden="1" customHeight="1" x14ac:dyDescent="0.25">
      <c r="B104" s="873">
        <v>45</v>
      </c>
      <c r="AV104" s="188"/>
    </row>
    <row r="105" spans="2:48" ht="15.95" hidden="1" customHeight="1" x14ac:dyDescent="0.25">
      <c r="B105" s="873"/>
      <c r="AV105" s="188"/>
    </row>
    <row r="106" spans="2:48" ht="15.95" hidden="1" customHeight="1" x14ac:dyDescent="0.25">
      <c r="B106" s="873">
        <v>46</v>
      </c>
      <c r="AV106" s="188"/>
    </row>
    <row r="107" spans="2:48" ht="15.95" hidden="1" customHeight="1" x14ac:dyDescent="0.25">
      <c r="B107" s="873"/>
      <c r="AV107" s="188"/>
    </row>
    <row r="108" spans="2:48" ht="15.95" hidden="1" customHeight="1" x14ac:dyDescent="0.25">
      <c r="B108" s="873">
        <v>47</v>
      </c>
      <c r="AV108" s="188"/>
    </row>
    <row r="109" spans="2:48" ht="15.95" hidden="1" customHeight="1" x14ac:dyDescent="0.25">
      <c r="B109" s="873"/>
      <c r="AV109" s="188"/>
    </row>
    <row r="110" spans="2:48" ht="15.95" hidden="1" customHeight="1" x14ac:dyDescent="0.25">
      <c r="B110" s="873">
        <v>48</v>
      </c>
      <c r="AV110" s="188"/>
    </row>
    <row r="111" spans="2:48" ht="15.95" hidden="1" customHeight="1" x14ac:dyDescent="0.25">
      <c r="B111" s="873"/>
      <c r="AV111" s="188"/>
    </row>
    <row r="112" spans="2:48" ht="15.95" hidden="1" customHeight="1" x14ac:dyDescent="0.25">
      <c r="B112" s="873">
        <v>49</v>
      </c>
      <c r="AV112" s="188"/>
    </row>
    <row r="113" spans="2:48" ht="15.95" hidden="1" customHeight="1" x14ac:dyDescent="0.25">
      <c r="B113" s="873"/>
      <c r="AV113" s="188"/>
    </row>
    <row r="114" spans="2:48" ht="15.95" hidden="1" customHeight="1" x14ac:dyDescent="0.25">
      <c r="B114" s="873">
        <v>50</v>
      </c>
      <c r="AV114" s="188"/>
    </row>
    <row r="115" spans="2:48" ht="15.95" hidden="1" customHeight="1" x14ac:dyDescent="0.25">
      <c r="B115" s="873"/>
      <c r="AV115" s="188"/>
    </row>
    <row r="116" spans="2:48" ht="15.95" hidden="1" customHeight="1" x14ac:dyDescent="0.25">
      <c r="B116" s="873">
        <v>51</v>
      </c>
      <c r="AV116" s="188"/>
    </row>
    <row r="117" spans="2:48" ht="15.95" hidden="1" customHeight="1" x14ac:dyDescent="0.25">
      <c r="B117" s="873"/>
      <c r="AV117" s="188"/>
    </row>
    <row r="118" spans="2:48" ht="15.95" hidden="1" customHeight="1" x14ac:dyDescent="0.25">
      <c r="B118" s="873">
        <v>52</v>
      </c>
      <c r="AV118" s="188"/>
    </row>
    <row r="119" spans="2:48" ht="15.95" hidden="1" customHeight="1" x14ac:dyDescent="0.25">
      <c r="B119" s="873"/>
      <c r="AV119" s="188"/>
    </row>
    <row r="120" spans="2:48" ht="15.95" hidden="1" customHeight="1" x14ac:dyDescent="0.25">
      <c r="B120" s="873">
        <v>53</v>
      </c>
      <c r="AV120" s="188"/>
    </row>
    <row r="121" spans="2:48" ht="15.95" hidden="1" customHeight="1" x14ac:dyDescent="0.25">
      <c r="B121" s="873"/>
      <c r="AV121" s="188"/>
    </row>
    <row r="122" spans="2:48" ht="15.95" hidden="1" customHeight="1" x14ac:dyDescent="0.25">
      <c r="B122" s="873">
        <v>54</v>
      </c>
      <c r="AV122" s="188"/>
    </row>
    <row r="123" spans="2:48" ht="15.95" hidden="1" customHeight="1" x14ac:dyDescent="0.25">
      <c r="B123" s="873"/>
      <c r="AV123" s="188"/>
    </row>
    <row r="124" spans="2:48" ht="15.95" hidden="1" customHeight="1" x14ac:dyDescent="0.25">
      <c r="B124" s="873">
        <v>55</v>
      </c>
      <c r="AV124" s="188"/>
    </row>
    <row r="125" spans="2:48" ht="15.95" hidden="1" customHeight="1" x14ac:dyDescent="0.25">
      <c r="B125" s="873"/>
      <c r="AV125" s="188"/>
    </row>
    <row r="126" spans="2:48" ht="15.95" hidden="1" customHeight="1" x14ac:dyDescent="0.25">
      <c r="B126" s="873">
        <v>56</v>
      </c>
      <c r="AV126" s="188"/>
    </row>
    <row r="127" spans="2:48" ht="15.95" hidden="1" customHeight="1" x14ac:dyDescent="0.25">
      <c r="B127" s="873"/>
      <c r="AV127" s="188"/>
    </row>
    <row r="128" spans="2:48" ht="15.95" hidden="1" customHeight="1" x14ac:dyDescent="0.25">
      <c r="B128" s="873">
        <v>57</v>
      </c>
      <c r="AV128" s="188"/>
    </row>
    <row r="129" spans="2:48" ht="15.95" hidden="1" customHeight="1" x14ac:dyDescent="0.25">
      <c r="B129" s="873"/>
      <c r="AV129" s="188"/>
    </row>
    <row r="130" spans="2:48" ht="15.95" hidden="1" customHeight="1" x14ac:dyDescent="0.25">
      <c r="B130" s="873">
        <v>58</v>
      </c>
      <c r="AV130" s="188"/>
    </row>
    <row r="131" spans="2:48" ht="15.95" hidden="1" customHeight="1" x14ac:dyDescent="0.25">
      <c r="B131" s="873"/>
      <c r="AV131" s="188"/>
    </row>
    <row r="132" spans="2:48" ht="15.95" hidden="1" customHeight="1" x14ac:dyDescent="0.25">
      <c r="B132" s="873">
        <v>59</v>
      </c>
      <c r="AV132" s="188"/>
    </row>
    <row r="133" spans="2:48" ht="15.95" hidden="1" customHeight="1" x14ac:dyDescent="0.25">
      <c r="B133" s="873"/>
      <c r="AV133" s="188"/>
    </row>
    <row r="134" spans="2:48" ht="15.95" hidden="1" customHeight="1" x14ac:dyDescent="0.25">
      <c r="B134" s="873">
        <v>60</v>
      </c>
      <c r="AV134" s="188"/>
    </row>
    <row r="135" spans="2:48" ht="15.95" hidden="1" customHeight="1" x14ac:dyDescent="0.25">
      <c r="B135" s="873"/>
      <c r="AV135" s="188"/>
    </row>
    <row r="136" spans="2:48" ht="15.95" hidden="1" customHeight="1" x14ac:dyDescent="0.25">
      <c r="B136" s="873">
        <v>61</v>
      </c>
      <c r="AV136" s="188"/>
    </row>
    <row r="137" spans="2:48" ht="15.95" hidden="1" customHeight="1" x14ac:dyDescent="0.25">
      <c r="B137" s="873"/>
      <c r="AV137" s="188"/>
    </row>
    <row r="138" spans="2:48" ht="15.95" hidden="1" customHeight="1" x14ac:dyDescent="0.25">
      <c r="B138" s="873">
        <v>62</v>
      </c>
      <c r="AV138" s="188"/>
    </row>
    <row r="139" spans="2:48" ht="15.95" hidden="1" customHeight="1" x14ac:dyDescent="0.25">
      <c r="B139" s="873"/>
      <c r="AV139" s="188"/>
    </row>
    <row r="140" spans="2:48" ht="15.95" hidden="1" customHeight="1" x14ac:dyDescent="0.25">
      <c r="B140" s="873">
        <v>63</v>
      </c>
      <c r="AV140" s="188"/>
    </row>
    <row r="141" spans="2:48" ht="15.95" hidden="1" customHeight="1" x14ac:dyDescent="0.25">
      <c r="B141" s="873"/>
      <c r="AV141" s="188"/>
    </row>
    <row r="142" spans="2:48" ht="15.95" hidden="1" customHeight="1" x14ac:dyDescent="0.25">
      <c r="B142" s="873">
        <v>64</v>
      </c>
      <c r="AV142" s="188"/>
    </row>
    <row r="143" spans="2:48" ht="15.95" hidden="1" customHeight="1" x14ac:dyDescent="0.25">
      <c r="B143" s="873"/>
      <c r="AV143" s="188"/>
    </row>
    <row r="144" spans="2:48" ht="15.95" hidden="1" customHeight="1" x14ac:dyDescent="0.25">
      <c r="B144" s="873">
        <v>65</v>
      </c>
      <c r="AV144" s="188"/>
    </row>
    <row r="145" spans="2:48" ht="15.95" hidden="1" customHeight="1" x14ac:dyDescent="0.25">
      <c r="B145" s="873"/>
      <c r="AV145" s="188"/>
    </row>
    <row r="146" spans="2:48" ht="15.95" hidden="1" customHeight="1" x14ac:dyDescent="0.25">
      <c r="B146" s="873">
        <v>66</v>
      </c>
      <c r="AV146" s="188"/>
    </row>
    <row r="147" spans="2:48" ht="15.95" hidden="1" customHeight="1" x14ac:dyDescent="0.25">
      <c r="B147" s="873"/>
      <c r="AV147" s="188"/>
    </row>
    <row r="148" spans="2:48" ht="15.95" hidden="1" customHeight="1" x14ac:dyDescent="0.25">
      <c r="B148" s="873">
        <v>67</v>
      </c>
      <c r="AV148" s="188"/>
    </row>
    <row r="149" spans="2:48" ht="15.95" hidden="1" customHeight="1" x14ac:dyDescent="0.25">
      <c r="B149" s="873"/>
      <c r="AV149" s="188"/>
    </row>
    <row r="150" spans="2:48" ht="15.95" hidden="1" customHeight="1" x14ac:dyDescent="0.25">
      <c r="B150" s="873">
        <v>68</v>
      </c>
      <c r="AV150" s="188"/>
    </row>
    <row r="151" spans="2:48" ht="15.95" hidden="1" customHeight="1" x14ac:dyDescent="0.25">
      <c r="B151" s="873"/>
      <c r="AV151" s="188"/>
    </row>
    <row r="152" spans="2:48" ht="15.95" hidden="1" customHeight="1" x14ac:dyDescent="0.25">
      <c r="B152" s="873">
        <v>69</v>
      </c>
      <c r="AV152" s="188"/>
    </row>
    <row r="153" spans="2:48" ht="15.95" hidden="1" customHeight="1" x14ac:dyDescent="0.25">
      <c r="B153" s="873"/>
      <c r="AV153" s="188"/>
    </row>
    <row r="154" spans="2:48" ht="15.95" hidden="1" customHeight="1" x14ac:dyDescent="0.25">
      <c r="B154" s="873">
        <v>70</v>
      </c>
      <c r="AV154" s="188"/>
    </row>
    <row r="155" spans="2:48" ht="15.95" hidden="1" customHeight="1" x14ac:dyDescent="0.25">
      <c r="B155" s="873"/>
      <c r="AV155" s="188"/>
    </row>
    <row r="156" spans="2:48" ht="15.95" hidden="1" customHeight="1" x14ac:dyDescent="0.25">
      <c r="B156" s="873">
        <v>71</v>
      </c>
      <c r="AV156" s="188"/>
    </row>
    <row r="157" spans="2:48" ht="15.95" hidden="1" customHeight="1" x14ac:dyDescent="0.25">
      <c r="B157" s="873"/>
      <c r="AV157" s="188"/>
    </row>
    <row r="158" spans="2:48" ht="15.95" hidden="1" customHeight="1" x14ac:dyDescent="0.25">
      <c r="B158" s="873">
        <v>72</v>
      </c>
      <c r="AV158" s="188"/>
    </row>
    <row r="159" spans="2:48" ht="15.95" hidden="1" customHeight="1" x14ac:dyDescent="0.25">
      <c r="B159" s="873"/>
      <c r="AV159" s="188"/>
    </row>
    <row r="160" spans="2:48" ht="15.95" hidden="1" customHeight="1" x14ac:dyDescent="0.25">
      <c r="B160" s="873">
        <v>73</v>
      </c>
      <c r="AV160" s="188"/>
    </row>
    <row r="161" spans="2:48" ht="15.95" hidden="1" customHeight="1" x14ac:dyDescent="0.25">
      <c r="B161" s="873"/>
      <c r="AV161" s="188"/>
    </row>
    <row r="162" spans="2:48" ht="15.95" hidden="1" customHeight="1" x14ac:dyDescent="0.25">
      <c r="B162" s="873">
        <v>74</v>
      </c>
      <c r="AV162" s="188"/>
    </row>
    <row r="163" spans="2:48" ht="15.95" hidden="1" customHeight="1" x14ac:dyDescent="0.25">
      <c r="B163" s="873"/>
      <c r="AV163" s="188"/>
    </row>
    <row r="164" spans="2:48" ht="15.95" hidden="1" customHeight="1" x14ac:dyDescent="0.25">
      <c r="B164" s="873">
        <v>75</v>
      </c>
      <c r="AV164" s="188"/>
    </row>
    <row r="165" spans="2:48" ht="15.95" hidden="1" customHeight="1" x14ac:dyDescent="0.25">
      <c r="B165" s="873"/>
      <c r="AV165" s="188"/>
    </row>
    <row r="166" spans="2:48" ht="15.95" hidden="1" customHeight="1" x14ac:dyDescent="0.25">
      <c r="B166" s="873">
        <v>76</v>
      </c>
      <c r="AV166" s="188"/>
    </row>
    <row r="167" spans="2:48" ht="15.95" hidden="1" customHeight="1" x14ac:dyDescent="0.25">
      <c r="B167" s="873"/>
      <c r="AV167" s="188"/>
    </row>
    <row r="168" spans="2:48" ht="15.95" hidden="1" customHeight="1" x14ac:dyDescent="0.25">
      <c r="B168" s="873">
        <v>77</v>
      </c>
      <c r="AV168" s="188"/>
    </row>
    <row r="169" spans="2:48" ht="15.95" hidden="1" customHeight="1" x14ac:dyDescent="0.25">
      <c r="B169" s="873"/>
      <c r="AV169" s="188"/>
    </row>
    <row r="170" spans="2:48" ht="15.95" hidden="1" customHeight="1" x14ac:dyDescent="0.25">
      <c r="B170" s="873">
        <v>78</v>
      </c>
      <c r="AV170" s="188"/>
    </row>
    <row r="171" spans="2:48" ht="15.95" hidden="1" customHeight="1" x14ac:dyDescent="0.25">
      <c r="B171" s="873"/>
      <c r="AV171" s="188"/>
    </row>
    <row r="172" spans="2:48" ht="15.95" hidden="1" customHeight="1" x14ac:dyDescent="0.25">
      <c r="B172" s="873">
        <v>79</v>
      </c>
      <c r="AV172" s="188"/>
    </row>
    <row r="173" spans="2:48" ht="15.95" hidden="1" customHeight="1" x14ac:dyDescent="0.25">
      <c r="B173" s="873"/>
      <c r="AV173" s="188"/>
    </row>
    <row r="174" spans="2:48" ht="15.95" hidden="1" customHeight="1" x14ac:dyDescent="0.25">
      <c r="B174" s="873">
        <v>80</v>
      </c>
      <c r="AV174" s="188"/>
    </row>
    <row r="175" spans="2:48" ht="15.95" hidden="1" customHeight="1" x14ac:dyDescent="0.25">
      <c r="B175" s="873"/>
      <c r="AV175" s="188"/>
    </row>
    <row r="176" spans="2:48" ht="15.95" hidden="1" customHeight="1" x14ac:dyDescent="0.25">
      <c r="B176" s="873">
        <v>81</v>
      </c>
      <c r="AV176" s="188"/>
    </row>
    <row r="177" spans="2:48" ht="15.95" hidden="1" customHeight="1" x14ac:dyDescent="0.25">
      <c r="B177" s="873"/>
      <c r="AV177" s="188"/>
    </row>
    <row r="178" spans="2:48" ht="15.95" hidden="1" customHeight="1" x14ac:dyDescent="0.25">
      <c r="B178" s="873">
        <v>82</v>
      </c>
      <c r="AV178" s="188"/>
    </row>
    <row r="179" spans="2:48" ht="15.95" hidden="1" customHeight="1" x14ac:dyDescent="0.25">
      <c r="B179" s="873"/>
      <c r="AV179" s="188"/>
    </row>
    <row r="180" spans="2:48" ht="15.95" hidden="1" customHeight="1" x14ac:dyDescent="0.25">
      <c r="B180" s="873">
        <v>83</v>
      </c>
      <c r="AV180" s="188"/>
    </row>
    <row r="181" spans="2:48" ht="15.95" hidden="1" customHeight="1" x14ac:dyDescent="0.25">
      <c r="B181" s="873"/>
      <c r="AV181" s="188"/>
    </row>
    <row r="182" spans="2:48" ht="15.95" hidden="1" customHeight="1" x14ac:dyDescent="0.25">
      <c r="B182" s="873">
        <v>84</v>
      </c>
      <c r="AV182" s="188"/>
    </row>
    <row r="183" spans="2:48" ht="15.95" hidden="1" customHeight="1" x14ac:dyDescent="0.25">
      <c r="B183" s="873"/>
      <c r="AV183" s="188"/>
    </row>
    <row r="184" spans="2:48" ht="15.95" hidden="1" customHeight="1" x14ac:dyDescent="0.25">
      <c r="B184" s="873">
        <v>85</v>
      </c>
      <c r="AV184" s="188"/>
    </row>
    <row r="185" spans="2:48" ht="15.95" hidden="1" customHeight="1" x14ac:dyDescent="0.25">
      <c r="B185" s="873"/>
      <c r="AV185" s="188"/>
    </row>
    <row r="186" spans="2:48" ht="15.95" hidden="1" customHeight="1" x14ac:dyDescent="0.25">
      <c r="B186" s="873">
        <v>86</v>
      </c>
      <c r="AV186" s="188"/>
    </row>
    <row r="187" spans="2:48" ht="15.95" hidden="1" customHeight="1" x14ac:dyDescent="0.25">
      <c r="B187" s="873"/>
      <c r="AV187" s="188"/>
    </row>
    <row r="188" spans="2:48" ht="15.95" hidden="1" customHeight="1" x14ac:dyDescent="0.25">
      <c r="B188" s="873">
        <v>87</v>
      </c>
      <c r="AV188" s="188"/>
    </row>
    <row r="189" spans="2:48" ht="15.95" hidden="1" customHeight="1" x14ac:dyDescent="0.25">
      <c r="B189" s="873"/>
      <c r="AV189" s="188"/>
    </row>
    <row r="190" spans="2:48" ht="15.95" hidden="1" customHeight="1" x14ac:dyDescent="0.25">
      <c r="B190" s="873">
        <v>88</v>
      </c>
      <c r="AV190" s="188"/>
    </row>
    <row r="191" spans="2:48" ht="15.95" hidden="1" customHeight="1" x14ac:dyDescent="0.25">
      <c r="B191" s="873"/>
      <c r="AV191" s="188"/>
    </row>
    <row r="192" spans="2:48" ht="15.95" hidden="1" customHeight="1" x14ac:dyDescent="0.25">
      <c r="B192" s="873">
        <v>89</v>
      </c>
      <c r="AV192" s="188"/>
    </row>
    <row r="193" spans="2:59" ht="15.95" hidden="1" customHeight="1" x14ac:dyDescent="0.25">
      <c r="B193" s="873"/>
      <c r="AV193" s="188"/>
    </row>
    <row r="194" spans="2:59" ht="15.95" hidden="1" customHeight="1" x14ac:dyDescent="0.25">
      <c r="B194" s="873">
        <v>90</v>
      </c>
      <c r="AV194" s="188"/>
    </row>
    <row r="195" spans="2:59" ht="15.95" hidden="1" customHeight="1" x14ac:dyDescent="0.25">
      <c r="B195" s="873"/>
      <c r="AV195" s="188"/>
    </row>
    <row r="196" spans="2:59" ht="15.95" hidden="1" customHeight="1" x14ac:dyDescent="0.25">
      <c r="B196" s="873">
        <v>91</v>
      </c>
      <c r="AV196" s="188"/>
    </row>
    <row r="197" spans="2:59" ht="15.95" hidden="1" customHeight="1" x14ac:dyDescent="0.25">
      <c r="B197" s="873"/>
      <c r="AV197" s="188"/>
    </row>
    <row r="198" spans="2:59" ht="15.95" hidden="1" customHeight="1" x14ac:dyDescent="0.25">
      <c r="B198" s="873">
        <v>92</v>
      </c>
      <c r="AV198" s="188"/>
    </row>
    <row r="199" spans="2:59" ht="15.95" hidden="1" customHeight="1" x14ac:dyDescent="0.25">
      <c r="B199" s="873"/>
      <c r="AV199" s="188"/>
    </row>
    <row r="200" spans="2:59"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AV200"/>
      <c r="AW200"/>
      <c r="AX200"/>
      <c r="AY200"/>
      <c r="AZ200"/>
      <c r="BA200"/>
      <c r="BE200" s="1852">
        <f>SUM(BE16:BE35)</f>
        <v>0</v>
      </c>
      <c r="BF200" s="1852">
        <f>SUM(BF16:BF35)</f>
        <v>0</v>
      </c>
      <c r="BG200" s="1852">
        <f t="shared" ref="BG200" si="17">SUM(BG16:BG35)</f>
        <v>0</v>
      </c>
    </row>
    <row r="201" spans="2:59"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AV201"/>
      <c r="AW201"/>
      <c r="AX201"/>
      <c r="AY201"/>
      <c r="AZ201"/>
      <c r="BA201"/>
      <c r="BE201" s="1853"/>
      <c r="BF201" s="1853"/>
      <c r="BG201" s="1853"/>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dkTuvZsDKcRznZ2PWajIrQRDNOhiY1/Utx1/PqlJMjgI/2KUpL594Gbwhb4Ozl2sC05AFcbdy2Egj3qwta3wSw==" saltValue="jAuneWwa5hCTqhLWrctrPA==" spinCount="100000" sheet="1" objects="1" scenarios="1" selectLockedCells="1"/>
  <mergeCells count="422">
    <mergeCell ref="BG32:BG33"/>
    <mergeCell ref="BG34:BG35"/>
    <mergeCell ref="BE200:BE201"/>
    <mergeCell ref="BF200:BF201"/>
    <mergeCell ref="BG200:BG201"/>
    <mergeCell ref="BG14:BG15"/>
    <mergeCell ref="BG16:BG17"/>
    <mergeCell ref="BG18:BG19"/>
    <mergeCell ref="BG20:BG21"/>
    <mergeCell ref="BG22:BG23"/>
    <mergeCell ref="BG24:BG25"/>
    <mergeCell ref="BG26:BG27"/>
    <mergeCell ref="BG28:BG29"/>
    <mergeCell ref="BG30:BG31"/>
    <mergeCell ref="BE32:BE33"/>
    <mergeCell ref="BE34:BE35"/>
    <mergeCell ref="BF14:BF15"/>
    <mergeCell ref="BF16:BF17"/>
    <mergeCell ref="BF18:BF19"/>
    <mergeCell ref="BF20:BF21"/>
    <mergeCell ref="BF22:BF23"/>
    <mergeCell ref="BF24:BF25"/>
    <mergeCell ref="BF26:BF27"/>
    <mergeCell ref="BF28:BF29"/>
    <mergeCell ref="BF30:BF31"/>
    <mergeCell ref="BF32:BF33"/>
    <mergeCell ref="BF34:BF35"/>
    <mergeCell ref="BE14:BE15"/>
    <mergeCell ref="BE16:BE17"/>
    <mergeCell ref="BE18:BE19"/>
    <mergeCell ref="BE20:BE21"/>
    <mergeCell ref="BE22:BE23"/>
    <mergeCell ref="BE24:BE25"/>
    <mergeCell ref="BE26:BE27"/>
    <mergeCell ref="BE28:BE29"/>
    <mergeCell ref="BE30:BE31"/>
    <mergeCell ref="Q1:R1"/>
    <mergeCell ref="U1:V1"/>
    <mergeCell ref="Y1:Z1"/>
    <mergeCell ref="J11:Q13"/>
    <mergeCell ref="C18:E19"/>
    <mergeCell ref="Q18:R19"/>
    <mergeCell ref="S18:T19"/>
    <mergeCell ref="U18:Y19"/>
    <mergeCell ref="R12:U13"/>
    <mergeCell ref="V12:Y13"/>
    <mergeCell ref="Z12:AC13"/>
    <mergeCell ref="C14:E15"/>
    <mergeCell ref="Q14:R15"/>
    <mergeCell ref="S14:T15"/>
    <mergeCell ref="U14:Y15"/>
    <mergeCell ref="U16:Y17"/>
    <mergeCell ref="S16:T17"/>
    <mergeCell ref="Q16:R17"/>
    <mergeCell ref="C16:E17"/>
    <mergeCell ref="Z16:AA17"/>
    <mergeCell ref="AB16:AC17"/>
    <mergeCell ref="F18:J19"/>
    <mergeCell ref="K18:L19"/>
    <mergeCell ref="M18:P19"/>
    <mergeCell ref="F16:J17"/>
    <mergeCell ref="K16:L17"/>
    <mergeCell ref="M16:P17"/>
    <mergeCell ref="F24:J25"/>
    <mergeCell ref="F14:J15"/>
    <mergeCell ref="K14:L15"/>
    <mergeCell ref="C20:E21"/>
    <mergeCell ref="C22:E23"/>
    <mergeCell ref="C24:E25"/>
    <mergeCell ref="M22:P23"/>
    <mergeCell ref="M24:P25"/>
    <mergeCell ref="Q20:R21"/>
    <mergeCell ref="Q22:R23"/>
    <mergeCell ref="S22:T23"/>
    <mergeCell ref="Z20:AA21"/>
    <mergeCell ref="AB20:AC21"/>
    <mergeCell ref="U20:Y21"/>
    <mergeCell ref="U24:Y25"/>
    <mergeCell ref="Z24:AA25"/>
    <mergeCell ref="AB24:AC25"/>
    <mergeCell ref="Z22:AA23"/>
    <mergeCell ref="U22:Y23"/>
    <mergeCell ref="Q24:R25"/>
    <mergeCell ref="S24:T25"/>
    <mergeCell ref="S20:T21"/>
    <mergeCell ref="AU14:AU15"/>
    <mergeCell ref="AK22:AN23"/>
    <mergeCell ref="AO22:AQ23"/>
    <mergeCell ref="AH2:AK3"/>
    <mergeCell ref="AL2:AP3"/>
    <mergeCell ref="AF15:AG15"/>
    <mergeCell ref="AY24:AY25"/>
    <mergeCell ref="AU20:AU21"/>
    <mergeCell ref="AV20:AV21"/>
    <mergeCell ref="AW20:AW21"/>
    <mergeCell ref="AX20:AX21"/>
    <mergeCell ref="AY20:AY21"/>
    <mergeCell ref="AU22:AU23"/>
    <mergeCell ref="AV22:AV23"/>
    <mergeCell ref="AO24:AQ25"/>
    <mergeCell ref="AF22:AG23"/>
    <mergeCell ref="AH22:AJ23"/>
    <mergeCell ref="AF20:AG21"/>
    <mergeCell ref="AU16:AU17"/>
    <mergeCell ref="AU18:AU19"/>
    <mergeCell ref="AF18:AG19"/>
    <mergeCell ref="AF24:AG25"/>
    <mergeCell ref="AH24:AJ25"/>
    <mergeCell ref="AK24:AN25"/>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O9:AF10"/>
    <mergeCell ref="M14:P15"/>
    <mergeCell ref="M20:P21"/>
    <mergeCell ref="Z14:AA15"/>
    <mergeCell ref="AB14:AC15"/>
    <mergeCell ref="Z18:AA19"/>
    <mergeCell ref="AB18:AC19"/>
    <mergeCell ref="AD18:AE19"/>
    <mergeCell ref="AD24:AE25"/>
    <mergeCell ref="AD22:AE23"/>
    <mergeCell ref="AD16:AE17"/>
    <mergeCell ref="AD20:AE21"/>
    <mergeCell ref="AU54:AU55"/>
    <mergeCell ref="AV54:AV55"/>
    <mergeCell ref="AW54:AW55"/>
    <mergeCell ref="AH26:AJ27"/>
    <mergeCell ref="AH28:AJ29"/>
    <mergeCell ref="AH30:AJ31"/>
    <mergeCell ref="AH32:AJ33"/>
    <mergeCell ref="AH34:AJ35"/>
    <mergeCell ref="AK26:AN27"/>
    <mergeCell ref="AK28:AN29"/>
    <mergeCell ref="AK30:AN31"/>
    <mergeCell ref="AK32:AN33"/>
    <mergeCell ref="AK34:AN35"/>
    <mergeCell ref="AO26:AQ27"/>
    <mergeCell ref="AO28:AQ29"/>
    <mergeCell ref="AO30:AQ31"/>
    <mergeCell ref="AO32:AQ33"/>
    <mergeCell ref="AO34:AQ35"/>
    <mergeCell ref="AW34:AW35"/>
    <mergeCell ref="AV18:AV19"/>
    <mergeCell ref="AX54:AX55"/>
    <mergeCell ref="AY54:AY55"/>
    <mergeCell ref="AX56:AX57"/>
    <mergeCell ref="AY56:AY57"/>
    <mergeCell ref="AU56:AU57"/>
    <mergeCell ref="AV56:AV57"/>
    <mergeCell ref="AW56:AW57"/>
    <mergeCell ref="AH18:AJ19"/>
    <mergeCell ref="AK18:AN19"/>
    <mergeCell ref="AO18:AQ19"/>
    <mergeCell ref="AX22:AX23"/>
    <mergeCell ref="AY22:AY23"/>
    <mergeCell ref="AX24:AX25"/>
    <mergeCell ref="AY26:AY27"/>
    <mergeCell ref="AU26:AU27"/>
    <mergeCell ref="AV26:AV27"/>
    <mergeCell ref="AW26:AW27"/>
    <mergeCell ref="AX26:AX27"/>
    <mergeCell ref="AU30:AU31"/>
    <mergeCell ref="AV30:AV31"/>
    <mergeCell ref="AW30:AW31"/>
    <mergeCell ref="AX30:AX31"/>
    <mergeCell ref="AU34:AU35"/>
    <mergeCell ref="AV34:AV35"/>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18:AZ19"/>
    <mergeCell ref="AW22:AW23"/>
    <mergeCell ref="B30:B31"/>
    <mergeCell ref="B32:B33"/>
    <mergeCell ref="B34:B35"/>
    <mergeCell ref="U30:Y31"/>
    <mergeCell ref="U32:Y33"/>
    <mergeCell ref="U34:Y35"/>
    <mergeCell ref="Z26:AA27"/>
    <mergeCell ref="Z28:AA29"/>
    <mergeCell ref="Z30:AA31"/>
    <mergeCell ref="Z32:AA33"/>
    <mergeCell ref="AD26:AE27"/>
    <mergeCell ref="AD28:AE29"/>
    <mergeCell ref="AD30:AE31"/>
    <mergeCell ref="AD32:AE33"/>
    <mergeCell ref="AD34:AE35"/>
    <mergeCell ref="AF26:AG27"/>
    <mergeCell ref="AF28:AG29"/>
    <mergeCell ref="Z34:AA35"/>
    <mergeCell ref="AU24:AU25"/>
    <mergeCell ref="AV24:AV25"/>
    <mergeCell ref="AW24:AW25"/>
    <mergeCell ref="AB22:AC23"/>
    <mergeCell ref="F22:J23"/>
    <mergeCell ref="B36:B37"/>
    <mergeCell ref="C26:E27"/>
    <mergeCell ref="C28:E29"/>
    <mergeCell ref="C30:E31"/>
    <mergeCell ref="C32:E33"/>
    <mergeCell ref="C34:E35"/>
    <mergeCell ref="S26:T27"/>
    <mergeCell ref="S28:T29"/>
    <mergeCell ref="S30:T31"/>
    <mergeCell ref="S32:T33"/>
    <mergeCell ref="Q26:R27"/>
    <mergeCell ref="Q28:R29"/>
    <mergeCell ref="Q30:R31"/>
    <mergeCell ref="Q32:R33"/>
    <mergeCell ref="Q34:R35"/>
    <mergeCell ref="M26:P27"/>
    <mergeCell ref="M28:P29"/>
    <mergeCell ref="M30:P31"/>
    <mergeCell ref="M32:P33"/>
    <mergeCell ref="M34:P35"/>
    <mergeCell ref="F26:J27"/>
    <mergeCell ref="F28:J29"/>
    <mergeCell ref="F30:J31"/>
    <mergeCell ref="F32:J33"/>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AB34:AC35"/>
    <mergeCell ref="AF30:AG31"/>
    <mergeCell ref="AF32:AG33"/>
    <mergeCell ref="AF34:AG35"/>
    <mergeCell ref="S34:T35"/>
    <mergeCell ref="U26:Y27"/>
    <mergeCell ref="U28:Y2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AU28:AU29"/>
    <mergeCell ref="AV28:AV29"/>
    <mergeCell ref="AW28:AW29"/>
    <mergeCell ref="AX28:AX29"/>
    <mergeCell ref="AU32:AU33"/>
    <mergeCell ref="AV32:AV33"/>
    <mergeCell ref="AW32:AW33"/>
    <mergeCell ref="AX32:AX33"/>
    <mergeCell ref="AB26:AC27"/>
    <mergeCell ref="AB28:AC29"/>
    <mergeCell ref="AB30:AC31"/>
    <mergeCell ref="AB32:AC33"/>
    <mergeCell ref="AX34:AX35"/>
    <mergeCell ref="BB14:BB15"/>
    <mergeCell ref="BB16:BB17"/>
    <mergeCell ref="BB18:BB19"/>
    <mergeCell ref="BB20:BB21"/>
    <mergeCell ref="BB22:BB23"/>
    <mergeCell ref="BB24:BB25"/>
    <mergeCell ref="BB26:BB27"/>
    <mergeCell ref="BB28:BB29"/>
    <mergeCell ref="BB30:BB31"/>
    <mergeCell ref="AZ26:AZ27"/>
    <mergeCell ref="BA26:BA27"/>
    <mergeCell ref="BA20:BA21"/>
    <mergeCell ref="BA22:BA23"/>
    <mergeCell ref="BA24:BA25"/>
    <mergeCell ref="AZ14:AZ15"/>
    <mergeCell ref="BA14:BA15"/>
    <mergeCell ref="AZ20:AZ21"/>
    <mergeCell ref="AZ22:AZ23"/>
    <mergeCell ref="AZ24:AZ25"/>
    <mergeCell ref="BB34:BB35"/>
    <mergeCell ref="AZ28:AZ29"/>
    <mergeCell ref="BA28:BA29"/>
    <mergeCell ref="AY34:AY35"/>
    <mergeCell ref="AZ34:AZ35"/>
    <mergeCell ref="BA34:BA35"/>
    <mergeCell ref="AY30:AY31"/>
    <mergeCell ref="AZ30:AZ31"/>
    <mergeCell ref="BA30:BA31"/>
    <mergeCell ref="AY32:AY33"/>
    <mergeCell ref="AZ32:AZ33"/>
    <mergeCell ref="BA32:BA33"/>
    <mergeCell ref="AY28:AY29"/>
    <mergeCell ref="F34:J35"/>
    <mergeCell ref="K20:L21"/>
    <mergeCell ref="K22:L23"/>
    <mergeCell ref="K24:L25"/>
    <mergeCell ref="K26:L27"/>
    <mergeCell ref="K28:L29"/>
    <mergeCell ref="K30:L31"/>
    <mergeCell ref="K32:L33"/>
    <mergeCell ref="K34:L35"/>
    <mergeCell ref="F20:J21"/>
    <mergeCell ref="E9:I13"/>
    <mergeCell ref="BD32:BD33"/>
    <mergeCell ref="BD34:BD35"/>
    <mergeCell ref="BD14:BD15"/>
    <mergeCell ref="BD16:BD17"/>
    <mergeCell ref="BD18:BD19"/>
    <mergeCell ref="BD20:BD21"/>
    <mergeCell ref="BD22:BD23"/>
    <mergeCell ref="BD24:BD25"/>
    <mergeCell ref="BD26:BD27"/>
    <mergeCell ref="BD28:BD29"/>
    <mergeCell ref="BD30:BD31"/>
    <mergeCell ref="BC32:BC33"/>
    <mergeCell ref="BC34:BC35"/>
    <mergeCell ref="BC14:BC15"/>
    <mergeCell ref="BC16:BC17"/>
    <mergeCell ref="BC18:BC19"/>
    <mergeCell ref="BC20:BC21"/>
    <mergeCell ref="BC22:BC23"/>
    <mergeCell ref="BC24:BC25"/>
    <mergeCell ref="BC26:BC27"/>
    <mergeCell ref="BC28:BC29"/>
    <mergeCell ref="BC30:BC31"/>
    <mergeCell ref="BB32:BB33"/>
  </mergeCells>
  <conditionalFormatting sqref="M16 M22 M26 M30 M32 M34">
    <cfRule type="expression" dxfId="153" priority="75">
      <formula>AND(ISBLANK($F16)=FALSE,ISBLANK(M16)=TRUE)</formula>
    </cfRule>
  </conditionalFormatting>
  <conditionalFormatting sqref="M18">
    <cfRule type="expression" dxfId="152" priority="19">
      <formula>AND(ISBLANK($F18)=FALSE,ISBLANK(M18)=TRUE)</formula>
    </cfRule>
  </conditionalFormatting>
  <conditionalFormatting sqref="M24">
    <cfRule type="expression" dxfId="151" priority="18">
      <formula>AND(ISBLANK($F24)=FALSE,ISBLANK(M24)=TRUE)</formula>
    </cfRule>
  </conditionalFormatting>
  <conditionalFormatting sqref="M28">
    <cfRule type="expression" dxfId="150" priority="17">
      <formula>AND(ISBLANK($F28)=FALSE,ISBLANK(M28)=TRUE)</formula>
    </cfRule>
  </conditionalFormatting>
  <conditionalFormatting sqref="O9">
    <cfRule type="expression" dxfId="149" priority="330">
      <formula>ISNUMBER(SEARCH("Inspection",$O$9))</formula>
    </cfRule>
  </conditionalFormatting>
  <conditionalFormatting sqref="Q16:AG35 M20">
    <cfRule type="expression" dxfId="148" priority="1">
      <formula>AND(ISBLANK($F16)=FALSE,ISBLANK(M16)=TRUE)</formula>
    </cfRule>
  </conditionalFormatting>
  <conditionalFormatting sqref="AH2 AL2">
    <cfRule type="expression" dxfId="147" priority="3">
      <formula>PROJSTATUS=PROJSTATELI</formula>
    </cfRule>
    <cfRule type="expression" dxfId="146" priority="4">
      <formula>PROJSTATUS=PROJSTATREVIEW</formula>
    </cfRule>
    <cfRule type="expression" dxfId="145" priority="5">
      <formula>PROJSTATUS=PROJSTATPREAPPROVE</formula>
    </cfRule>
    <cfRule type="expression" dxfId="144" priority="6">
      <formula>PROJSTATUS=PROJSTATSTANDARD</formula>
    </cfRule>
    <cfRule type="expression" dxfId="143" priority="7">
      <formula>PROJSTATUS=PROJSTATEXP</formula>
    </cfRule>
  </conditionalFormatting>
  <conditionalFormatting sqref="AK16 AK18 AK20 AK22 AK24 AK26 AK28 AK30 AK32 AK34">
    <cfRule type="expression" dxfId="142" priority="8">
      <formula>ISNUMBER(AK16)=FALSE</formula>
    </cfRule>
  </conditionalFormatting>
  <conditionalFormatting sqref="AK16:AN35">
    <cfRule type="expression" dxfId="141" priority="82">
      <formula>ISNUMBER(SEARCH("Cost",BD16))</formula>
    </cfRule>
  </conditionalFormatting>
  <conditionalFormatting sqref="AQ2:AR3">
    <cfRule type="cellIs" dxfId="140" priority="22" operator="equal">
      <formula>1</formula>
    </cfRule>
    <cfRule type="cellIs" dxfId="139" priority="23" operator="between">
      <formula>0.51</formula>
      <formula>0.99</formula>
    </cfRule>
    <cfRule type="cellIs" dxfId="138" priority="24" operator="lessThanOrEqual">
      <formula>0.5</formula>
    </cfRule>
  </conditionalFormatting>
  <dataValidations xWindow="918" yWindow="580" count="8">
    <dataValidation type="decimal" allowBlank="1" showInputMessage="1" showErrorMessage="1" error="Please enter a numerical value" sqref="Z16 Z32 Q16 Z24 Z34 Z28 Q22 Z18 Q26 Q24 Q30 Q32 Q34 Z30 Q28 Z22 Q18 Z26 Q20 Z20" xr:uid="{00000000-0002-0000-1D00-000000000000}">
      <formula1>0</formula1>
      <formula2>999999</formula2>
    </dataValidation>
    <dataValidation type="decimal" allowBlank="1" showInputMessage="1" showErrorMessage="1" prompt="Enter the kWh use per unit of equipment in one year." sqref="AB16 AB32 S16 AB34 AB28 S22 AB18 AB24 S26 S24 S30 S32 S34 AB30 S28 AB22 S18 AB26 S20 AB20" xr:uid="{00000000-0002-0000-1D00-000001000000}">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34 C16 C28 C22 C18 C26 C24 C30 C32 C20" xr:uid="{00000000-0002-0000-1D00-000002000000}">
      <formula1>IF(ISBLANK(F16),NONPRESCPROGRAM,"")</formula1>
    </dataValidation>
    <dataValidation type="list" allowBlank="1" showInputMessage="1" showErrorMessage="1" prompt="Select the measure type that is closest to the selections in this list. If not listed, select &quot;Others&quot;" sqref="F16 F32 F34 F28 F22 F18 F26 F24 F30 F20" xr:uid="{00000000-0002-0000-1D00-000003000000}">
      <formula1>CMEHVACDESC</formula1>
    </dataValidation>
    <dataValidation type="list" allowBlank="1" showInputMessage="1" showErrorMessage="1" sqref="AW16:AW35" xr:uid="{00000000-0002-0000-1D00-000004000000}">
      <formula1>ENDUSECAT</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1D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M34 M16 M32 M28 M22 M18 M26 M24 M30 M20" xr:uid="{00000000-0002-0000-1D00-000006000000}"/>
    <dataValidation type="list" allowBlank="1" showInputMessage="1" showErrorMessage="1" prompt="Please select whether the achieved savings is Cooling or HVAC._x000a__x000a_In general, for savings to be designated Cooling, usage must be confined to chillers, or to fans and controls in use during the cooling season. Other usage is designated as HVAC." sqref="K16:L35" xr:uid="{00000000-0002-0000-1D00-000007000000}">
      <formula1>HVACENDUSETYPE</formula1>
    </dataValidation>
  </dataValidations>
  <hyperlinks>
    <hyperlink ref="B202" r:id="rId1" display="NIPSCO.Savings@LMCO.com" xr:uid="{00000000-0004-0000-1D00-000000000000}"/>
  </hyperlinks>
  <pageMargins left="0.25" right="0.25" top="0.25" bottom="0.25" header="0.25" footer="0.25"/>
  <pageSetup scale="50"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B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s>
  <sheetData>
    <row r="1" spans="2:59"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9" ht="15.95" customHeight="1" x14ac:dyDescent="0.25">
      <c r="AH3" s="604"/>
      <c r="AI3" s="605"/>
      <c r="AJ3" s="605"/>
      <c r="AK3" s="605"/>
      <c r="AL3" s="614"/>
      <c r="AM3" s="614"/>
      <c r="AN3" s="614"/>
      <c r="AO3" s="614"/>
      <c r="AP3" s="614"/>
      <c r="AQ3" s="610"/>
      <c r="AR3" s="611"/>
    </row>
    <row r="4" spans="2:59" ht="15.95" customHeight="1" x14ac:dyDescent="0.25"/>
    <row r="5" spans="2: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9" ht="15.95" customHeight="1" x14ac:dyDescent="0.25">
      <c r="AU8" s="121" t="s">
        <v>208</v>
      </c>
      <c r="AV8" s="121" t="str">
        <f ca="1">CBPRESE</f>
        <v>NA</v>
      </c>
      <c r="AW8" s="121" t="str">
        <f ca="1">CBCUSE</f>
        <v>NA</v>
      </c>
      <c r="AX8" s="121" t="str">
        <f ca="1">CBALL</f>
        <v>NA</v>
      </c>
      <c r="AY8" s="121"/>
    </row>
    <row r="9" spans="2:59"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IF(INCENSTATUS="---",CONCATENATE(M5S2," ","Summary"),IF(INCENSTATUS&gt;15000,"This project may require an inspection. Please submit photos of existing equipment and of new efficient equipment once installed.",CONCATENATE(M5S2," ","Summary")))</f>
        <v>Dimming / Daylighting Controls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9"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9"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9"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9"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9"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c r="BE14" s="745" t="s">
        <v>2006</v>
      </c>
      <c r="BF14" s="745" t="s">
        <v>2007</v>
      </c>
      <c r="BG14" s="745" t="s">
        <v>2008</v>
      </c>
    </row>
    <row r="15" spans="2:59"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c r="BE15" s="746"/>
      <c r="BF15" s="746"/>
      <c r="BG15" s="746"/>
    </row>
    <row r="16" spans="2:59" ht="15.95" customHeight="1" x14ac:dyDescent="0.25">
      <c r="B16" s="1193">
        <v>1</v>
      </c>
      <c r="C16" s="1854"/>
      <c r="D16" s="1854"/>
      <c r="E16" s="1854"/>
      <c r="F16" s="1824"/>
      <c r="G16" s="1824"/>
      <c r="H16" s="1824"/>
      <c r="I16" s="1824"/>
      <c r="J16" s="1824"/>
      <c r="K16" s="1824"/>
      <c r="L16" s="1846"/>
      <c r="M16" s="1824"/>
      <c r="N16" s="1824"/>
      <c r="O16" s="1824"/>
      <c r="P16" s="1824"/>
      <c r="Q16" s="1855"/>
      <c r="R16" s="1855"/>
      <c r="S16" s="1817"/>
      <c r="T16" s="1822"/>
      <c r="U16" s="1769"/>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IF(OR(C16="",F16="",L16="",Q16="",S16="",U16="",Z16="",AB16="",AD16="",AF16=""),"",INDEX(CMELIGHTCON[End Use Category],MATCH(F16,CMELIGHTCON[Proj Desc 1],0)))</f>
        <v/>
      </c>
      <c r="AX16" s="800" t="str">
        <f>IF(OR(C16="",F16="",L16="",Q16="",S16="",U16="",Z16="",AB16="",AD16="",AF16=""),"",INDEX(CMELIGHTCON[EUL],MATCH(F16,CMELIGHTCON[Proj Desc 1],0)))</f>
        <v/>
      </c>
      <c r="AY16" s="1811" t="str">
        <f>IF(OR(C16="",F16="",L16="",Q16="",S16="",U16="",Z16="",AB16="",AD16="",AF16=""),"",INDEX(CMELIGHTCON[Measure Number],MATCH(F16,CMELIGHTCON[Proj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22">
        <f>IFERROR(ROUND(BG16*1.1,2),0)</f>
        <v>0</v>
      </c>
      <c r="BF16" s="1422" t="str">
        <f>IF(M02S02F44="","Update Install Status",IF(M02S02F44="Yes","Not Eligible if Pre-Purchased",IF(OR(C16="",F16="",L16="",Q16="",S16="",U16="",Z16="",AB16="",AD16="",AF16=""),"",IF(BC16&lt;&gt;"",BC16,ROUND(BE16*BONUSADJ,2)))))</f>
        <v>Update Install Status</v>
      </c>
      <c r="BG16" s="1422" t="str">
        <f>IF(M02S02F44="","Update Install Status",IF(M02S02F44="Yes","Not Eligible if Pre-Purchased",IF(OR(C16="",F16="",L16="",Q16="",S16="",U16="",Z16="",AB16="",AD16="",AF16=""),"",IF(BC16&lt;&gt;"",BC16,IF(C16="New/Replace Failed Equip.",BA16,AZ16)))))</f>
        <v>Update Install Status</v>
      </c>
    </row>
    <row r="17" spans="2:59"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c r="BE17" s="1423"/>
      <c r="BF17" s="1423"/>
      <c r="BG17" s="1423"/>
    </row>
    <row r="18" spans="2:59" ht="15.95" customHeight="1" x14ac:dyDescent="0.25">
      <c r="B18" s="1204">
        <v>2</v>
      </c>
      <c r="C18" s="1854"/>
      <c r="D18" s="1854"/>
      <c r="E18" s="1854"/>
      <c r="F18" s="1824"/>
      <c r="G18" s="1824"/>
      <c r="H18" s="1824"/>
      <c r="I18" s="1824"/>
      <c r="J18" s="1824"/>
      <c r="K18" s="1824"/>
      <c r="L18" s="1824"/>
      <c r="M18" s="1824"/>
      <c r="N18" s="1824"/>
      <c r="O18" s="1824"/>
      <c r="P18" s="1824"/>
      <c r="Q18" s="1855"/>
      <c r="R18" s="1855"/>
      <c r="S18" s="1817"/>
      <c r="T18" s="1822"/>
      <c r="U18" s="1472"/>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IF(OR(C18="",F18="",L18="",Q18="",S18="",U18="",Z18="",AB18="",AD18="",AF18=""),"",INDEX(CMELIGHTCON[End Use Category],MATCH(F18,CMELIGHTCON[Proj Desc 1],0)))</f>
        <v/>
      </c>
      <c r="AX18" s="800" t="str">
        <f>IF(OR(C18="",F18="",L18="",Q18="",S18="",U18="",Z18="",AB18="",AD18="",AF18=""),"",INDEX(CMELIGHTCON[EUL],MATCH(F18,CMELIGHTCON[Proj Desc 1],0)))</f>
        <v/>
      </c>
      <c r="AY18" s="1811" t="str">
        <f>IF(OR(C18="",F18="",L18="",Q18="",S18="",U18="",Z18="",AB18="",AD18="",AF18=""),"",INDEX(CMELIGHTCON[Measure Number],MATCH(F18,CMELIGHTCON[Proj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22">
        <f t="shared" ref="BE18" si="0">IFERROR(ROUND(BG18*1.1,2),0)</f>
        <v>0</v>
      </c>
      <c r="BF18" s="1422" t="str">
        <f>IF(M02S02F44="","Update Install Status",IF(M02S02F44="Yes","Not Eligible if Pre-Purchased",IF(OR(C18="",F18="",L18="",Q18="",S18="",U18="",Z18="",AB18="",AD18="",AF18=""),"",IF(BC18&lt;&gt;"",BC18,ROUND(BE18*BONUSADJ,2)))))</f>
        <v>Update Install Status</v>
      </c>
      <c r="BG18" s="1422" t="str">
        <f>IF(M02S02F44="","Update Install Status",IF(M02S02F44="Yes","Not Eligible if Pre-Purchased",IF(OR(C18="",F18="",L18="",Q18="",S18="",U18="",Z18="",AB18="",AD18="",AF18=""),"",IF(BC18&lt;&gt;"",BC18,IF(C18="New/Replace Failed Equip.",BA18,AZ18)))))</f>
        <v>Update Install Status</v>
      </c>
    </row>
    <row r="19" spans="2:59"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c r="BE19" s="1423"/>
      <c r="BF19" s="1423"/>
      <c r="BG19" s="1423"/>
    </row>
    <row r="20" spans="2:59"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IF(OR(C20="",F20="",L20="",Q20="",S20="",U20="",Z20="",AB20="",AD20="",AF20=""),"",INDEX(CMELIGHTCON[End Use Category],MATCH(F20,CMELIGHTCON[Proj Desc 1],0)))</f>
        <v/>
      </c>
      <c r="AX20" s="800" t="str">
        <f>IF(OR(C20="",F20="",L20="",Q20="",S20="",U20="",Z20="",AB20="",AD20="",AF20=""),"",INDEX(CMELIGHTCON[EUL],MATCH(F20,CMELIGHTCON[Proj Desc 1],0)))</f>
        <v/>
      </c>
      <c r="AY20" s="1811" t="str">
        <f>IF(OR(C20="",F20="",L20="",Q20="",S20="",U20="",Z20="",AB20="",AD20="",AF20=""),"",INDEX(CMELIGHTCON[Measure Number],MATCH(F20,CMELIGHTCON[Proj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22">
        <f t="shared" ref="BE20" si="1">IFERROR(ROUND(BG20*1.1,2),0)</f>
        <v>0</v>
      </c>
      <c r="BF20" s="1422" t="str">
        <f>IF(M02S02F44="","Update Install Status",IF(M02S02F44="Yes","Not Eligible if Pre-Purchased",IF(OR(C20="",F20="",L20="",Q20="",S20="",U20="",Z20="",AB20="",AD20="",AF20=""),"",IF(BC20&lt;&gt;"",BC20,ROUND(BE20*BONUSADJ,2)))))</f>
        <v>Update Install Status</v>
      </c>
      <c r="BG20" s="1422" t="str">
        <f>IF(M02S02F44="","Update Install Status",IF(M02S02F44="Yes","Not Eligible if Pre-Purchased",IF(OR(C20="",F20="",L20="",Q20="",S20="",U20="",Z20="",AB20="",AD20="",AF20=""),"",IF(BC20&lt;&gt;"",BC20,IF(C20="New/Replace Failed Equip.",BA20,AZ20)))))</f>
        <v>Update Install Status</v>
      </c>
    </row>
    <row r="21" spans="2:59"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c r="BE21" s="1423"/>
      <c r="BF21" s="1423"/>
      <c r="BG21" s="1423"/>
    </row>
    <row r="22" spans="2:59"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IF(OR(C22="",F22="",L22="",Q22="",S22="",U22="",Z22="",AB22="",AD22="",AF22=""),"",INDEX(CMELIGHTCON[End Use Category],MATCH(F22,CMELIGHTCON[Proj Desc 1],0)))</f>
        <v/>
      </c>
      <c r="AX22" s="800" t="str">
        <f>IF(OR(C22="",F22="",L22="",Q22="",S22="",U22="",Z22="",AB22="",AD22="",AF22=""),"",INDEX(CMELIGHTCON[EUL],MATCH(F22,CMELIGHTCON[Proj Desc 1],0)))</f>
        <v/>
      </c>
      <c r="AY22" s="1811" t="str">
        <f>IF(OR(C22="",F22="",L22="",Q22="",S22="",U22="",Z22="",AB22="",AD22="",AF22=""),"",INDEX(CMELIGHTCON[Measure Number],MATCH(F22,CMELIGHTCON[Proj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22">
        <f t="shared" ref="BE22" si="2">IFERROR(ROUND(BG22*1.1,2),0)</f>
        <v>0</v>
      </c>
      <c r="BF22" s="1422" t="str">
        <f>IF(M02S02F44="","Update Install Status",IF(M02S02F44="Yes","Not Eligible if Pre-Purchased",IF(OR(C22="",F22="",L22="",Q22="",S22="",U22="",Z22="",AB22="",AD22="",AF22=""),"",IF(BC22&lt;&gt;"",BC22,ROUND(BE22*BONUSADJ,2)))))</f>
        <v>Update Install Status</v>
      </c>
      <c r="BG22" s="1422" t="str">
        <f>IF(M02S02F44="","Update Install Status",IF(M02S02F44="Yes","Not Eligible if Pre-Purchased",IF(OR(C22="",F22="",L22="",Q22="",S22="",U22="",Z22="",AB22="",AD22="",AF22=""),"",IF(BC22&lt;&gt;"",BC22,IF(C22="New/Replace Failed Equip.",BA22,AZ22)))))</f>
        <v>Update Install Status</v>
      </c>
    </row>
    <row r="23" spans="2:59"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c r="BE23" s="1423"/>
      <c r="BF23" s="1423"/>
      <c r="BG23" s="1423"/>
    </row>
    <row r="24" spans="2:59"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IF(OR(C24="",F24="",L24="",Q24="",S24="",U24="",Z24="",AB24="",AD24="",AF24=""),"",INDEX(CMELIGHTCON[End Use Category],MATCH(F24,CMELIGHTCON[Proj Desc 1],0)))</f>
        <v/>
      </c>
      <c r="AX24" s="800" t="str">
        <f>IF(OR(C24="",F24="",L24="",Q24="",S24="",U24="",Z24="",AB24="",AD24="",AF24=""),"",INDEX(CMELIGHTCON[EUL],MATCH(F24,CMELIGHTCON[Proj Desc 1],0)))</f>
        <v/>
      </c>
      <c r="AY24" s="1811" t="str">
        <f>IF(OR(C24="",F24="",L24="",Q24="",S24="",U24="",Z24="",AB24="",AD24="",AF24=""),"",INDEX(CMELIGHTCON[Measure Number],MATCH(F24,CMELIGHTCON[Proj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22">
        <f t="shared" ref="BE24" si="3">IFERROR(ROUND(BG24*1.1,2),0)</f>
        <v>0</v>
      </c>
      <c r="BF24" s="1422" t="str">
        <f>IF(M02S02F44="","Update Install Status",IF(M02S02F44="Yes","Not Eligible if Pre-Purchased",IF(OR(C24="",F24="",L24="",Q24="",S24="",U24="",Z24="",AB24="",AD24="",AF24=""),"",IF(BC24&lt;&gt;"",BC24,ROUND(BE24*BONUSADJ,2)))))</f>
        <v>Update Install Status</v>
      </c>
      <c r="BG24" s="1422" t="str">
        <f>IF(M02S02F44="","Update Install Status",IF(M02S02F44="Yes","Not Eligible if Pre-Purchased",IF(OR(C24="",F24="",L24="",Q24="",S24="",U24="",Z24="",AB24="",AD24="",AF24=""),"",IF(BC24&lt;&gt;"",BC24,IF(C24="New/Replace Failed Equip.",BA24,AZ24)))))</f>
        <v>Update Install Status</v>
      </c>
    </row>
    <row r="25" spans="2:59"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c r="BE25" s="1423"/>
      <c r="BF25" s="1423"/>
      <c r="BG25" s="1423"/>
    </row>
    <row r="26" spans="2:59"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IF(OR(C26="",F26="",L26="",Q26="",S26="",U26="",Z26="",AB26="",AD26="",AF26=""),"",INDEX(CMELIGHTCON[End Use Category],MATCH(F26,CMELIGHTCON[Proj Desc 1],0)))</f>
        <v/>
      </c>
      <c r="AX26" s="800" t="str">
        <f>IF(OR(C26="",F26="",L26="",Q26="",S26="",U26="",Z26="",AB26="",AD26="",AF26=""),"",INDEX(CMELIGHTCON[EUL],MATCH(F26,CMELIGHTCON[Proj Desc 1],0)))</f>
        <v/>
      </c>
      <c r="AY26" s="1811" t="str">
        <f>IF(OR(C26="",F26="",L26="",Q26="",S26="",U26="",Z26="",AB26="",AD26="",AF26=""),"",INDEX(CMELIGHTCON[Measure Number],MATCH(F26,CMELIGHTCON[Proj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22">
        <f t="shared" ref="BE26" si="4">IFERROR(ROUND(BG26*1.1,2),0)</f>
        <v>0</v>
      </c>
      <c r="BF26" s="1422" t="str">
        <f>IF(M02S02F44="","Update Install Status",IF(M02S02F44="Yes","Not Eligible if Pre-Purchased",IF(OR(C26="",F26="",L26="",Q26="",S26="",U26="",Z26="",AB26="",AD26="",AF26=""),"",IF(BC26&lt;&gt;"",BC26,ROUND(BE26*BONUSADJ,2)))))</f>
        <v>Update Install Status</v>
      </c>
      <c r="BG26" s="1422" t="str">
        <f>IF(M02S02F44="","Update Install Status",IF(M02S02F44="Yes","Not Eligible if Pre-Purchased",IF(OR(C26="",F26="",L26="",Q26="",S26="",U26="",Z26="",AB26="",AD26="",AF26=""),"",IF(BC26&lt;&gt;"",BC26,IF(C26="New/Replace Failed Equip.",BA26,AZ26)))))</f>
        <v>Update Install Status</v>
      </c>
    </row>
    <row r="27" spans="2:59"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c r="BE27" s="1423"/>
      <c r="BF27" s="1423"/>
      <c r="BG27" s="1423"/>
    </row>
    <row r="28" spans="2:59"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IF(OR(C28="",F28="",L28="",Q28="",S28="",U28="",Z28="",AB28="",AD28="",AF28=""),"",INDEX(CMELIGHTCON[End Use Category],MATCH(F28,CMELIGHTCON[Proj Desc 1],0)))</f>
        <v/>
      </c>
      <c r="AX28" s="800" t="str">
        <f>IF(OR(C28="",F28="",L28="",Q28="",S28="",U28="",Z28="",AB28="",AD28="",AF28=""),"",INDEX(CMELIGHTCON[EUL],MATCH(F28,CMELIGHTCON[Proj Desc 1],0)))</f>
        <v/>
      </c>
      <c r="AY28" s="1811" t="str">
        <f>IF(OR(C28="",F28="",L28="",Q28="",S28="",U28="",Z28="",AB28="",AD28="",AF28=""),"",INDEX(CMELIGHTCON[Measure Number],MATCH(F28,CMELIGHTCON[Proj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22">
        <f t="shared" ref="BE28" si="5">IFERROR(ROUND(BG28*1.1,2),0)</f>
        <v>0</v>
      </c>
      <c r="BF28" s="1422" t="str">
        <f>IF(M02S02F44="","Update Install Status",IF(M02S02F44="Yes","Not Eligible if Pre-Purchased",IF(OR(C28="",F28="",L28="",Q28="",S28="",U28="",Z28="",AB28="",AD28="",AF28=""),"",IF(BC28&lt;&gt;"",BC28,ROUND(BE28*BONUSADJ,2)))))</f>
        <v>Update Install Status</v>
      </c>
      <c r="BG28" s="1422" t="str">
        <f>IF(M02S02F44="","Update Install Status",IF(M02S02F44="Yes","Not Eligible if Pre-Purchased",IF(OR(C28="",F28="",L28="",Q28="",S28="",U28="",Z28="",AB28="",AD28="",AF28=""),"",IF(BC28&lt;&gt;"",BC28,IF(C28="New/Replace Failed Equip.",BA28,AZ28)))))</f>
        <v>Update Install Status</v>
      </c>
    </row>
    <row r="29" spans="2:59"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c r="BE29" s="1423"/>
      <c r="BF29" s="1423"/>
      <c r="BG29" s="1423"/>
    </row>
    <row r="30" spans="2:59"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IF(OR(C30="",F30="",L30="",Q30="",S30="",U30="",Z30="",AB30="",AD30="",AF30=""),"",INDEX(CMELIGHTCON[End Use Category],MATCH(F30,CMELIGHTCON[Proj Desc 1],0)))</f>
        <v/>
      </c>
      <c r="AX30" s="800" t="str">
        <f>IF(OR(C30="",F30="",L30="",Q30="",S30="",U30="",Z30="",AB30="",AD30="",AF30=""),"",INDEX(CMELIGHTCON[EUL],MATCH(F30,CMELIGHTCON[Proj Desc 1],0)))</f>
        <v/>
      </c>
      <c r="AY30" s="1811" t="str">
        <f>IF(OR(C30="",F30="",L30="",Q30="",S30="",U30="",Z30="",AB30="",AD30="",AF30=""),"",INDEX(CMELIGHTCON[Measure Number],MATCH(F30,CMELIGHTCON[Proj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22">
        <f t="shared" ref="BE30" si="6">IFERROR(ROUND(BG30*1.1,2),0)</f>
        <v>0</v>
      </c>
      <c r="BF30" s="1422" t="str">
        <f>IF(M02S02F44="","Update Install Status",IF(M02S02F44="Yes","Not Eligible if Pre-Purchased",IF(OR(C30="",F30="",L30="",Q30="",S30="",U30="",Z30="",AB30="",AD30="",AF30=""),"",IF(BC30&lt;&gt;"",BC30,ROUND(BE30*BONUSADJ,2)))))</f>
        <v>Update Install Status</v>
      </c>
      <c r="BG30" s="1422" t="str">
        <f>IF(M02S02F44="","Update Install Status",IF(M02S02F44="Yes","Not Eligible if Pre-Purchased",IF(OR(C30="",F30="",L30="",Q30="",S30="",U30="",Z30="",AB30="",AD30="",AF30=""),"",IF(BC30&lt;&gt;"",BC30,IF(C30="New/Replace Failed Equip.",BA30,AZ30)))))</f>
        <v>Update Install Status</v>
      </c>
    </row>
    <row r="31" spans="2:59"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c r="BE31" s="1423"/>
      <c r="BF31" s="1423"/>
      <c r="BG31" s="1423"/>
    </row>
    <row r="32" spans="2:59"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IF(OR(C32="",F32="",L32="",Q32="",S32="",U32="",Z32="",AB32="",AD32="",AF32=""),"",INDEX(CMELIGHTCON[End Use Category],MATCH(F32,CMELIGHTCON[Proj Desc 1],0)))</f>
        <v/>
      </c>
      <c r="AX32" s="800" t="str">
        <f>IF(OR(C32="",F32="",L32="",Q32="",S32="",U32="",Z32="",AB32="",AD32="",AF32=""),"",INDEX(CMELIGHTCON[EUL],MATCH(F32,CMELIGHTCON[Proj Desc 1],0)))</f>
        <v/>
      </c>
      <c r="AY32" s="1811" t="str">
        <f>IF(OR(C32="",F32="",L32="",Q32="",S32="",U32="",Z32="",AB32="",AD32="",AF32=""),"",INDEX(CMELIGHTCON[Measure Number],MATCH(F32,CMELIGHTCON[Proj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22">
        <f t="shared" ref="BE32" si="7">IFERROR(ROUND(BG32*1.1,2),0)</f>
        <v>0</v>
      </c>
      <c r="BF32" s="1422" t="str">
        <f>IF(M02S02F44="","Update Install Status",IF(M02S02F44="Yes","Not Eligible if Pre-Purchased",IF(OR(C32="",F32="",L32="",Q32="",S32="",U32="",Z32="",AB32="",AD32="",AF32=""),"",IF(BC32&lt;&gt;"",BC32,ROUND(BE32*BONUSADJ,2)))))</f>
        <v>Update Install Status</v>
      </c>
      <c r="BG32" s="1422" t="str">
        <f>IF(M02S02F44="","Update Install Status",IF(M02S02F44="Yes","Not Eligible if Pre-Purchased",IF(OR(C32="",F32="",L32="",Q32="",S32="",U32="",Z32="",AB32="",AD32="",AF32=""),"",IF(BC32&lt;&gt;"",BC32,IF(C32="New/Replace Failed Equip.",BA32,AZ32)))))</f>
        <v>Update Install Status</v>
      </c>
    </row>
    <row r="33" spans="2:59"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c r="BE33" s="1423"/>
      <c r="BF33" s="1423"/>
      <c r="BG33" s="1423"/>
    </row>
    <row r="34" spans="2:59"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IF(OR(C34="",F34="",L34="",Q34="",S34="",U34="",Z34="",AB34="",AD34="",AF34=""),"",INDEX(CMELIGHTCON[End Use Category],MATCH(F34,CMELIGHTCON[Proj Desc 1],0)))</f>
        <v/>
      </c>
      <c r="AX34" s="800" t="str">
        <f>IF(OR(C34="",F34="",L34="",Q34="",S34="",U34="",Z34="",AB34="",AD34="",AF34=""),"",INDEX(CMELIGHTCON[EUL],MATCH(F34,CMELIGHTCON[Proj Desc 1],0)))</f>
        <v/>
      </c>
      <c r="AY34" s="1811" t="str">
        <f>IF(OR(C34="",F34="",L34="",Q34="",S34="",U34="",Z34="",AB34="",AD34="",AF34=""),"",INDEX(CMELIGHTCON[Measure Number],MATCH(F34,CMELIGHTCON[Proj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22">
        <f t="shared" ref="BE34" si="8">IFERROR(ROUND(BG34*1.1,2),0)</f>
        <v>0</v>
      </c>
      <c r="BF34" s="1422" t="str">
        <f>IF(M02S02F44="","Update Install Status",IF(M02S02F44="Yes","Not Eligible if Pre-Purchased",IF(OR(C34="",F34="",L34="",Q34="",S34="",U34="",Z34="",AB34="",AD34="",AF34=""),"",IF(BC34&lt;&gt;"",BC34,ROUND(BE34*BONUSADJ,2)))))</f>
        <v>Update Install Status</v>
      </c>
      <c r="BG34" s="1422" t="str">
        <f>IF(M02S02F44="","Update Install Status",IF(M02S02F44="Yes","Not Eligible if Pre-Purchased",IF(OR(C34="",F34="",L34="",Q34="",S34="",U34="",Z34="",AB34="",AD34="",AF34=""),"",IF(BC34&lt;&gt;"",BC34,IF(C34="New/Replace Failed Equip.",BA34,AZ34)))))</f>
        <v>Update Install Status</v>
      </c>
    </row>
    <row r="35" spans="2:59"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c r="BE35" s="1423"/>
      <c r="BF35" s="1423"/>
      <c r="BG35" s="1423"/>
    </row>
    <row r="36" spans="2:59"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9" ht="15.95" hidden="1" customHeight="1" x14ac:dyDescent="0.25">
      <c r="B37" s="1204"/>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9" ht="15.95" hidden="1" customHeight="1" x14ac:dyDescent="0.25">
      <c r="B38" s="1204">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9" ht="15.95" hidden="1" customHeight="1" x14ac:dyDescent="0.25">
      <c r="B39" s="1204"/>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9" ht="15.95" hidden="1" customHeight="1" x14ac:dyDescent="0.25">
      <c r="B40" s="873">
        <v>13</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2:59" ht="15.95" hidden="1" customHeight="1" x14ac:dyDescent="0.25">
      <c r="B41" s="87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row>
    <row r="42" spans="2:59" ht="15.95" hidden="1" customHeight="1" x14ac:dyDescent="0.25">
      <c r="B42" s="873">
        <v>14</v>
      </c>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row>
    <row r="43" spans="2:59" ht="15.95" hidden="1" customHeight="1" x14ac:dyDescent="0.25">
      <c r="B43" s="87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row>
    <row r="44" spans="2:59" ht="15.95" hidden="1" customHeight="1" x14ac:dyDescent="0.25">
      <c r="B44" s="873">
        <v>15</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row>
    <row r="45" spans="2:59" ht="15.95" hidden="1" customHeight="1" x14ac:dyDescent="0.25">
      <c r="B45" s="87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row>
    <row r="46" spans="2:59" ht="15.95" hidden="1" customHeight="1" x14ac:dyDescent="0.25">
      <c r="B46" s="873">
        <v>16</v>
      </c>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row>
    <row r="47" spans="2:59" ht="15.95" hidden="1" customHeight="1" x14ac:dyDescent="0.25">
      <c r="B47" s="87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row>
    <row r="48" spans="2:59" ht="15.95" hidden="1" customHeight="1" x14ac:dyDescent="0.25">
      <c r="B48" s="873">
        <v>17</v>
      </c>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row>
    <row r="49" spans="2:43" ht="15.95" hidden="1" customHeight="1" x14ac:dyDescent="0.25">
      <c r="B49" s="87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row>
    <row r="50" spans="2:43" ht="15.95" hidden="1" customHeight="1" x14ac:dyDescent="0.25">
      <c r="B50" s="873">
        <v>18</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row>
    <row r="51" spans="2:43" ht="15.95" hidden="1" customHeight="1" x14ac:dyDescent="0.25">
      <c r="B51" s="87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row>
    <row r="52" spans="2:43" ht="15.95" hidden="1" customHeight="1" x14ac:dyDescent="0.25">
      <c r="B52" s="873">
        <v>19</v>
      </c>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row>
    <row r="53" spans="2:43" ht="15.95" hidden="1" customHeight="1" x14ac:dyDescent="0.25">
      <c r="B53" s="87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row>
    <row r="54" spans="2:43" ht="15.95" hidden="1" customHeight="1" x14ac:dyDescent="0.25">
      <c r="B54" s="873">
        <v>20</v>
      </c>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row>
    <row r="55" spans="2:43" ht="15.95" hidden="1" customHeight="1" x14ac:dyDescent="0.25">
      <c r="B55" s="87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row>
    <row r="56" spans="2:43" ht="15.95" hidden="1" customHeight="1" x14ac:dyDescent="0.25">
      <c r="B56" s="873">
        <v>21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row>
    <row r="57" spans="2:43" ht="15.95" hidden="1" customHeight="1" x14ac:dyDescent="0.25">
      <c r="B57" s="87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row>
    <row r="58" spans="2:43" ht="15.95" hidden="1" customHeight="1" x14ac:dyDescent="0.25">
      <c r="B58" s="873">
        <v>22</v>
      </c>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2:43" ht="15.95" hidden="1" customHeight="1" x14ac:dyDescent="0.25">
      <c r="B59" s="87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row>
    <row r="60" spans="2:43" ht="15.95" hidden="1" customHeight="1" x14ac:dyDescent="0.25">
      <c r="B60" s="873">
        <v>23</v>
      </c>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row>
    <row r="61" spans="2:43" ht="15.95" hidden="1" customHeight="1" x14ac:dyDescent="0.25">
      <c r="B61" s="87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row>
    <row r="62" spans="2:43" ht="15.95" hidden="1" customHeight="1" x14ac:dyDescent="0.25">
      <c r="B62" s="873">
        <v>24</v>
      </c>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2:43" ht="15.95" hidden="1" customHeight="1" x14ac:dyDescent="0.25">
      <c r="B63" s="87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row>
    <row r="64" spans="2:43" ht="15.95" hidden="1" customHeight="1" x14ac:dyDescent="0.25">
      <c r="B64" s="873">
        <v>25</v>
      </c>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row>
    <row r="65" spans="2:43" ht="15.95" hidden="1" customHeight="1" x14ac:dyDescent="0.25">
      <c r="B65" s="87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row>
    <row r="66" spans="2:43" ht="15.95" hidden="1" customHeight="1" x14ac:dyDescent="0.25">
      <c r="B66" s="873">
        <v>26</v>
      </c>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row>
    <row r="67" spans="2:43" ht="15.95" hidden="1" customHeight="1" x14ac:dyDescent="0.25">
      <c r="B67" s="87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row>
    <row r="68" spans="2:43" ht="15.95" hidden="1" customHeight="1" x14ac:dyDescent="0.25">
      <c r="B68" s="873">
        <v>27</v>
      </c>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row>
    <row r="69" spans="2:43" ht="15.95" hidden="1" customHeight="1" x14ac:dyDescent="0.25">
      <c r="B69" s="87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row>
    <row r="70" spans="2:43" ht="15.95" hidden="1" customHeight="1" x14ac:dyDescent="0.25">
      <c r="B70" s="873">
        <v>28</v>
      </c>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row>
    <row r="71" spans="2:43" ht="15.95" hidden="1" customHeight="1" x14ac:dyDescent="0.25">
      <c r="B71" s="87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row>
    <row r="72" spans="2:43" ht="15.95" hidden="1" customHeight="1" x14ac:dyDescent="0.25">
      <c r="B72" s="873">
        <v>29</v>
      </c>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row>
    <row r="73" spans="2:43" ht="15.95" hidden="1" customHeight="1" x14ac:dyDescent="0.25">
      <c r="B73" s="87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row>
    <row r="74" spans="2:43" ht="15.95" hidden="1" customHeight="1" x14ac:dyDescent="0.25">
      <c r="B74" s="873">
        <v>30</v>
      </c>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row>
    <row r="75" spans="2:43" ht="15.95" hidden="1" customHeight="1" x14ac:dyDescent="0.25">
      <c r="B75" s="87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row>
    <row r="76" spans="2:43" ht="15.95" hidden="1" customHeight="1" x14ac:dyDescent="0.25">
      <c r="B76" s="873">
        <v>31</v>
      </c>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row>
    <row r="77" spans="2:43" ht="15.95" hidden="1" customHeight="1" x14ac:dyDescent="0.25">
      <c r="B77" s="87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row>
    <row r="78" spans="2:43" ht="15.95" hidden="1" customHeight="1" x14ac:dyDescent="0.25">
      <c r="B78" s="873">
        <v>32</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row>
    <row r="79" spans="2:43" ht="15.95" hidden="1" customHeight="1" x14ac:dyDescent="0.25">
      <c r="B79" s="87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row>
    <row r="80" spans="2:43" ht="15.95" hidden="1" customHeight="1" x14ac:dyDescent="0.25">
      <c r="B80" s="873">
        <v>33</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2:43" ht="15.95" hidden="1" customHeight="1" x14ac:dyDescent="0.25">
      <c r="B81" s="87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2:43" ht="15.95" hidden="1" customHeight="1" x14ac:dyDescent="0.25">
      <c r="B82" s="873">
        <v>34</v>
      </c>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row>
    <row r="83" spans="2:43" ht="15.95" hidden="1" customHeight="1" x14ac:dyDescent="0.25">
      <c r="B83" s="87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row>
    <row r="84" spans="2:43" ht="15.95" hidden="1" customHeight="1" x14ac:dyDescent="0.25">
      <c r="B84" s="873">
        <v>35</v>
      </c>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row>
    <row r="85" spans="2:43" ht="15.95" hidden="1" customHeight="1" x14ac:dyDescent="0.25">
      <c r="B85" s="87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row>
    <row r="86" spans="2:43" ht="15.95" hidden="1" customHeight="1" x14ac:dyDescent="0.25">
      <c r="B86" s="873">
        <v>36</v>
      </c>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row>
    <row r="87" spans="2:43" ht="15.95" hidden="1" customHeight="1" x14ac:dyDescent="0.25">
      <c r="B87" s="87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row>
    <row r="88" spans="2:43" ht="15.95" hidden="1" customHeight="1" x14ac:dyDescent="0.25">
      <c r="B88" s="873">
        <v>37</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row>
    <row r="89" spans="2:43" ht="15.95" hidden="1" customHeight="1" x14ac:dyDescent="0.25">
      <c r="B89" s="87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row>
    <row r="90" spans="2:43" ht="15.95" hidden="1" customHeight="1" x14ac:dyDescent="0.25">
      <c r="B90" s="873">
        <v>38</v>
      </c>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row>
    <row r="91" spans="2:43" ht="15.95" hidden="1" customHeight="1" x14ac:dyDescent="0.25">
      <c r="B91" s="87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row>
    <row r="92" spans="2:43" ht="15.95" hidden="1" customHeight="1" x14ac:dyDescent="0.25">
      <c r="B92" s="873">
        <v>39</v>
      </c>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row>
    <row r="93" spans="2:43" ht="15.95" hidden="1" customHeight="1" x14ac:dyDescent="0.25">
      <c r="B93" s="87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row>
    <row r="94" spans="2:43" ht="15.95" hidden="1" customHeight="1" x14ac:dyDescent="0.25">
      <c r="B94" s="873">
        <v>40</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row>
    <row r="95" spans="2:43" ht="15.95" hidden="1" customHeight="1" x14ac:dyDescent="0.25">
      <c r="B95" s="87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row>
    <row r="96" spans="2:43" ht="15.95" hidden="1" customHeight="1" x14ac:dyDescent="0.25">
      <c r="B96" s="873">
        <v>41</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row>
    <row r="97" spans="2:43" ht="15.95" hidden="1" customHeight="1" x14ac:dyDescent="0.25">
      <c r="B97" s="87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row>
    <row r="98" spans="2:43" ht="15.95" hidden="1" customHeight="1" x14ac:dyDescent="0.25">
      <c r="B98" s="873">
        <v>42</v>
      </c>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row>
    <row r="99" spans="2:43" ht="15.95" hidden="1" customHeight="1" x14ac:dyDescent="0.25">
      <c r="B99" s="87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row>
    <row r="100" spans="2:43" ht="15.95" hidden="1" customHeight="1" x14ac:dyDescent="0.25">
      <c r="B100" s="873">
        <v>43</v>
      </c>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row>
    <row r="101" spans="2:43" ht="15.95" hidden="1" customHeight="1" x14ac:dyDescent="0.25">
      <c r="B101" s="87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row>
    <row r="102" spans="2:43" ht="15.95" hidden="1" customHeight="1" x14ac:dyDescent="0.25">
      <c r="B102" s="873">
        <v>44</v>
      </c>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row>
    <row r="103" spans="2:43" ht="15.95" hidden="1" customHeight="1" x14ac:dyDescent="0.25">
      <c r="B103" s="87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row>
    <row r="104" spans="2:43" ht="15.95" hidden="1" customHeight="1" x14ac:dyDescent="0.25">
      <c r="B104" s="873">
        <v>45</v>
      </c>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row>
    <row r="105" spans="2:43" ht="15.95" hidden="1" customHeight="1" x14ac:dyDescent="0.25">
      <c r="B105" s="87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row>
    <row r="106" spans="2:43" ht="15.95" hidden="1" customHeight="1" x14ac:dyDescent="0.25">
      <c r="B106" s="873">
        <v>46</v>
      </c>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row>
    <row r="107" spans="2:43" ht="15.95" hidden="1" customHeight="1" x14ac:dyDescent="0.25">
      <c r="B107" s="87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row>
    <row r="108" spans="2:43" ht="15.95" hidden="1" customHeight="1" x14ac:dyDescent="0.25">
      <c r="B108" s="873">
        <v>47</v>
      </c>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row>
    <row r="109" spans="2:43" ht="15.95" hidden="1" customHeight="1" x14ac:dyDescent="0.25">
      <c r="B109" s="87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row>
    <row r="110" spans="2:43" ht="15.95" hidden="1" customHeight="1" x14ac:dyDescent="0.25">
      <c r="B110" s="873">
        <v>48</v>
      </c>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row>
    <row r="111" spans="2:43" ht="15.95" hidden="1" customHeight="1" x14ac:dyDescent="0.25">
      <c r="B111" s="87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row>
    <row r="112" spans="2:43" ht="15.95" hidden="1" customHeight="1" x14ac:dyDescent="0.25">
      <c r="B112" s="873">
        <v>49</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row>
    <row r="113" spans="2:43" ht="15.95" hidden="1" customHeight="1" x14ac:dyDescent="0.25">
      <c r="B113" s="87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row>
    <row r="114" spans="2:43" ht="15.95" hidden="1" customHeight="1" x14ac:dyDescent="0.25">
      <c r="B114" s="873">
        <v>50</v>
      </c>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row>
    <row r="115" spans="2:43" ht="15.95" hidden="1" customHeight="1" x14ac:dyDescent="0.25">
      <c r="B115" s="87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row>
    <row r="116" spans="2:43" ht="15.95" hidden="1" customHeight="1" x14ac:dyDescent="0.25">
      <c r="B116" s="873">
        <v>51</v>
      </c>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row>
    <row r="117" spans="2:43" ht="15.95" hidden="1" customHeight="1" x14ac:dyDescent="0.25">
      <c r="B117" s="87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row>
    <row r="118" spans="2:43" ht="15.95" hidden="1" customHeight="1" x14ac:dyDescent="0.25">
      <c r="B118" s="873">
        <v>52</v>
      </c>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row>
    <row r="119" spans="2:43" ht="15.95" hidden="1" customHeight="1" x14ac:dyDescent="0.25">
      <c r="B119" s="87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row>
    <row r="120" spans="2:43" ht="15.95" hidden="1" customHeight="1" x14ac:dyDescent="0.25">
      <c r="B120" s="873">
        <v>53</v>
      </c>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row>
    <row r="121" spans="2:43" ht="15.95" hidden="1" customHeight="1" x14ac:dyDescent="0.25">
      <c r="B121" s="87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row>
    <row r="122" spans="2:43"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3"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3"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3"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3"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3"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3"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BE200" s="1422">
        <f>SUM(BE16:BE35)</f>
        <v>0</v>
      </c>
      <c r="BF200" s="1422">
        <f t="shared" ref="BF200:BG200" si="9">SUM(BF16:BF35)</f>
        <v>0</v>
      </c>
      <c r="BG200" s="1422">
        <f t="shared" si="9"/>
        <v>0</v>
      </c>
    </row>
    <row r="201" spans="2:59"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BE201" s="1423"/>
      <c r="BF201" s="1423"/>
      <c r="BG201" s="1423"/>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rPcgnv76Q2l6MB1zQ58aFa4zCK2AAgdroR1ZAmWFskkYpLYFGosxq/v7PKychWvnujhYaH4p04FG7i1xWNP5PA==" saltValue="7RvvzzxPtwrVLE4aJYHPJA==" spinCount="100000" sheet="1" objects="1" scenarios="1" selectLockedCells="1"/>
  <mergeCells count="402">
    <mergeCell ref="BE32:BE33"/>
    <mergeCell ref="BF32:BF33"/>
    <mergeCell ref="BG32:BG33"/>
    <mergeCell ref="BE34:BE35"/>
    <mergeCell ref="BF34:BF35"/>
    <mergeCell ref="BG34:BG35"/>
    <mergeCell ref="BE200:BE201"/>
    <mergeCell ref="BF200:BF201"/>
    <mergeCell ref="BG200:BG201"/>
    <mergeCell ref="BE26:BE27"/>
    <mergeCell ref="BF26:BF27"/>
    <mergeCell ref="BG26:BG27"/>
    <mergeCell ref="BE28:BE29"/>
    <mergeCell ref="BF28:BF29"/>
    <mergeCell ref="BG28:BG29"/>
    <mergeCell ref="BE30:BE31"/>
    <mergeCell ref="BF30:BF31"/>
    <mergeCell ref="BG30:BG31"/>
    <mergeCell ref="BE20:BE21"/>
    <mergeCell ref="BF20:BF21"/>
    <mergeCell ref="BG20:BG21"/>
    <mergeCell ref="BE22:BE23"/>
    <mergeCell ref="BF22:BF23"/>
    <mergeCell ref="BG22:BG23"/>
    <mergeCell ref="BE24:BE25"/>
    <mergeCell ref="BF24:BF25"/>
    <mergeCell ref="BG24:BG25"/>
    <mergeCell ref="BE14:BE15"/>
    <mergeCell ref="BF14:BF15"/>
    <mergeCell ref="BG14:BG15"/>
    <mergeCell ref="BE16:BE17"/>
    <mergeCell ref="BF16:BF17"/>
    <mergeCell ref="BG16:BG17"/>
    <mergeCell ref="BE18:BE19"/>
    <mergeCell ref="BF18:BF19"/>
    <mergeCell ref="BG18:BG19"/>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Q1:AR1"/>
    <mergeCell ref="AQ2:AR3"/>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Q1:R1"/>
    <mergeCell ref="U1:V1"/>
    <mergeCell ref="Y1:Z1"/>
    <mergeCell ref="O9:AF10"/>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E9:I13"/>
    <mergeCell ref="AB20:AC21"/>
    <mergeCell ref="AD20:AE21"/>
    <mergeCell ref="C18:E19"/>
    <mergeCell ref="Z18:AA19"/>
    <mergeCell ref="AB18:AC19"/>
    <mergeCell ref="AD18:AE19"/>
    <mergeCell ref="AF18:AG19"/>
    <mergeCell ref="AH18:AJ19"/>
    <mergeCell ref="AK18:AN19"/>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C34:E35"/>
    <mergeCell ref="F34:K35"/>
    <mergeCell ref="L34:P35"/>
    <mergeCell ref="Q34:R35"/>
    <mergeCell ref="S34:T35"/>
    <mergeCell ref="U34:Y35"/>
    <mergeCell ref="Z34:AA35"/>
    <mergeCell ref="AB34:AC35"/>
    <mergeCell ref="AD34:AE35"/>
    <mergeCell ref="AZ34:AZ35"/>
    <mergeCell ref="BA34:BA35"/>
    <mergeCell ref="AF34:AG35"/>
    <mergeCell ref="AH34:AJ35"/>
    <mergeCell ref="AK34:AN35"/>
    <mergeCell ref="AO34:AQ35"/>
    <mergeCell ref="AU34:AU35"/>
    <mergeCell ref="AV34:AV35"/>
    <mergeCell ref="AW34:AW35"/>
    <mergeCell ref="AX34:AX35"/>
    <mergeCell ref="AY34:AY35"/>
    <mergeCell ref="BB14:BB15"/>
    <mergeCell ref="BC14:BC15"/>
    <mergeCell ref="BB16:BB17"/>
    <mergeCell ref="BC16:BC17"/>
    <mergeCell ref="BB18:BB19"/>
    <mergeCell ref="BC18:BC19"/>
    <mergeCell ref="BB20:BB21"/>
    <mergeCell ref="BC20:BC21"/>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s>
  <conditionalFormatting sqref="L16:AG35">
    <cfRule type="expression" dxfId="137" priority="22">
      <formula>AND(ISBLANK($F16)=FALSE,ISBLANK(L16)=TRUE)</formula>
    </cfRule>
  </conditionalFormatting>
  <conditionalFormatting sqref="O9">
    <cfRule type="expression" dxfId="136" priority="330">
      <formula>ISNUMBER(SEARCH("Inspection",$O$9))</formula>
    </cfRule>
  </conditionalFormatting>
  <conditionalFormatting sqref="AH2 AL2">
    <cfRule type="expression" dxfId="135" priority="2">
      <formula>PROJSTATUS=PROJSTATELI</formula>
    </cfRule>
    <cfRule type="expression" dxfId="134" priority="3">
      <formula>PROJSTATUS=PROJSTATREVIEW</formula>
    </cfRule>
    <cfRule type="expression" dxfId="133" priority="4">
      <formula>PROJSTATUS=PROJSTATPREAPPROVE</formula>
    </cfRule>
    <cfRule type="expression" dxfId="132" priority="5">
      <formula>PROJSTATUS=PROJSTATSTANDARD</formula>
    </cfRule>
    <cfRule type="expression" dxfId="131" priority="6">
      <formula>PROJSTATUS=PROJSTATEXP</formula>
    </cfRule>
  </conditionalFormatting>
  <conditionalFormatting sqref="AK16 AK18 AK20 AK22 AK24 AK26 AK28 AK30 AK32 AK34">
    <cfRule type="expression" dxfId="130" priority="60">
      <formula>ISNUMBER(AK16)=FALSE</formula>
    </cfRule>
  </conditionalFormatting>
  <conditionalFormatting sqref="AK16:AN35">
    <cfRule type="expression" dxfId="129" priority="7">
      <formula>ISNUMBER(SEARCH("Cost",BD16))</formula>
    </cfRule>
  </conditionalFormatting>
  <conditionalFormatting sqref="AQ2:AR3">
    <cfRule type="cellIs" dxfId="128" priority="16" operator="equal">
      <formula>1</formula>
    </cfRule>
    <cfRule type="cellIs" dxfId="127" priority="17" operator="between">
      <formula>0.51</formula>
      <formula>0.99</formula>
    </cfRule>
    <cfRule type="cellIs" dxfId="126" priority="18" operator="lessThanOrEqual">
      <formula>0.5</formula>
    </cfRule>
  </conditionalFormatting>
  <dataValidations xWindow="1278" yWindow="384" count="7">
    <dataValidation type="decimal" allowBlank="1" showInputMessage="1" showErrorMessage="1" prompt="Enter the kWh use per unit of equipment in one year." sqref="AB16 S16 AB34 S20 S22 S24 S26 S28 S30 S32 S34 S18 AB20 AB22 AB24 AB26 AB28 AB30 AB32 AB18" xr:uid="{00000000-0002-0000-21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100-000001000000}">
      <formula1>0</formula1>
      <formula2>999999</formula2>
    </dataValidation>
    <dataValidation type="list" allowBlank="1" showInputMessage="1" showErrorMessage="1" sqref="AW16:AW35" xr:uid="{00000000-0002-0000-2100-000002000000}">
      <formula1>ENDUSECAT</formula1>
    </dataValidation>
    <dataValidation type="list" allowBlank="1" showInputMessage="1" showErrorMessage="1" prompt="Select the measure type that is closest to the selections in this list. If not listed, select &quot;Others&quot;" sqref="F16:K35" xr:uid="{00000000-0002-0000-2100-000003000000}">
      <formula1>CMELIGHTCONDESC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1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1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100-000006000000}"/>
  </dataValidations>
  <hyperlinks>
    <hyperlink ref="B202" r:id="rId1" display="NIPSCO.Savings@LMCO.com" xr:uid="{00000000-0004-0000-2100-000000000000}"/>
  </hyperlinks>
  <pageMargins left="0.25" right="0.25" top="0.25" bottom="0.25" header="0.25" footer="0.25"/>
  <pageSetup scale="64"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9"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9"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9" ht="15.95" customHeight="1" x14ac:dyDescent="0.25">
      <c r="AH3" s="604"/>
      <c r="AI3" s="605"/>
      <c r="AJ3" s="605"/>
      <c r="AK3" s="605"/>
      <c r="AL3" s="614"/>
      <c r="AM3" s="614"/>
      <c r="AN3" s="614"/>
      <c r="AO3" s="614"/>
      <c r="AP3" s="614"/>
      <c r="AQ3" s="610"/>
      <c r="AR3" s="611"/>
    </row>
    <row r="4" spans="2:59" ht="15.95" customHeight="1" x14ac:dyDescent="0.25"/>
    <row r="5" spans="2:59"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9"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9"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9" ht="15.95" customHeight="1" x14ac:dyDescent="0.25">
      <c r="AU8" s="121" t="s">
        <v>208</v>
      </c>
      <c r="AV8" s="121" t="str">
        <f ca="1">CBPRESE</f>
        <v>NA</v>
      </c>
      <c r="AW8" s="121" t="str">
        <f ca="1">CBCUSE</f>
        <v>NA</v>
      </c>
      <c r="AX8" s="121" t="str">
        <f ca="1">CBALL</f>
        <v>NA</v>
      </c>
      <c r="AY8" s="121"/>
      <c r="BE8" s="469"/>
    </row>
    <row r="9" spans="2:59"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IF(INCENSTATUS="---",CONCATENATE(M5S4," ","Summary"),IF(INCENSTATUS&gt;15000,"This project may require an inspection. Please submit photos of existing equipment and of new efficient equipment once installed.",CONCATENATE(M5S4," ","Summary")))</f>
        <v>Motor / VFD / Pump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9"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9"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9"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9"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9"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c r="BE14" s="745" t="s">
        <v>2006</v>
      </c>
      <c r="BF14" s="745" t="s">
        <v>2007</v>
      </c>
      <c r="BG14" s="745" t="s">
        <v>2008</v>
      </c>
    </row>
    <row r="15" spans="2:59"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c r="BE15" s="746"/>
      <c r="BF15" s="746"/>
      <c r="BG15" s="746"/>
    </row>
    <row r="16" spans="2:59" ht="15.95" customHeight="1" x14ac:dyDescent="0.25">
      <c r="B16" s="1193">
        <v>1</v>
      </c>
      <c r="C16" s="1854"/>
      <c r="D16" s="1854"/>
      <c r="E16" s="1854"/>
      <c r="F16" s="1824"/>
      <c r="G16" s="1824"/>
      <c r="H16" s="1824"/>
      <c r="I16" s="1824"/>
      <c r="J16" s="1824"/>
      <c r="K16" s="1824"/>
      <c r="L16" s="1846"/>
      <c r="M16" s="1824"/>
      <c r="N16" s="1824"/>
      <c r="O16" s="1824"/>
      <c r="P16" s="1824"/>
      <c r="Q16" s="1855"/>
      <c r="R16" s="1855"/>
      <c r="S16" s="1817"/>
      <c r="T16" s="1822"/>
      <c r="U16" s="1769"/>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IF(OR(C16="",F16="",L16="",Q16="",S16="",U16="",Z16="",AB16="",AD16="",AF16=""),"",INDEX(CMEMOTOR[End Use Category],MATCH(F16,CMEMOTOR[Proj Desc 1],0)))</f>
        <v/>
      </c>
      <c r="AX16" s="800" t="str">
        <f>IF(OR(C16="",F16="",L16="",Q16="",S16="",U16="",Z16="",AB16="",AD16="",AF16=""),"",INDEX(CMEMOTOR[EUL],MATCH(F16,CMEMOTOR[Proj Desc 1],0)))</f>
        <v/>
      </c>
      <c r="AY16" s="1811" t="str">
        <f>IF(OR(C16="",F16="",L16="",Q16="",S16="",U16="",Z16="",AB16="",AD16="",AF16=""),"",INDEX(CMEMOTOR[Measure Number],MATCH(F16,CMEMOTOR[Proj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c r="BE16" s="1422">
        <f>IFERROR(IF(OR(INDEX(CMEMOTOR[End Use Category],MATCH(F16,CMEMOTOR[Proj Desc 1],0))="Cooling",INDEX(CMEMOTOR[End Use Category],MATCH(F16,CMEMOTOR[Proj Desc 1],0))="HVAC"),ROUND(BG16*1.15,2),0),0)</f>
        <v>0</v>
      </c>
      <c r="BF16" s="1422" t="str">
        <f>IF(M02S02F44="","Update Install Status",IF(M02S02F44="Yes","Not Eligible if Pre-Purchased",IF(OR(C16="",F16="",L16="",Q16="",S16="",U16="",Z16="",AB16="",AD16="",AF16=""),"",IF(BC16&lt;&gt;"",BC16,IF(BE16=0,BG16,ROUND(BE16*BONUSADJ,2))))))</f>
        <v>Update Install Status</v>
      </c>
      <c r="BG16" s="1422" t="str">
        <f>IF(M02S02F44="","Update Install Status",IF(M02S02F44="Yes","Not Eligible if Pre-Purchased",IF(OR(C16="",F16="",L16="",Q16="",S16="",U16="",Z16="",AB16="",AD16="",AF16=""),"",IF(BC16&lt;&gt;"",BC16,IF(C16="New/Replace Failed Equip.",BA16,AZ16)))))</f>
        <v>Update Install Status</v>
      </c>
    </row>
    <row r="17" spans="2:59"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c r="BE17" s="1423"/>
      <c r="BF17" s="1423"/>
      <c r="BG17" s="1423"/>
    </row>
    <row r="18" spans="2:59" ht="15.95" customHeight="1" x14ac:dyDescent="0.25">
      <c r="B18" s="1204">
        <v>2</v>
      </c>
      <c r="C18" s="1854"/>
      <c r="D18" s="1854"/>
      <c r="E18" s="1854"/>
      <c r="F18" s="1824"/>
      <c r="G18" s="1824"/>
      <c r="H18" s="1824"/>
      <c r="I18" s="1824"/>
      <c r="J18" s="1824"/>
      <c r="K18" s="1824"/>
      <c r="L18" s="1846"/>
      <c r="M18" s="1824"/>
      <c r="N18" s="1824"/>
      <c r="O18" s="1824"/>
      <c r="P18" s="1824"/>
      <c r="Q18" s="1855"/>
      <c r="R18" s="1855"/>
      <c r="S18" s="1817"/>
      <c r="T18" s="1822"/>
      <c r="U18" s="1769"/>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IF(OR(C18="",F18="",L18="",Q18="",S18="",U18="",Z18="",AB18="",AD18="",AF18=""),"",INDEX(CMEMOTOR[End Use Category],MATCH(F18,CMEMOTOR[Proj Desc 1],0)))</f>
        <v/>
      </c>
      <c r="AX18" s="800" t="str">
        <f>IF(OR(C18="",F18="",L18="",Q18="",S18="",U18="",Z18="",AB18="",AD18="",AF18=""),"",INDEX(CMEMOTOR[EUL],MATCH(F18,CMEMOTOR[Proj Desc 1],0)))</f>
        <v/>
      </c>
      <c r="AY18" s="1811" t="str">
        <f>IF(OR(C18="",F18="",L18="",Q18="",S18="",U18="",Z18="",AB18="",AD18="",AF18=""),"",INDEX(CMEMOTOR[Measure Number],MATCH(F18,CMEMOTOR[Proj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c r="BE18" s="1422">
        <f>IFERROR(IF(OR(INDEX(CMEMOTOR[End Use Category],MATCH(F18,CMEMOTOR[Proj Desc 1],0))="Cooling",INDEX(CMEMOTOR[End Use Category],MATCH(F18,CMEMOTOR[Proj Desc 1],0))="HVAC"),ROUND(BG18*1.15,2),BG18),0)</f>
        <v>0</v>
      </c>
      <c r="BF18" s="1422" t="str">
        <f>IF(M02S02F44="","Update Install Status",IF(M02S02F44="Yes","Not Eligible if Pre-Purchased",IF(OR(C18="",F18="",L18="",Q18="",S18="",U18="",Z18="",AB18="",AD18="",AF18=""),"",IF(BC18&lt;&gt;"",BC18,IF(BE18=0,BG18,ROUND(BE18*BONUSADJ,2))))))</f>
        <v>Update Install Status</v>
      </c>
      <c r="BG18" s="1422" t="str">
        <f>IF(M02S02F44="","Update Install Status",IF(M02S02F44="Yes","Not Eligible if Pre-Purchased",IF(OR(C18="",F18="",L18="",Q18="",S18="",U18="",Z18="",AB18="",AD18="",AF18=""),"",IF(BC18&lt;&gt;"",BC18,IF(C18="New/Replace Failed Equip.",BA18,AZ18)))))</f>
        <v>Update Install Status</v>
      </c>
    </row>
    <row r="19" spans="2:59"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c r="BE19" s="1423"/>
      <c r="BF19" s="1423"/>
      <c r="BG19" s="1423"/>
    </row>
    <row r="20" spans="2:59"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IF(OR(C20="",F20="",L20="",Q20="",S20="",U20="",Z20="",AB20="",AD20="",AF20=""),"",INDEX(CMEMOTOR[End Use Category],MATCH(F20,CMEMOTOR[Proj Desc 1],0)))</f>
        <v/>
      </c>
      <c r="AX20" s="800" t="str">
        <f>IF(OR(C20="",F20="",L20="",Q20="",S20="",U20="",Z20="",AB20="",AD20="",AF20=""),"",INDEX(CMEMOTOR[EUL],MATCH(F20,CMEMOTOR[Proj Desc 1],0)))</f>
        <v/>
      </c>
      <c r="AY20" s="1811" t="str">
        <f>IF(OR(C20="",F20="",L20="",Q20="",S20="",U20="",Z20="",AB20="",AD20="",AF20=""),"",INDEX(CMEMOTOR[Measure Number],MATCH(F20,CMEMOTOR[Proj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c r="BE20" s="1422">
        <f>IFERROR(IF(OR(INDEX(CMEMOTOR[End Use Category],MATCH(F20,CMEMOTOR[Proj Desc 1],0))="Cooling",INDEX(CMEMOTOR[End Use Category],MATCH(F20,CMEMOTOR[Proj Desc 1],0))="HVAC"),ROUND(BG20*1.15,2),BG20),0)</f>
        <v>0</v>
      </c>
      <c r="BF20" s="1422" t="str">
        <f>IF(M02S02F44="","Update Install Status",IF(M02S02F44="Yes","Not Eligible if Pre-Purchased",IF(OR(C20="",F20="",L20="",Q20="",S20="",U20="",Z20="",AB20="",AD20="",AF20=""),"",IF(BC20&lt;&gt;"",BC20,IF(BE20=0,BG20,ROUND(BE20*BONUSADJ,2))))))</f>
        <v>Update Install Status</v>
      </c>
      <c r="BG20" s="1422" t="str">
        <f>IF(M02S02F44="","Update Install Status",IF(M02S02F44="Yes","Not Eligible if Pre-Purchased",IF(OR(C20="",F20="",L20="",Q20="",S20="",U20="",Z20="",AB20="",AD20="",AF20=""),"",IF(BC20&lt;&gt;"",BC20,IF(C20="New/Replace Failed Equip.",BA20,AZ20)))))</f>
        <v>Update Install Status</v>
      </c>
    </row>
    <row r="21" spans="2:59"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c r="BE21" s="1423"/>
      <c r="BF21" s="1423"/>
      <c r="BG21" s="1423"/>
    </row>
    <row r="22" spans="2:59"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IF(OR(C22="",F22="",L22="",Q22="",S22="",U22="",Z22="",AB22="",AD22="",AF22=""),"",INDEX(CMEMOTOR[End Use Category],MATCH(F22,CMEMOTOR[Proj Desc 1],0)))</f>
        <v/>
      </c>
      <c r="AX22" s="800" t="str">
        <f>IF(OR(C22="",F22="",L22="",Q22="",S22="",U22="",Z22="",AB22="",AD22="",AF22=""),"",INDEX(CMEMOTOR[EUL],MATCH(F22,CMEMOTOR[Proj Desc 1],0)))</f>
        <v/>
      </c>
      <c r="AY22" s="1811" t="str">
        <f>IF(OR(C22="",F22="",L22="",Q22="",S22="",U22="",Z22="",AB22="",AD22="",AF22=""),"",INDEX(CMEMOTOR[Measure Number],MATCH(F22,CMEMOTOR[Proj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c r="BE22" s="1422">
        <f>IFERROR(IF(OR(INDEX(CMEMOTOR[End Use Category],MATCH(F22,CMEMOTOR[Proj Desc 1],0))="Cooling",INDEX(CMEMOTOR[End Use Category],MATCH(F22,CMEMOTOR[Proj Desc 1],0))="HVAC"),ROUND(BG22*1.15,2),BG22),0)</f>
        <v>0</v>
      </c>
      <c r="BF22" s="1422" t="str">
        <f>IF(M02S02F44="","Update Install Status",IF(M02S02F44="Yes","Not Eligible if Pre-Purchased",IF(OR(C22="",F22="",L22="",Q22="",S22="",U22="",Z22="",AB22="",AD22="",AF22=""),"",IF(BC22&lt;&gt;"",BC22,IF(BE22=0,BG22,ROUND(BE22*BONUSADJ,2))))))</f>
        <v>Update Install Status</v>
      </c>
      <c r="BG22" s="1422" t="str">
        <f>IF(M02S02F44="","Update Install Status",IF(M02S02F44="Yes","Not Eligible if Pre-Purchased",IF(OR(C22="",F22="",L22="",Q22="",S22="",U22="",Z22="",AB22="",AD22="",AF22=""),"",IF(BC22&lt;&gt;"",BC22,IF(C22="New/Replace Failed Equip.",BA22,AZ22)))))</f>
        <v>Update Install Status</v>
      </c>
    </row>
    <row r="23" spans="2:59"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c r="BE23" s="1423"/>
      <c r="BF23" s="1423"/>
      <c r="BG23" s="1423"/>
    </row>
    <row r="24" spans="2:59"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IF(OR(C24="",F24="",L24="",Q24="",S24="",U24="",Z24="",AB24="",AD24="",AF24=""),"",INDEX(CMEMOTOR[End Use Category],MATCH(F24,CMEMOTOR[Proj Desc 1],0)))</f>
        <v/>
      </c>
      <c r="AX24" s="800" t="str">
        <f>IF(OR(C24="",F24="",L24="",Q24="",S24="",U24="",Z24="",AB24="",AD24="",AF24=""),"",INDEX(CMEMOTOR[EUL],MATCH(F24,CMEMOTOR[Proj Desc 1],0)))</f>
        <v/>
      </c>
      <c r="AY24" s="1811" t="str">
        <f>IF(OR(C24="",F24="",L24="",Q24="",S24="",U24="",Z24="",AB24="",AD24="",AF24=""),"",INDEX(CMEMOTOR[Measure Number],MATCH(F24,CMEMOTOR[Proj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c r="BE24" s="1422">
        <f>IFERROR(IF(OR(INDEX(CMEMOTOR[End Use Category],MATCH(F24,CMEMOTOR[Proj Desc 1],0))="Cooling",INDEX(CMEMOTOR[End Use Category],MATCH(F24,CMEMOTOR[Proj Desc 1],0))="HVAC"),ROUND(BG24*1.15,2),BG24),0)</f>
        <v>0</v>
      </c>
      <c r="BF24" s="1422" t="str">
        <f>IF(M02S02F44="","Update Install Status",IF(M02S02F44="Yes","Not Eligible if Pre-Purchased",IF(OR(C24="",F24="",L24="",Q24="",S24="",U24="",Z24="",AB24="",AD24="",AF24=""),"",IF(BC24&lt;&gt;"",BC24,IF(BE24=0,BG24,ROUND(BE24*BONUSADJ,2))))))</f>
        <v>Update Install Status</v>
      </c>
      <c r="BG24" s="1422" t="str">
        <f>IF(M02S02F44="","Update Install Status",IF(M02S02F44="Yes","Not Eligible if Pre-Purchased",IF(OR(C24="",F24="",L24="",Q24="",S24="",U24="",Z24="",AB24="",AD24="",AF24=""),"",IF(BC24&lt;&gt;"",BC24,IF(C24="New/Replace Failed Equip.",BA24,AZ24)))))</f>
        <v>Update Install Status</v>
      </c>
    </row>
    <row r="25" spans="2:59"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c r="BE25" s="1423"/>
      <c r="BF25" s="1423"/>
      <c r="BG25" s="1423"/>
    </row>
    <row r="26" spans="2:59"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IF(OR(C26="",F26="",L26="",Q26="",S26="",U26="",Z26="",AB26="",AD26="",AF26=""),"",INDEX(CMEMOTOR[End Use Category],MATCH(F26,CMEMOTOR[Proj Desc 1],0)))</f>
        <v/>
      </c>
      <c r="AX26" s="800" t="str">
        <f>IF(OR(C26="",F26="",L26="",Q26="",S26="",U26="",Z26="",AB26="",AD26="",AF26=""),"",INDEX(CMEMOTOR[EUL],MATCH(F26,CMEMOTOR[Proj Desc 1],0)))</f>
        <v/>
      </c>
      <c r="AY26" s="1811" t="str">
        <f>IF(OR(C26="",F26="",L26="",Q26="",S26="",U26="",Z26="",AB26="",AD26="",AF26=""),"",INDEX(CMEMOTOR[Measure Number],MATCH(F26,CMEMOTOR[Proj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c r="BE26" s="1422">
        <f>IFERROR(IF(OR(INDEX(CMEMOTOR[End Use Category],MATCH(F26,CMEMOTOR[Proj Desc 1],0))="Cooling",INDEX(CMEMOTOR[End Use Category],MATCH(F26,CMEMOTOR[Proj Desc 1],0))="HVAC"),ROUND(BG26*1.15,2),BG26),0)</f>
        <v>0</v>
      </c>
      <c r="BF26" s="1422" t="str">
        <f>IF(M02S02F44="","Update Install Status",IF(M02S02F44="Yes","Not Eligible if Pre-Purchased",IF(OR(C26="",F26="",L26="",Q26="",S26="",U26="",Z26="",AB26="",AD26="",AF26=""),"",IF(BC26&lt;&gt;"",BC26,IF(BE26=0,BG26,ROUND(BE26*BONUSADJ,2))))))</f>
        <v>Update Install Status</v>
      </c>
      <c r="BG26" s="1422" t="str">
        <f>IF(M02S02F44="","Update Install Status",IF(M02S02F44="Yes","Not Eligible if Pre-Purchased",IF(OR(C26="",F26="",L26="",Q26="",S26="",U26="",Z26="",AB26="",AD26="",AF26=""),"",IF(BC26&lt;&gt;"",BC26,IF(C26="New/Replace Failed Equip.",BA26,AZ26)))))</f>
        <v>Update Install Status</v>
      </c>
    </row>
    <row r="27" spans="2:59"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c r="BE27" s="1423"/>
      <c r="BF27" s="1423"/>
      <c r="BG27" s="1423"/>
    </row>
    <row r="28" spans="2:59"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IF(OR(C28="",F28="",L28="",Q28="",S28="",U28="",Z28="",AB28="",AD28="",AF28=""),"",INDEX(CMEMOTOR[End Use Category],MATCH(F28,CMEMOTOR[Proj Desc 1],0)))</f>
        <v/>
      </c>
      <c r="AX28" s="800" t="str">
        <f>IF(OR(C28="",F28="",L28="",Q28="",S28="",U28="",Z28="",AB28="",AD28="",AF28=""),"",INDEX(CMEMOTOR[EUL],MATCH(F28,CMEMOTOR[Proj Desc 1],0)))</f>
        <v/>
      </c>
      <c r="AY28" s="1811" t="str">
        <f>IF(OR(C28="",F28="",L28="",Q28="",S28="",U28="",Z28="",AB28="",AD28="",AF28=""),"",INDEX(CMEMOTOR[Measure Number],MATCH(F28,CMEMOTOR[Proj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c r="BE28" s="1422">
        <f>IFERROR(IF(OR(INDEX(CMEMOTOR[End Use Category],MATCH(F28,CMEMOTOR[Proj Desc 1],0))="Cooling",INDEX(CMEMOTOR[End Use Category],MATCH(F28,CMEMOTOR[Proj Desc 1],0))="HVAC"),ROUND(BG28*1.15,2),BG28),0)</f>
        <v>0</v>
      </c>
      <c r="BF28" s="1422" t="str">
        <f>IF(M02S02F44="","Update Install Status",IF(M02S02F44="Yes","Not Eligible if Pre-Purchased",IF(OR(C28="",F28="",L28="",Q28="",S28="",U28="",Z28="",AB28="",AD28="",AF28=""),"",IF(BC28&lt;&gt;"",BC28,IF(BE28=0,BG28,ROUND(BE28*BONUSADJ,2))))))</f>
        <v>Update Install Status</v>
      </c>
      <c r="BG28" s="1422" t="str">
        <f>IF(M02S02F44="","Update Install Status",IF(M02S02F44="Yes","Not Eligible if Pre-Purchased",IF(OR(C28="",F28="",L28="",Q28="",S28="",U28="",Z28="",AB28="",AD28="",AF28=""),"",IF(BC28&lt;&gt;"",BC28,IF(C28="New/Replace Failed Equip.",BA28,AZ28)))))</f>
        <v>Update Install Status</v>
      </c>
    </row>
    <row r="29" spans="2:59"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c r="BE29" s="1423"/>
      <c r="BF29" s="1423"/>
      <c r="BG29" s="1423"/>
    </row>
    <row r="30" spans="2:59"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IF(OR(C30="",F30="",L30="",Q30="",S30="",U30="",Z30="",AB30="",AD30="",AF30=""),"",INDEX(CMEMOTOR[End Use Category],MATCH(F30,CMEMOTOR[Proj Desc 1],0)))</f>
        <v/>
      </c>
      <c r="AX30" s="800" t="str">
        <f>IF(OR(C30="",F30="",L30="",Q30="",S30="",U30="",Z30="",AB30="",AD30="",AF30=""),"",INDEX(CMEMOTOR[EUL],MATCH(F30,CMEMOTOR[Proj Desc 1],0)))</f>
        <v/>
      </c>
      <c r="AY30" s="1811" t="str">
        <f>IF(OR(C30="",F30="",L30="",Q30="",S30="",U30="",Z30="",AB30="",AD30="",AF30=""),"",INDEX(CMEMOTOR[Measure Number],MATCH(F30,CMEMOTOR[Proj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c r="BE30" s="1422">
        <f>IFERROR(IF(OR(INDEX(CMEMOTOR[End Use Category],MATCH(F30,CMEMOTOR[Proj Desc 1],0))="Cooling",INDEX(CMEMOTOR[End Use Category],MATCH(F30,CMEMOTOR[Proj Desc 1],0))="HVAC"),ROUND(BG30*1.15,2),BG30),0)</f>
        <v>0</v>
      </c>
      <c r="BF30" s="1422" t="str">
        <f>IF(M02S02F44="","Update Install Status",IF(M02S02F44="Yes","Not Eligible if Pre-Purchased",IF(OR(C30="",F30="",L30="",Q30="",S30="",U30="",Z30="",AB30="",AD30="",AF30=""),"",IF(BC30&lt;&gt;"",BC30,IF(BE30=0,BG30,ROUND(BE30*BONUSADJ,2))))))</f>
        <v>Update Install Status</v>
      </c>
      <c r="BG30" s="1422" t="str">
        <f>IF(M02S02F44="","Update Install Status",IF(M02S02F44="Yes","Not Eligible if Pre-Purchased",IF(OR(C30="",F30="",L30="",Q30="",S30="",U30="",Z30="",AB30="",AD30="",AF30=""),"",IF(BC30&lt;&gt;"",BC30,IF(C30="New/Replace Failed Equip.",BA30,AZ30)))))</f>
        <v>Update Install Status</v>
      </c>
    </row>
    <row r="31" spans="2:59"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c r="BE31" s="1423"/>
      <c r="BF31" s="1423"/>
      <c r="BG31" s="1423"/>
    </row>
    <row r="32" spans="2:59"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IF(OR(C32="",F32="",L32="",Q32="",S32="",U32="",Z32="",AB32="",AD32="",AF32=""),"",INDEX(CMEMOTOR[End Use Category],MATCH(F32,CMEMOTOR[Proj Desc 1],0)))</f>
        <v/>
      </c>
      <c r="AX32" s="800" t="str">
        <f>IF(OR(C32="",F32="",L32="",Q32="",S32="",U32="",Z32="",AB32="",AD32="",AF32=""),"",INDEX(CMEMOTOR[EUL],MATCH(F32,CMEMOTOR[Proj Desc 1],0)))</f>
        <v/>
      </c>
      <c r="AY32" s="1811" t="str">
        <f>IF(OR(C32="",F32="",L32="",Q32="",S32="",U32="",Z32="",AB32="",AD32="",AF32=""),"",INDEX(CMEMOTOR[Measure Number],MATCH(F32,CMEMOTOR[Proj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c r="BE32" s="1422">
        <f>IFERROR(IF(OR(INDEX(CMEMOTOR[End Use Category],MATCH(F32,CMEMOTOR[Proj Desc 1],0))="Cooling",INDEX(CMEMOTOR[End Use Category],MATCH(F32,CMEMOTOR[Proj Desc 1],0))="HVAC"),ROUND(BG32*1.15,2),BG32),0)</f>
        <v>0</v>
      </c>
      <c r="BF32" s="1422" t="str">
        <f>IF(M02S02F44="","Update Install Status",IF(M02S02F44="Yes","Not Eligible if Pre-Purchased",IF(OR(C32="",F32="",L32="",Q32="",S32="",U32="",Z32="",AB32="",AD32="",AF32=""),"",IF(BC32&lt;&gt;"",BC32,IF(BE32=0,BG32,ROUND(BE32*BONUSADJ,2))))))</f>
        <v>Update Install Status</v>
      </c>
      <c r="BG32" s="1422" t="str">
        <f>IF(M02S02F44="","Update Install Status",IF(M02S02F44="Yes","Not Eligible if Pre-Purchased",IF(OR(C32="",F32="",L32="",Q32="",S32="",U32="",Z32="",AB32="",AD32="",AF32=""),"",IF(BC32&lt;&gt;"",BC32,IF(C32="New/Replace Failed Equip.",BA32,AZ32)))))</f>
        <v>Update Install Status</v>
      </c>
    </row>
    <row r="33" spans="2:59"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c r="BE33" s="1423"/>
      <c r="BF33" s="1423"/>
      <c r="BG33" s="1423"/>
    </row>
    <row r="34" spans="2:59"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IF(OR(C34="",F34="",L34="",Q34="",S34="",U34="",Z34="",AB34="",AD34="",AF34=""),"",INDEX(CMEMOTOR[End Use Category],MATCH(F34,CMEMOTOR[Proj Desc 1],0)))</f>
        <v/>
      </c>
      <c r="AX34" s="800" t="str">
        <f>IF(OR(C34="",F34="",L34="",Q34="",S34="",U34="",Z34="",AB34="",AD34="",AF34=""),"",INDEX(CMEMOTOR[EUL],MATCH(F34,CMEMOTOR[Proj Desc 1],0)))</f>
        <v/>
      </c>
      <c r="AY34" s="1811" t="str">
        <f>IF(OR(C34="",F34="",L34="",Q34="",S34="",U34="",Z34="",AB34="",AD34="",AF34=""),"",INDEX(CMEMOTOR[Measure Number],MATCH(F34,CMEMOTOR[Proj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c r="BE34" s="1422">
        <f>IFERROR(IF(OR(INDEX(CMEMOTOR[End Use Category],MATCH(F34,CMEMOTOR[Proj Desc 1],0))="Cooling",INDEX(CMEMOTOR[End Use Category],MATCH(F34,CMEMOTOR[Proj Desc 1],0))="HVAC"),ROUND(BG34*1.15,2),BG34),0)</f>
        <v>0</v>
      </c>
      <c r="BF34" s="1422" t="str">
        <f>IF(M02S02F44="","Update Install Status",IF(M02S02F44="Yes","Not Eligible if Pre-Purchased",IF(OR(C34="",F34="",L34="",Q34="",S34="",U34="",Z34="",AB34="",AD34="",AF34=""),"",IF(BC34&lt;&gt;"",BC34,IF(BE34=0,BG34,ROUND(BE34*BONUSADJ,2))))))</f>
        <v>Update Install Status</v>
      </c>
      <c r="BG34" s="1422" t="str">
        <f>IF(M02S02F44="","Update Install Status",IF(M02S02F44="Yes","Not Eligible if Pre-Purchased",IF(OR(C34="",F34="",L34="",Q34="",S34="",U34="",Z34="",AB34="",AD34="",AF34=""),"",IF(BC34&lt;&gt;"",BC34,IF(C34="New/Replace Failed Equip.",BA34,AZ34)))))</f>
        <v>Update Install Status</v>
      </c>
    </row>
    <row r="35" spans="2:59"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c r="BE35" s="1423"/>
      <c r="BF35" s="1423"/>
      <c r="BG35" s="1423"/>
    </row>
    <row r="36" spans="2:59"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9" ht="15.95" hidden="1" customHeight="1" x14ac:dyDescent="0.25">
      <c r="B37" s="1204"/>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9" ht="15.95" hidden="1" customHeight="1" x14ac:dyDescent="0.25">
      <c r="B38" s="1204">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59" ht="15.95" hidden="1" customHeight="1" x14ac:dyDescent="0.25">
      <c r="B39" s="1204"/>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59" ht="15.95" hidden="1" customHeight="1" x14ac:dyDescent="0.25">
      <c r="B40" s="1204">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59" ht="15.95" hidden="1" customHeight="1" x14ac:dyDescent="0.25">
      <c r="B41" s="1204"/>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59" ht="15.95" hidden="1" customHeight="1" x14ac:dyDescent="0.25">
      <c r="B42" s="1204">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9" ht="15.95" hidden="1" customHeight="1" x14ac:dyDescent="0.25">
      <c r="B43" s="1204"/>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9" ht="15.95" hidden="1" customHeight="1" x14ac:dyDescent="0.25">
      <c r="B44" s="1204">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9" ht="15.95" hidden="1" customHeight="1" x14ac:dyDescent="0.25">
      <c r="B45" s="120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9" ht="15.95" hidden="1" customHeight="1" x14ac:dyDescent="0.25">
      <c r="B46" s="1204">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9" ht="15.95" hidden="1" customHeight="1" x14ac:dyDescent="0.25">
      <c r="B47" s="1204"/>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9" ht="15.95" hidden="1" customHeight="1" x14ac:dyDescent="0.25">
      <c r="B48" s="1204">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0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04">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0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04">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0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04">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0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04">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0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04">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0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04">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0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04">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0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04">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0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04">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0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04">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0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04">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0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04">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0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04">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0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04">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0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04">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04"/>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04">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0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04">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04"/>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04">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04"/>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04">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0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04">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04"/>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04">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04"/>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04">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04"/>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04">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04"/>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04">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04"/>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04">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04"/>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04">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04"/>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04">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0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04">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04"/>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04">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04"/>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04">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04"/>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04">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04"/>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04">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04"/>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04">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04"/>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04">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0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04">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0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04">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0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04">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0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04">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0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04">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0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04">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0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04">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0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04">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0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04">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0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04">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0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04">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0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04">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0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04">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0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04">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0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04">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0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04">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0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04">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0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04">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0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04">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0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04">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0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04">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0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04">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0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04">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0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04">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0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04">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0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04">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04"/>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04">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04"/>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04">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04"/>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04">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04"/>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04">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04"/>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04">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04"/>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04">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04"/>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04">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04"/>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04">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04"/>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204">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204"/>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59"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59"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59"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59"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59"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59"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59"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59"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c r="BE200" s="1852">
        <f>SUM(BE16:BE35)</f>
        <v>0</v>
      </c>
      <c r="BF200" s="1852">
        <f>SUM(BF16:BF35)</f>
        <v>0</v>
      </c>
      <c r="BG200" s="1852">
        <f t="shared" ref="BG200" si="0">SUM(BG16:BG35)</f>
        <v>0</v>
      </c>
    </row>
    <row r="201" spans="2:59"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c r="BE201" s="1853"/>
      <c r="BF201" s="1853"/>
      <c r="BG201" s="1853"/>
    </row>
    <row r="202" spans="2:59"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nX852mutnNGfYqcWtKyPSeTkoPV5QYAn02mzywUWDuYHxSE11dXmHMRR9i1NMFGE5S9zbcrL3cYV2RiMmFBUmQ==" saltValue="84yLoL6yG3lizHv0osDd5Q==" spinCount="100000" sheet="1" objects="1" scenarios="1" selectLockedCells="1"/>
  <mergeCells count="402">
    <mergeCell ref="BE32:BE33"/>
    <mergeCell ref="BF32:BF33"/>
    <mergeCell ref="BG32:BG33"/>
    <mergeCell ref="BE34:BE35"/>
    <mergeCell ref="BF34:BF35"/>
    <mergeCell ref="BG34:BG35"/>
    <mergeCell ref="BE200:BE201"/>
    <mergeCell ref="BF200:BF201"/>
    <mergeCell ref="BG200:BG201"/>
    <mergeCell ref="BE26:BE27"/>
    <mergeCell ref="BF26:BF27"/>
    <mergeCell ref="BG26:BG27"/>
    <mergeCell ref="BE28:BE29"/>
    <mergeCell ref="BF28:BF29"/>
    <mergeCell ref="BG28:BG29"/>
    <mergeCell ref="BE30:BE31"/>
    <mergeCell ref="BF30:BF31"/>
    <mergeCell ref="BG30:BG31"/>
    <mergeCell ref="BE20:BE21"/>
    <mergeCell ref="BF20:BF21"/>
    <mergeCell ref="BG20:BG21"/>
    <mergeCell ref="BE22:BE23"/>
    <mergeCell ref="BF22:BF23"/>
    <mergeCell ref="BG22:BG23"/>
    <mergeCell ref="BE24:BE25"/>
    <mergeCell ref="BF24:BF25"/>
    <mergeCell ref="BG24:BG25"/>
    <mergeCell ref="BE14:BE15"/>
    <mergeCell ref="BF14:BF15"/>
    <mergeCell ref="BG14:BG15"/>
    <mergeCell ref="BE16:BE17"/>
    <mergeCell ref="BF16:BF17"/>
    <mergeCell ref="BG16:BG17"/>
    <mergeCell ref="BE18:BE19"/>
    <mergeCell ref="BF18:BF19"/>
    <mergeCell ref="BG18:BG19"/>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125" priority="22">
      <formula>AND(ISBLANK($F16)=FALSE,ISBLANK(L16)=TRUE)</formula>
    </cfRule>
  </conditionalFormatting>
  <conditionalFormatting sqref="O9">
    <cfRule type="expression" dxfId="124" priority="332">
      <formula>ISNUMBER(SEARCH("Inspection",$O$9))</formula>
    </cfRule>
  </conditionalFormatting>
  <conditionalFormatting sqref="AH2 AL2">
    <cfRule type="expression" dxfId="123" priority="2">
      <formula>PROJSTATUS=PROJSTATELI</formula>
    </cfRule>
    <cfRule type="expression" dxfId="122" priority="3">
      <formula>PROJSTATUS=PROJSTATREVIEW</formula>
    </cfRule>
    <cfRule type="expression" dxfId="121" priority="4">
      <formula>PROJSTATUS=PROJSTATPREAPPROVE</formula>
    </cfRule>
    <cfRule type="expression" dxfId="120" priority="5">
      <formula>PROJSTATUS=PROJSTATSTANDARD</formula>
    </cfRule>
    <cfRule type="expression" dxfId="119" priority="6">
      <formula>PROJSTATUS=PROJSTATEXP</formula>
    </cfRule>
  </conditionalFormatting>
  <conditionalFormatting sqref="AK16 AK18 AK20 AK22 AK24 AK26 AK28 AK30 AK32 AK34">
    <cfRule type="expression" dxfId="118" priority="60">
      <formula>ISNUMBER(AK16)=FALSE</formula>
    </cfRule>
  </conditionalFormatting>
  <conditionalFormatting sqref="AK16:AN35">
    <cfRule type="expression" dxfId="117" priority="7">
      <formula>ISNUMBER(SEARCH("Cost",BD16))</formula>
    </cfRule>
  </conditionalFormatting>
  <conditionalFormatting sqref="AQ2:AR3">
    <cfRule type="cellIs" dxfId="116" priority="16" operator="equal">
      <formula>1</formula>
    </cfRule>
    <cfRule type="cellIs" dxfId="115" priority="17" operator="between">
      <formula>0.51</formula>
      <formula>0.99</formula>
    </cfRule>
    <cfRule type="cellIs" dxfId="114"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3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300-000001000000}">
      <formula1>0</formula1>
      <formula2>999999</formula2>
    </dataValidation>
    <dataValidation type="list" allowBlank="1" showInputMessage="1" showErrorMessage="1" sqref="AW16:AW35" xr:uid="{00000000-0002-0000-2300-000002000000}">
      <formula1>ENDUSECAT</formula1>
    </dataValidation>
    <dataValidation type="list" allowBlank="1" showInputMessage="1" showErrorMessage="1" prompt="Select the measure type that is closest to the selections in this list. If not listed, select &quot;Others&quot;" sqref="F16:K35" xr:uid="{00000000-0002-0000-2300-000003000000}">
      <formula1>CMEMOTORDESC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3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3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300-000006000000}"/>
  </dataValidations>
  <hyperlinks>
    <hyperlink ref="B202" r:id="rId1" display="NIPSCO.Savings@LMCO.com" xr:uid="{00000000-0004-0000-2300-000000000000}"/>
  </hyperlinks>
  <pageMargins left="0.25" right="0.25" top="0.25" bottom="0.25" header="0.25" footer="0.25"/>
  <pageSetup scale="64" fitToHeight="0"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6"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6" ht="15.95" customHeight="1" x14ac:dyDescent="0.25">
      <c r="AH3" s="604"/>
      <c r="AI3" s="605"/>
      <c r="AJ3" s="605"/>
      <c r="AK3" s="605"/>
      <c r="AL3" s="614"/>
      <c r="AM3" s="614"/>
      <c r="AN3" s="614"/>
      <c r="AO3" s="614"/>
      <c r="AP3" s="614"/>
      <c r="AQ3" s="610"/>
      <c r="AR3" s="611"/>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IF(INCENSTATUS="---",CONCATENATE(M5S3," ","Summary"),IF(INCENSTATUS&gt;15000,"This project may require an inspection. Please submit photos of existing equipment and of new efficient equipment once installed.",CONCATENATE(M5S3," ","Summary")))</f>
        <v>Commercial Cooking / Water Heating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row>
    <row r="15" spans="2:56"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row>
    <row r="16" spans="2:56" ht="15.95" customHeight="1" x14ac:dyDescent="0.25">
      <c r="B16" s="1193">
        <v>1</v>
      </c>
      <c r="C16" s="1854"/>
      <c r="D16" s="1854"/>
      <c r="E16" s="1854"/>
      <c r="F16" s="1824"/>
      <c r="G16" s="1824"/>
      <c r="H16" s="1824"/>
      <c r="I16" s="1824"/>
      <c r="J16" s="1824"/>
      <c r="K16" s="1824"/>
      <c r="L16" s="1824"/>
      <c r="M16" s="1824"/>
      <c r="N16" s="1824"/>
      <c r="O16" s="1824"/>
      <c r="P16" s="1824"/>
      <c r="Q16" s="1855"/>
      <c r="R16" s="1855"/>
      <c r="S16" s="1817"/>
      <c r="T16" s="1822"/>
      <c r="U16" s="1472"/>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IF(OR(C16="",F16="",L16="",Q16="",S16="",U16="",Z16="",AB16="",AD16="",AF16=""),"",INDEX(CMECOOK[End Use Category],MATCH(F16,CMECOOK[Proj Desc 1],0)))</f>
        <v/>
      </c>
      <c r="AX16" s="800" t="str">
        <f>IF(OR(C16="",F16="",L16="",Q16="",S16="",U16="",Z16="",AB16="",AD16="",AF16=""),"",INDEX(CMECOOK[EUL],MATCH(F16,CMECOOK[Proj Desc 1],0)))</f>
        <v/>
      </c>
      <c r="AY16" s="1811" t="str">
        <f>IF(OR(C16="",F16="",L16="",Q16="",S16="",U16="",Z16="",AB16="",AD16="",AF16=""),"",INDEX(CMECOOK[Measure Number],MATCH(F16,CMECOOK[Proj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row>
    <row r="18" spans="2:56" ht="15.95" customHeight="1" x14ac:dyDescent="0.25">
      <c r="B18" s="1204">
        <v>2</v>
      </c>
      <c r="C18" s="1854"/>
      <c r="D18" s="1854"/>
      <c r="E18" s="1854"/>
      <c r="F18" s="1824"/>
      <c r="G18" s="1824"/>
      <c r="H18" s="1824"/>
      <c r="I18" s="1824"/>
      <c r="J18" s="1824"/>
      <c r="K18" s="1824"/>
      <c r="L18" s="1824"/>
      <c r="M18" s="1824"/>
      <c r="N18" s="1824"/>
      <c r="O18" s="1824"/>
      <c r="P18" s="1824"/>
      <c r="Q18" s="1855"/>
      <c r="R18" s="1855"/>
      <c r="S18" s="1817"/>
      <c r="T18" s="1822"/>
      <c r="U18" s="1472"/>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IF(OR(C18="",F18="",L18="",Q18="",S18="",U18="",Z18="",AB18="",AD18="",AF18=""),"",INDEX(CMECOOK[End Use Category],MATCH(F18,CMECOOK[Proj Desc 1],0)))</f>
        <v/>
      </c>
      <c r="AX18" s="800" t="str">
        <f>IF(OR(C18="",F18="",L18="",Q18="",S18="",U18="",Z18="",AB18="",AD18="",AF18=""),"",INDEX(CMECOOK[EUL],MATCH(F18,CMECOOK[Proj Desc 1],0)))</f>
        <v/>
      </c>
      <c r="AY18" s="1811" t="str">
        <f>IF(OR(C18="",F18="",L18="",Q18="",S18="",U18="",Z18="",AB18="",AD18="",AF18=""),"",INDEX(CMECOOK[Measure Number],MATCH(F18,CMECOOK[Proj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row>
    <row r="20" spans="2:56"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IF(OR(C20="",F20="",L20="",Q20="",S20="",U20="",Z20="",AB20="",AD20="",AF20=""),"",INDEX(CMECOOK[End Use Category],MATCH(F20,CMECOOK[Proj Desc 1],0)))</f>
        <v/>
      </c>
      <c r="AX20" s="800" t="str">
        <f>IF(OR(C20="",F20="",L20="",Q20="",S20="",U20="",Z20="",AB20="",AD20="",AF20=""),"",INDEX(CMECOOK[EUL],MATCH(F20,CMECOOK[Proj Desc 1],0)))</f>
        <v/>
      </c>
      <c r="AY20" s="1811" t="str">
        <f>IF(OR(C20="",F20="",L20="",Q20="",S20="",U20="",Z20="",AB20="",AD20="",AF20=""),"",INDEX(CMECOOK[Measure Number],MATCH(F20,CMECOOK[Proj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row>
    <row r="22" spans="2:56"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IF(OR(C22="",F22="",L22="",Q22="",S22="",U22="",Z22="",AB22="",AD22="",AF22=""),"",INDEX(CMECOOK[End Use Category],MATCH(F22,CMECOOK[Proj Desc 1],0)))</f>
        <v/>
      </c>
      <c r="AX22" s="800" t="str">
        <f>IF(OR(C22="",F22="",L22="",Q22="",S22="",U22="",Z22="",AB22="",AD22="",AF22=""),"",INDEX(CMECOOK[EUL],MATCH(F22,CMECOOK[Proj Desc 1],0)))</f>
        <v/>
      </c>
      <c r="AY22" s="1811" t="str">
        <f>IF(OR(C22="",F22="",L22="",Q22="",S22="",U22="",Z22="",AB22="",AD22="",AF22=""),"",INDEX(CMECOOK[Measure Number],MATCH(F22,CMECOOK[Proj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row>
    <row r="24" spans="2:56"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IF(OR(C24="",F24="",L24="",Q24="",S24="",U24="",Z24="",AB24="",AD24="",AF24=""),"",INDEX(CMECOOK[End Use Category],MATCH(F24,CMECOOK[Proj Desc 1],0)))</f>
        <v/>
      </c>
      <c r="AX24" s="800" t="str">
        <f>IF(OR(C24="",F24="",L24="",Q24="",S24="",U24="",Z24="",AB24="",AD24="",AF24=""),"",INDEX(CMECOOK[EUL],MATCH(F24,CMECOOK[Proj Desc 1],0)))</f>
        <v/>
      </c>
      <c r="AY24" s="1811" t="str">
        <f>IF(OR(C24="",F24="",L24="",Q24="",S24="",U24="",Z24="",AB24="",AD24="",AF24=""),"",INDEX(CMECOOK[Measure Number],MATCH(F24,CMECOOK[Proj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row>
    <row r="26" spans="2:56"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IF(OR(C26="",F26="",L26="",Q26="",S26="",U26="",Z26="",AB26="",AD26="",AF26=""),"",INDEX(CMECOOK[End Use Category],MATCH(F26,CMECOOK[Proj Desc 1],0)))</f>
        <v/>
      </c>
      <c r="AX26" s="800" t="str">
        <f>IF(OR(C26="",F26="",L26="",Q26="",S26="",U26="",Z26="",AB26="",AD26="",AF26=""),"",INDEX(CMECOOK[EUL],MATCH(F26,CMECOOK[Proj Desc 1],0)))</f>
        <v/>
      </c>
      <c r="AY26" s="1811" t="str">
        <f>IF(OR(C26="",F26="",L26="",Q26="",S26="",U26="",Z26="",AB26="",AD26="",AF26=""),"",INDEX(CMECOOK[Measure Number],MATCH(F26,CMECOOK[Proj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row>
    <row r="28" spans="2:56"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IF(OR(C28="",F28="",L28="",Q28="",S28="",U28="",Z28="",AB28="",AD28="",AF28=""),"",INDEX(CMECOOK[End Use Category],MATCH(F28,CMECOOK[Proj Desc 1],0)))</f>
        <v/>
      </c>
      <c r="AX28" s="800" t="str">
        <f>IF(OR(C28="",F28="",L28="",Q28="",S28="",U28="",Z28="",AB28="",AD28="",AF28=""),"",INDEX(CMECOOK[EUL],MATCH(F28,CMECOOK[Proj Desc 1],0)))</f>
        <v/>
      </c>
      <c r="AY28" s="1811" t="str">
        <f>IF(OR(C28="",F28="",L28="",Q28="",S28="",U28="",Z28="",AB28="",AD28="",AF28=""),"",INDEX(CMECOOK[Measure Number],MATCH(F28,CMECOOK[Proj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row>
    <row r="30" spans="2:56"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IF(OR(C30="",F30="",L30="",Q30="",S30="",U30="",Z30="",AB30="",AD30="",AF30=""),"",INDEX(CMECOOK[End Use Category],MATCH(F30,CMECOOK[Proj Desc 1],0)))</f>
        <v/>
      </c>
      <c r="AX30" s="800" t="str">
        <f>IF(OR(C30="",F30="",L30="",Q30="",S30="",U30="",Z30="",AB30="",AD30="",AF30=""),"",INDEX(CMECOOK[EUL],MATCH(F30,CMECOOK[Proj Desc 1],0)))</f>
        <v/>
      </c>
      <c r="AY30" s="1811" t="str">
        <f>IF(OR(C30="",F30="",L30="",Q30="",S30="",U30="",Z30="",AB30="",AD30="",AF30=""),"",INDEX(CMECOOK[Measure Number],MATCH(F30,CMECOOK[Proj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row>
    <row r="32" spans="2:56"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IF(OR(C32="",F32="",L32="",Q32="",S32="",U32="",Z32="",AB32="",AD32="",AF32=""),"",INDEX(CMECOOK[End Use Category],MATCH(F32,CMECOOK[Proj Desc 1],0)))</f>
        <v/>
      </c>
      <c r="AX32" s="800" t="str">
        <f>IF(OR(C32="",F32="",L32="",Q32="",S32="",U32="",Z32="",AB32="",AD32="",AF32=""),"",INDEX(CMECOOK[EUL],MATCH(F32,CMECOOK[Proj Desc 1],0)))</f>
        <v/>
      </c>
      <c r="AY32" s="1811" t="str">
        <f>IF(OR(C32="",F32="",L32="",Q32="",S32="",U32="",Z32="",AB32="",AD32="",AF32=""),"",INDEX(CMECOOK[Measure Number],MATCH(F32,CMECOOK[Proj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row>
    <row r="34" spans="2:56"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IF(OR(C34="",F34="",L34="",Q34="",S34="",U34="",Z34="",AB34="",AD34="",AF34=""),"",INDEX(CMECOOK[End Use Category],MATCH(F34,CMECOOK[Proj Desc 1],0)))</f>
        <v/>
      </c>
      <c r="AX34" s="800" t="str">
        <f>IF(OR(C34="",F34="",L34="",Q34="",S34="",U34="",Z34="",AB34="",AD34="",AF34=""),"",INDEX(CMECOOK[EUL],MATCH(F34,CMECOOK[Proj Desc 1],0)))</f>
        <v/>
      </c>
      <c r="AY34" s="1811" t="str">
        <f>IF(OR(C34="",F34="",L34="",Q34="",S34="",U34="",Z34="",AB34="",AD34="",AF34=""),"",INDEX(CMECOOK[Measure Number],MATCH(F34,CMECOOK[Proj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row>
    <row r="36" spans="2:56"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204"/>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204">
        <v>12</v>
      </c>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56" ht="15.95" hidden="1" customHeight="1" x14ac:dyDescent="0.25">
      <c r="B39" s="1204"/>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56" ht="15.95" hidden="1" customHeight="1" x14ac:dyDescent="0.25">
      <c r="B40" s="1204">
        <v>13</v>
      </c>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row>
    <row r="41" spans="2:56" ht="15.95" hidden="1" customHeight="1" x14ac:dyDescent="0.25">
      <c r="B41" s="1204"/>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row>
    <row r="42" spans="2:56" ht="15.95" hidden="1" customHeight="1" x14ac:dyDescent="0.25">
      <c r="B42" s="1204">
        <v>14</v>
      </c>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row>
    <row r="43" spans="2:56" ht="15.95" hidden="1" customHeight="1" x14ac:dyDescent="0.25">
      <c r="B43" s="1204"/>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row>
    <row r="44" spans="2:56" ht="15.95" hidden="1" customHeight="1" x14ac:dyDescent="0.25">
      <c r="B44" s="1204">
        <v>15</v>
      </c>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56" ht="15.95" hidden="1" customHeight="1" x14ac:dyDescent="0.25">
      <c r="B45" s="1204"/>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56" ht="15.95" hidden="1" customHeight="1" x14ac:dyDescent="0.25">
      <c r="B46" s="1204">
        <v>16</v>
      </c>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56" ht="15.95" hidden="1" customHeight="1" x14ac:dyDescent="0.25">
      <c r="B47" s="1204"/>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row>
    <row r="48" spans="2:56" ht="15.95" hidden="1" customHeight="1" x14ac:dyDescent="0.25">
      <c r="B48" s="1204">
        <v>17</v>
      </c>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row>
    <row r="49" spans="2:44" ht="15.95" hidden="1" customHeight="1" x14ac:dyDescent="0.25">
      <c r="B49" s="1204"/>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row>
    <row r="50" spans="2:44" ht="15.95" hidden="1" customHeight="1" x14ac:dyDescent="0.25">
      <c r="B50" s="1204">
        <v>18</v>
      </c>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row>
    <row r="51" spans="2:44" ht="15.95" hidden="1" customHeight="1" x14ac:dyDescent="0.25">
      <c r="B51" s="1204"/>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row>
    <row r="52" spans="2:44" ht="15.95" hidden="1" customHeight="1" x14ac:dyDescent="0.25">
      <c r="B52" s="1204">
        <v>19</v>
      </c>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row>
    <row r="53" spans="2:44" ht="15.95" hidden="1" customHeight="1" x14ac:dyDescent="0.25">
      <c r="B53" s="1204"/>
      <c r="C53" s="69"/>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row>
    <row r="54" spans="2:44" ht="15.95" hidden="1" customHeight="1" x14ac:dyDescent="0.25">
      <c r="B54" s="1204">
        <v>20</v>
      </c>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25">
      <c r="B55" s="1204"/>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row>
    <row r="56" spans="2:44" ht="15.95" hidden="1" customHeight="1" x14ac:dyDescent="0.25">
      <c r="B56" s="1204">
        <v>21</v>
      </c>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row>
    <row r="57" spans="2:44" ht="15.95" hidden="1" customHeight="1" x14ac:dyDescent="0.25">
      <c r="B57" s="1204"/>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row>
    <row r="58" spans="2:44" ht="15.95" hidden="1" customHeight="1" x14ac:dyDescent="0.25">
      <c r="B58" s="1204">
        <v>22</v>
      </c>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row>
    <row r="59" spans="2:44" ht="15.95" hidden="1" customHeight="1" x14ac:dyDescent="0.25">
      <c r="B59" s="1204"/>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row>
    <row r="60" spans="2:44" ht="15.95" hidden="1" customHeight="1" x14ac:dyDescent="0.25">
      <c r="B60" s="1204">
        <v>23</v>
      </c>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row>
    <row r="61" spans="2:44" ht="15.95" hidden="1" customHeight="1" x14ac:dyDescent="0.25">
      <c r="B61" s="1204"/>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row>
    <row r="62" spans="2:44" ht="15.95" hidden="1" customHeight="1" x14ac:dyDescent="0.25">
      <c r="B62" s="1204">
        <v>24</v>
      </c>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row>
    <row r="63" spans="2:44" ht="15.95" hidden="1" customHeight="1" x14ac:dyDescent="0.25">
      <c r="B63" s="1204"/>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row>
    <row r="64" spans="2:44" ht="15.95" hidden="1" customHeight="1" x14ac:dyDescent="0.25">
      <c r="B64" s="1204">
        <v>25</v>
      </c>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row>
    <row r="65" spans="2:44" ht="15.95" hidden="1" customHeight="1" x14ac:dyDescent="0.25">
      <c r="B65" s="1204"/>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row>
    <row r="66" spans="2:44" ht="15.95" hidden="1" customHeight="1" x14ac:dyDescent="0.25">
      <c r="B66" s="1204">
        <v>26</v>
      </c>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row>
    <row r="67" spans="2:44" ht="15.95" hidden="1" customHeight="1" x14ac:dyDescent="0.25">
      <c r="B67" s="1204"/>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row>
    <row r="68" spans="2:44" ht="15.95" hidden="1" customHeight="1" x14ac:dyDescent="0.25">
      <c r="B68" s="1204">
        <v>27</v>
      </c>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row>
    <row r="69" spans="2:44" ht="15.95" hidden="1" customHeight="1" x14ac:dyDescent="0.25">
      <c r="B69" s="1204"/>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row>
    <row r="70" spans="2:44" ht="15.95" hidden="1" customHeight="1" x14ac:dyDescent="0.25">
      <c r="B70" s="1204">
        <v>28</v>
      </c>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row>
    <row r="71" spans="2:44" ht="15.95" hidden="1" customHeight="1" x14ac:dyDescent="0.25">
      <c r="B71" s="1204"/>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row>
    <row r="72" spans="2:44" ht="15.95" hidden="1" customHeight="1" x14ac:dyDescent="0.25">
      <c r="B72" s="1204">
        <v>29</v>
      </c>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row>
    <row r="73" spans="2:44" ht="15.95" hidden="1" customHeight="1" x14ac:dyDescent="0.25">
      <c r="B73" s="1204"/>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row>
    <row r="74" spans="2:44" ht="15.95" hidden="1" customHeight="1" x14ac:dyDescent="0.25">
      <c r="B74" s="1204">
        <v>30</v>
      </c>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row>
    <row r="75" spans="2:44" ht="15.95" hidden="1" customHeight="1" x14ac:dyDescent="0.25">
      <c r="B75" s="1204"/>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row>
    <row r="76" spans="2:44" ht="15.95" hidden="1" customHeight="1" x14ac:dyDescent="0.25">
      <c r="B76" s="1204">
        <v>31</v>
      </c>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1204"/>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row>
    <row r="78" spans="2:44" ht="15.95" hidden="1" customHeight="1" x14ac:dyDescent="0.25">
      <c r="B78" s="1204">
        <v>32</v>
      </c>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row>
    <row r="79" spans="2:44" ht="15.95" hidden="1" customHeight="1" x14ac:dyDescent="0.25">
      <c r="B79" s="1204"/>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1204">
        <v>33</v>
      </c>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1204"/>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1204">
        <v>34</v>
      </c>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1204"/>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1204">
        <v>35</v>
      </c>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1204"/>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1204">
        <v>36</v>
      </c>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1204"/>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1204">
        <v>37</v>
      </c>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1204"/>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1204">
        <v>38</v>
      </c>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1204"/>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1204">
        <v>39</v>
      </c>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1204"/>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1204">
        <v>40</v>
      </c>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1204"/>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1204">
        <v>41</v>
      </c>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1204"/>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1204">
        <v>42</v>
      </c>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1204"/>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1204">
        <v>43</v>
      </c>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1204"/>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1204">
        <v>44</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1204"/>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1204">
        <v>45</v>
      </c>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1204"/>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1204">
        <v>46</v>
      </c>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1204"/>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1204">
        <v>47</v>
      </c>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1204"/>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1204">
        <v>48</v>
      </c>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1204"/>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1204">
        <v>49</v>
      </c>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1204"/>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1204">
        <v>50</v>
      </c>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1204"/>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1204">
        <v>51</v>
      </c>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1204"/>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1204">
        <v>52</v>
      </c>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1204"/>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1204">
        <v>53</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1204"/>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1204">
        <v>54</v>
      </c>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120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04">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0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04">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0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04">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0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04">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0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04">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0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04">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0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04">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0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04">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0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04">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0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04">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0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04">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0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04">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0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04">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0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04">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0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04">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0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04">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0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04">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0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04">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0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04">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0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04">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0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04">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0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04">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0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04">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04"/>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04">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04"/>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04">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04"/>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04">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04"/>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04">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04"/>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04">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04"/>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04">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04"/>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04">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04"/>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04">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04"/>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4"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4"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4"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4"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4"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4"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ROrvfbcxRxNFsSx2XSiTAOkW2QoZ7RqPbKgUs77BADtUO2qAbFqXTv0HEt5AHUwHvoaNAZSYaJphj5ELRRntw==" saltValue="Bz18kbjWgbRnAhnDyEvwfA==" spinCount="100000" sheet="1" objects="1" scenarios="1" selectLockedCells="1"/>
  <mergeCells count="366">
    <mergeCell ref="F28:K29"/>
    <mergeCell ref="L28:P29"/>
    <mergeCell ref="Q28:R29"/>
    <mergeCell ref="S28:T29"/>
    <mergeCell ref="U1:V1"/>
    <mergeCell ref="Y1:Z1"/>
    <mergeCell ref="AZ34:AZ35"/>
    <mergeCell ref="BA34:BA35"/>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BA28:BA29"/>
    <mergeCell ref="C30:E31"/>
    <mergeCell ref="F30:K31"/>
    <mergeCell ref="L30:P31"/>
    <mergeCell ref="Q30:R31"/>
    <mergeCell ref="S30:T31"/>
    <mergeCell ref="U30:Y31"/>
    <mergeCell ref="Z30:AA31"/>
    <mergeCell ref="AB30:AC31"/>
    <mergeCell ref="AD30:AE31"/>
    <mergeCell ref="C34:E35"/>
    <mergeCell ref="F34:K35"/>
    <mergeCell ref="L34:P35"/>
    <mergeCell ref="Q34:R35"/>
    <mergeCell ref="S34:T35"/>
    <mergeCell ref="U34:Y35"/>
    <mergeCell ref="Z34:AA35"/>
    <mergeCell ref="AB34:AC35"/>
    <mergeCell ref="AD34:AE35"/>
    <mergeCell ref="AF30:AG31"/>
    <mergeCell ref="AH30:AJ31"/>
    <mergeCell ref="AK30:AN31"/>
    <mergeCell ref="AO30:AQ31"/>
    <mergeCell ref="AU30:AU31"/>
    <mergeCell ref="AV30:AV31"/>
    <mergeCell ref="AW30:AW31"/>
    <mergeCell ref="AX30:AX31"/>
    <mergeCell ref="AY30:AY31"/>
    <mergeCell ref="AZ30:AZ31"/>
    <mergeCell ref="AX28:AX29"/>
    <mergeCell ref="AY28:AY29"/>
    <mergeCell ref="AZ28:AZ29"/>
    <mergeCell ref="AV28:AV29"/>
    <mergeCell ref="AW28:AW29"/>
    <mergeCell ref="AH28:AJ29"/>
    <mergeCell ref="AK28:AN29"/>
    <mergeCell ref="AO28:AQ29"/>
    <mergeCell ref="AU28:AU29"/>
    <mergeCell ref="BA32:BA33"/>
    <mergeCell ref="U32:Y33"/>
    <mergeCell ref="Z32:AA33"/>
    <mergeCell ref="AB32:AC33"/>
    <mergeCell ref="AD32:AE33"/>
    <mergeCell ref="AF32:AG33"/>
    <mergeCell ref="AH32:AJ33"/>
    <mergeCell ref="AK32:AN33"/>
    <mergeCell ref="AO32:AQ33"/>
    <mergeCell ref="AU32:AU33"/>
    <mergeCell ref="U28:Y29"/>
    <mergeCell ref="Z28:AA29"/>
    <mergeCell ref="AB28:AC29"/>
    <mergeCell ref="AD28:AE29"/>
    <mergeCell ref="AF28:AG29"/>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H24:AJ25"/>
    <mergeCell ref="AK24:AN25"/>
    <mergeCell ref="AO24:AQ25"/>
    <mergeCell ref="AU24:AU25"/>
    <mergeCell ref="AV24:AV25"/>
    <mergeCell ref="AW24:AW25"/>
    <mergeCell ref="AX24:AX25"/>
    <mergeCell ref="AY24:AY25"/>
    <mergeCell ref="AZ24:AZ25"/>
    <mergeCell ref="F24:K25"/>
    <mergeCell ref="L24:P25"/>
    <mergeCell ref="Q24:R25"/>
    <mergeCell ref="S24:T25"/>
    <mergeCell ref="U24:Y25"/>
    <mergeCell ref="Z24:AA25"/>
    <mergeCell ref="AB24:AC25"/>
    <mergeCell ref="AD24:AE25"/>
    <mergeCell ref="AF24:AG25"/>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M200:AG201"/>
    <mergeCell ref="B198:B199"/>
    <mergeCell ref="B186:B187"/>
    <mergeCell ref="B188:B189"/>
    <mergeCell ref="B190:B191"/>
    <mergeCell ref="B192:B193"/>
    <mergeCell ref="B194:B195"/>
    <mergeCell ref="B196:B197"/>
    <mergeCell ref="B184:B185"/>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Q1:R1"/>
    <mergeCell ref="O9:AF10"/>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C32:BC33"/>
    <mergeCell ref="BB14:BB15"/>
    <mergeCell ref="BC14:BC15"/>
    <mergeCell ref="BB16:BB17"/>
    <mergeCell ref="BC16:BC17"/>
    <mergeCell ref="BB18:BB19"/>
    <mergeCell ref="BC18:BC19"/>
    <mergeCell ref="BB20:BB21"/>
    <mergeCell ref="BC20:BC21"/>
    <mergeCell ref="BB22:BB23"/>
    <mergeCell ref="BC22:BC23"/>
    <mergeCell ref="E9:I1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s>
  <conditionalFormatting sqref="L16:AG35">
    <cfRule type="expression" dxfId="113" priority="28">
      <formula>AND(ISBLANK($F16)=FALSE,ISBLANK(L16)=TRUE)</formula>
    </cfRule>
  </conditionalFormatting>
  <conditionalFormatting sqref="O9">
    <cfRule type="expression" dxfId="112" priority="331">
      <formula>ISNUMBER(SEARCH("Inspection",$O$9))</formula>
    </cfRule>
  </conditionalFormatting>
  <conditionalFormatting sqref="AH2 AL2">
    <cfRule type="expression" dxfId="111" priority="2">
      <formula>PROJSTATUS=PROJSTATELI</formula>
    </cfRule>
    <cfRule type="expression" dxfId="110" priority="3">
      <formula>PROJSTATUS=PROJSTATREVIEW</formula>
    </cfRule>
    <cfRule type="expression" dxfId="109" priority="4">
      <formula>PROJSTATUS=PROJSTATPREAPPROVE</formula>
    </cfRule>
    <cfRule type="expression" dxfId="108" priority="5">
      <formula>PROJSTATUS=PROJSTATSTANDARD</formula>
    </cfRule>
    <cfRule type="expression" dxfId="107" priority="6">
      <formula>PROJSTATUS=PROJSTATEXP</formula>
    </cfRule>
  </conditionalFormatting>
  <conditionalFormatting sqref="AK16 AK18 AK20 AK22 AK24 AK26 AK28 AK30 AK32 AK34">
    <cfRule type="expression" dxfId="106" priority="66">
      <formula>ISNUMBER(AK16)=FALSE</formula>
    </cfRule>
  </conditionalFormatting>
  <conditionalFormatting sqref="AK16:AN35">
    <cfRule type="expression" dxfId="105" priority="7">
      <formula>ISNUMBER(SEARCH("Cost",BD16))</formula>
    </cfRule>
  </conditionalFormatting>
  <conditionalFormatting sqref="AQ2:AR3">
    <cfRule type="cellIs" dxfId="104" priority="22" operator="equal">
      <formula>1</formula>
    </cfRule>
    <cfRule type="cellIs" dxfId="103" priority="23" operator="between">
      <formula>0.51</formula>
      <formula>0.99</formula>
    </cfRule>
    <cfRule type="cellIs" dxfId="102" priority="24"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2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200-000001000000}">
      <formula1>0</formula1>
      <formula2>999999</formula2>
    </dataValidation>
    <dataValidation type="list" allowBlank="1" showInputMessage="1" showErrorMessage="1" sqref="AW16:AW35" xr:uid="{00000000-0002-0000-2200-000002000000}">
      <formula1>ENDUSECAT</formula1>
    </dataValidation>
    <dataValidation type="list" allowBlank="1" showInputMessage="1" showErrorMessage="1" prompt="Select the measure type that is closest to the selections in this list. If not listed, select &quot;Others&quot;" sqref="F16:K35" xr:uid="{00000000-0002-0000-2200-000003000000}">
      <formula1>CMECOOKDESC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2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2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200-000006000000}"/>
  </dataValidations>
  <hyperlinks>
    <hyperlink ref="B202" r:id="rId1" display="NIPSCO.Savings@LMCO.com" xr:uid="{00000000-0004-0000-2200-000000000000}"/>
  </hyperlinks>
  <pageMargins left="0.25" right="0.25" top="0.25" bottom="0.25" header="0.25" footer="0.25"/>
  <pageSetup scale="50" fitToHeight="0"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6"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6" ht="15.95" customHeight="1" x14ac:dyDescent="0.25">
      <c r="AH3" s="604"/>
      <c r="AI3" s="605"/>
      <c r="AJ3" s="605"/>
      <c r="AK3" s="605"/>
      <c r="AL3" s="614"/>
      <c r="AM3" s="614"/>
      <c r="AN3" s="614"/>
      <c r="AO3" s="614"/>
      <c r="AP3" s="614"/>
      <c r="AQ3" s="610"/>
      <c r="AR3" s="611"/>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IF(INCENSTATUS="---",CONCATENATE(M5S5," ","Summary"),IF(INCENSTATUS&gt;15000,"This project may require an inspection. Please submit photos of existing equipment and of new efficient equipment once installed.",CONCATENATE(M5S5," ","Summary")))</f>
        <v>Compressed Air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row>
    <row r="15" spans="2:56"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row>
    <row r="16" spans="2:56" ht="15.95" customHeight="1" x14ac:dyDescent="0.25">
      <c r="B16" s="1193">
        <v>1</v>
      </c>
      <c r="C16" s="1854"/>
      <c r="D16" s="1854"/>
      <c r="E16" s="1854"/>
      <c r="F16" s="1824"/>
      <c r="G16" s="1824"/>
      <c r="H16" s="1824"/>
      <c r="I16" s="1824"/>
      <c r="J16" s="1824"/>
      <c r="K16" s="1824"/>
      <c r="L16" s="1846"/>
      <c r="M16" s="1824"/>
      <c r="N16" s="1824"/>
      <c r="O16" s="1824"/>
      <c r="P16" s="1824"/>
      <c r="Q16" s="1855"/>
      <c r="R16" s="1855"/>
      <c r="S16" s="1817"/>
      <c r="T16" s="1822"/>
      <c r="U16" s="1769"/>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IF(OR(C16="",F16="",L16="",Q16="",S16="",U16="",Z16="",AB16="",AD16="",AF16=""),"",INDEX(CMECOMPAIR[End Use Category],MATCH(F16,CMECOMPAIR[Proj Desc 1],0)))</f>
        <v/>
      </c>
      <c r="AX16" s="800" t="str">
        <f>IF(OR(C16="",F16="",L16="",Q16="",S16="",U16="",Z16="",AB16="",AD16="",AF16=""),"",INDEX(CMECOMPAIR[EUL],MATCH(F16,CMECOMPAIR[Proj Desc 1],0)))</f>
        <v/>
      </c>
      <c r="AY16" s="1811" t="str">
        <f>IF(OR(C16="",F16="",L16="",Q16="",S16="",U16="",Z16="",AB16="",AD16="",AF16=""),"",INDEX(CMECOMPAIR[Measure Number],MATCH(F16,CMECOMPAIR[Proj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row>
    <row r="18" spans="2:56" ht="15.95" customHeight="1" x14ac:dyDescent="0.25">
      <c r="B18" s="1204">
        <v>2</v>
      </c>
      <c r="C18" s="1854"/>
      <c r="D18" s="1854"/>
      <c r="E18" s="1854"/>
      <c r="F18" s="1824"/>
      <c r="G18" s="1824"/>
      <c r="H18" s="1824"/>
      <c r="I18" s="1824"/>
      <c r="J18" s="1824"/>
      <c r="K18" s="1824"/>
      <c r="L18" s="1846"/>
      <c r="M18" s="1824"/>
      <c r="N18" s="1824"/>
      <c r="O18" s="1824"/>
      <c r="P18" s="1824"/>
      <c r="Q18" s="1855"/>
      <c r="R18" s="1855"/>
      <c r="S18" s="1817"/>
      <c r="T18" s="1822"/>
      <c r="U18" s="1769"/>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IF(OR(C18="",F18="",L18="",Q18="",S18="",U18="",Z18="",AB18="",AD18="",AF18=""),"",INDEX(CMECOMPAIR[End Use Category],MATCH(F18,CMECOMPAIR[Proj Desc 1],0)))</f>
        <v/>
      </c>
      <c r="AX18" s="800" t="str">
        <f>IF(OR(C18="",F18="",L18="",Q18="",S18="",U18="",Z18="",AB18="",AD18="",AF18=""),"",INDEX(CMECOMPAIR[EUL],MATCH(F18,CMECOMPAIR[Proj Desc 1],0)))</f>
        <v/>
      </c>
      <c r="AY18" s="1811" t="str">
        <f>IF(OR(C18="",F18="",L18="",Q18="",S18="",U18="",Z18="",AB18="",AD18="",AF18=""),"",INDEX(CMECOMPAIR[Measure Number],MATCH(F18,CMECOMPAIR[Proj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row>
    <row r="20" spans="2:56"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IF(OR(C20="",F20="",L20="",Q20="",S20="",U20="",Z20="",AB20="",AD20="",AF20=""),"",INDEX(CMECOMPAIR[End Use Category],MATCH(F20,CMECOMPAIR[Proj Desc 1],0)))</f>
        <v/>
      </c>
      <c r="AX20" s="800" t="str">
        <f>IF(OR(C20="",F20="",L20="",Q20="",S20="",U20="",Z20="",AB20="",AD20="",AF20=""),"",INDEX(CMECOMPAIR[EUL],MATCH(F20,CMECOMPAIR[Proj Desc 1],0)))</f>
        <v/>
      </c>
      <c r="AY20" s="1811" t="str">
        <f>IF(OR(C20="",F20="",L20="",Q20="",S20="",U20="",Z20="",AB20="",AD20="",AF20=""),"",INDEX(CMECOMPAIR[Measure Number],MATCH(F20,CMECOMPAIR[Proj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row>
    <row r="22" spans="2:56"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IF(OR(C22="",F22="",L22="",Q22="",S22="",U22="",Z22="",AB22="",AD22="",AF22=""),"",INDEX(CMECOMPAIR[End Use Category],MATCH(F22,CMECOMPAIR[Proj Desc 1],0)))</f>
        <v/>
      </c>
      <c r="AX22" s="800" t="str">
        <f>IF(OR(C22="",F22="",L22="",Q22="",S22="",U22="",Z22="",AB22="",AD22="",AF22=""),"",INDEX(CMECOMPAIR[EUL],MATCH(F22,CMECOMPAIR[Proj Desc 1],0)))</f>
        <v/>
      </c>
      <c r="AY22" s="1811" t="str">
        <f>IF(OR(C22="",F22="",L22="",Q22="",S22="",U22="",Z22="",AB22="",AD22="",AF22=""),"",INDEX(CMECOMPAIR[Measure Number],MATCH(F22,CMECOMPAIR[Proj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row>
    <row r="24" spans="2:56"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IF(OR(C24="",F24="",L24="",Q24="",S24="",U24="",Z24="",AB24="",AD24="",AF24=""),"",INDEX(CMECOMPAIR[End Use Category],MATCH(F24,CMECOMPAIR[Proj Desc 1],0)))</f>
        <v/>
      </c>
      <c r="AX24" s="800" t="str">
        <f>IF(OR(C24="",F24="",L24="",Q24="",S24="",U24="",Z24="",AB24="",AD24="",AF24=""),"",INDEX(CMECOMPAIR[EUL],MATCH(F24,CMECOMPAIR[Proj Desc 1],0)))</f>
        <v/>
      </c>
      <c r="AY24" s="1811" t="str">
        <f>IF(OR(C24="",F24="",L24="",Q24="",S24="",U24="",Z24="",AB24="",AD24="",AF24=""),"",INDEX(CMECOMPAIR[Measure Number],MATCH(F24,CMECOMPAIR[Proj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row>
    <row r="26" spans="2:56"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IF(OR(C26="",F26="",L26="",Q26="",S26="",U26="",Z26="",AB26="",AD26="",AF26=""),"",INDEX(CMECOMPAIR[End Use Category],MATCH(F26,CMECOMPAIR[Proj Desc 1],0)))</f>
        <v/>
      </c>
      <c r="AX26" s="800" t="str">
        <f>IF(OR(C26="",F26="",L26="",Q26="",S26="",U26="",Z26="",AB26="",AD26="",AF26=""),"",INDEX(CMECOMPAIR[EUL],MATCH(F26,CMECOMPAIR[Proj Desc 1],0)))</f>
        <v/>
      </c>
      <c r="AY26" s="1811" t="str">
        <f>IF(OR(C26="",F26="",L26="",Q26="",S26="",U26="",Z26="",AB26="",AD26="",AF26=""),"",INDEX(CMECOMPAIR[Measure Number],MATCH(F26,CMECOMPAIR[Proj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row>
    <row r="28" spans="2:56"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IF(OR(C28="",F28="",L28="",Q28="",S28="",U28="",Z28="",AB28="",AD28="",AF28=""),"",INDEX(CMECOMPAIR[End Use Category],MATCH(F28,CMECOMPAIR[Proj Desc 1],0)))</f>
        <v/>
      </c>
      <c r="AX28" s="800" t="str">
        <f>IF(OR(C28="",F28="",L28="",Q28="",S28="",U28="",Z28="",AB28="",AD28="",AF28=""),"",INDEX(CMECOMPAIR[EUL],MATCH(F28,CMECOMPAIR[Proj Desc 1],0)))</f>
        <v/>
      </c>
      <c r="AY28" s="1811" t="str">
        <f>IF(OR(C28="",F28="",L28="",Q28="",S28="",U28="",Z28="",AB28="",AD28="",AF28=""),"",INDEX(CMECOMPAIR[Measure Number],MATCH(F28,CMECOMPAIR[Proj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row>
    <row r="30" spans="2:56"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IF(OR(C30="",F30="",L30="",Q30="",S30="",U30="",Z30="",AB30="",AD30="",AF30=""),"",INDEX(CMECOMPAIR[End Use Category],MATCH(F30,CMECOMPAIR[Proj Desc 1],0)))</f>
        <v/>
      </c>
      <c r="AX30" s="800" t="str">
        <f>IF(OR(C30="",F30="",L30="",Q30="",S30="",U30="",Z30="",AB30="",AD30="",AF30=""),"",INDEX(CMECOMPAIR[EUL],MATCH(F30,CMECOMPAIR[Proj Desc 1],0)))</f>
        <v/>
      </c>
      <c r="AY30" s="1811" t="str">
        <f>IF(OR(C30="",F30="",L30="",Q30="",S30="",U30="",Z30="",AB30="",AD30="",AF30=""),"",INDEX(CMECOMPAIR[Measure Number],MATCH(F30,CMECOMPAIR[Proj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row>
    <row r="32" spans="2:56"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IF(OR(C32="",F32="",L32="",Q32="",S32="",U32="",Z32="",AB32="",AD32="",AF32=""),"",INDEX(CMECOMPAIR[End Use Category],MATCH(F32,CMECOMPAIR[Proj Desc 1],0)))</f>
        <v/>
      </c>
      <c r="AX32" s="800" t="str">
        <f>IF(OR(C32="",F32="",L32="",Q32="",S32="",U32="",Z32="",AB32="",AD32="",AF32=""),"",INDEX(CMECOMPAIR[EUL],MATCH(F32,CMECOMPAIR[Proj Desc 1],0)))</f>
        <v/>
      </c>
      <c r="AY32" s="1811" t="str">
        <f>IF(OR(C32="",F32="",L32="",Q32="",S32="",U32="",Z32="",AB32="",AD32="",AF32=""),"",INDEX(CMECOMPAIR[Measure Number],MATCH(F32,CMECOMPAIR[Proj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row>
    <row r="34" spans="2:56"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IF(OR(C34="",F34="",L34="",Q34="",S34="",U34="",Z34="",AB34="",AD34="",AF34=""),"",INDEX(CMECOMPAIR[End Use Category],MATCH(F34,CMECOMPAIR[Proj Desc 1],0)))</f>
        <v/>
      </c>
      <c r="AX34" s="800" t="str">
        <f>IF(OR(C34="",F34="",L34="",Q34="",S34="",U34="",Z34="",AB34="",AD34="",AF34=""),"",INDEX(CMECOMPAIR[EUL],MATCH(F34,CMECOMPAIR[Proj Desc 1],0)))</f>
        <v/>
      </c>
      <c r="AY34" s="1811" t="str">
        <f>IF(OR(C34="",F34="",L34="",Q34="",S34="",U34="",Z34="",AB34="",AD34="",AF34=""),"",INDEX(CMECOMPAIR[Measure Number],MATCH(F34,CMECOMPAIR[Proj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row>
    <row r="36" spans="2:56"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204"/>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204">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204"/>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204">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204"/>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204">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204"/>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204">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20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204">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204"/>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204">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0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04">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0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04">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0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04">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0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04">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0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04">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0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04">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0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04">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0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04">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0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04">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0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04">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0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04">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0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04">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0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04">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0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04">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0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04">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04"/>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04">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0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04">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04"/>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04">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04"/>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04">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0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04">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04"/>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04">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04"/>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04">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04"/>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04">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04"/>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04">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04"/>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04">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04"/>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04">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04"/>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04">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0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04">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04"/>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04">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04"/>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04">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04"/>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04">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04"/>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04">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04"/>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04">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04"/>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04">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0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04">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0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04">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0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04">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0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04">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0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04">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0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04">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0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04">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0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04">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0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04">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0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04">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0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04">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0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04">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0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04">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0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04">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0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04">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0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04">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0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04">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0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04">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0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04">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0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04">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0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4"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4"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okMMfUfgYU2txnDg9l2SucE1eVXpfcNLwqkGtnvycv7Xc6dYpY8Tw+ySdG9OMA50ag+sPwfdE6NXmtY+HR9Y4w==" saltValue="VodeLzeYm+Wp3m1bF2aqRw==" spinCount="100000" sheet="1" objects="1" scenarios="1" selectLockedCells="1"/>
  <mergeCells count="366">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101" priority="22">
      <formula>AND(ISBLANK($F16)=FALSE,ISBLANK(L16)=TRUE)</formula>
    </cfRule>
  </conditionalFormatting>
  <conditionalFormatting sqref="O9">
    <cfRule type="expression" dxfId="100" priority="333">
      <formula>ISNUMBER(SEARCH("Inspection",$O$9))</formula>
    </cfRule>
  </conditionalFormatting>
  <conditionalFormatting sqref="AH2 AL2">
    <cfRule type="expression" dxfId="99" priority="2">
      <formula>PROJSTATUS=PROJSTATELI</formula>
    </cfRule>
    <cfRule type="expression" dxfId="98" priority="3">
      <formula>PROJSTATUS=PROJSTATREVIEW</formula>
    </cfRule>
    <cfRule type="expression" dxfId="97" priority="4">
      <formula>PROJSTATUS=PROJSTATPREAPPROVE</formula>
    </cfRule>
    <cfRule type="expression" dxfId="96" priority="5">
      <formula>PROJSTATUS=PROJSTATSTANDARD</formula>
    </cfRule>
    <cfRule type="expression" dxfId="95" priority="6">
      <formula>PROJSTATUS=PROJSTATEXP</formula>
    </cfRule>
  </conditionalFormatting>
  <conditionalFormatting sqref="AK16 AK18 AK20 AK22 AK24 AK26 AK28 AK30 AK32 AK34">
    <cfRule type="expression" dxfId="94" priority="60">
      <formula>ISNUMBER(AK16)=FALSE</formula>
    </cfRule>
  </conditionalFormatting>
  <conditionalFormatting sqref="AK16:AN35">
    <cfRule type="expression" dxfId="93" priority="7">
      <formula>ISNUMBER(SEARCH("Cost",BD16))</formula>
    </cfRule>
  </conditionalFormatting>
  <conditionalFormatting sqref="AQ2:AR3">
    <cfRule type="cellIs" dxfId="92" priority="16" operator="equal">
      <formula>1</formula>
    </cfRule>
    <cfRule type="cellIs" dxfId="91" priority="17" operator="between">
      <formula>0.51</formula>
      <formula>0.99</formula>
    </cfRule>
    <cfRule type="cellIs" dxfId="90"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4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400-000001000000}">
      <formula1>0</formula1>
      <formula2>999999</formula2>
    </dataValidation>
    <dataValidation type="list" allowBlank="1" showInputMessage="1" showErrorMessage="1" sqref="AW16:AW35" xr:uid="{00000000-0002-0000-2400-000002000000}">
      <formula1>ENDUSECAT</formula1>
    </dataValidation>
    <dataValidation type="list" allowBlank="1" showInputMessage="1" showErrorMessage="1" prompt="Select the measure type that is closest to the selections in this list. If not listed, select &quot;Others&quot;" sqref="F16:K35" xr:uid="{00000000-0002-0000-2400-000003000000}">
      <formula1>CMECOMPAIRDESC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4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4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400-000006000000}"/>
  </dataValidations>
  <hyperlinks>
    <hyperlink ref="B202" r:id="rId1" display="NIPSCO.Savings@LMCO.com" xr:uid="{00000000-0004-0000-2400-000000000000}"/>
  </hyperlinks>
  <pageMargins left="0.25" right="0.25" top="0.25" bottom="0.25" header="0.25" footer="0.25"/>
  <pageSetup scale="64" fitToHeight="0"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6"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6" ht="15.95" customHeight="1" x14ac:dyDescent="0.25">
      <c r="AH3" s="604"/>
      <c r="AI3" s="605"/>
      <c r="AJ3" s="605"/>
      <c r="AK3" s="605"/>
      <c r="AL3" s="614"/>
      <c r="AM3" s="614"/>
      <c r="AN3" s="614"/>
      <c r="AO3" s="614"/>
      <c r="AP3" s="614"/>
      <c r="AQ3" s="610"/>
      <c r="AR3" s="611"/>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U6" s="69" t="s">
        <v>1195</v>
      </c>
      <c r="AV6" s="69">
        <f>PROJID</f>
        <v>0</v>
      </c>
    </row>
    <row r="7" spans="2:56" ht="15.95" customHeight="1" x14ac:dyDescent="0.25">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IF(INCENSTATUS="---",CONCATENATE(M5S6," ","Summary"),IF(INCENSTATUS&gt;15000,"This project may require an inspection. Please submit photos of existing equipment and of new efficient equipment once installed.",CONCATENATE(M5S6," ","Summary")))</f>
        <v>Refrigeration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t="s">
        <v>68</v>
      </c>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row>
    <row r="15" spans="2:56"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row>
    <row r="16" spans="2:56" ht="15.95" customHeight="1" x14ac:dyDescent="0.25">
      <c r="B16" s="1193">
        <v>1</v>
      </c>
      <c r="C16" s="1854"/>
      <c r="D16" s="1854"/>
      <c r="E16" s="1854"/>
      <c r="F16" s="1824"/>
      <c r="G16" s="1824"/>
      <c r="H16" s="1824"/>
      <c r="I16" s="1824"/>
      <c r="J16" s="1824"/>
      <c r="K16" s="1824"/>
      <c r="L16" s="1846"/>
      <c r="M16" s="1824"/>
      <c r="N16" s="1824"/>
      <c r="O16" s="1824"/>
      <c r="P16" s="1824"/>
      <c r="Q16" s="1855"/>
      <c r="R16" s="1855"/>
      <c r="S16" s="1817"/>
      <c r="T16" s="1822"/>
      <c r="U16" s="1769"/>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IF(OR(C16="",F16="",L16="",Q16="",S16="",U16="",Z16="",AB16="",AD16="",AF16=""),"",INDEX(CMEREFRI[End Use Category],MATCH(F16,CMEREFRI[Proj Desc 1],0)))</f>
        <v/>
      </c>
      <c r="AX16" s="800" t="str">
        <f>IF(OR(C16="",F16="",L16="",Q16="",S16="",U16="",Z16="",AB16="",AD16="",AF16=""),"",INDEX(CMEREFRI[EUL],MATCH(F16,CMEREFRI[Proj Desc 1],0)))</f>
        <v/>
      </c>
      <c r="AY16" s="1811" t="str">
        <f>IF(OR(C16="",F16="",L16="",Q16="",S16="",U16="",Z16="",AB16="",AD16="",AF16=""),"",INDEX(CMEREFRI[Measure Number],MATCH(F16,CMEREFRI[Proj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row>
    <row r="18" spans="2:56" ht="15.95" customHeight="1" x14ac:dyDescent="0.25">
      <c r="B18" s="1204">
        <v>2</v>
      </c>
      <c r="C18" s="1854"/>
      <c r="D18" s="1854"/>
      <c r="E18" s="1854"/>
      <c r="F18" s="1824"/>
      <c r="G18" s="1824"/>
      <c r="H18" s="1824"/>
      <c r="I18" s="1824"/>
      <c r="J18" s="1824"/>
      <c r="K18" s="1824"/>
      <c r="L18" s="1824"/>
      <c r="M18" s="1824"/>
      <c r="N18" s="1824"/>
      <c r="O18" s="1824"/>
      <c r="P18" s="1824"/>
      <c r="Q18" s="1855"/>
      <c r="R18" s="1855"/>
      <c r="S18" s="1817"/>
      <c r="T18" s="1822"/>
      <c r="U18" s="1472"/>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IF(OR(C18="",F18="",L18="",Q18="",S18="",U18="",Z18="",AB18="",AD18="",AF18=""),"",INDEX(CMEREFRI[End Use Category],MATCH(F18,CMEREFRI[Proj Desc 1],0)))</f>
        <v/>
      </c>
      <c r="AX18" s="800" t="str">
        <f>IF(OR(C18="",F18="",L18="",Q18="",S18="",U18="",Z18="",AB18="",AD18="",AF18=""),"",INDEX(CMEREFRI[EUL],MATCH(F18,CMEREFRI[Proj Desc 1],0)))</f>
        <v/>
      </c>
      <c r="AY18" s="1811" t="str">
        <f>IF(OR(C18="",F18="",L18="",Q18="",S18="",U18="",Z18="",AB18="",AD18="",AF18=""),"",INDEX(CMEREFRI[Measure Number],MATCH(F18,CMEREFRI[Proj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row>
    <row r="20" spans="2:56"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IF(OR(C20="",F20="",L20="",Q20="",S20="",U20="",Z20="",AB20="",AD20="",AF20=""),"",INDEX(CMEREFRI[End Use Category],MATCH(F20,CMEREFRI[Proj Desc 1],0)))</f>
        <v/>
      </c>
      <c r="AX20" s="800" t="str">
        <f>IF(OR(C20="",F20="",L20="",Q20="",S20="",U20="",Z20="",AB20="",AD20="",AF20=""),"",INDEX(CMEREFRI[EUL],MATCH(F20,CMEREFRI[Proj Desc 1],0)))</f>
        <v/>
      </c>
      <c r="AY20" s="1811" t="str">
        <f>IF(OR(C20="",F20="",L20="",Q20="",S20="",U20="",Z20="",AB20="",AD20="",AF20=""),"",INDEX(CMEREFRI[Measure Number],MATCH(F20,CMEREFRI[Proj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row>
    <row r="22" spans="2:56"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IF(OR(C22="",F22="",L22="",Q22="",S22="",U22="",Z22="",AB22="",AD22="",AF22=""),"",INDEX(CMEREFRI[End Use Category],MATCH(F22,CMEREFRI[Proj Desc 1],0)))</f>
        <v/>
      </c>
      <c r="AX22" s="800" t="str">
        <f>IF(OR(C22="",F22="",L22="",Q22="",S22="",U22="",Z22="",AB22="",AD22="",AF22=""),"",INDEX(CMEREFRI[EUL],MATCH(F22,CMEREFRI[Proj Desc 1],0)))</f>
        <v/>
      </c>
      <c r="AY22" s="1811" t="str">
        <f>IF(OR(C22="",F22="",L22="",Q22="",S22="",U22="",Z22="",AB22="",AD22="",AF22=""),"",INDEX(CMEREFRI[Measure Number],MATCH(F22,CMEREFRI[Proj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row>
    <row r="24" spans="2:56"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IF(OR(C24="",F24="",L24="",Q24="",S24="",U24="",Z24="",AB24="",AD24="",AF24=""),"",INDEX(CMEREFRI[End Use Category],MATCH(F24,CMEREFRI[Proj Desc 1],0)))</f>
        <v/>
      </c>
      <c r="AX24" s="800" t="str">
        <f>IF(OR(C24="",F24="",L24="",Q24="",S24="",U24="",Z24="",AB24="",AD24="",AF24=""),"",INDEX(CMEREFRI[EUL],MATCH(F24,CMEREFRI[Proj Desc 1],0)))</f>
        <v/>
      </c>
      <c r="AY24" s="1811" t="str">
        <f>IF(OR(C24="",F24="",L24="",Q24="",S24="",U24="",Z24="",AB24="",AD24="",AF24=""),"",INDEX(CMEREFRI[Measure Number],MATCH(F24,CMEREFRI[Proj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row>
    <row r="26" spans="2:56"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IF(OR(C26="",F26="",L26="",Q26="",S26="",U26="",Z26="",AB26="",AD26="",AF26=""),"",INDEX(CMEREFRI[End Use Category],MATCH(F26,CMEREFRI[Proj Desc 1],0)))</f>
        <v/>
      </c>
      <c r="AX26" s="800" t="str">
        <f>IF(OR(C26="",F26="",L26="",Q26="",S26="",U26="",Z26="",AB26="",AD26="",AF26=""),"",INDEX(CMEREFRI[EUL],MATCH(F26,CMEREFRI[Proj Desc 1],0)))</f>
        <v/>
      </c>
      <c r="AY26" s="1811" t="str">
        <f>IF(OR(C26="",F26="",L26="",Q26="",S26="",U26="",Z26="",AB26="",AD26="",AF26=""),"",INDEX(CMEREFRI[Measure Number],MATCH(F26,CMEREFRI[Proj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row>
    <row r="28" spans="2:56"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IF(OR(C28="",F28="",L28="",Q28="",S28="",U28="",Z28="",AB28="",AD28="",AF28=""),"",INDEX(CMEREFRI[End Use Category],MATCH(F28,CMEREFRI[Proj Desc 1],0)))</f>
        <v/>
      </c>
      <c r="AX28" s="800" t="str">
        <f>IF(OR(C28="",F28="",L28="",Q28="",S28="",U28="",Z28="",AB28="",AD28="",AF28=""),"",INDEX(CMEREFRI[EUL],MATCH(F28,CMEREFRI[Proj Desc 1],0)))</f>
        <v/>
      </c>
      <c r="AY28" s="1811" t="str">
        <f>IF(OR(C28="",F28="",L28="",Q28="",S28="",U28="",Z28="",AB28="",AD28="",AF28=""),"",INDEX(CMEREFRI[Measure Number],MATCH(F28,CMEREFRI[Proj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row>
    <row r="30" spans="2:56"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IF(OR(C30="",F30="",L30="",Q30="",S30="",U30="",Z30="",AB30="",AD30="",AF30=""),"",INDEX(CMEREFRI[End Use Category],MATCH(F30,CMEREFRI[Proj Desc 1],0)))</f>
        <v/>
      </c>
      <c r="AX30" s="800" t="str">
        <f>IF(OR(C30="",F30="",L30="",Q30="",S30="",U30="",Z30="",AB30="",AD30="",AF30=""),"",INDEX(CMEREFRI[EUL],MATCH(F30,CMEREFRI[Proj Desc 1],0)))</f>
        <v/>
      </c>
      <c r="AY30" s="1811" t="str">
        <f>IF(OR(C30="",F30="",L30="",Q30="",S30="",U30="",Z30="",AB30="",AD30="",AF30=""),"",INDEX(CMEREFRI[Measure Number],MATCH(F30,CMEREFRI[Proj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row>
    <row r="32" spans="2:56"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IF(OR(C32="",F32="",L32="",Q32="",S32="",U32="",Z32="",AB32="",AD32="",AF32=""),"",INDEX(CMEREFRI[End Use Category],MATCH(F32,CMEREFRI[Proj Desc 1],0)))</f>
        <v/>
      </c>
      <c r="AX32" s="800" t="str">
        <f>IF(OR(C32="",F32="",L32="",Q32="",S32="",U32="",Z32="",AB32="",AD32="",AF32=""),"",INDEX(CMEREFRI[EUL],MATCH(F32,CMEREFRI[Proj Desc 1],0)))</f>
        <v/>
      </c>
      <c r="AY32" s="1811" t="str">
        <f>IF(OR(C32="",F32="",L32="",Q32="",S32="",U32="",Z32="",AB32="",AD32="",AF32=""),"",INDEX(CMEREFRI[Measure Number],MATCH(F32,CMEREFRI[Proj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row>
    <row r="34" spans="2:56"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IF(OR(C34="",F34="",L34="",Q34="",S34="",U34="",Z34="",AB34="",AD34="",AF34=""),"",INDEX(CMEREFRI[End Use Category],MATCH(F34,CMEREFRI[Proj Desc 1],0)))</f>
        <v/>
      </c>
      <c r="AX34" s="800" t="str">
        <f>IF(OR(C34="",F34="",L34="",Q34="",S34="",U34="",Z34="",AB34="",AD34="",AF34=""),"",INDEX(CMEREFRI[EUL],MATCH(F34,CMEREFRI[Proj Desc 1],0)))</f>
        <v/>
      </c>
      <c r="AY34" s="1811" t="str">
        <f>IF(OR(C34="",F34="",L34="",Q34="",S34="",U34="",Z34="",AB34="",AD34="",AF34=""),"",INDEX(CMEREFRI[Measure Number],MATCH(F34,CMEREFRI[Proj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row>
    <row r="36" spans="2:56"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204"/>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row>
    <row r="38" spans="2:56" ht="15.95" hidden="1" customHeight="1" x14ac:dyDescent="0.25">
      <c r="B38" s="1204">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204"/>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204">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204"/>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204">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204"/>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204">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20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204">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204"/>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204">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0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04">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0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04">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0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04">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0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04">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0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04">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0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04">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0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04">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0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04">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0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04">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0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04">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0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04">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0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04">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0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04">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0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04">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0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04">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04"/>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04">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0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04">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04"/>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04">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04"/>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04">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0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04">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04"/>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04">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04"/>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04">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04"/>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04">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04"/>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04">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04"/>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04">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04"/>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04">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04"/>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04">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0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04">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04"/>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04">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04"/>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04">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04"/>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04">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04"/>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04">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04"/>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04">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04"/>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04">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0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04">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0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04">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0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873">
        <v>54</v>
      </c>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row>
    <row r="123" spans="2:44" ht="15.95" hidden="1" customHeight="1" x14ac:dyDescent="0.25">
      <c r="B123" s="87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row>
    <row r="124" spans="2:44" ht="15.95" hidden="1" customHeight="1" x14ac:dyDescent="0.25">
      <c r="B124" s="873">
        <v>55</v>
      </c>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2:44" ht="15.95" hidden="1" customHeight="1" x14ac:dyDescent="0.25">
      <c r="B125" s="87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row>
    <row r="126" spans="2:44" ht="15.95" hidden="1" customHeight="1" x14ac:dyDescent="0.25">
      <c r="B126" s="873">
        <v>56</v>
      </c>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row>
    <row r="127" spans="2:44" ht="15.95" hidden="1" customHeight="1" x14ac:dyDescent="0.25">
      <c r="B127" s="87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row>
    <row r="128" spans="2:44" ht="15.95" hidden="1" customHeight="1" x14ac:dyDescent="0.25">
      <c r="B128" s="873">
        <v>57</v>
      </c>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row>
    <row r="129" spans="2:43" ht="15.95" hidden="1" customHeight="1" x14ac:dyDescent="0.25">
      <c r="B129" s="87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row>
    <row r="130" spans="2:43" ht="15.95" hidden="1" customHeight="1" x14ac:dyDescent="0.25">
      <c r="B130" s="873">
        <v>58</v>
      </c>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row>
    <row r="131" spans="2:43" ht="15.95" hidden="1" customHeight="1" x14ac:dyDescent="0.25">
      <c r="B131" s="87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row>
    <row r="132" spans="2:43" ht="15.95" hidden="1" customHeight="1" x14ac:dyDescent="0.25">
      <c r="B132" s="873">
        <v>59</v>
      </c>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row>
    <row r="133" spans="2:43" ht="15.95" hidden="1" customHeight="1" x14ac:dyDescent="0.25">
      <c r="B133" s="87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row>
    <row r="134" spans="2:43" ht="15.95" hidden="1" customHeight="1" x14ac:dyDescent="0.25">
      <c r="B134" s="873">
        <v>60</v>
      </c>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row>
    <row r="135" spans="2:43" ht="15.95" hidden="1" customHeight="1" x14ac:dyDescent="0.25">
      <c r="B135" s="87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row>
    <row r="136" spans="2:43" ht="15.95" hidden="1" customHeight="1" x14ac:dyDescent="0.25">
      <c r="B136" s="873">
        <v>61</v>
      </c>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row>
    <row r="137" spans="2:43" ht="15.95" hidden="1" customHeight="1" x14ac:dyDescent="0.25">
      <c r="B137" s="87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row>
    <row r="138" spans="2:43" ht="15.95" hidden="1" customHeight="1" x14ac:dyDescent="0.25">
      <c r="B138" s="873">
        <v>62</v>
      </c>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row>
    <row r="139" spans="2:43" ht="15.95" hidden="1" customHeight="1" x14ac:dyDescent="0.25">
      <c r="B139" s="87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row>
    <row r="140" spans="2:43" ht="15.95" hidden="1" customHeight="1" x14ac:dyDescent="0.25">
      <c r="B140" s="873">
        <v>63</v>
      </c>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row>
    <row r="141" spans="2:43" ht="15.95" hidden="1" customHeight="1" x14ac:dyDescent="0.25">
      <c r="B141" s="87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row>
    <row r="142" spans="2:43" ht="15.95" hidden="1" customHeight="1" x14ac:dyDescent="0.25">
      <c r="B142" s="873">
        <v>64</v>
      </c>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row>
    <row r="143" spans="2:43" ht="15.95" hidden="1" customHeight="1" x14ac:dyDescent="0.25">
      <c r="B143" s="87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row>
    <row r="144" spans="2:43" ht="15.95" hidden="1" customHeight="1" x14ac:dyDescent="0.25">
      <c r="B144" s="873">
        <v>65</v>
      </c>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row>
    <row r="145" spans="2:43" ht="15.95" hidden="1" customHeight="1" x14ac:dyDescent="0.25">
      <c r="B145" s="87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row>
    <row r="146" spans="2:43" ht="15.95" hidden="1" customHeight="1" x14ac:dyDescent="0.25">
      <c r="B146" s="873">
        <v>66</v>
      </c>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row>
    <row r="147" spans="2:43" ht="15.95" hidden="1" customHeight="1" x14ac:dyDescent="0.25">
      <c r="B147" s="87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row>
    <row r="148" spans="2:43" ht="15.95" hidden="1" customHeight="1" x14ac:dyDescent="0.25">
      <c r="B148" s="873">
        <v>67</v>
      </c>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row>
    <row r="149" spans="2:43" ht="15.95" hidden="1" customHeight="1" x14ac:dyDescent="0.25">
      <c r="B149" s="87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row>
    <row r="150" spans="2:43" ht="15.95" hidden="1" customHeight="1" x14ac:dyDescent="0.25">
      <c r="B150" s="873">
        <v>68</v>
      </c>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row>
    <row r="151" spans="2:43" ht="15.95" hidden="1" customHeight="1" x14ac:dyDescent="0.25">
      <c r="B151" s="87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row>
    <row r="152" spans="2:43" ht="15.95" hidden="1" customHeight="1" x14ac:dyDescent="0.25">
      <c r="B152" s="873">
        <v>69</v>
      </c>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row>
    <row r="153" spans="2:43" ht="15.95" hidden="1" customHeight="1" x14ac:dyDescent="0.25">
      <c r="B153" s="87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row>
    <row r="154" spans="2:43" ht="15.95" hidden="1" customHeight="1" x14ac:dyDescent="0.25">
      <c r="B154" s="873">
        <v>70</v>
      </c>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row>
    <row r="155" spans="2:43" ht="15.95" hidden="1" customHeight="1" x14ac:dyDescent="0.25">
      <c r="B155" s="87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row>
    <row r="156" spans="2:43" ht="15.95" hidden="1" customHeight="1" x14ac:dyDescent="0.25">
      <c r="B156" s="873">
        <v>71</v>
      </c>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row>
    <row r="157" spans="2:43" ht="15.95" hidden="1" customHeight="1" x14ac:dyDescent="0.25">
      <c r="B157" s="87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row>
    <row r="158" spans="2:43" ht="15.95" hidden="1" customHeight="1" x14ac:dyDescent="0.25">
      <c r="B158" s="873">
        <v>72</v>
      </c>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row>
    <row r="159" spans="2:43" ht="15.95" hidden="1" customHeight="1" x14ac:dyDescent="0.25">
      <c r="B159" s="87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row>
    <row r="160" spans="2:43" ht="15.95" hidden="1" customHeight="1" x14ac:dyDescent="0.25">
      <c r="B160" s="873">
        <v>73</v>
      </c>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row>
    <row r="161" spans="2:43" ht="15.95" hidden="1" customHeight="1" x14ac:dyDescent="0.25">
      <c r="B161" s="87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row>
    <row r="162" spans="2:43" ht="15.95" hidden="1" customHeight="1" x14ac:dyDescent="0.25">
      <c r="B162" s="873">
        <v>74</v>
      </c>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row>
    <row r="163" spans="2:43" ht="15.95" hidden="1" customHeight="1" x14ac:dyDescent="0.25">
      <c r="B163" s="87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row>
    <row r="164" spans="2:43" ht="15.95" hidden="1" customHeight="1" x14ac:dyDescent="0.25">
      <c r="B164" s="873">
        <v>75</v>
      </c>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row>
    <row r="165" spans="2:43" ht="15.95" hidden="1" customHeight="1" x14ac:dyDescent="0.25">
      <c r="B165" s="87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row>
    <row r="166" spans="2:43" ht="15.95" hidden="1" customHeight="1" x14ac:dyDescent="0.25">
      <c r="B166" s="873">
        <v>76</v>
      </c>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row>
    <row r="167" spans="2:43" ht="15.95" hidden="1" customHeight="1" x14ac:dyDescent="0.25">
      <c r="B167" s="87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row>
    <row r="168" spans="2:43" ht="15.95" hidden="1" customHeight="1" x14ac:dyDescent="0.25">
      <c r="B168" s="873">
        <v>77</v>
      </c>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row>
    <row r="169" spans="2:43" ht="15.95" hidden="1" customHeight="1" x14ac:dyDescent="0.25">
      <c r="B169" s="87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row>
    <row r="170" spans="2:43" ht="15.95" hidden="1" customHeight="1" x14ac:dyDescent="0.25">
      <c r="B170" s="873">
        <v>78</v>
      </c>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row>
    <row r="171" spans="2:43" ht="15.95" hidden="1" customHeight="1" x14ac:dyDescent="0.25">
      <c r="B171" s="87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row>
    <row r="172" spans="2:43" ht="15.95" hidden="1" customHeight="1" x14ac:dyDescent="0.25">
      <c r="B172" s="873">
        <v>79</v>
      </c>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row>
    <row r="173" spans="2:43" ht="15.95" hidden="1" customHeight="1" x14ac:dyDescent="0.25">
      <c r="B173" s="87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2:43" ht="15.95" hidden="1" customHeight="1" x14ac:dyDescent="0.25">
      <c r="B174" s="873">
        <v>80</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row>
    <row r="175" spans="2:43" ht="15.95" hidden="1" customHeight="1" x14ac:dyDescent="0.25">
      <c r="B175" s="87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2:43" ht="15.95" hidden="1" customHeight="1" x14ac:dyDescent="0.25">
      <c r="B176" s="873">
        <v>81</v>
      </c>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2:43" ht="15.95" hidden="1" customHeight="1" x14ac:dyDescent="0.25">
      <c r="B177" s="87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2:43" ht="15.95" hidden="1" customHeight="1" x14ac:dyDescent="0.25">
      <c r="B178" s="873">
        <v>82</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2:43" ht="15.95" hidden="1" customHeight="1" x14ac:dyDescent="0.25">
      <c r="B179" s="87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2:43" ht="15.95" hidden="1" customHeight="1" x14ac:dyDescent="0.25">
      <c r="B180" s="873">
        <v>83</v>
      </c>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2:43" ht="15.95" hidden="1" customHeight="1" x14ac:dyDescent="0.25">
      <c r="B181" s="87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2:43" ht="15.95" hidden="1" customHeight="1" x14ac:dyDescent="0.25">
      <c r="B182" s="873">
        <v>84</v>
      </c>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2:43" ht="15.95" hidden="1" customHeight="1" x14ac:dyDescent="0.25">
      <c r="B183" s="87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2:43" ht="15.95" hidden="1" customHeight="1" x14ac:dyDescent="0.25">
      <c r="B184" s="873">
        <v>85</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2:43" ht="15.95" hidden="1" customHeight="1" x14ac:dyDescent="0.25">
      <c r="B185" s="87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2:43" ht="15.95" hidden="1" customHeight="1" x14ac:dyDescent="0.25">
      <c r="B186" s="873">
        <v>86</v>
      </c>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2:43" ht="15.95" hidden="1" customHeight="1" x14ac:dyDescent="0.25">
      <c r="B187" s="87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2:43" ht="15.95" hidden="1" customHeight="1" x14ac:dyDescent="0.25">
      <c r="B188" s="873">
        <v>87</v>
      </c>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2:43" ht="15.95" hidden="1" customHeight="1" x14ac:dyDescent="0.25">
      <c r="B189" s="87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2:43" ht="15.95" hidden="1" customHeight="1" x14ac:dyDescent="0.25">
      <c r="B190" s="873">
        <v>88</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2:43" ht="15.95" hidden="1" customHeight="1" x14ac:dyDescent="0.25">
      <c r="B191" s="87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2:43" ht="15.95" hidden="1" customHeight="1" x14ac:dyDescent="0.25">
      <c r="B192" s="873">
        <v>89</v>
      </c>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2:44" ht="15.95" hidden="1" customHeight="1" x14ac:dyDescent="0.25">
      <c r="B193" s="87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2:44"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TAtE/PTiNCTG07Ic9LbvLXhBSCXJez6EcM/0MCp88XrOLrZiREhpoE4CU5jSUond5/3p+d+Aah08UyPCfkGVRw==" saltValue="utJSUO2YNJTGuyy5s2ukdQ==" spinCount="100000" sheet="1" objects="1" scenarios="1" selectLockedCells="1"/>
  <mergeCells count="366">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89" priority="22">
      <formula>AND(ISBLANK($F16)=FALSE,ISBLANK(L16)=TRUE)</formula>
    </cfRule>
  </conditionalFormatting>
  <conditionalFormatting sqref="O9">
    <cfRule type="expression" dxfId="88" priority="334">
      <formula>ISNUMBER(SEARCH("Inspection",$O$9))</formula>
    </cfRule>
  </conditionalFormatting>
  <conditionalFormatting sqref="AH2 AL2">
    <cfRule type="expression" dxfId="87" priority="2">
      <formula>PROJSTATUS=PROJSTATELI</formula>
    </cfRule>
    <cfRule type="expression" dxfId="86" priority="3">
      <formula>PROJSTATUS=PROJSTATREVIEW</formula>
    </cfRule>
    <cfRule type="expression" dxfId="85" priority="4">
      <formula>PROJSTATUS=PROJSTATPREAPPROVE</formula>
    </cfRule>
    <cfRule type="expression" dxfId="84" priority="5">
      <formula>PROJSTATUS=PROJSTATSTANDARD</formula>
    </cfRule>
    <cfRule type="expression" dxfId="83" priority="6">
      <formula>PROJSTATUS=PROJSTATEXP</formula>
    </cfRule>
  </conditionalFormatting>
  <conditionalFormatting sqref="AK16 AK18 AK20 AK22 AK24 AK26 AK28 AK30 AK32 AK34">
    <cfRule type="expression" dxfId="82" priority="60">
      <formula>ISNUMBER(AK16)=FALSE</formula>
    </cfRule>
  </conditionalFormatting>
  <conditionalFormatting sqref="AK16:AN35">
    <cfRule type="expression" dxfId="81" priority="7">
      <formula>ISNUMBER(SEARCH("Cost",BD16))</formula>
    </cfRule>
  </conditionalFormatting>
  <conditionalFormatting sqref="AQ2:AR3">
    <cfRule type="cellIs" dxfId="80" priority="16" operator="equal">
      <formula>1</formula>
    </cfRule>
    <cfRule type="cellIs" dxfId="79" priority="17" operator="between">
      <formula>0.51</formula>
      <formula>0.99</formula>
    </cfRule>
    <cfRule type="cellIs" dxfId="78" priority="18"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5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500-000001000000}">
      <formula1>0</formula1>
      <formula2>999999</formula2>
    </dataValidation>
    <dataValidation type="list" allowBlank="1" showInputMessage="1" showErrorMessage="1" sqref="AW16:AW35" xr:uid="{00000000-0002-0000-2500-000002000000}">
      <formula1>ENDUSECAT</formula1>
    </dataValidation>
    <dataValidation type="list" allowBlank="1" showInputMessage="1" showErrorMessage="1" prompt="Select the measure type that is closest to the selections in this list. If not listed, select &quot;Others&quot;" sqref="F16:K35" xr:uid="{00000000-0002-0000-2500-000003000000}">
      <formula1>CMEREFRIDESC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5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5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500-000006000000}"/>
  </dataValidations>
  <hyperlinks>
    <hyperlink ref="B202" r:id="rId1" display="NIPSCO.Savings@LMCO.com" xr:uid="{00000000-0004-0000-2500-000000000000}"/>
  </hyperlinks>
  <pageMargins left="0.25" right="0.25" top="0.25" bottom="0.25" header="0.25" footer="0.25"/>
  <pageSetup scale="64"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tabColor theme="7" tint="0.39997558519241921"/>
  </sheetPr>
  <dimension ref="A1:Z47"/>
  <sheetViews>
    <sheetView zoomScale="85" zoomScaleNormal="85" workbookViewId="0">
      <selection activeCell="H20" sqref="H20"/>
    </sheetView>
  </sheetViews>
  <sheetFormatPr defaultColWidth="0" defaultRowHeight="15" x14ac:dyDescent="0.25"/>
  <cols>
    <col min="1" max="1" width="17.5703125" customWidth="1"/>
    <col min="2" max="2" width="9.140625" customWidth="1"/>
    <col min="3" max="3" width="25.42578125" bestFit="1" customWidth="1"/>
    <col min="4" max="9" width="9.140625" customWidth="1"/>
    <col min="10" max="10" width="17.5703125" bestFit="1" customWidth="1"/>
    <col min="11" max="11" width="21.5703125" bestFit="1" customWidth="1"/>
    <col min="12" max="12" width="9.140625" customWidth="1"/>
    <col min="13" max="13" width="16.5703125" hidden="1" customWidth="1"/>
    <col min="14" max="20" width="9.140625" hidden="1" customWidth="1"/>
    <col min="21" max="21" width="9.5703125" hidden="1" customWidth="1"/>
    <col min="22" max="22" width="10.85546875" hidden="1" customWidth="1"/>
    <col min="23" max="26" width="0" hidden="1" customWidth="1"/>
    <col min="27" max="16384" width="9.140625" hidden="1"/>
  </cols>
  <sheetData>
    <row r="1" spans="1:12" x14ac:dyDescent="0.25">
      <c r="A1" t="s">
        <v>197</v>
      </c>
    </row>
    <row r="2" spans="1:12" x14ac:dyDescent="0.25">
      <c r="A2" t="s">
        <v>198</v>
      </c>
    </row>
    <row r="3" spans="1:12" x14ac:dyDescent="0.25">
      <c r="A3" t="s">
        <v>2392</v>
      </c>
    </row>
    <row r="5" spans="1:12" x14ac:dyDescent="0.25">
      <c r="D5" t="s">
        <v>566</v>
      </c>
    </row>
    <row r="6" spans="1:12" x14ac:dyDescent="0.25">
      <c r="A6" t="s">
        <v>199</v>
      </c>
      <c r="B6" s="32">
        <v>4.8399999999999999E-2</v>
      </c>
      <c r="D6" t="s">
        <v>567</v>
      </c>
    </row>
    <row r="7" spans="1:12" x14ac:dyDescent="0.25">
      <c r="A7" t="s">
        <v>204</v>
      </c>
      <c r="B7" s="32">
        <v>6.59E-2</v>
      </c>
    </row>
    <row r="8" spans="1:12" x14ac:dyDescent="0.25">
      <c r="A8" t="s">
        <v>564</v>
      </c>
      <c r="B8" s="68">
        <v>1.00796476761619</v>
      </c>
    </row>
    <row r="9" spans="1:12" x14ac:dyDescent="0.25">
      <c r="B9" s="32"/>
    </row>
    <row r="10" spans="1:12" x14ac:dyDescent="0.25">
      <c r="C10" s="33"/>
      <c r="D10" s="33"/>
      <c r="E10" s="33"/>
      <c r="F10" s="33"/>
      <c r="G10" s="33"/>
      <c r="H10" s="33"/>
    </row>
    <row r="11" spans="1:12" x14ac:dyDescent="0.25">
      <c r="A11" t="s">
        <v>194</v>
      </c>
      <c r="B11" t="s">
        <v>203</v>
      </c>
      <c r="C11" t="s">
        <v>565</v>
      </c>
      <c r="D11" s="33" t="s">
        <v>201</v>
      </c>
      <c r="E11" s="33" t="s">
        <v>563</v>
      </c>
      <c r="F11" s="33" t="s">
        <v>202</v>
      </c>
      <c r="G11" s="33" t="s">
        <v>195</v>
      </c>
      <c r="H11" s="33" t="s">
        <v>200</v>
      </c>
      <c r="I11" s="33" t="s">
        <v>196</v>
      </c>
      <c r="J11" t="s">
        <v>205</v>
      </c>
      <c r="K11" t="s">
        <v>206</v>
      </c>
    </row>
    <row r="12" spans="1:12" x14ac:dyDescent="0.25">
      <c r="A12">
        <v>2024</v>
      </c>
      <c r="B12">
        <v>0</v>
      </c>
      <c r="C12" s="33">
        <v>0.17</v>
      </c>
      <c r="D12" s="33"/>
      <c r="E12" s="33">
        <v>28.495799242138471</v>
      </c>
      <c r="F12" s="33"/>
      <c r="G12" s="33">
        <v>89.135521999999995</v>
      </c>
      <c r="H12" s="33"/>
      <c r="I12" s="33">
        <v>23.095646919519787</v>
      </c>
      <c r="J12" s="33">
        <f>$E$12/1000</f>
        <v>2.8495799242138471E-2</v>
      </c>
      <c r="K12" s="189">
        <f>G12+I12</f>
        <v>112.23116891951977</v>
      </c>
      <c r="L12" s="33"/>
    </row>
    <row r="13" spans="1:12" x14ac:dyDescent="0.25">
      <c r="A13">
        <v>2025</v>
      </c>
      <c r="B13">
        <v>1</v>
      </c>
      <c r="C13" s="33">
        <v>0.16500000000000001</v>
      </c>
      <c r="D13" s="33"/>
      <c r="E13" s="33">
        <v>30.666917233567251</v>
      </c>
      <c r="F13" s="33"/>
      <c r="G13" s="33">
        <v>90.918232439999997</v>
      </c>
      <c r="H13" s="33"/>
      <c r="I13" s="33">
        <v>23.557559857910185</v>
      </c>
      <c r="J13" s="33">
        <f>NPV($B$7,$E$13:$E13)/1000+$J$12</f>
        <v>5.7266713243045921E-2</v>
      </c>
      <c r="K13" s="189">
        <f>NPV($B$7,$G$13:$G13)+NPV($B$7,$I$13:$I13)+$K$12</f>
        <v>219.62941668939516</v>
      </c>
      <c r="L13" s="33"/>
    </row>
    <row r="14" spans="1:12" x14ac:dyDescent="0.25">
      <c r="A14">
        <v>2026</v>
      </c>
      <c r="B14" s="463">
        <v>2</v>
      </c>
      <c r="C14" s="33">
        <v>0.16800000000000001</v>
      </c>
      <c r="D14" s="33"/>
      <c r="E14" s="33">
        <v>32.817903176492464</v>
      </c>
      <c r="F14" s="33"/>
      <c r="G14" s="33">
        <v>92.736597088799996</v>
      </c>
      <c r="H14" s="33"/>
      <c r="I14" s="33">
        <v>24.028711055068388</v>
      </c>
      <c r="J14" s="33">
        <f>NPV($B$7,$E$13:$E14)/1000+$J$12</f>
        <v>8.6152081251045259E-2</v>
      </c>
      <c r="K14" s="189">
        <f>NPV($B$7,$G$13:$G14)+NPV($B$7,$I$13:$I14)+$K$12</f>
        <v>322.40285953138118</v>
      </c>
      <c r="L14" s="33"/>
    </row>
    <row r="15" spans="1:12" x14ac:dyDescent="0.25">
      <c r="A15">
        <v>2027</v>
      </c>
      <c r="B15">
        <v>3</v>
      </c>
      <c r="C15" s="33">
        <v>0.17</v>
      </c>
      <c r="D15" s="33"/>
      <c r="E15" s="33">
        <v>35.18118696229628</v>
      </c>
      <c r="F15" s="33"/>
      <c r="G15" s="33">
        <v>94.591329030575977</v>
      </c>
      <c r="H15" s="33"/>
      <c r="I15" s="33">
        <v>24.509285276169756</v>
      </c>
      <c r="J15" s="33">
        <f>NPV($B$7,$E$13:$E15)/1000+$J$12</f>
        <v>0.11520308224395245</v>
      </c>
      <c r="K15" s="189">
        <f>NPV($B$7,$G$13:$G15)+NPV($B$7,$I$13:$I15)+$K$12</f>
        <v>420.75065172466918</v>
      </c>
      <c r="L15" s="33"/>
    </row>
    <row r="16" spans="1:12" x14ac:dyDescent="0.25">
      <c r="A16">
        <v>2028</v>
      </c>
      <c r="B16">
        <v>4</v>
      </c>
      <c r="C16" s="33">
        <v>0.16500000000000001</v>
      </c>
      <c r="D16" s="33"/>
      <c r="E16" s="33">
        <v>37.447158642420511</v>
      </c>
      <c r="F16" s="33"/>
      <c r="G16" s="33">
        <v>96.483155611187499</v>
      </c>
      <c r="H16" s="33"/>
      <c r="I16" s="33">
        <v>24.999470981693154</v>
      </c>
      <c r="J16" s="33">
        <f>NPV($B$7,$E$13:$E16)/1000+$J$12</f>
        <v>0.14421343580267929</v>
      </c>
      <c r="K16" s="189">
        <f>NPV($B$7,$G$13:$G16)+NPV($B$7,$I$13:$I16)+$K$12</f>
        <v>514.8633715268586</v>
      </c>
      <c r="L16" s="33"/>
    </row>
    <row r="17" spans="1:12" x14ac:dyDescent="0.25">
      <c r="A17">
        <v>2029</v>
      </c>
      <c r="B17" s="463">
        <v>5</v>
      </c>
      <c r="C17" s="33">
        <v>0.16300000000000001</v>
      </c>
      <c r="D17" s="33"/>
      <c r="E17" s="33">
        <v>39.493341748217844</v>
      </c>
      <c r="F17" s="33"/>
      <c r="G17" s="33">
        <v>98.412818723411263</v>
      </c>
      <c r="H17" s="33"/>
      <c r="I17" s="33">
        <v>25.499460401327017</v>
      </c>
      <c r="J17" s="33">
        <f>NPV($B$7,$E$13:$E17)/1000+$J$12</f>
        <v>0.17291737968415422</v>
      </c>
      <c r="K17" s="189">
        <f>NPV($B$7,$G$13:$G17)+NPV($B$7,$I$13:$I17)+$K$12</f>
        <v>604.92339047632231</v>
      </c>
      <c r="L17" s="33"/>
    </row>
    <row r="18" spans="1:12" x14ac:dyDescent="0.25">
      <c r="A18">
        <v>2030</v>
      </c>
      <c r="B18">
        <v>6</v>
      </c>
      <c r="C18" s="33">
        <v>0.161</v>
      </c>
      <c r="D18" s="33"/>
      <c r="E18" s="33">
        <v>41.569611654415809</v>
      </c>
      <c r="F18" s="33"/>
      <c r="G18" s="33">
        <v>100.38107509787949</v>
      </c>
      <c r="H18" s="33"/>
      <c r="I18" s="33">
        <v>26.009449609353556</v>
      </c>
      <c r="J18" s="33">
        <f>NPV($B$7,$E$13:$E18)/1000+$J$12</f>
        <v>0.2012624275078653</v>
      </c>
      <c r="K18" s="189">
        <f>NPV($B$7,$G$13:$G18)+NPV($B$7,$I$13:$I18)+$K$12</f>
        <v>691.1052267915984</v>
      </c>
      <c r="L18" s="33"/>
    </row>
    <row r="19" spans="1:12" x14ac:dyDescent="0.25">
      <c r="A19">
        <v>2031</v>
      </c>
      <c r="B19">
        <v>7</v>
      </c>
      <c r="C19" s="33">
        <v>0.159</v>
      </c>
      <c r="D19" s="33"/>
      <c r="E19" s="33">
        <v>42.327670555942653</v>
      </c>
      <c r="F19" s="33"/>
      <c r="G19" s="33">
        <v>102.38869659983709</v>
      </c>
      <c r="H19" s="33"/>
      <c r="I19" s="33">
        <v>26.529638601540629</v>
      </c>
      <c r="J19" s="33">
        <f>NPV($B$7,$E$13:$E19)/1000+$J$12</f>
        <v>0.22833996294501069</v>
      </c>
      <c r="K19" s="189">
        <f>NPV($B$7,$G$13:$G19)+NPV($B$7,$I$13:$I19)+$K$12</f>
        <v>773.57588355262828</v>
      </c>
      <c r="L19" s="33"/>
    </row>
    <row r="20" spans="1:12" x14ac:dyDescent="0.25">
      <c r="A20">
        <v>2032</v>
      </c>
      <c r="B20" s="463">
        <v>8</v>
      </c>
      <c r="C20" s="33">
        <v>0.159</v>
      </c>
      <c r="D20" s="33"/>
      <c r="E20" s="33">
        <v>43.111583431809322</v>
      </c>
      <c r="F20" s="33"/>
      <c r="G20" s="33">
        <v>104.43647053183383</v>
      </c>
      <c r="H20" s="33"/>
      <c r="I20" s="33">
        <v>27.060231373571444</v>
      </c>
      <c r="J20" s="33">
        <f>NPV($B$7,$E$13:$E20)/1000+$J$12</f>
        <v>0.25421388565742287</v>
      </c>
      <c r="K20" s="189">
        <f>NPV($B$7,$G$13:$G20)+NPV($B$7,$I$13:$I20)+$K$12</f>
        <v>852.495172319164</v>
      </c>
      <c r="L20" s="33"/>
    </row>
    <row r="21" spans="1:12" x14ac:dyDescent="0.25">
      <c r="A21">
        <v>2033</v>
      </c>
      <c r="B21">
        <v>9</v>
      </c>
      <c r="C21" s="33">
        <v>0.159</v>
      </c>
      <c r="D21" s="33"/>
      <c r="E21" s="33">
        <v>43.534077717264744</v>
      </c>
      <c r="F21" s="33"/>
      <c r="G21" s="33">
        <v>106.52519994247052</v>
      </c>
      <c r="H21" s="33"/>
      <c r="I21" s="33">
        <v>27.60143600104287</v>
      </c>
      <c r="J21" s="33">
        <f>NPV($B$7,$E$13:$E21)/1000+$J$12</f>
        <v>0.27872602339624658</v>
      </c>
      <c r="K21" s="189">
        <f>NPV($B$7,$G$13:$G21)+NPV($B$7,$I$13:$I21)+$K$12</f>
        <v>928.01602281345652</v>
      </c>
      <c r="L21" s="33"/>
    </row>
    <row r="22" spans="1:12" x14ac:dyDescent="0.25">
      <c r="A22">
        <v>2034</v>
      </c>
      <c r="B22">
        <v>10</v>
      </c>
      <c r="C22" s="33">
        <v>0.159</v>
      </c>
      <c r="D22" s="33"/>
      <c r="E22" s="33">
        <v>44.77080555323937</v>
      </c>
      <c r="F22" s="33"/>
      <c r="G22" s="33">
        <v>108.65570394131991</v>
      </c>
      <c r="H22" s="33"/>
      <c r="I22" s="33">
        <v>28.153464721063731</v>
      </c>
      <c r="J22" s="33">
        <f>NPV($B$7,$E$13:$E22)/1000+$J$12</f>
        <v>0.30237597664430094</v>
      </c>
      <c r="K22" s="189">
        <f>NPV($B$7,$G$13:$G22)+NPV($B$7,$I$13:$I22)+$K$12</f>
        <v>1000.284779267325</v>
      </c>
      <c r="L22" s="33"/>
    </row>
    <row r="23" spans="1:12" x14ac:dyDescent="0.25">
      <c r="A23">
        <v>2035</v>
      </c>
      <c r="B23" s="463">
        <v>11</v>
      </c>
      <c r="C23" s="33">
        <v>0.159</v>
      </c>
      <c r="D23" s="33"/>
      <c r="E23" s="33">
        <v>45.791195900571694</v>
      </c>
      <c r="F23" s="33"/>
      <c r="G23" s="33">
        <v>110.82881802014633</v>
      </c>
      <c r="H23" s="33"/>
      <c r="I23" s="33">
        <v>28.716534015485006</v>
      </c>
      <c r="J23" s="33">
        <f>NPV($B$7,$E$13:$E23)/1000+$J$12</f>
        <v>0.32506944631861617</v>
      </c>
      <c r="K23" s="189">
        <f>NPV($B$7,$G$13:$G23)+NPV($B$7,$I$13:$I23)+$K$12</f>
        <v>1069.4414840078691</v>
      </c>
      <c r="L23" s="33"/>
    </row>
    <row r="24" spans="1:12" x14ac:dyDescent="0.25">
      <c r="A24">
        <v>2036</v>
      </c>
      <c r="B24">
        <v>12</v>
      </c>
      <c r="C24" s="33">
        <v>0.159</v>
      </c>
      <c r="D24" s="33"/>
      <c r="E24" s="33">
        <v>46.51858329075089</v>
      </c>
      <c r="F24" s="33"/>
      <c r="G24" s="33">
        <v>113.04539438054927</v>
      </c>
      <c r="H24" s="33"/>
      <c r="I24" s="33">
        <v>29.290864695794706</v>
      </c>
      <c r="J24" s="33">
        <f>NPV($B$7,$E$13:$E24)/1000+$J$12</f>
        <v>0.34669807244409873</v>
      </c>
      <c r="K24" s="189">
        <f>NPV($B$7,$G$13:$G24)+NPV($B$7,$I$13:$I24)+$K$12</f>
        <v>1135.6201488313563</v>
      </c>
      <c r="L24" s="33"/>
    </row>
    <row r="25" spans="1:12" x14ac:dyDescent="0.25">
      <c r="A25">
        <v>2037</v>
      </c>
      <c r="B25">
        <v>13</v>
      </c>
      <c r="C25" s="33">
        <v>0.159</v>
      </c>
      <c r="D25" s="33"/>
      <c r="E25" s="33">
        <v>47.694651340218982</v>
      </c>
      <c r="F25" s="33"/>
      <c r="G25" s="33">
        <v>115.30630226816025</v>
      </c>
      <c r="H25" s="33"/>
      <c r="I25" s="33">
        <v>29.876681989710601</v>
      </c>
      <c r="J25" s="33">
        <f>NPV($B$7,$E$13:$E25)/1000+$J$12</f>
        <v>0.36750249516893835</v>
      </c>
      <c r="K25" s="189">
        <f>NPV($B$7,$G$13:$G25)+NPV($B$7,$I$13:$I25)+$K$12</f>
        <v>1198.9490146911526</v>
      </c>
      <c r="L25" s="33"/>
    </row>
    <row r="26" spans="1:12" x14ac:dyDescent="0.25">
      <c r="A26">
        <v>2038</v>
      </c>
      <c r="B26" s="463">
        <v>14</v>
      </c>
      <c r="C26" s="33">
        <v>0.159</v>
      </c>
      <c r="D26" s="33"/>
      <c r="E26" s="33">
        <v>48.500110353494705</v>
      </c>
      <c r="F26" s="33"/>
      <c r="G26" s="33">
        <v>117.61242831352347</v>
      </c>
      <c r="H26" s="33"/>
      <c r="I26" s="33">
        <v>30.474215629504812</v>
      </c>
      <c r="J26" s="33">
        <f>NPV($B$7,$E$13:$E26)/1000+$J$12</f>
        <v>0.38735028972136448</v>
      </c>
      <c r="K26" s="189">
        <f>NPV($B$7,$G$13:$G26)+NPV($B$7,$I$13:$I26)+$K$12</f>
        <v>1259.5508002029194</v>
      </c>
      <c r="L26" s="33"/>
    </row>
    <row r="27" spans="1:12" x14ac:dyDescent="0.25">
      <c r="A27">
        <v>2039</v>
      </c>
      <c r="B27">
        <v>15</v>
      </c>
      <c r="C27" s="33">
        <v>0.159</v>
      </c>
      <c r="D27" s="33"/>
      <c r="E27" s="33">
        <v>48.765290573243945</v>
      </c>
      <c r="F27" s="33"/>
      <c r="G27" s="33">
        <v>119.96467687979391</v>
      </c>
      <c r="H27" s="33"/>
      <c r="I27" s="33">
        <v>31.08369994209491</v>
      </c>
      <c r="J27" s="33">
        <f>NPV($B$7,$E$13:$E27)/1000+$J$12</f>
        <v>0.4060727916163418</v>
      </c>
      <c r="K27" s="189">
        <f>NPV($B$7,$G$13:$G27)+NPV($B$7,$I$13:$I27)+$K$12</f>
        <v>1317.5429394486289</v>
      </c>
      <c r="L27" s="33"/>
    </row>
    <row r="28" spans="1:12" x14ac:dyDescent="0.25">
      <c r="A28">
        <v>2040</v>
      </c>
      <c r="B28">
        <v>16</v>
      </c>
      <c r="C28" s="33">
        <v>0.159</v>
      </c>
      <c r="D28" s="33"/>
      <c r="E28" s="33">
        <v>49.424277637863113</v>
      </c>
      <c r="F28" s="33"/>
      <c r="G28" s="33">
        <v>122.36397041738981</v>
      </c>
      <c r="H28" s="33"/>
      <c r="I28" s="33">
        <v>31.705373940936806</v>
      </c>
      <c r="J28" s="33">
        <f>NPV($B$7,$E$13:$E28)/1000+$J$12</f>
        <v>0.42387512522337495</v>
      </c>
      <c r="K28" s="189">
        <f>NPV($B$7,$G$13:$G28)+NPV($B$7,$I$13:$I28)+$K$12</f>
        <v>1373.0378095402175</v>
      </c>
      <c r="L28" s="33"/>
    </row>
    <row r="29" spans="1:12" x14ac:dyDescent="0.25">
      <c r="A29">
        <v>2041</v>
      </c>
      <c r="B29" s="463">
        <v>17</v>
      </c>
      <c r="C29" s="33">
        <v>0.159</v>
      </c>
      <c r="D29" s="33"/>
      <c r="E29" s="33">
        <v>50.293303926576812</v>
      </c>
      <c r="F29" s="33"/>
      <c r="G29" s="33">
        <v>124.8112498257376</v>
      </c>
      <c r="H29" s="33"/>
      <c r="I29" s="33">
        <v>32.339481419755543</v>
      </c>
      <c r="J29" s="33">
        <f>NPV($B$7,$E$13:$E29)/1000+$J$12</f>
        <v>0.44087048290805064</v>
      </c>
      <c r="K29" s="189">
        <f>NPV($B$7,$G$13:$G29)+NPV($B$7,$I$13:$I29)+$K$12</f>
        <v>1426.1429483838428</v>
      </c>
      <c r="L29" s="33"/>
    </row>
    <row r="30" spans="1:12" x14ac:dyDescent="0.25">
      <c r="A30">
        <v>2042</v>
      </c>
      <c r="B30">
        <v>18</v>
      </c>
      <c r="C30" s="33">
        <v>0.159</v>
      </c>
      <c r="D30" s="33"/>
      <c r="E30" s="33">
        <v>50.800596904835245</v>
      </c>
      <c r="F30" s="33"/>
      <c r="G30" s="33">
        <v>127.30747482225236</v>
      </c>
      <c r="H30" s="33"/>
      <c r="I30" s="33">
        <v>32.986271048150655</v>
      </c>
      <c r="J30" s="33">
        <f>NPV($B$7,$E$13:$E30)/1000+$J$12</f>
        <v>0.45697591924663389</v>
      </c>
      <c r="K30" s="189">
        <f>NPV($B$7,$G$13:$G30)+NPV($B$7,$I$13:$I30)+$K$12</f>
        <v>1476.9612630667375</v>
      </c>
      <c r="L30" s="33"/>
    </row>
    <row r="31" spans="1:12" x14ac:dyDescent="0.25">
      <c r="A31">
        <v>2043</v>
      </c>
      <c r="B31">
        <v>19</v>
      </c>
      <c r="C31" s="33">
        <v>0.159</v>
      </c>
      <c r="D31" s="33"/>
      <c r="E31" s="33">
        <v>51.421910008522119</v>
      </c>
      <c r="F31" s="33"/>
      <c r="G31" s="33">
        <v>129.8536243186974</v>
      </c>
      <c r="H31" s="33"/>
      <c r="I31" s="33">
        <v>33.645996469113669</v>
      </c>
      <c r="J31" s="33">
        <f>NPV($B$7,$E$13:$E31)/1000+$J$12</f>
        <v>0.47227042411335074</v>
      </c>
      <c r="K31" s="189">
        <f>NPV($B$7,$G$13:$G31)+NPV($B$7,$I$13:$I31)+$K$12</f>
        <v>1525.5912292704647</v>
      </c>
      <c r="L31" s="33"/>
    </row>
    <row r="32" spans="1:12" x14ac:dyDescent="0.25">
      <c r="A32">
        <v>2044</v>
      </c>
      <c r="B32" s="463">
        <v>20</v>
      </c>
      <c r="C32" s="33">
        <v>0.159</v>
      </c>
      <c r="D32" s="33"/>
      <c r="E32" s="33">
        <v>52.143545629175506</v>
      </c>
      <c r="F32" s="33"/>
      <c r="G32" s="33">
        <v>132.45069680507135</v>
      </c>
      <c r="H32" s="33"/>
      <c r="I32" s="33">
        <v>34.318916398495944</v>
      </c>
      <c r="J32" s="33">
        <f>NPV($B$7,$E$13:$E32)/1000+$J$12</f>
        <v>0.48682070289999618</v>
      </c>
      <c r="K32" s="189">
        <f>NPV($B$7,$G$13:$G32)+NPV($B$7,$I$13:$I32)+$K$12</f>
        <v>1572.127082096998</v>
      </c>
      <c r="L32" s="33"/>
    </row>
    <row r="33" spans="1:12" x14ac:dyDescent="0.25">
      <c r="A33">
        <v>2045</v>
      </c>
      <c r="B33">
        <v>21</v>
      </c>
      <c r="C33" s="33">
        <v>0.159</v>
      </c>
      <c r="D33" s="33"/>
      <c r="E33" s="33">
        <v>52.724882723850783</v>
      </c>
      <c r="F33" s="33"/>
      <c r="G33" s="33">
        <v>135.09971074117277</v>
      </c>
      <c r="H33" s="33"/>
      <c r="I33" s="33">
        <v>35.005294726465863</v>
      </c>
      <c r="J33" s="33">
        <f>NPV($B$7,$E$13:$E33)/1000+$J$12</f>
        <v>0.50062358937424134</v>
      </c>
      <c r="K33" s="189">
        <f>NPV($B$7,$G$13:$G33)+NPV($B$7,$I$13:$I33)+$K$12</f>
        <v>1616.6589986774125</v>
      </c>
      <c r="L33" s="33"/>
    </row>
    <row r="34" spans="1:12" x14ac:dyDescent="0.25">
      <c r="A34">
        <v>2046</v>
      </c>
      <c r="B34">
        <v>22</v>
      </c>
      <c r="C34" s="33">
        <v>0.159</v>
      </c>
      <c r="D34" s="33"/>
      <c r="E34" s="33">
        <v>53.274618523813494</v>
      </c>
      <c r="F34" s="33"/>
      <c r="G34" s="33">
        <v>137.80170495599623</v>
      </c>
      <c r="H34" s="33"/>
      <c r="I34" s="33">
        <v>35.705400620995178</v>
      </c>
      <c r="J34" s="33">
        <f>NPV($B$7,$E$13:$E34)/1000+$J$12</f>
        <v>0.51370812096293827</v>
      </c>
      <c r="K34" s="189">
        <f>NPV($B$7,$G$13:$G34)+NPV($B$7,$I$13:$I34)+$K$12</f>
        <v>1659.2732729170436</v>
      </c>
      <c r="L34" s="33"/>
    </row>
    <row r="35" spans="1:12" x14ac:dyDescent="0.25">
      <c r="A35">
        <v>2047</v>
      </c>
      <c r="B35" s="463">
        <v>23</v>
      </c>
      <c r="C35" s="33">
        <v>0.159</v>
      </c>
      <c r="D35" s="33"/>
      <c r="E35" s="33">
        <v>54.007713837517549</v>
      </c>
      <c r="F35" s="33"/>
      <c r="G35" s="33">
        <v>140.55773905511614</v>
      </c>
      <c r="H35" s="33"/>
      <c r="I35" s="33">
        <v>36.419508633415084</v>
      </c>
      <c r="J35" s="33">
        <f>NPV($B$7,$E$13:$E35)/1000+$J$12</f>
        <v>0.52615261268203106</v>
      </c>
      <c r="K35" s="189">
        <f>NPV($B$7,$G$13:$G35)+NPV($B$7,$I$13:$I35)+$K$12</f>
        <v>1700.0524827157337</v>
      </c>
    </row>
    <row r="36" spans="1:12" x14ac:dyDescent="0.25">
      <c r="A36">
        <v>2048</v>
      </c>
      <c r="B36">
        <v>24</v>
      </c>
      <c r="C36" s="33">
        <v>0.159</v>
      </c>
      <c r="D36" s="33"/>
      <c r="E36" s="33">
        <v>54.688994369871068</v>
      </c>
      <c r="F36" s="33"/>
      <c r="G36" s="33">
        <v>143.36889383621846</v>
      </c>
      <c r="H36" s="33"/>
      <c r="I36" s="33">
        <v>37.14789880608339</v>
      </c>
      <c r="J36" s="33">
        <f>NPV($B$7,$E$13:$E36)/1000+$J$12</f>
        <v>0.53797499077753053</v>
      </c>
      <c r="K36" s="189">
        <f>NPV($B$7,$G$13:$G36)+NPV($B$7,$I$13:$I36)+$K$12</f>
        <v>1739.0756499872075</v>
      </c>
    </row>
    <row r="37" spans="1:12" x14ac:dyDescent="0.25">
      <c r="A37">
        <v>2049</v>
      </c>
      <c r="B37">
        <v>25</v>
      </c>
      <c r="C37" s="33">
        <v>0.159</v>
      </c>
      <c r="D37" s="33"/>
      <c r="E37" s="33">
        <v>55.282104943723354</v>
      </c>
      <c r="F37" s="33"/>
      <c r="G37" s="33">
        <v>146.23627171294282</v>
      </c>
      <c r="H37" s="33"/>
      <c r="I37" s="33">
        <v>37.890856782205056</v>
      </c>
      <c r="J37" s="33">
        <f>NPV($B$7,$E$13:$E37)/1000+$J$12</f>
        <v>0.54918673072337798</v>
      </c>
      <c r="K37" s="189">
        <f>NPV($B$7,$G$13:$G37)+NPV($B$7,$I$13:$I37)+$K$12</f>
        <v>1776.418393787661</v>
      </c>
    </row>
    <row r="38" spans="1:12" x14ac:dyDescent="0.25">
      <c r="A38">
        <v>2050</v>
      </c>
      <c r="B38" s="463">
        <v>26</v>
      </c>
      <c r="C38" s="33">
        <v>0.159</v>
      </c>
      <c r="D38" s="33"/>
      <c r="E38" s="33">
        <v>55.872975497415595</v>
      </c>
      <c r="F38" s="33"/>
      <c r="G38" s="33">
        <v>149.16099714720167</v>
      </c>
      <c r="H38" s="33"/>
      <c r="I38" s="33">
        <v>38.648673917849159</v>
      </c>
      <c r="J38" s="33">
        <f>NPV($B$7,$E$13:$E38)/1000+$J$12</f>
        <v>0.55981772251333195</v>
      </c>
      <c r="K38" s="189">
        <f>NPV($B$7,$G$13:$G38)+NPV($B$7,$I$13:$I38)+$K$12</f>
        <v>1812.1530768502953</v>
      </c>
    </row>
    <row r="40" spans="1:12" x14ac:dyDescent="0.25">
      <c r="A40" s="279">
        <v>2016</v>
      </c>
      <c r="B40" s="280"/>
      <c r="C40" s="280">
        <v>0.15</v>
      </c>
      <c r="D40" s="281"/>
      <c r="E40" s="281">
        <v>27.474302867076183</v>
      </c>
      <c r="F40" s="281"/>
      <c r="G40" s="281">
        <v>11.849791666666667</v>
      </c>
      <c r="H40" s="281"/>
      <c r="I40" s="281">
        <v>23.025434159507174</v>
      </c>
      <c r="J40" s="281">
        <f>E40/1000/((1+EDR)^B40)</f>
        <v>2.7474302867076184E-2</v>
      </c>
      <c r="K40" s="282">
        <f>(G40+I40)/((1+EDR)^B40)</f>
        <v>34.875225826173839</v>
      </c>
    </row>
    <row r="41" spans="1:12" x14ac:dyDescent="0.25">
      <c r="A41" s="283">
        <v>2017</v>
      </c>
      <c r="B41" s="284"/>
      <c r="C41" s="284">
        <v>0.151</v>
      </c>
      <c r="D41" s="285"/>
      <c r="E41" s="285">
        <v>29.439837280909085</v>
      </c>
      <c r="F41" s="285"/>
      <c r="G41" s="285">
        <v>19.221700000000002</v>
      </c>
      <c r="H41" s="285"/>
      <c r="I41" s="285">
        <v>23.48594284269732</v>
      </c>
      <c r="J41" s="285">
        <f>E41/1000/((1+EDR)^B41)+J40</f>
        <v>5.6914140147985265E-2</v>
      </c>
      <c r="K41" s="286">
        <f>(G41+I41)/((1+EDR)^B41)+K40</f>
        <v>77.582868668871157</v>
      </c>
    </row>
    <row r="42" spans="1:12" x14ac:dyDescent="0.25">
      <c r="A42" s="388">
        <v>2018</v>
      </c>
      <c r="B42" s="387">
        <v>0</v>
      </c>
      <c r="C42" s="387">
        <v>0.151</v>
      </c>
      <c r="D42" s="389"/>
      <c r="E42" s="389">
        <v>24.106442960761797</v>
      </c>
      <c r="F42" s="389"/>
      <c r="G42" s="389">
        <v>19.117267462424401</v>
      </c>
      <c r="H42" s="389"/>
      <c r="I42" s="389">
        <v>22.456413278722138</v>
      </c>
      <c r="J42" s="389" t="e">
        <f>#REF!/1000</f>
        <v>#REF!</v>
      </c>
      <c r="K42" s="390" t="e">
        <f>#REF!+#REF!</f>
        <v>#REF!</v>
      </c>
    </row>
    <row r="43" spans="1:12" x14ac:dyDescent="0.25">
      <c r="A43" s="388">
        <v>2019</v>
      </c>
      <c r="B43" s="387">
        <v>0</v>
      </c>
      <c r="C43" s="387">
        <v>0.156</v>
      </c>
      <c r="D43" s="389"/>
      <c r="E43" s="389">
        <v>26.391083115592409</v>
      </c>
      <c r="F43" s="389"/>
      <c r="G43" s="389">
        <v>22.925147580523085</v>
      </c>
      <c r="H43" s="389"/>
      <c r="I43" s="389">
        <v>22.905541544296582</v>
      </c>
      <c r="J43" s="389">
        <f>$E$43/1000</f>
        <v>2.639108311559241E-2</v>
      </c>
      <c r="K43" s="390">
        <f>$G$43+$I$43</f>
        <v>45.830689124819671</v>
      </c>
    </row>
    <row r="44" spans="1:12" x14ac:dyDescent="0.25">
      <c r="A44">
        <v>2020</v>
      </c>
      <c r="B44">
        <v>0</v>
      </c>
      <c r="C44">
        <v>0.16</v>
      </c>
      <c r="E44">
        <v>27.542930168145588</v>
      </c>
      <c r="G44">
        <v>29.016400565794729</v>
      </c>
      <c r="I44">
        <v>23.363652375182514</v>
      </c>
      <c r="J44">
        <v>2.7542930168145588E-2</v>
      </c>
      <c r="K44">
        <v>52.380052940977244</v>
      </c>
    </row>
    <row r="45" spans="1:12" x14ac:dyDescent="0.25">
      <c r="A45">
        <v>2021</v>
      </c>
      <c r="B45">
        <v>0</v>
      </c>
      <c r="C45">
        <v>0.16400000000000001</v>
      </c>
      <c r="E45">
        <v>28.692927499682444</v>
      </c>
      <c r="G45">
        <v>35.423563240355129</v>
      </c>
      <c r="I45">
        <v>23.830925422686164</v>
      </c>
      <c r="J45">
        <v>2.8692927499682445E-2</v>
      </c>
      <c r="K45">
        <v>59.254488663041293</v>
      </c>
    </row>
    <row r="46" spans="1:12" x14ac:dyDescent="0.25">
      <c r="A46">
        <v>2022</v>
      </c>
      <c r="B46">
        <v>0</v>
      </c>
      <c r="C46">
        <v>0.16800000000000001</v>
      </c>
      <c r="E46">
        <v>29.839828626413787</v>
      </c>
      <c r="G46">
        <v>47.908213733052762</v>
      </c>
      <c r="I46">
        <v>24.30754393113989</v>
      </c>
      <c r="J46">
        <v>2.9839828626413788E-2</v>
      </c>
      <c r="K46">
        <v>72.215757664192651</v>
      </c>
    </row>
    <row r="47" spans="1:12" x14ac:dyDescent="0.25">
      <c r="A47">
        <v>2023</v>
      </c>
      <c r="B47">
        <v>0</v>
      </c>
      <c r="C47">
        <v>0.17399999999999999</v>
      </c>
      <c r="E47">
        <v>27.505714171090595</v>
      </c>
      <c r="G47">
        <v>87.38776666666665</v>
      </c>
      <c r="I47">
        <v>22.64279109756842</v>
      </c>
      <c r="J47">
        <v>2.7505714171090594E-2</v>
      </c>
      <c r="K47">
        <v>110.03055776423507</v>
      </c>
    </row>
  </sheetData>
  <sheetProtection algorithmName="SHA-512" hashValue="NgNIx5RcBlxDT6bY6TqVHEbgCTev4pd0126LNd6ENVcHg+My9Y4bPw80uYe5sfXUjYD5hDLqnTk+v2DjEI0pmg==" saltValue="CJexjroBPggl0E9u8Oczng==" spinCount="100000" sheet="1" objects="1" scenarios="1"/>
  <phoneticPr fontId="163" type="noConversion"/>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69" customWidth="1"/>
    <col min="46" max="46" width="4.7109375" style="69" hidden="1" customWidth="1"/>
    <col min="47" max="78" width="9.140625" style="69" hidden="1" customWidth="1"/>
    <col min="79" max="16384" width="9.140625" hidden="1"/>
  </cols>
  <sheetData>
    <row r="1" spans="2:56"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6"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56" ht="15.95" customHeight="1" x14ac:dyDescent="0.25">
      <c r="AH3" s="604"/>
      <c r="AI3" s="605"/>
      <c r="AJ3" s="605"/>
      <c r="AK3" s="605"/>
      <c r="AL3" s="614"/>
      <c r="AM3" s="614"/>
      <c r="AN3" s="614"/>
      <c r="AO3" s="614"/>
      <c r="AP3" s="614"/>
      <c r="AQ3" s="610"/>
      <c r="AR3" s="611"/>
    </row>
    <row r="4" spans="2:56" ht="15.95" customHeight="1" x14ac:dyDescent="0.25"/>
    <row r="5" spans="2:56" ht="15.95" customHeight="1" x14ac:dyDescent="0.25">
      <c r="C5" s="178"/>
      <c r="D5" s="178"/>
      <c r="E5" s="273" t="str">
        <f>IF('M05-S01'!AU13=0,"","P")</f>
        <v/>
      </c>
      <c r="F5" s="178"/>
      <c r="G5" s="178"/>
      <c r="H5" s="178"/>
      <c r="I5" s="178"/>
      <c r="J5" s="273" t="str">
        <f>IF('M05-S02'!AU13=0,"","P")</f>
        <v/>
      </c>
      <c r="K5" s="178"/>
      <c r="L5" s="178"/>
      <c r="M5" s="178"/>
      <c r="N5" s="178"/>
      <c r="O5" s="273" t="str">
        <f>IF('M05-S03'!AU13=0,"","P")</f>
        <v/>
      </c>
      <c r="P5" s="178"/>
      <c r="Q5" s="178"/>
      <c r="R5" s="178"/>
      <c r="S5" s="178"/>
      <c r="T5" s="273" t="str">
        <f>IF('M05-S04'!AU13=0,"","P")</f>
        <v/>
      </c>
      <c r="U5" s="178"/>
      <c r="V5" s="178"/>
      <c r="W5" s="178"/>
      <c r="X5" s="178"/>
      <c r="Y5" s="273" t="str">
        <f>IF('M05-S05'!AU13=0,"","P")</f>
        <v/>
      </c>
      <c r="Z5" s="178"/>
      <c r="AA5" s="178"/>
      <c r="AB5" s="178"/>
      <c r="AC5" s="178"/>
      <c r="AD5" s="273" t="str">
        <f>IF('M05-S06'!AU13=0,"","P")</f>
        <v/>
      </c>
      <c r="AE5" s="178"/>
      <c r="AF5" s="178"/>
      <c r="AG5" s="178"/>
      <c r="AH5" s="178"/>
      <c r="AI5" s="273" t="str">
        <f>IF('M05-S07'!AU13=0,"","P")</f>
        <v/>
      </c>
      <c r="AJ5" s="178"/>
      <c r="AK5" s="178"/>
      <c r="AL5" s="178"/>
      <c r="AM5" s="178"/>
      <c r="AN5" s="273"/>
      <c r="AO5" s="178"/>
      <c r="AP5" s="178"/>
      <c r="AQ5" s="178"/>
      <c r="AR5" s="178"/>
    </row>
    <row r="6" spans="2:56" ht="15.95" customHeight="1" x14ac:dyDescent="0.25">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U6" s="69" t="s">
        <v>1195</v>
      </c>
      <c r="AV6" s="69">
        <f>PROJID</f>
        <v>0</v>
      </c>
    </row>
    <row r="7" spans="2:56" ht="15.95" customHeight="1" x14ac:dyDescent="0.25">
      <c r="AI7" s="178"/>
      <c r="AJ7" s="178"/>
      <c r="AK7" s="178"/>
      <c r="AL7" s="178"/>
      <c r="AM7" s="178"/>
      <c r="AN7" s="178"/>
      <c r="AO7" s="178"/>
      <c r="AP7" s="178"/>
      <c r="AQ7" s="178"/>
      <c r="AR7" s="178"/>
      <c r="AU7" s="121"/>
      <c r="AV7" s="121" t="s">
        <v>1096</v>
      </c>
      <c r="AW7" s="121" t="s">
        <v>212</v>
      </c>
      <c r="AX7" s="121" t="s">
        <v>1163</v>
      </c>
      <c r="AY7" s="121"/>
    </row>
    <row r="8" spans="2:56" ht="15.95" customHeight="1" x14ac:dyDescent="0.25">
      <c r="AU8" s="121" t="s">
        <v>208</v>
      </c>
      <c r="AV8" s="121" t="str">
        <f ca="1">CBPRESE</f>
        <v>NA</v>
      </c>
      <c r="AW8" s="121" t="str">
        <f ca="1">CBCUSE</f>
        <v>NA</v>
      </c>
      <c r="AX8" s="121" t="str">
        <f ca="1">CBALL</f>
        <v>NA</v>
      </c>
      <c r="AY8" s="121"/>
    </row>
    <row r="9" spans="2:56" ht="15.95" customHeight="1" x14ac:dyDescent="0.25">
      <c r="B9" s="69"/>
      <c r="C9" s="69"/>
      <c r="D9" s="69"/>
      <c r="E9" s="1810" t="str">
        <f>IF(AV13&gt;0,"Measures of the type ""Other"" may be re-categorized upon review, which may change the incentive or eligibility","")</f>
        <v/>
      </c>
      <c r="F9" s="1810"/>
      <c r="G9" s="1810"/>
      <c r="H9" s="1810"/>
      <c r="I9" s="1810"/>
      <c r="J9" s="69"/>
      <c r="K9" s="69"/>
      <c r="L9" s="69"/>
      <c r="M9" s="69"/>
      <c r="N9" s="69"/>
      <c r="O9" s="794" t="str">
        <f>IF(INCENSTATUS="---",CONCATENATE(M5S7," ","Summary"),IF(INCENSTATUS&gt;15000,"This project may require an inspection. Please submit photos of existing equipment and of new efficient equipment once installed.",CONCATENATE(M5S7," ","Summary")))</f>
        <v>Miscellaneous Summary</v>
      </c>
      <c r="P9" s="794"/>
      <c r="Q9" s="794"/>
      <c r="R9" s="794"/>
      <c r="S9" s="794"/>
      <c r="T9" s="794"/>
      <c r="U9" s="794"/>
      <c r="V9" s="794"/>
      <c r="W9" s="794"/>
      <c r="X9" s="794"/>
      <c r="Y9" s="794"/>
      <c r="Z9" s="794"/>
      <c r="AA9" s="794"/>
      <c r="AB9" s="794"/>
      <c r="AC9" s="794"/>
      <c r="AD9" s="794"/>
      <c r="AE9" s="794"/>
      <c r="AF9" s="794"/>
      <c r="AG9" s="69"/>
      <c r="AH9" s="69"/>
      <c r="AI9" s="69"/>
      <c r="AJ9" s="69"/>
      <c r="AK9" s="69"/>
      <c r="AL9" s="69"/>
      <c r="AM9" s="69"/>
      <c r="AN9" s="69"/>
      <c r="AO9" s="69"/>
      <c r="AP9" s="69"/>
      <c r="AQ9" s="69"/>
      <c r="AR9" s="69"/>
      <c r="AU9" s="121"/>
      <c r="AV9" s="121"/>
      <c r="AW9" s="121"/>
      <c r="AX9" s="121"/>
      <c r="AY9" s="121"/>
    </row>
    <row r="10" spans="2:56" ht="15.95" customHeight="1" x14ac:dyDescent="0.25">
      <c r="B10" s="69"/>
      <c r="C10" s="69"/>
      <c r="D10" s="69"/>
      <c r="E10" s="1810"/>
      <c r="F10" s="1810"/>
      <c r="G10" s="1810"/>
      <c r="H10" s="1810"/>
      <c r="I10" s="1810"/>
      <c r="J10" s="306"/>
      <c r="K10" s="306"/>
      <c r="L10" s="306"/>
      <c r="M10" s="306"/>
      <c r="N10" s="306"/>
      <c r="O10" s="794"/>
      <c r="P10" s="794"/>
      <c r="Q10" s="794"/>
      <c r="R10" s="794"/>
      <c r="S10" s="794"/>
      <c r="T10" s="794"/>
      <c r="U10" s="794"/>
      <c r="V10" s="794"/>
      <c r="W10" s="794"/>
      <c r="X10" s="794"/>
      <c r="Y10" s="794"/>
      <c r="Z10" s="794"/>
      <c r="AA10" s="794"/>
      <c r="AB10" s="794"/>
      <c r="AC10" s="794"/>
      <c r="AD10" s="794"/>
      <c r="AE10" s="794"/>
      <c r="AF10" s="794"/>
      <c r="AG10" s="69"/>
      <c r="AH10" s="69"/>
      <c r="AI10" s="69"/>
      <c r="AJ10" s="69"/>
      <c r="AK10" s="69"/>
      <c r="AL10" s="69"/>
      <c r="AM10" s="69"/>
      <c r="AN10" s="69"/>
      <c r="AO10" s="69"/>
      <c r="AP10" s="69"/>
      <c r="AQ10" s="69"/>
      <c r="AR10" s="69"/>
      <c r="AU10" s="121" t="s">
        <v>561</v>
      </c>
      <c r="AV10" s="121" t="str">
        <f>PAYPRESE</f>
        <v>NA</v>
      </c>
      <c r="AW10" s="121" t="str">
        <f ca="1">PAYCUSE</f>
        <v>NA</v>
      </c>
      <c r="AX10" s="121" t="str">
        <f ca="1">PAYALL</f>
        <v>NA</v>
      </c>
      <c r="AY10" s="121"/>
    </row>
    <row r="11" spans="2:56" ht="15.95" customHeight="1" x14ac:dyDescent="0.3">
      <c r="B11" s="69"/>
      <c r="C11" s="69"/>
      <c r="D11" s="69"/>
      <c r="E11" s="1810"/>
      <c r="F11" s="1810"/>
      <c r="G11" s="1810"/>
      <c r="H11" s="1810"/>
      <c r="I11" s="1810"/>
      <c r="J11" s="876"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76"/>
      <c r="L11" s="876"/>
      <c r="M11" s="876"/>
      <c r="N11" s="876"/>
      <c r="O11" s="876"/>
      <c r="P11" s="876"/>
      <c r="Q11" s="876"/>
      <c r="R11" s="1042"/>
      <c r="S11" s="1042"/>
      <c r="T11" s="1042"/>
      <c r="U11" s="1042"/>
      <c r="V11" s="1042" t="s">
        <v>69</v>
      </c>
      <c r="W11" s="1042"/>
      <c r="X11" s="1042"/>
      <c r="Y11" s="1042"/>
      <c r="Z11" s="1042" t="s">
        <v>70</v>
      </c>
      <c r="AA11" s="1042"/>
      <c r="AB11" s="1042"/>
      <c r="AC11" s="1042"/>
      <c r="AD11" s="69"/>
      <c r="AE11" s="69"/>
      <c r="AF11" s="69"/>
      <c r="AG11" s="69"/>
      <c r="AH11" s="69"/>
      <c r="AI11" s="69"/>
      <c r="AJ11" s="69"/>
      <c r="AK11" s="69"/>
      <c r="AL11" s="69"/>
      <c r="AM11" s="69"/>
      <c r="AN11" s="69"/>
      <c r="AO11" s="69"/>
      <c r="AP11" s="69"/>
      <c r="AQ11" s="69"/>
      <c r="AR11" s="69"/>
      <c r="AU11" s="122" t="s">
        <v>1149</v>
      </c>
    </row>
    <row r="12" spans="2:56" ht="15.95" customHeight="1" x14ac:dyDescent="0.25">
      <c r="B12" s="69"/>
      <c r="C12" s="69"/>
      <c r="D12" s="69"/>
      <c r="E12" s="1810"/>
      <c r="F12" s="1810"/>
      <c r="G12" s="1810"/>
      <c r="H12" s="1810"/>
      <c r="I12" s="1810"/>
      <c r="J12" s="876"/>
      <c r="K12" s="876"/>
      <c r="L12" s="876"/>
      <c r="M12" s="876"/>
      <c r="N12" s="876"/>
      <c r="O12" s="876"/>
      <c r="P12" s="876"/>
      <c r="Q12" s="876"/>
      <c r="R12" s="1849">
        <f>SUM(AK16:AN199)</f>
        <v>0</v>
      </c>
      <c r="S12" s="1849"/>
      <c r="T12" s="1849"/>
      <c r="U12" s="1849"/>
      <c r="V12" s="1849">
        <f>SUM(AH16:AJ199)</f>
        <v>0</v>
      </c>
      <c r="W12" s="1849"/>
      <c r="X12" s="1849"/>
      <c r="Y12" s="1849"/>
      <c r="Z12" s="1850">
        <f>SUM(AO16:AQ199)</f>
        <v>0</v>
      </c>
      <c r="AA12" s="1850"/>
      <c r="AB12" s="1850"/>
      <c r="AC12" s="1850"/>
      <c r="AD12" s="776"/>
      <c r="AE12" s="776"/>
      <c r="AF12" s="776"/>
      <c r="AG12" s="776"/>
      <c r="AH12" s="69"/>
      <c r="AI12" s="69"/>
      <c r="AJ12" s="69"/>
      <c r="AK12" s="69"/>
      <c r="AL12" s="69"/>
      <c r="AM12" s="69"/>
      <c r="AN12" s="69"/>
      <c r="AO12" s="69"/>
      <c r="AP12" s="69"/>
      <c r="AQ12" s="69"/>
      <c r="AR12" s="69"/>
      <c r="AU12" s="69" t="str">
        <f>IF(M02S02F44="","CLICK HERE to update install status.",IF(M02S02F44="Yes","Haven't installed yet? CLICK HERE", IF(M02S02F44="No", "You ARE eligible to receive Custom Incentives")))</f>
        <v>CLICK HERE to update install status.</v>
      </c>
    </row>
    <row r="13" spans="2:56" ht="15.95" customHeight="1" x14ac:dyDescent="0.25">
      <c r="B13" s="69"/>
      <c r="C13" s="69"/>
      <c r="D13" s="69"/>
      <c r="E13" s="1810"/>
      <c r="F13" s="1810"/>
      <c r="G13" s="1810"/>
      <c r="H13" s="1810"/>
      <c r="I13" s="1810"/>
      <c r="J13" s="876"/>
      <c r="K13" s="876"/>
      <c r="L13" s="876"/>
      <c r="M13" s="876"/>
      <c r="N13" s="876"/>
      <c r="O13" s="876"/>
      <c r="P13" s="876"/>
      <c r="Q13" s="876"/>
      <c r="R13" s="1849"/>
      <c r="S13" s="1849"/>
      <c r="T13" s="1849"/>
      <c r="U13" s="1849"/>
      <c r="V13" s="1849"/>
      <c r="W13" s="1849"/>
      <c r="X13" s="1849"/>
      <c r="Y13" s="1849"/>
      <c r="Z13" s="1850"/>
      <c r="AA13" s="1850"/>
      <c r="AB13" s="1850"/>
      <c r="AC13" s="1850"/>
      <c r="AD13" s="105"/>
      <c r="AE13" s="105"/>
      <c r="AF13" s="105"/>
      <c r="AG13" s="105"/>
      <c r="AH13" s="69"/>
      <c r="AI13" s="69"/>
      <c r="AJ13" s="69"/>
      <c r="AK13" s="69"/>
      <c r="AL13" s="69"/>
      <c r="AM13" s="69"/>
      <c r="AN13" s="69"/>
      <c r="AO13" s="69"/>
      <c r="AP13" s="69"/>
      <c r="AQ13" s="69"/>
      <c r="AR13" s="69"/>
      <c r="AU13" s="69">
        <f>SUMPRODUCT(--(LEN(C16:AG35)&gt;0))</f>
        <v>0</v>
      </c>
      <c r="AV13" s="69">
        <f>COUNTIF(F16:K35,"*Others*")</f>
        <v>0</v>
      </c>
    </row>
    <row r="14" spans="2:56" ht="15.95" customHeight="1" x14ac:dyDescent="0.25">
      <c r="B14" s="69"/>
      <c r="C14" s="799" t="s">
        <v>923</v>
      </c>
      <c r="D14" s="799"/>
      <c r="E14" s="799"/>
      <c r="F14" s="799" t="s">
        <v>830</v>
      </c>
      <c r="G14" s="799"/>
      <c r="H14" s="799"/>
      <c r="I14" s="799"/>
      <c r="J14" s="799"/>
      <c r="K14" s="799"/>
      <c r="L14" s="799" t="s">
        <v>826</v>
      </c>
      <c r="M14" s="799"/>
      <c r="N14" s="799"/>
      <c r="O14" s="799"/>
      <c r="P14" s="799"/>
      <c r="Q14" s="799" t="s">
        <v>86</v>
      </c>
      <c r="R14" s="799"/>
      <c r="S14" s="1527" t="s">
        <v>100</v>
      </c>
      <c r="T14" s="1527"/>
      <c r="U14" s="799" t="s">
        <v>214</v>
      </c>
      <c r="V14" s="799"/>
      <c r="W14" s="799"/>
      <c r="X14" s="799"/>
      <c r="Y14" s="799"/>
      <c r="Z14" s="799" t="s">
        <v>86</v>
      </c>
      <c r="AA14" s="799"/>
      <c r="AB14" s="1527" t="s">
        <v>100</v>
      </c>
      <c r="AC14" s="1527"/>
      <c r="AD14" s="799" t="s">
        <v>97</v>
      </c>
      <c r="AE14" s="799"/>
      <c r="AF14" s="799"/>
      <c r="AG14" s="799"/>
      <c r="AH14" s="799" t="s">
        <v>97</v>
      </c>
      <c r="AI14" s="799"/>
      <c r="AJ14" s="799"/>
      <c r="AK14" s="799" t="s">
        <v>96</v>
      </c>
      <c r="AL14" s="799"/>
      <c r="AM14" s="799"/>
      <c r="AN14" s="799"/>
      <c r="AO14" s="799" t="s">
        <v>104</v>
      </c>
      <c r="AP14" s="799"/>
      <c r="AQ14" s="799"/>
      <c r="AR14" s="69"/>
      <c r="AU14" s="799" t="s">
        <v>208</v>
      </c>
      <c r="AV14" s="799" t="s">
        <v>562</v>
      </c>
      <c r="AW14" s="799" t="s">
        <v>559</v>
      </c>
      <c r="AX14" s="799" t="s">
        <v>133</v>
      </c>
      <c r="AY14" s="799" t="s">
        <v>125</v>
      </c>
      <c r="AZ14" s="799" t="s">
        <v>212</v>
      </c>
      <c r="BA14" s="799" t="s">
        <v>828</v>
      </c>
      <c r="BB14" s="799" t="s">
        <v>561</v>
      </c>
      <c r="BC14" s="799" t="s">
        <v>473</v>
      </c>
      <c r="BD14" s="799" t="s">
        <v>1349</v>
      </c>
    </row>
    <row r="15" spans="2:56" ht="15.95" customHeight="1" thickBot="1" x14ac:dyDescent="0.3">
      <c r="B15" s="69"/>
      <c r="C15" s="746"/>
      <c r="D15" s="746"/>
      <c r="E15" s="746"/>
      <c r="F15" s="746"/>
      <c r="G15" s="746"/>
      <c r="H15" s="746"/>
      <c r="I15" s="746"/>
      <c r="J15" s="746"/>
      <c r="K15" s="746"/>
      <c r="L15" s="746"/>
      <c r="M15" s="746"/>
      <c r="N15" s="746"/>
      <c r="O15" s="746"/>
      <c r="P15" s="746"/>
      <c r="Q15" s="746"/>
      <c r="R15" s="746"/>
      <c r="S15" s="1528"/>
      <c r="T15" s="1528"/>
      <c r="U15" s="746"/>
      <c r="V15" s="746"/>
      <c r="W15" s="746"/>
      <c r="X15" s="746"/>
      <c r="Y15" s="746"/>
      <c r="Z15" s="746"/>
      <c r="AA15" s="746"/>
      <c r="AB15" s="1528"/>
      <c r="AC15" s="1528"/>
      <c r="AD15" s="746" t="s">
        <v>98</v>
      </c>
      <c r="AE15" s="746"/>
      <c r="AF15" s="746" t="s">
        <v>99</v>
      </c>
      <c r="AG15" s="746"/>
      <c r="AH15" s="746"/>
      <c r="AI15" s="746"/>
      <c r="AJ15" s="746"/>
      <c r="AK15" s="746"/>
      <c r="AL15" s="746"/>
      <c r="AM15" s="746"/>
      <c r="AN15" s="746"/>
      <c r="AO15" s="746"/>
      <c r="AP15" s="746"/>
      <c r="AQ15" s="746"/>
      <c r="AR15" s="69"/>
      <c r="AU15" s="746"/>
      <c r="AV15" s="746"/>
      <c r="AW15" s="746"/>
      <c r="AX15" s="746"/>
      <c r="AY15" s="746"/>
      <c r="AZ15" s="746"/>
      <c r="BA15" s="746"/>
      <c r="BB15" s="746"/>
      <c r="BC15" s="746"/>
      <c r="BD15" s="746"/>
    </row>
    <row r="16" spans="2:56" ht="15.95" customHeight="1" x14ac:dyDescent="0.25">
      <c r="B16" s="1193">
        <v>1</v>
      </c>
      <c r="C16" s="1854"/>
      <c r="D16" s="1854"/>
      <c r="E16" s="1854"/>
      <c r="F16" s="1824"/>
      <c r="G16" s="1824"/>
      <c r="H16" s="1824"/>
      <c r="I16" s="1824"/>
      <c r="J16" s="1824"/>
      <c r="K16" s="1824"/>
      <c r="L16" s="1846"/>
      <c r="M16" s="1824"/>
      <c r="N16" s="1824"/>
      <c r="O16" s="1824"/>
      <c r="P16" s="1824"/>
      <c r="Q16" s="1855"/>
      <c r="R16" s="1855"/>
      <c r="S16" s="1817"/>
      <c r="T16" s="1822"/>
      <c r="U16" s="1769"/>
      <c r="V16" s="1824"/>
      <c r="W16" s="1824"/>
      <c r="X16" s="1824"/>
      <c r="Y16" s="1824"/>
      <c r="Z16" s="1855"/>
      <c r="AA16" s="1855"/>
      <c r="AB16" s="1817"/>
      <c r="AC16" s="1818"/>
      <c r="AD16" s="1723"/>
      <c r="AE16" s="1821"/>
      <c r="AF16" s="1723"/>
      <c r="AG16" s="1821"/>
      <c r="AH16" s="1688" t="str">
        <f>IF(OR(C16="",F16="",L16="",Q16="",S16="",U16="",Z16="",AB16="",AD16="",AF16=""),"",ROUND(AD16+AF16,2))</f>
        <v/>
      </c>
      <c r="AI16" s="1834"/>
      <c r="AJ16" s="1834"/>
      <c r="AK16" s="1836" t="str">
        <f>IF(M02S02F44="","Update Install Status",IF(M02S02F44="Yes","Not Eligible if Pre-Purchased",IF(OR(C16="",F16="",L16="",Q16="",S16="",U16="",Z16="",AB16="",AD16="",AF16=""),"",IF(BC16&lt;&gt;"",BC16,IF(C16="New/Replace Failed Equip.",BA16,AZ16)))))</f>
        <v>Update Install Status</v>
      </c>
      <c r="AL16" s="1836"/>
      <c r="AM16" s="1836"/>
      <c r="AN16" s="1836"/>
      <c r="AO16" s="1838" t="str">
        <f>IF(OR(C16="",F16="",L16="",Q16="",S16="",U16="",Z16="",AB16="",AD16="",AF16=""),"",IF((Q16*S16)-(Z16*AB16)&lt;=0,0,ROUND((Q16*S16)-(Z16*AB16),0)))</f>
        <v/>
      </c>
      <c r="AP16" s="1838"/>
      <c r="AQ16" s="1838"/>
      <c r="AR16" s="69"/>
      <c r="AU16" s="1051" t="str">
        <f>IFERROR(IF(OR(C16="",F16="",L16="",Q16="",S16="",U16="",Z16="",AB16="",AD16="",AF16=""),"",((1+ELOSS)*PEAKTD*(1+INDEX(ELECCB[Capacity Reserve Margin],MATCH(AX16,ELECCB[Year Number],0)))*((AO16*INDEX(ELECCB[NPV AEC $/kWh],MATCH(AX16,ELECCB[Year Number],1)))+(AV16*INDEX(ELECCB[NPV ACC+T&amp;D $/kW],MATCH(AX16,ELECCB[Year Number],1))))/AH16)),0)</f>
        <v/>
      </c>
      <c r="AV16" s="1290" t="str">
        <f>IF(OR(C16="",F16="",L16="",Q16="",S16="",U16="",Z16="",AB16="",AD16="",AF16=""),"",ROUND(AO16*INDEX(ENDUSEALL[Factor],MATCH(AW16,ENDUSEALL[End Use to Coincident Peak Demand Factors],0)),4))</f>
        <v/>
      </c>
      <c r="AW16" s="1815" t="str">
        <f>IF(OR(C16="",F16="",L16="",Q16="",S16="",U16="",Z16="",AB16="",AD16="",AF16=""),"",INDEX(CMEMISC[End Use Category],MATCH(F16,CMEMISC[Proj Desc 1],0)))</f>
        <v/>
      </c>
      <c r="AX16" s="800" t="str">
        <f>IF(OR(C16="",F16="",L16="",Q16="",S16="",U16="",Z16="",AB16="",AD16="",AF16=""),"",INDEX(CMEMISC[EUL],MATCH(F16,CMEMISC[Proj Desc 1],0)))</f>
        <v/>
      </c>
      <c r="AY16" s="1811" t="str">
        <f>IF(OR(C16="",F16="",L16="",Q16="",S16="",U16="",Z16="",AB16="",AD16="",AF16=""),"",INDEX(CMEMISC[Measure Number],MATCH(F16,CMEMISC[Proj Desc 1],0)))</f>
        <v/>
      </c>
      <c r="AZ16" s="1461" t="str">
        <f>IFERROR(ROUND(MIN(AH16*0.5,AO16*INDEX(ENDUSEALL[Inc Rate],MATCH(AW16,ENDUSEALL[End Use to Coincident Peak Demand Factors],0))),2),"")</f>
        <v/>
      </c>
      <c r="BA16" s="1461" t="str">
        <f>IFERROR(ROUND(MIN(AH16,AO16*INDEX(ENDUSEALL[Inc Rate],MATCH(AW16,ENDUSEALL[End Use to Coincident Peak Demand Factors],0))),2),"")</f>
        <v/>
      </c>
      <c r="BB16" s="1461" t="str">
        <f>IFERROR(AH16/M02S02F35/AO16,"")</f>
        <v/>
      </c>
      <c r="BC16" s="1461" t="str">
        <f>IFERROR(IF((Q16*S16)-(Z16*AB16)&lt;=0,MEASURESAV,IF(M02S02F35="",MEASURERATE, IF(AH16/M02S02F35/AO16&lt;1,MEASUREPAY,IF(AU16&lt;1,MEASURECB,"")))),MEASURESUBMIT)</f>
        <v>Submit for Review</v>
      </c>
      <c r="BD16" s="1461"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1193"/>
      <c r="C17" s="1538"/>
      <c r="D17" s="1538"/>
      <c r="E17" s="1538"/>
      <c r="F17" s="1825"/>
      <c r="G17" s="1825"/>
      <c r="H17" s="1825"/>
      <c r="I17" s="1825"/>
      <c r="J17" s="1825"/>
      <c r="K17" s="1825"/>
      <c r="L17" s="1825"/>
      <c r="M17" s="1825"/>
      <c r="N17" s="1825"/>
      <c r="O17" s="1825"/>
      <c r="P17" s="1825"/>
      <c r="Q17" s="1856"/>
      <c r="R17" s="1856"/>
      <c r="S17" s="1819"/>
      <c r="T17" s="1823"/>
      <c r="U17" s="826"/>
      <c r="V17" s="1825"/>
      <c r="W17" s="1825"/>
      <c r="X17" s="1825"/>
      <c r="Y17" s="1825"/>
      <c r="Z17" s="1856"/>
      <c r="AA17" s="1856"/>
      <c r="AB17" s="1819"/>
      <c r="AC17" s="1820"/>
      <c r="AD17" s="1725"/>
      <c r="AE17" s="1215"/>
      <c r="AF17" s="1725"/>
      <c r="AG17" s="1215"/>
      <c r="AH17" s="1835"/>
      <c r="AI17" s="1400"/>
      <c r="AJ17" s="1400"/>
      <c r="AK17" s="1837"/>
      <c r="AL17" s="1837"/>
      <c r="AM17" s="1837"/>
      <c r="AN17" s="1837"/>
      <c r="AO17" s="1424"/>
      <c r="AP17" s="1424"/>
      <c r="AQ17" s="1424"/>
      <c r="AR17" s="69"/>
      <c r="AU17" s="1052"/>
      <c r="AV17" s="1291"/>
      <c r="AW17" s="1816"/>
      <c r="AX17" s="801"/>
      <c r="AY17" s="1812"/>
      <c r="AZ17" s="1462"/>
      <c r="BA17" s="1462"/>
      <c r="BB17" s="1462"/>
      <c r="BC17" s="1462"/>
      <c r="BD17" s="1462"/>
    </row>
    <row r="18" spans="2:56" ht="15.95" customHeight="1" x14ac:dyDescent="0.25">
      <c r="B18" s="1204">
        <v>2</v>
      </c>
      <c r="C18" s="1854"/>
      <c r="D18" s="1854"/>
      <c r="E18" s="1854"/>
      <c r="F18" s="1824"/>
      <c r="G18" s="1824"/>
      <c r="H18" s="1824"/>
      <c r="I18" s="1824"/>
      <c r="J18" s="1824"/>
      <c r="K18" s="1824"/>
      <c r="L18" s="1824"/>
      <c r="M18" s="1824"/>
      <c r="N18" s="1824"/>
      <c r="O18" s="1824"/>
      <c r="P18" s="1824"/>
      <c r="Q18" s="1855"/>
      <c r="R18" s="1855"/>
      <c r="S18" s="1817"/>
      <c r="T18" s="1822"/>
      <c r="U18" s="1472"/>
      <c r="V18" s="1824"/>
      <c r="W18" s="1824"/>
      <c r="X18" s="1824"/>
      <c r="Y18" s="1824"/>
      <c r="Z18" s="1855"/>
      <c r="AA18" s="1855"/>
      <c r="AB18" s="1817"/>
      <c r="AC18" s="1818"/>
      <c r="AD18" s="1723"/>
      <c r="AE18" s="1821"/>
      <c r="AF18" s="1723"/>
      <c r="AG18" s="1821"/>
      <c r="AH18" s="1688" t="str">
        <f>IF(OR(C18="",F18="",L18="",Q18="",S18="",U18="",Z18="",AB18="",AD18="",AF18=""),"",ROUND(AD18+AF18,2))</f>
        <v/>
      </c>
      <c r="AI18" s="1834"/>
      <c r="AJ18" s="1834"/>
      <c r="AK18" s="1836" t="str">
        <f>IF(M02S02F44="","Update Install Status",IF(M02S02F44="Yes","Not Eligible if Pre-Purchased",IF(OR(C18="",F18="",L18="",Q18="",S18="",U18="",Z18="",AB18="",AD18="",AF18=""),"",IF(BC18&lt;&gt;"",BC18,IF(C18="New/Replace Failed Equip.",BA18,AZ18)))))</f>
        <v>Update Install Status</v>
      </c>
      <c r="AL18" s="1836"/>
      <c r="AM18" s="1836"/>
      <c r="AN18" s="1836"/>
      <c r="AO18" s="1838" t="str">
        <f>IF(OR(C18="",F18="",L18="",Q18="",S18="",U18="",Z18="",AB18="",AD18="",AF18=""),"",IF((Q18*S18)-(Z18*AB18)&lt;=0,0,ROUND((Q18*S18)-(Z18*AB18),0)))</f>
        <v/>
      </c>
      <c r="AP18" s="1838"/>
      <c r="AQ18" s="1838"/>
      <c r="AR18" s="69"/>
      <c r="AU18" s="1051" t="str">
        <f>IFERROR(IF(OR(C18="",F18="",L18="",Q18="",S18="",U18="",Z18="",AB18="",AD18="",AF18=""),"",((1+ELOSS)*PEAKTD*(1+INDEX(ELECCB[Capacity Reserve Margin],MATCH(AX18,ELECCB[Year Number],0)))*((AO18*INDEX(ELECCB[NPV AEC $/kWh],MATCH(AX18,ELECCB[Year Number],1)))+(AV18*INDEX(ELECCB[NPV ACC+T&amp;D $/kW],MATCH(AX18,ELECCB[Year Number],1))))/AH18)),0)</f>
        <v/>
      </c>
      <c r="AV18" s="1290" t="str">
        <f>IF(OR(C18="",F18="",L18="",Q18="",S18="",U18="",Z18="",AB18="",AD18="",AF18=""),"",ROUND(AO18*INDEX(ENDUSEALL[Factor],MATCH(AW18,ENDUSEALL[End Use to Coincident Peak Demand Factors],0)),4))</f>
        <v/>
      </c>
      <c r="AW18" s="1815" t="str">
        <f>IF(OR(C18="",F18="",L18="",Q18="",S18="",U18="",Z18="",AB18="",AD18="",AF18=""),"",INDEX(CMEMISC[End Use Category],MATCH(F18,CMEMISC[Proj Desc 1],0)))</f>
        <v/>
      </c>
      <c r="AX18" s="800" t="str">
        <f>IF(OR(C18="",F18="",L18="",Q18="",S18="",U18="",Z18="",AB18="",AD18="",AF18=""),"",INDEX(CMEMISC[EUL],MATCH(F18,CMEMISC[Proj Desc 1],0)))</f>
        <v/>
      </c>
      <c r="AY18" s="1811" t="str">
        <f>IF(OR(C18="",F18="",L18="",Q18="",S18="",U18="",Z18="",AB18="",AD18="",AF18=""),"",INDEX(CMEMISC[Measure Number],MATCH(F18,CMEMISC[Proj Desc 1],0)))</f>
        <v/>
      </c>
      <c r="AZ18" s="1461" t="str">
        <f>IFERROR(ROUND(MIN(AH18*0.5,AO18*INDEX(ENDUSEALL[Inc Rate],MATCH(AW18,ENDUSEALL[End Use to Coincident Peak Demand Factors],0))),2),"")</f>
        <v/>
      </c>
      <c r="BA18" s="1461" t="str">
        <f>IFERROR(ROUND(MIN(AH18,AO18*INDEX(ENDUSEALL[Inc Rate],MATCH(AW18,ENDUSEALL[End Use to Coincident Peak Demand Factors],0))),2),"")</f>
        <v/>
      </c>
      <c r="BB18" s="1461" t="str">
        <f>IFERROR(AH18/M02S02F35/AO18,"")</f>
        <v/>
      </c>
      <c r="BC18" s="1461" t="str">
        <f>IFERROR(IF((Q18*S18)-(Z18*AB18)&lt;=0,MEASURESAV,IF(M02S02F35="",MEASURERATE, IF(AH18/M02S02F35/AO18&lt;1,MEASUREPAY,IF(AU18&lt;1,MEASURECB,"")))),MEASURESUBMIT)</f>
        <v>Submit for Review</v>
      </c>
      <c r="BD18" s="1461"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1204"/>
      <c r="C19" s="1538"/>
      <c r="D19" s="1538"/>
      <c r="E19" s="1538"/>
      <c r="F19" s="1825"/>
      <c r="G19" s="1825"/>
      <c r="H19" s="1825"/>
      <c r="I19" s="1825"/>
      <c r="J19" s="1825"/>
      <c r="K19" s="1825"/>
      <c r="L19" s="1825"/>
      <c r="M19" s="1825"/>
      <c r="N19" s="1825"/>
      <c r="O19" s="1825"/>
      <c r="P19" s="1825"/>
      <c r="Q19" s="1856"/>
      <c r="R19" s="1856"/>
      <c r="S19" s="1819"/>
      <c r="T19" s="1823"/>
      <c r="U19" s="826"/>
      <c r="V19" s="1825"/>
      <c r="W19" s="1825"/>
      <c r="X19" s="1825"/>
      <c r="Y19" s="1825"/>
      <c r="Z19" s="1856"/>
      <c r="AA19" s="1856"/>
      <c r="AB19" s="1819"/>
      <c r="AC19" s="1820"/>
      <c r="AD19" s="1725"/>
      <c r="AE19" s="1215"/>
      <c r="AF19" s="1725"/>
      <c r="AG19" s="1215"/>
      <c r="AH19" s="1835"/>
      <c r="AI19" s="1400"/>
      <c r="AJ19" s="1400"/>
      <c r="AK19" s="1837"/>
      <c r="AL19" s="1837"/>
      <c r="AM19" s="1837"/>
      <c r="AN19" s="1837"/>
      <c r="AO19" s="1424"/>
      <c r="AP19" s="1424"/>
      <c r="AQ19" s="1424"/>
      <c r="AR19" s="69"/>
      <c r="AU19" s="1052"/>
      <c r="AV19" s="1291"/>
      <c r="AW19" s="1816"/>
      <c r="AX19" s="801"/>
      <c r="AY19" s="1812"/>
      <c r="AZ19" s="1462"/>
      <c r="BA19" s="1462"/>
      <c r="BB19" s="1462"/>
      <c r="BC19" s="1462"/>
      <c r="BD19" s="1462"/>
    </row>
    <row r="20" spans="2:56" ht="15.95" customHeight="1" x14ac:dyDescent="0.25">
      <c r="B20" s="1204">
        <v>3</v>
      </c>
      <c r="C20" s="1854"/>
      <c r="D20" s="1854"/>
      <c r="E20" s="1854"/>
      <c r="F20" s="1824"/>
      <c r="G20" s="1824"/>
      <c r="H20" s="1824"/>
      <c r="I20" s="1824"/>
      <c r="J20" s="1824"/>
      <c r="K20" s="1824"/>
      <c r="L20" s="1824"/>
      <c r="M20" s="1824"/>
      <c r="N20" s="1824"/>
      <c r="O20" s="1824"/>
      <c r="P20" s="1824"/>
      <c r="Q20" s="1855"/>
      <c r="R20" s="1855"/>
      <c r="S20" s="1817"/>
      <c r="T20" s="1822"/>
      <c r="U20" s="1472"/>
      <c r="V20" s="1824"/>
      <c r="W20" s="1824"/>
      <c r="X20" s="1824"/>
      <c r="Y20" s="1824"/>
      <c r="Z20" s="1855"/>
      <c r="AA20" s="1855"/>
      <c r="AB20" s="1817"/>
      <c r="AC20" s="1818"/>
      <c r="AD20" s="1723"/>
      <c r="AE20" s="1821"/>
      <c r="AF20" s="1723"/>
      <c r="AG20" s="1821"/>
      <c r="AH20" s="1688" t="str">
        <f>IF(OR(C20="",F20="",L20="",Q20="",S20="",U20="",Z20="",AB20="",AD20="",AF20=""),"",ROUND(AD20+AF20,2))</f>
        <v/>
      </c>
      <c r="AI20" s="1834"/>
      <c r="AJ20" s="1834"/>
      <c r="AK20" s="1836" t="str">
        <f>IF(M02S02F44="","Update Install Status",IF(M02S02F44="Yes","Not Eligible if Pre-Purchased",IF(OR(C20="",F20="",L20="",Q20="",S20="",U20="",Z20="",AB20="",AD20="",AF20=""),"",IF(BC20&lt;&gt;"",BC20,IF(C20="New/Replace Failed Equip.",BA20,AZ20)))))</f>
        <v>Update Install Status</v>
      </c>
      <c r="AL20" s="1836"/>
      <c r="AM20" s="1836"/>
      <c r="AN20" s="1836"/>
      <c r="AO20" s="1838" t="str">
        <f>IF(OR(C20="",F20="",L20="",Q20="",S20="",U20="",Z20="",AB20="",AD20="",AF20=""),"",IF((Q20*S20)-(Z20*AB20)&lt;=0,0,ROUND((Q20*S20)-(Z20*AB20),0)))</f>
        <v/>
      </c>
      <c r="AP20" s="1838"/>
      <c r="AQ20" s="1838"/>
      <c r="AR20" s="69"/>
      <c r="AU20" s="1051" t="str">
        <f>IFERROR(IF(OR(C20="",F20="",L20="",Q20="",S20="",U20="",Z20="",AB20="",AD20="",AF20=""),"",((1+ELOSS)*PEAKTD*(1+INDEX(ELECCB[Capacity Reserve Margin],MATCH(AX20,ELECCB[Year Number],0)))*((AO20*INDEX(ELECCB[NPV AEC $/kWh],MATCH(AX20,ELECCB[Year Number],1)))+(AV20*INDEX(ELECCB[NPV ACC+T&amp;D $/kW],MATCH(AX20,ELECCB[Year Number],1))))/AH20)),0)</f>
        <v/>
      </c>
      <c r="AV20" s="1290" t="str">
        <f>IF(OR(C20="",F20="",L20="",Q20="",S20="",U20="",Z20="",AB20="",AD20="",AF20=""),"",ROUND(AO20*INDEX(ENDUSEALL[Factor],MATCH(AW20,ENDUSEALL[End Use to Coincident Peak Demand Factors],0)),4))</f>
        <v/>
      </c>
      <c r="AW20" s="1815" t="str">
        <f>IF(OR(C20="",F20="",L20="",Q20="",S20="",U20="",Z20="",AB20="",AD20="",AF20=""),"",INDEX(CMEMISC[End Use Category],MATCH(F20,CMEMISC[Proj Desc 1],0)))</f>
        <v/>
      </c>
      <c r="AX20" s="800" t="str">
        <f>IF(OR(C20="",F20="",L20="",Q20="",S20="",U20="",Z20="",AB20="",AD20="",AF20=""),"",INDEX(CMEMISC[EUL],MATCH(F20,CMEMISC[Proj Desc 1],0)))</f>
        <v/>
      </c>
      <c r="AY20" s="1811" t="str">
        <f>IF(OR(C20="",F20="",L20="",Q20="",S20="",U20="",Z20="",AB20="",AD20="",AF20=""),"",INDEX(CMEMISC[Measure Number],MATCH(F20,CMEMISC[Proj Desc 1],0)))</f>
        <v/>
      </c>
      <c r="AZ20" s="1461" t="str">
        <f>IFERROR(ROUND(MIN(AH20*0.5,AO20*INDEX(ENDUSEALL[Inc Rate],MATCH(AW20,ENDUSEALL[End Use to Coincident Peak Demand Factors],0))),2),"")</f>
        <v/>
      </c>
      <c r="BA20" s="1461" t="str">
        <f>IFERROR(ROUND(MIN(AH20,AO20*INDEX(ENDUSEALL[Inc Rate],MATCH(AW20,ENDUSEALL[End Use to Coincident Peak Demand Factors],0))),2),"")</f>
        <v/>
      </c>
      <c r="BB20" s="1461" t="str">
        <f>IFERROR(AH20/M02S02F35/AO20,"")</f>
        <v/>
      </c>
      <c r="BC20" s="1461" t="str">
        <f>IFERROR(IF((Q20*S20)-(Z20*AB20)&lt;=0,MEASURESAV,IF(M02S02F35="",MEASURERATE, IF(AH20/M02S02F35/AO20&lt;1,MEASUREPAY,IF(AU20&lt;1,MEASURECB,"")))),MEASURESUBMIT)</f>
        <v>Submit for Review</v>
      </c>
      <c r="BD20" s="1461"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1204"/>
      <c r="C21" s="1538"/>
      <c r="D21" s="1538"/>
      <c r="E21" s="1538"/>
      <c r="F21" s="1825"/>
      <c r="G21" s="1825"/>
      <c r="H21" s="1825"/>
      <c r="I21" s="1825"/>
      <c r="J21" s="1825"/>
      <c r="K21" s="1825"/>
      <c r="L21" s="1825"/>
      <c r="M21" s="1825"/>
      <c r="N21" s="1825"/>
      <c r="O21" s="1825"/>
      <c r="P21" s="1825"/>
      <c r="Q21" s="1856"/>
      <c r="R21" s="1856"/>
      <c r="S21" s="1819"/>
      <c r="T21" s="1823"/>
      <c r="U21" s="826"/>
      <c r="V21" s="1825"/>
      <c r="W21" s="1825"/>
      <c r="X21" s="1825"/>
      <c r="Y21" s="1825"/>
      <c r="Z21" s="1856"/>
      <c r="AA21" s="1856"/>
      <c r="AB21" s="1819"/>
      <c r="AC21" s="1820"/>
      <c r="AD21" s="1725"/>
      <c r="AE21" s="1215"/>
      <c r="AF21" s="1725"/>
      <c r="AG21" s="1215"/>
      <c r="AH21" s="1835"/>
      <c r="AI21" s="1400"/>
      <c r="AJ21" s="1400"/>
      <c r="AK21" s="1837"/>
      <c r="AL21" s="1837"/>
      <c r="AM21" s="1837"/>
      <c r="AN21" s="1837"/>
      <c r="AO21" s="1424"/>
      <c r="AP21" s="1424"/>
      <c r="AQ21" s="1424"/>
      <c r="AR21" s="69"/>
      <c r="AU21" s="1052"/>
      <c r="AV21" s="1291"/>
      <c r="AW21" s="1816"/>
      <c r="AX21" s="801"/>
      <c r="AY21" s="1812"/>
      <c r="AZ21" s="1462"/>
      <c r="BA21" s="1462"/>
      <c r="BB21" s="1462"/>
      <c r="BC21" s="1462"/>
      <c r="BD21" s="1462"/>
    </row>
    <row r="22" spans="2:56" ht="15.95" customHeight="1" x14ac:dyDescent="0.25">
      <c r="B22" s="1204">
        <v>4</v>
      </c>
      <c r="C22" s="1854"/>
      <c r="D22" s="1854"/>
      <c r="E22" s="1854"/>
      <c r="F22" s="1824"/>
      <c r="G22" s="1824"/>
      <c r="H22" s="1824"/>
      <c r="I22" s="1824"/>
      <c r="J22" s="1824"/>
      <c r="K22" s="1824"/>
      <c r="L22" s="1824"/>
      <c r="M22" s="1824"/>
      <c r="N22" s="1824"/>
      <c r="O22" s="1824"/>
      <c r="P22" s="1824"/>
      <c r="Q22" s="1855"/>
      <c r="R22" s="1855"/>
      <c r="S22" s="1817"/>
      <c r="T22" s="1822"/>
      <c r="U22" s="1472"/>
      <c r="V22" s="1824"/>
      <c r="W22" s="1824"/>
      <c r="X22" s="1824"/>
      <c r="Y22" s="1824"/>
      <c r="Z22" s="1855"/>
      <c r="AA22" s="1855"/>
      <c r="AB22" s="1817"/>
      <c r="AC22" s="1818"/>
      <c r="AD22" s="1723"/>
      <c r="AE22" s="1821"/>
      <c r="AF22" s="1723"/>
      <c r="AG22" s="1821"/>
      <c r="AH22" s="1688" t="str">
        <f>IF(OR(C22="",F22="",L22="",Q22="",S22="",U22="",Z22="",AB22="",AD22="",AF22=""),"",ROUND(AD22+AF22,2))</f>
        <v/>
      </c>
      <c r="AI22" s="1834"/>
      <c r="AJ22" s="1834"/>
      <c r="AK22" s="1836" t="str">
        <f>IF(M02S02F44="","Update Install Status",IF(M02S02F44="Yes","Not Eligible if Pre-Purchased",IF(OR(C22="",F22="",L22="",Q22="",S22="",U22="",Z22="",AB22="",AD22="",AF22=""),"",IF(BC22&lt;&gt;"",BC22,IF(C22="New/Replace Failed Equip.",BA22,AZ22)))))</f>
        <v>Update Install Status</v>
      </c>
      <c r="AL22" s="1836"/>
      <c r="AM22" s="1836"/>
      <c r="AN22" s="1836"/>
      <c r="AO22" s="1838" t="str">
        <f>IF(OR(C22="",F22="",L22="",Q22="",S22="",U22="",Z22="",AB22="",AD22="",AF22=""),"",IF((Q22*S22)-(Z22*AB22)&lt;=0,0,ROUND((Q22*S22)-(Z22*AB22),0)))</f>
        <v/>
      </c>
      <c r="AP22" s="1838"/>
      <c r="AQ22" s="1838"/>
      <c r="AR22" s="69"/>
      <c r="AU22" s="1051" t="str">
        <f>IFERROR(IF(OR(C22="",F22="",L22="",Q22="",S22="",U22="",Z22="",AB22="",AD22="",AF22=""),"",((1+ELOSS)*PEAKTD*(1+INDEX(ELECCB[Capacity Reserve Margin],MATCH(AX22,ELECCB[Year Number],0)))*((AO22*INDEX(ELECCB[NPV AEC $/kWh],MATCH(AX22,ELECCB[Year Number],1)))+(AV22*INDEX(ELECCB[NPV ACC+T&amp;D $/kW],MATCH(AX22,ELECCB[Year Number],1))))/AH22)),0)</f>
        <v/>
      </c>
      <c r="AV22" s="1290" t="str">
        <f>IF(OR(C22="",F22="",L22="",Q22="",S22="",U22="",Z22="",AB22="",AD22="",AF22=""),"",ROUND(AO22*INDEX(ENDUSEALL[Factor],MATCH(AW22,ENDUSEALL[End Use to Coincident Peak Demand Factors],0)),4))</f>
        <v/>
      </c>
      <c r="AW22" s="1815" t="str">
        <f>IF(OR(C22="",F22="",L22="",Q22="",S22="",U22="",Z22="",AB22="",AD22="",AF22=""),"",INDEX(CMEMISC[End Use Category],MATCH(F22,CMEMISC[Proj Desc 1],0)))</f>
        <v/>
      </c>
      <c r="AX22" s="800" t="str">
        <f>IF(OR(C22="",F22="",L22="",Q22="",S22="",U22="",Z22="",AB22="",AD22="",AF22=""),"",INDEX(CMEMISC[EUL],MATCH(F22,CMEMISC[Proj Desc 1],0)))</f>
        <v/>
      </c>
      <c r="AY22" s="1811" t="str">
        <f>IF(OR(C22="",F22="",L22="",Q22="",S22="",U22="",Z22="",AB22="",AD22="",AF22=""),"",INDEX(CMEMISC[Measure Number],MATCH(F22,CMEMISC[Proj Desc 1],0)))</f>
        <v/>
      </c>
      <c r="AZ22" s="1461" t="str">
        <f>IFERROR(ROUND(MIN(AH22*0.5,AO22*INDEX(ENDUSEALL[Inc Rate],MATCH(AW22,ENDUSEALL[End Use to Coincident Peak Demand Factors],0))),2),"")</f>
        <v/>
      </c>
      <c r="BA22" s="1461" t="str">
        <f>IFERROR(ROUND(MIN(AH22,AO22*INDEX(ENDUSEALL[Inc Rate],MATCH(AW22,ENDUSEALL[End Use to Coincident Peak Demand Factors],0))),2),"")</f>
        <v/>
      </c>
      <c r="BB22" s="1461" t="str">
        <f>IFERROR(AH22/M02S02F35/AO22,"")</f>
        <v/>
      </c>
      <c r="BC22" s="1461" t="str">
        <f>IFERROR(IF((Q22*S22)-(Z22*AB22)&lt;=0,MEASURESAV,IF(M02S02F35="",MEASURERATE, IF(AH22/M02S02F35/AO22&lt;1,MEASUREPAY,IF(AU22&lt;1,MEASURECB,"")))),MEASURESUBMIT)</f>
        <v>Submit for Review</v>
      </c>
      <c r="BD22" s="1461"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1204"/>
      <c r="C23" s="1538"/>
      <c r="D23" s="1538"/>
      <c r="E23" s="1538"/>
      <c r="F23" s="1825"/>
      <c r="G23" s="1825"/>
      <c r="H23" s="1825"/>
      <c r="I23" s="1825"/>
      <c r="J23" s="1825"/>
      <c r="K23" s="1825"/>
      <c r="L23" s="1825"/>
      <c r="M23" s="1825"/>
      <c r="N23" s="1825"/>
      <c r="O23" s="1825"/>
      <c r="P23" s="1825"/>
      <c r="Q23" s="1856"/>
      <c r="R23" s="1856"/>
      <c r="S23" s="1819"/>
      <c r="T23" s="1823"/>
      <c r="U23" s="826"/>
      <c r="V23" s="1825"/>
      <c r="W23" s="1825"/>
      <c r="X23" s="1825"/>
      <c r="Y23" s="1825"/>
      <c r="Z23" s="1856"/>
      <c r="AA23" s="1856"/>
      <c r="AB23" s="1819"/>
      <c r="AC23" s="1820"/>
      <c r="AD23" s="1725"/>
      <c r="AE23" s="1215"/>
      <c r="AF23" s="1725"/>
      <c r="AG23" s="1215"/>
      <c r="AH23" s="1835"/>
      <c r="AI23" s="1400"/>
      <c r="AJ23" s="1400"/>
      <c r="AK23" s="1837"/>
      <c r="AL23" s="1837"/>
      <c r="AM23" s="1837"/>
      <c r="AN23" s="1837"/>
      <c r="AO23" s="1424"/>
      <c r="AP23" s="1424"/>
      <c r="AQ23" s="1424"/>
      <c r="AR23" s="69"/>
      <c r="AU23" s="1052"/>
      <c r="AV23" s="1291"/>
      <c r="AW23" s="1816"/>
      <c r="AX23" s="801"/>
      <c r="AY23" s="1812"/>
      <c r="AZ23" s="1462"/>
      <c r="BA23" s="1462"/>
      <c r="BB23" s="1462"/>
      <c r="BC23" s="1462"/>
      <c r="BD23" s="1462"/>
    </row>
    <row r="24" spans="2:56" ht="15.95" customHeight="1" x14ac:dyDescent="0.25">
      <c r="B24" s="1204">
        <v>5</v>
      </c>
      <c r="C24" s="1854"/>
      <c r="D24" s="1854"/>
      <c r="E24" s="1854"/>
      <c r="F24" s="1824"/>
      <c r="G24" s="1824"/>
      <c r="H24" s="1824"/>
      <c r="I24" s="1824"/>
      <c r="J24" s="1824"/>
      <c r="K24" s="1824"/>
      <c r="L24" s="1824"/>
      <c r="M24" s="1824"/>
      <c r="N24" s="1824"/>
      <c r="O24" s="1824"/>
      <c r="P24" s="1824"/>
      <c r="Q24" s="1855"/>
      <c r="R24" s="1855"/>
      <c r="S24" s="1817"/>
      <c r="T24" s="1822"/>
      <c r="U24" s="1472"/>
      <c r="V24" s="1824"/>
      <c r="W24" s="1824"/>
      <c r="X24" s="1824"/>
      <c r="Y24" s="1824"/>
      <c r="Z24" s="1855"/>
      <c r="AA24" s="1855"/>
      <c r="AB24" s="1817"/>
      <c r="AC24" s="1818"/>
      <c r="AD24" s="1723"/>
      <c r="AE24" s="1821"/>
      <c r="AF24" s="1723"/>
      <c r="AG24" s="1821"/>
      <c r="AH24" s="1688" t="str">
        <f>IF(OR(C24="",F24="",L24="",Q24="",S24="",U24="",Z24="",AB24="",AD24="",AF24=""),"",ROUND(AD24+AF24,2))</f>
        <v/>
      </c>
      <c r="AI24" s="1834"/>
      <c r="AJ24" s="1834"/>
      <c r="AK24" s="1836" t="str">
        <f>IF(M02S02F44="","Update Install Status",IF(M02S02F44="Yes","Not Eligible if Pre-Purchased",IF(OR(C24="",F24="",L24="",Q24="",S24="",U24="",Z24="",AB24="",AD24="",AF24=""),"",IF(BC24&lt;&gt;"",BC24,IF(C24="New/Replace Failed Equip.",BA24,AZ24)))))</f>
        <v>Update Install Status</v>
      </c>
      <c r="AL24" s="1836"/>
      <c r="AM24" s="1836"/>
      <c r="AN24" s="1836"/>
      <c r="AO24" s="1838" t="str">
        <f>IF(OR(C24="",F24="",L24="",Q24="",S24="",U24="",Z24="",AB24="",AD24="",AF24=""),"",IF((Q24*S24)-(Z24*AB24)&lt;=0,0,ROUND((Q24*S24)-(Z24*AB24),0)))</f>
        <v/>
      </c>
      <c r="AP24" s="1838"/>
      <c r="AQ24" s="1838"/>
      <c r="AR24" s="69"/>
      <c r="AU24" s="1051" t="str">
        <f>IFERROR(IF(OR(C24="",F24="",L24="",Q24="",S24="",U24="",Z24="",AB24="",AD24="",AF24=""),"",((1+ELOSS)*PEAKTD*(1+INDEX(ELECCB[Capacity Reserve Margin],MATCH(AX24,ELECCB[Year Number],0)))*((AO24*INDEX(ELECCB[NPV AEC $/kWh],MATCH(AX24,ELECCB[Year Number],1)))+(AV24*INDEX(ELECCB[NPV ACC+T&amp;D $/kW],MATCH(AX24,ELECCB[Year Number],1))))/AH24)),0)</f>
        <v/>
      </c>
      <c r="AV24" s="1290" t="str">
        <f>IF(OR(C24="",F24="",L24="",Q24="",S24="",U24="",Z24="",AB24="",AD24="",AF24=""),"",ROUND(AO24*INDEX(ENDUSEALL[Factor],MATCH(AW24,ENDUSEALL[End Use to Coincident Peak Demand Factors],0)),4))</f>
        <v/>
      </c>
      <c r="AW24" s="1815" t="str">
        <f>IF(OR(C24="",F24="",L24="",Q24="",S24="",U24="",Z24="",AB24="",AD24="",AF24=""),"",INDEX(CMEMISC[End Use Category],MATCH(F24,CMEMISC[Proj Desc 1],0)))</f>
        <v/>
      </c>
      <c r="AX24" s="800" t="str">
        <f>IF(OR(C24="",F24="",L24="",Q24="",S24="",U24="",Z24="",AB24="",AD24="",AF24=""),"",INDEX(CMEMISC[EUL],MATCH(F24,CMEMISC[Proj Desc 1],0)))</f>
        <v/>
      </c>
      <c r="AY24" s="1811" t="str">
        <f>IF(OR(C24="",F24="",L24="",Q24="",S24="",U24="",Z24="",AB24="",AD24="",AF24=""),"",INDEX(CMEMISC[Measure Number],MATCH(F24,CMEMISC[Proj Desc 1],0)))</f>
        <v/>
      </c>
      <c r="AZ24" s="1461" t="str">
        <f>IFERROR(ROUND(MIN(AH24*0.5,AO24*INDEX(ENDUSEALL[Inc Rate],MATCH(AW24,ENDUSEALL[End Use to Coincident Peak Demand Factors],0))),2),"")</f>
        <v/>
      </c>
      <c r="BA24" s="1461" t="str">
        <f>IFERROR(ROUND(MIN(AH24,AO24*INDEX(ENDUSEALL[Inc Rate],MATCH(AW24,ENDUSEALL[End Use to Coincident Peak Demand Factors],0))),2),"")</f>
        <v/>
      </c>
      <c r="BB24" s="1461" t="str">
        <f>IFERROR(AH24/M02S02F35/AO24,"")</f>
        <v/>
      </c>
      <c r="BC24" s="1461" t="str">
        <f>IFERROR(IF((Q24*S24)-(Z24*AB24)&lt;=0,MEASURESAV,IF(M02S02F35="",MEASURERATE, IF(AH24/M02S02F35/AO24&lt;1,MEASUREPAY,IF(AU24&lt;1,MEASURECB,"")))),MEASURESUBMIT)</f>
        <v>Submit for Review</v>
      </c>
      <c r="BD24" s="1461"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1204"/>
      <c r="C25" s="1538"/>
      <c r="D25" s="1538"/>
      <c r="E25" s="1538"/>
      <c r="F25" s="1825"/>
      <c r="G25" s="1825"/>
      <c r="H25" s="1825"/>
      <c r="I25" s="1825"/>
      <c r="J25" s="1825"/>
      <c r="K25" s="1825"/>
      <c r="L25" s="1825"/>
      <c r="M25" s="1825"/>
      <c r="N25" s="1825"/>
      <c r="O25" s="1825"/>
      <c r="P25" s="1825"/>
      <c r="Q25" s="1856"/>
      <c r="R25" s="1856"/>
      <c r="S25" s="1819"/>
      <c r="T25" s="1823"/>
      <c r="U25" s="826"/>
      <c r="V25" s="1825"/>
      <c r="W25" s="1825"/>
      <c r="X25" s="1825"/>
      <c r="Y25" s="1825"/>
      <c r="Z25" s="1856"/>
      <c r="AA25" s="1856"/>
      <c r="AB25" s="1819"/>
      <c r="AC25" s="1820"/>
      <c r="AD25" s="1725"/>
      <c r="AE25" s="1215"/>
      <c r="AF25" s="1725"/>
      <c r="AG25" s="1215"/>
      <c r="AH25" s="1835"/>
      <c r="AI25" s="1400"/>
      <c r="AJ25" s="1400"/>
      <c r="AK25" s="1837"/>
      <c r="AL25" s="1837"/>
      <c r="AM25" s="1837"/>
      <c r="AN25" s="1837"/>
      <c r="AO25" s="1424"/>
      <c r="AP25" s="1424"/>
      <c r="AQ25" s="1424"/>
      <c r="AR25" s="69"/>
      <c r="AU25" s="1052"/>
      <c r="AV25" s="1291"/>
      <c r="AW25" s="1816"/>
      <c r="AX25" s="801"/>
      <c r="AY25" s="1812"/>
      <c r="AZ25" s="1462"/>
      <c r="BA25" s="1462"/>
      <c r="BB25" s="1462"/>
      <c r="BC25" s="1462"/>
      <c r="BD25" s="1462"/>
    </row>
    <row r="26" spans="2:56" ht="15.95" customHeight="1" x14ac:dyDescent="0.25">
      <c r="B26" s="1204">
        <v>6</v>
      </c>
      <c r="C26" s="1854"/>
      <c r="D26" s="1854"/>
      <c r="E26" s="1854"/>
      <c r="F26" s="1824"/>
      <c r="G26" s="1824"/>
      <c r="H26" s="1824"/>
      <c r="I26" s="1824"/>
      <c r="J26" s="1824"/>
      <c r="K26" s="1824"/>
      <c r="L26" s="1824"/>
      <c r="M26" s="1824"/>
      <c r="N26" s="1824"/>
      <c r="O26" s="1824"/>
      <c r="P26" s="1824"/>
      <c r="Q26" s="1855"/>
      <c r="R26" s="1855"/>
      <c r="S26" s="1817"/>
      <c r="T26" s="1822"/>
      <c r="U26" s="1472"/>
      <c r="V26" s="1824"/>
      <c r="W26" s="1824"/>
      <c r="X26" s="1824"/>
      <c r="Y26" s="1824"/>
      <c r="Z26" s="1855"/>
      <c r="AA26" s="1855"/>
      <c r="AB26" s="1817"/>
      <c r="AC26" s="1818"/>
      <c r="AD26" s="1723"/>
      <c r="AE26" s="1821"/>
      <c r="AF26" s="1723"/>
      <c r="AG26" s="1821"/>
      <c r="AH26" s="1688" t="str">
        <f>IF(OR(C26="",F26="",L26="",Q26="",S26="",U26="",Z26="",AB26="",AD26="",AF26=""),"",ROUND(AD26+AF26,2))</f>
        <v/>
      </c>
      <c r="AI26" s="1834"/>
      <c r="AJ26" s="1834"/>
      <c r="AK26" s="1836" t="str">
        <f>IF(M02S02F44="","Update Install Status",IF(M02S02F44="Yes","Not Eligible if Pre-Purchased",IF(OR(C26="",F26="",L26="",Q26="",S26="",U26="",Z26="",AB26="",AD26="",AF26=""),"",IF(BC26&lt;&gt;"",BC26,IF(C26="New/Replace Failed Equip.",BA26,AZ26)))))</f>
        <v>Update Install Status</v>
      </c>
      <c r="AL26" s="1836"/>
      <c r="AM26" s="1836"/>
      <c r="AN26" s="1836"/>
      <c r="AO26" s="1838" t="str">
        <f>IF(OR(C26="",F26="",L26="",Q26="",S26="",U26="",Z26="",AB26="",AD26="",AF26=""),"",IF((Q26*S26)-(Z26*AB26)&lt;=0,0,ROUND((Q26*S26)-(Z26*AB26),0)))</f>
        <v/>
      </c>
      <c r="AP26" s="1838"/>
      <c r="AQ26" s="1838"/>
      <c r="AR26" s="69"/>
      <c r="AU26" s="1051" t="str">
        <f>IFERROR(IF(OR(C26="",F26="",L26="",Q26="",S26="",U26="",Z26="",AB26="",AD26="",AF26=""),"",((1+ELOSS)*PEAKTD*(1+INDEX(ELECCB[Capacity Reserve Margin],MATCH(AX26,ELECCB[Year Number],0)))*((AO26*INDEX(ELECCB[NPV AEC $/kWh],MATCH(AX26,ELECCB[Year Number],1)))+(AV26*INDEX(ELECCB[NPV ACC+T&amp;D $/kW],MATCH(AX26,ELECCB[Year Number],1))))/AH26)),0)</f>
        <v/>
      </c>
      <c r="AV26" s="1290" t="str">
        <f>IF(OR(C26="",F26="",L26="",Q26="",S26="",U26="",Z26="",AB26="",AD26="",AF26=""),"",ROUND(AO26*INDEX(ENDUSEALL[Factor],MATCH(AW26,ENDUSEALL[End Use to Coincident Peak Demand Factors],0)),4))</f>
        <v/>
      </c>
      <c r="AW26" s="1815" t="str">
        <f>IF(OR(C26="",F26="",L26="",Q26="",S26="",U26="",Z26="",AB26="",AD26="",AF26=""),"",INDEX(CMEMISC[End Use Category],MATCH(F26,CMEMISC[Proj Desc 1],0)))</f>
        <v/>
      </c>
      <c r="AX26" s="800" t="str">
        <f>IF(OR(C26="",F26="",L26="",Q26="",S26="",U26="",Z26="",AB26="",AD26="",AF26=""),"",INDEX(CMEMISC[EUL],MATCH(F26,CMEMISC[Proj Desc 1],0)))</f>
        <v/>
      </c>
      <c r="AY26" s="1811" t="str">
        <f>IF(OR(C26="",F26="",L26="",Q26="",S26="",U26="",Z26="",AB26="",AD26="",AF26=""),"",INDEX(CMEMISC[Measure Number],MATCH(F26,CMEMISC[Proj Desc 1],0)))</f>
        <v/>
      </c>
      <c r="AZ26" s="1461" t="str">
        <f>IFERROR(ROUND(MIN(AH26*0.5,AO26*INDEX(ENDUSEALL[Inc Rate],MATCH(AW26,ENDUSEALL[End Use to Coincident Peak Demand Factors],0))),2),"")</f>
        <v/>
      </c>
      <c r="BA26" s="1461" t="str">
        <f>IFERROR(ROUND(MIN(AH26,AO26*INDEX(ENDUSEALL[Inc Rate],MATCH(AW26,ENDUSEALL[End Use to Coincident Peak Demand Factors],0))),2),"")</f>
        <v/>
      </c>
      <c r="BB26" s="1461" t="str">
        <f>IFERROR(AH26/M02S02F35/AO26,"")</f>
        <v/>
      </c>
      <c r="BC26" s="1461" t="str">
        <f>IFERROR(IF((Q26*S26)-(Z26*AB26)&lt;=0,MEASURESAV,IF(M02S02F35="",MEASURERATE, IF(AH26/M02S02F35/AO26&lt;1,MEASUREPAY,IF(AU26&lt;1,MEASURECB,"")))),MEASURESUBMIT)</f>
        <v>Submit for Review</v>
      </c>
      <c r="BD26" s="1461"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1204"/>
      <c r="C27" s="1538"/>
      <c r="D27" s="1538"/>
      <c r="E27" s="1538"/>
      <c r="F27" s="1825"/>
      <c r="G27" s="1825"/>
      <c r="H27" s="1825"/>
      <c r="I27" s="1825"/>
      <c r="J27" s="1825"/>
      <c r="K27" s="1825"/>
      <c r="L27" s="1825"/>
      <c r="M27" s="1825"/>
      <c r="N27" s="1825"/>
      <c r="O27" s="1825"/>
      <c r="P27" s="1825"/>
      <c r="Q27" s="1856"/>
      <c r="R27" s="1856"/>
      <c r="S27" s="1819"/>
      <c r="T27" s="1823"/>
      <c r="U27" s="826"/>
      <c r="V27" s="1825"/>
      <c r="W27" s="1825"/>
      <c r="X27" s="1825"/>
      <c r="Y27" s="1825"/>
      <c r="Z27" s="1856"/>
      <c r="AA27" s="1856"/>
      <c r="AB27" s="1819"/>
      <c r="AC27" s="1820"/>
      <c r="AD27" s="1725"/>
      <c r="AE27" s="1215"/>
      <c r="AF27" s="1725"/>
      <c r="AG27" s="1215"/>
      <c r="AH27" s="1835"/>
      <c r="AI27" s="1400"/>
      <c r="AJ27" s="1400"/>
      <c r="AK27" s="1837"/>
      <c r="AL27" s="1837"/>
      <c r="AM27" s="1837"/>
      <c r="AN27" s="1837"/>
      <c r="AO27" s="1424"/>
      <c r="AP27" s="1424"/>
      <c r="AQ27" s="1424"/>
      <c r="AR27" s="69"/>
      <c r="AU27" s="1052"/>
      <c r="AV27" s="1291"/>
      <c r="AW27" s="1816"/>
      <c r="AX27" s="801"/>
      <c r="AY27" s="1812"/>
      <c r="AZ27" s="1462"/>
      <c r="BA27" s="1462"/>
      <c r="BB27" s="1462"/>
      <c r="BC27" s="1462"/>
      <c r="BD27" s="1462"/>
    </row>
    <row r="28" spans="2:56" ht="15.95" customHeight="1" x14ac:dyDescent="0.25">
      <c r="B28" s="1204">
        <v>7</v>
      </c>
      <c r="C28" s="1854"/>
      <c r="D28" s="1854"/>
      <c r="E28" s="1854"/>
      <c r="F28" s="1824"/>
      <c r="G28" s="1824"/>
      <c r="H28" s="1824"/>
      <c r="I28" s="1824"/>
      <c r="J28" s="1824"/>
      <c r="K28" s="1824"/>
      <c r="L28" s="1824"/>
      <c r="M28" s="1824"/>
      <c r="N28" s="1824"/>
      <c r="O28" s="1824"/>
      <c r="P28" s="1824"/>
      <c r="Q28" s="1855"/>
      <c r="R28" s="1855"/>
      <c r="S28" s="1817"/>
      <c r="T28" s="1822"/>
      <c r="U28" s="1472"/>
      <c r="V28" s="1824"/>
      <c r="W28" s="1824"/>
      <c r="X28" s="1824"/>
      <c r="Y28" s="1824"/>
      <c r="Z28" s="1855"/>
      <c r="AA28" s="1855"/>
      <c r="AB28" s="1817"/>
      <c r="AC28" s="1818"/>
      <c r="AD28" s="1723"/>
      <c r="AE28" s="1821"/>
      <c r="AF28" s="1723"/>
      <c r="AG28" s="1821"/>
      <c r="AH28" s="1688" t="str">
        <f>IF(OR(C28="",F28="",L28="",Q28="",S28="",U28="",Z28="",AB28="",AD28="",AF28=""),"",ROUND(AD28+AF28,2))</f>
        <v/>
      </c>
      <c r="AI28" s="1834"/>
      <c r="AJ28" s="1834"/>
      <c r="AK28" s="1836" t="str">
        <f>IF(M02S02F44="","Update Install Status",IF(M02S02F44="Yes","Not Eligible if Pre-Purchased",IF(OR(C28="",F28="",L28="",Q28="",S28="",U28="",Z28="",AB28="",AD28="",AF28=""),"",IF(BC28&lt;&gt;"",BC28,IF(C28="New/Replace Failed Equip.",BA28,AZ28)))))</f>
        <v>Update Install Status</v>
      </c>
      <c r="AL28" s="1836"/>
      <c r="AM28" s="1836"/>
      <c r="AN28" s="1836"/>
      <c r="AO28" s="1838" t="str">
        <f>IF(OR(C28="",F28="",L28="",Q28="",S28="",U28="",Z28="",AB28="",AD28="",AF28=""),"",IF((Q28*S28)-(Z28*AB28)&lt;=0,0,ROUND((Q28*S28)-(Z28*AB28),0)))</f>
        <v/>
      </c>
      <c r="AP28" s="1838"/>
      <c r="AQ28" s="1838"/>
      <c r="AR28" s="69"/>
      <c r="AU28" s="1051" t="str">
        <f>IFERROR(IF(OR(C28="",F28="",L28="",Q28="",S28="",U28="",Z28="",AB28="",AD28="",AF28=""),"",((1+ELOSS)*PEAKTD*(1+INDEX(ELECCB[Capacity Reserve Margin],MATCH(AX28,ELECCB[Year Number],0)))*((AO28*INDEX(ELECCB[NPV AEC $/kWh],MATCH(AX28,ELECCB[Year Number],1)))+(AV28*INDEX(ELECCB[NPV ACC+T&amp;D $/kW],MATCH(AX28,ELECCB[Year Number],1))))/AH28)),0)</f>
        <v/>
      </c>
      <c r="AV28" s="1290" t="str">
        <f>IF(OR(C28="",F28="",L28="",Q28="",S28="",U28="",Z28="",AB28="",AD28="",AF28=""),"",ROUND(AO28*INDEX(ENDUSEALL[Factor],MATCH(AW28,ENDUSEALL[End Use to Coincident Peak Demand Factors],0)),4))</f>
        <v/>
      </c>
      <c r="AW28" s="1815" t="str">
        <f>IF(OR(C28="",F28="",L28="",Q28="",S28="",U28="",Z28="",AB28="",AD28="",AF28=""),"",INDEX(CMEMISC[End Use Category],MATCH(F28,CMEMISC[Proj Desc 1],0)))</f>
        <v/>
      </c>
      <c r="AX28" s="800" t="str">
        <f>IF(OR(C28="",F28="",L28="",Q28="",S28="",U28="",Z28="",AB28="",AD28="",AF28=""),"",INDEX(CMEMISC[EUL],MATCH(F28,CMEMISC[Proj Desc 1],0)))</f>
        <v/>
      </c>
      <c r="AY28" s="1811" t="str">
        <f>IF(OR(C28="",F28="",L28="",Q28="",S28="",U28="",Z28="",AB28="",AD28="",AF28=""),"",INDEX(CMEMISC[Measure Number],MATCH(F28,CMEMISC[Proj Desc 1],0)))</f>
        <v/>
      </c>
      <c r="AZ28" s="1461" t="str">
        <f>IFERROR(ROUND(MIN(AH28*0.5,AO28*INDEX(ENDUSEALL[Inc Rate],MATCH(AW28,ENDUSEALL[End Use to Coincident Peak Demand Factors],0))),2),"")</f>
        <v/>
      </c>
      <c r="BA28" s="1461" t="str">
        <f>IFERROR(ROUND(MIN(AH28,AO28*INDEX(ENDUSEALL[Inc Rate],MATCH(AW28,ENDUSEALL[End Use to Coincident Peak Demand Factors],0))),2),"")</f>
        <v/>
      </c>
      <c r="BB28" s="1461" t="str">
        <f>IFERROR(AH28/M02S02F35/AO28,"")</f>
        <v/>
      </c>
      <c r="BC28" s="1461" t="str">
        <f>IFERROR(IF((Q28*S28)-(Z28*AB28)&lt;=0,MEASURESAV,IF(M02S02F35="",MEASURERATE, IF(AH28/M02S02F35/AO28&lt;1,MEASUREPAY,IF(AU28&lt;1,MEASURECB,"")))),MEASURESUBMIT)</f>
        <v>Submit for Review</v>
      </c>
      <c r="BD28" s="1461"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1204"/>
      <c r="C29" s="1538"/>
      <c r="D29" s="1538"/>
      <c r="E29" s="1538"/>
      <c r="F29" s="1825"/>
      <c r="G29" s="1825"/>
      <c r="H29" s="1825"/>
      <c r="I29" s="1825"/>
      <c r="J29" s="1825"/>
      <c r="K29" s="1825"/>
      <c r="L29" s="1825"/>
      <c r="M29" s="1825"/>
      <c r="N29" s="1825"/>
      <c r="O29" s="1825"/>
      <c r="P29" s="1825"/>
      <c r="Q29" s="1856"/>
      <c r="R29" s="1856"/>
      <c r="S29" s="1819"/>
      <c r="T29" s="1823"/>
      <c r="U29" s="826"/>
      <c r="V29" s="1825"/>
      <c r="W29" s="1825"/>
      <c r="X29" s="1825"/>
      <c r="Y29" s="1825"/>
      <c r="Z29" s="1856"/>
      <c r="AA29" s="1856"/>
      <c r="AB29" s="1819"/>
      <c r="AC29" s="1820"/>
      <c r="AD29" s="1725"/>
      <c r="AE29" s="1215"/>
      <c r="AF29" s="1725"/>
      <c r="AG29" s="1215"/>
      <c r="AH29" s="1835"/>
      <c r="AI29" s="1400"/>
      <c r="AJ29" s="1400"/>
      <c r="AK29" s="1837"/>
      <c r="AL29" s="1837"/>
      <c r="AM29" s="1837"/>
      <c r="AN29" s="1837"/>
      <c r="AO29" s="1424"/>
      <c r="AP29" s="1424"/>
      <c r="AQ29" s="1424"/>
      <c r="AR29" s="69"/>
      <c r="AU29" s="1052"/>
      <c r="AV29" s="1291"/>
      <c r="AW29" s="1816"/>
      <c r="AX29" s="801"/>
      <c r="AY29" s="1812"/>
      <c r="AZ29" s="1462"/>
      <c r="BA29" s="1462"/>
      <c r="BB29" s="1462"/>
      <c r="BC29" s="1462"/>
      <c r="BD29" s="1462"/>
    </row>
    <row r="30" spans="2:56" ht="15.95" customHeight="1" x14ac:dyDescent="0.25">
      <c r="B30" s="1204">
        <v>8</v>
      </c>
      <c r="C30" s="1854"/>
      <c r="D30" s="1854"/>
      <c r="E30" s="1854"/>
      <c r="F30" s="1824"/>
      <c r="G30" s="1824"/>
      <c r="H30" s="1824"/>
      <c r="I30" s="1824"/>
      <c r="J30" s="1824"/>
      <c r="K30" s="1824"/>
      <c r="L30" s="1824"/>
      <c r="M30" s="1824"/>
      <c r="N30" s="1824"/>
      <c r="O30" s="1824"/>
      <c r="P30" s="1824"/>
      <c r="Q30" s="1855"/>
      <c r="R30" s="1855"/>
      <c r="S30" s="1817"/>
      <c r="T30" s="1822"/>
      <c r="U30" s="1472"/>
      <c r="V30" s="1824"/>
      <c r="W30" s="1824"/>
      <c r="X30" s="1824"/>
      <c r="Y30" s="1824"/>
      <c r="Z30" s="1855"/>
      <c r="AA30" s="1855"/>
      <c r="AB30" s="1817"/>
      <c r="AC30" s="1818"/>
      <c r="AD30" s="1723"/>
      <c r="AE30" s="1821"/>
      <c r="AF30" s="1723"/>
      <c r="AG30" s="1821"/>
      <c r="AH30" s="1688" t="str">
        <f>IF(OR(C30="",F30="",L30="",Q30="",S30="",U30="",Z30="",AB30="",AD30="",AF30=""),"",ROUND(AD30+AF30,2))</f>
        <v/>
      </c>
      <c r="AI30" s="1834"/>
      <c r="AJ30" s="1834"/>
      <c r="AK30" s="1836" t="str">
        <f>IF(M02S02F44="","Update Install Status",IF(M02S02F44="Yes","Not Eligible if Pre-Purchased",IF(OR(C30="",F30="",L30="",Q30="",S30="",U30="",Z30="",AB30="",AD30="",AF30=""),"",IF(BC30&lt;&gt;"",BC30,IF(C30="New/Replace Failed Equip.",BA30,AZ30)))))</f>
        <v>Update Install Status</v>
      </c>
      <c r="AL30" s="1836"/>
      <c r="AM30" s="1836"/>
      <c r="AN30" s="1836"/>
      <c r="AO30" s="1838" t="str">
        <f>IF(OR(C30="",F30="",L30="",Q30="",S30="",U30="",Z30="",AB30="",AD30="",AF30=""),"",IF((Q30*S30)-(Z30*AB30)&lt;=0,0,ROUND((Q30*S30)-(Z30*AB30),0)))</f>
        <v/>
      </c>
      <c r="AP30" s="1838"/>
      <c r="AQ30" s="1838"/>
      <c r="AR30" s="69"/>
      <c r="AU30" s="1051" t="str">
        <f>IFERROR(IF(OR(C30="",F30="",L30="",Q30="",S30="",U30="",Z30="",AB30="",AD30="",AF30=""),"",((1+ELOSS)*PEAKTD*(1+INDEX(ELECCB[Capacity Reserve Margin],MATCH(AX30,ELECCB[Year Number],0)))*((AO30*INDEX(ELECCB[NPV AEC $/kWh],MATCH(AX30,ELECCB[Year Number],1)))+(AV30*INDEX(ELECCB[NPV ACC+T&amp;D $/kW],MATCH(AX30,ELECCB[Year Number],1))))/AH30)),0)</f>
        <v/>
      </c>
      <c r="AV30" s="1290" t="str">
        <f>IF(OR(C30="",F30="",L30="",Q30="",S30="",U30="",Z30="",AB30="",AD30="",AF30=""),"",ROUND(AO30*INDEX(ENDUSEALL[Factor],MATCH(AW30,ENDUSEALL[End Use to Coincident Peak Demand Factors],0)),4))</f>
        <v/>
      </c>
      <c r="AW30" s="1815" t="str">
        <f>IF(OR(C30="",F30="",L30="",Q30="",S30="",U30="",Z30="",AB30="",AD30="",AF30=""),"",INDEX(CMEMISC[End Use Category],MATCH(F30,CMEMISC[Proj Desc 1],0)))</f>
        <v/>
      </c>
      <c r="AX30" s="800" t="str">
        <f>IF(OR(C30="",F30="",L30="",Q30="",S30="",U30="",Z30="",AB30="",AD30="",AF30=""),"",INDEX(CMEMISC[EUL],MATCH(F30,CMEMISC[Proj Desc 1],0)))</f>
        <v/>
      </c>
      <c r="AY30" s="1811" t="str">
        <f>IF(OR(C30="",F30="",L30="",Q30="",S30="",U30="",Z30="",AB30="",AD30="",AF30=""),"",INDEX(CMEMISC[Measure Number],MATCH(F30,CMEMISC[Proj Desc 1],0)))</f>
        <v/>
      </c>
      <c r="AZ30" s="1461" t="str">
        <f>IFERROR(ROUND(MIN(AH30*0.5,AO30*INDEX(ENDUSEALL[Inc Rate],MATCH(AW30,ENDUSEALL[End Use to Coincident Peak Demand Factors],0))),2),"")</f>
        <v/>
      </c>
      <c r="BA30" s="1461" t="str">
        <f>IFERROR(ROUND(MIN(AH30,AO30*INDEX(ENDUSEALL[Inc Rate],MATCH(AW30,ENDUSEALL[End Use to Coincident Peak Demand Factors],0))),2),"")</f>
        <v/>
      </c>
      <c r="BB30" s="1461" t="str">
        <f>IFERROR(AH30/M02S02F35/AO30,"")</f>
        <v/>
      </c>
      <c r="BC30" s="1461" t="str">
        <f>IFERROR(IF((Q30*S30)-(Z30*AB30)&lt;=0,MEASURESAV,IF(M02S02F35="",MEASURERATE, IF(AH30/M02S02F35/AO30&lt;1,MEASUREPAY,IF(AU30&lt;1,MEASURECB,"")))),MEASURESUBMIT)</f>
        <v>Submit for Review</v>
      </c>
      <c r="BD30" s="1461"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1204"/>
      <c r="C31" s="1538"/>
      <c r="D31" s="1538"/>
      <c r="E31" s="1538"/>
      <c r="F31" s="1825"/>
      <c r="G31" s="1825"/>
      <c r="H31" s="1825"/>
      <c r="I31" s="1825"/>
      <c r="J31" s="1825"/>
      <c r="K31" s="1825"/>
      <c r="L31" s="1825"/>
      <c r="M31" s="1825"/>
      <c r="N31" s="1825"/>
      <c r="O31" s="1825"/>
      <c r="P31" s="1825"/>
      <c r="Q31" s="1856"/>
      <c r="R31" s="1856"/>
      <c r="S31" s="1819"/>
      <c r="T31" s="1823"/>
      <c r="U31" s="826"/>
      <c r="V31" s="1825"/>
      <c r="W31" s="1825"/>
      <c r="X31" s="1825"/>
      <c r="Y31" s="1825"/>
      <c r="Z31" s="1856"/>
      <c r="AA31" s="1856"/>
      <c r="AB31" s="1819"/>
      <c r="AC31" s="1820"/>
      <c r="AD31" s="1725"/>
      <c r="AE31" s="1215"/>
      <c r="AF31" s="1725"/>
      <c r="AG31" s="1215"/>
      <c r="AH31" s="1835"/>
      <c r="AI31" s="1400"/>
      <c r="AJ31" s="1400"/>
      <c r="AK31" s="1837"/>
      <c r="AL31" s="1837"/>
      <c r="AM31" s="1837"/>
      <c r="AN31" s="1837"/>
      <c r="AO31" s="1424"/>
      <c r="AP31" s="1424"/>
      <c r="AQ31" s="1424"/>
      <c r="AR31" s="69"/>
      <c r="AU31" s="1052"/>
      <c r="AV31" s="1291"/>
      <c r="AW31" s="1816"/>
      <c r="AX31" s="801"/>
      <c r="AY31" s="1812"/>
      <c r="AZ31" s="1462"/>
      <c r="BA31" s="1462"/>
      <c r="BB31" s="1462"/>
      <c r="BC31" s="1462"/>
      <c r="BD31" s="1462"/>
    </row>
    <row r="32" spans="2:56" ht="15.95" customHeight="1" x14ac:dyDescent="0.25">
      <c r="B32" s="1204">
        <v>9</v>
      </c>
      <c r="C32" s="1854"/>
      <c r="D32" s="1854"/>
      <c r="E32" s="1854"/>
      <c r="F32" s="1824"/>
      <c r="G32" s="1824"/>
      <c r="H32" s="1824"/>
      <c r="I32" s="1824"/>
      <c r="J32" s="1824"/>
      <c r="K32" s="1824"/>
      <c r="L32" s="1824"/>
      <c r="M32" s="1824"/>
      <c r="N32" s="1824"/>
      <c r="O32" s="1824"/>
      <c r="P32" s="1824"/>
      <c r="Q32" s="1855"/>
      <c r="R32" s="1855"/>
      <c r="S32" s="1817"/>
      <c r="T32" s="1822"/>
      <c r="U32" s="1472"/>
      <c r="V32" s="1824"/>
      <c r="W32" s="1824"/>
      <c r="X32" s="1824"/>
      <c r="Y32" s="1824"/>
      <c r="Z32" s="1855"/>
      <c r="AA32" s="1855"/>
      <c r="AB32" s="1817"/>
      <c r="AC32" s="1818"/>
      <c r="AD32" s="1723"/>
      <c r="AE32" s="1821"/>
      <c r="AF32" s="1723"/>
      <c r="AG32" s="1821"/>
      <c r="AH32" s="1688" t="str">
        <f>IF(OR(C32="",F32="",L32="",Q32="",S32="",U32="",Z32="",AB32="",AD32="",AF32=""),"",ROUND(AD32+AF32,2))</f>
        <v/>
      </c>
      <c r="AI32" s="1834"/>
      <c r="AJ32" s="1834"/>
      <c r="AK32" s="1836" t="str">
        <f>IF(M02S02F44="","Update Install Status",IF(M02S02F44="Yes","Not Eligible if Pre-Purchased",IF(OR(C32="",F32="",L32="",Q32="",S32="",U32="",Z32="",AB32="",AD32="",AF32=""),"",IF(BC32&lt;&gt;"",BC32,IF(C32="New/Replace Failed Equip.",BA32,AZ32)))))</f>
        <v>Update Install Status</v>
      </c>
      <c r="AL32" s="1836"/>
      <c r="AM32" s="1836"/>
      <c r="AN32" s="1836"/>
      <c r="AO32" s="1838" t="str">
        <f>IF(OR(C32="",F32="",L32="",Q32="",S32="",U32="",Z32="",AB32="",AD32="",AF32=""),"",IF((Q32*S32)-(Z32*AB32)&lt;=0,0,ROUND((Q32*S32)-(Z32*AB32),0)))</f>
        <v/>
      </c>
      <c r="AP32" s="1838"/>
      <c r="AQ32" s="1838"/>
      <c r="AR32" s="69"/>
      <c r="AU32" s="1051" t="str">
        <f>IFERROR(IF(OR(C32="",F32="",L32="",Q32="",S32="",U32="",Z32="",AB32="",AD32="",AF32=""),"",((1+ELOSS)*PEAKTD*(1+INDEX(ELECCB[Capacity Reserve Margin],MATCH(AX32,ELECCB[Year Number],0)))*((AO32*INDEX(ELECCB[NPV AEC $/kWh],MATCH(AX32,ELECCB[Year Number],1)))+(AV32*INDEX(ELECCB[NPV ACC+T&amp;D $/kW],MATCH(AX32,ELECCB[Year Number],1))))/AH32)),0)</f>
        <v/>
      </c>
      <c r="AV32" s="1290" t="str">
        <f>IF(OR(C32="",F32="",L32="",Q32="",S32="",U32="",Z32="",AB32="",AD32="",AF32=""),"",ROUND(AO32*INDEX(ENDUSEALL[Factor],MATCH(AW32,ENDUSEALL[End Use to Coincident Peak Demand Factors],0)),4))</f>
        <v/>
      </c>
      <c r="AW32" s="1815" t="str">
        <f>IF(OR(C32="",F32="",L32="",Q32="",S32="",U32="",Z32="",AB32="",AD32="",AF32=""),"",INDEX(CMEMISC[End Use Category],MATCH(F32,CMEMISC[Proj Desc 1],0)))</f>
        <v/>
      </c>
      <c r="AX32" s="800" t="str">
        <f>IF(OR(C32="",F32="",L32="",Q32="",S32="",U32="",Z32="",AB32="",AD32="",AF32=""),"",INDEX(CMEMISC[EUL],MATCH(F32,CMEMISC[Proj Desc 1],0)))</f>
        <v/>
      </c>
      <c r="AY32" s="1811" t="str">
        <f>IF(OR(C32="",F32="",L32="",Q32="",S32="",U32="",Z32="",AB32="",AD32="",AF32=""),"",INDEX(CMEMISC[Measure Number],MATCH(F32,CMEMISC[Proj Desc 1],0)))</f>
        <v/>
      </c>
      <c r="AZ32" s="1461" t="str">
        <f>IFERROR(ROUND(MIN(AH32*0.5,AO32*INDEX(ENDUSEALL[Inc Rate],MATCH(AW32,ENDUSEALL[End Use to Coincident Peak Demand Factors],0))),2),"")</f>
        <v/>
      </c>
      <c r="BA32" s="1461" t="str">
        <f>IFERROR(ROUND(MIN(AH32,AO32*INDEX(ENDUSEALL[Inc Rate],MATCH(AW32,ENDUSEALL[End Use to Coincident Peak Demand Factors],0))),2),"")</f>
        <v/>
      </c>
      <c r="BB32" s="1461" t="str">
        <f>IFERROR(AH32/M02S02F35/AO32,"")</f>
        <v/>
      </c>
      <c r="BC32" s="1461" t="str">
        <f>IFERROR(IF((Q32*S32)-(Z32*AB32)&lt;=0,MEASURESAV,IF(M02S02F35="",MEASURERATE, IF(AH32/M02S02F35/AO32&lt;1,MEASUREPAY,IF(AU32&lt;1,MEASURECB,"")))),MEASURESUBMIT)</f>
        <v>Submit for Review</v>
      </c>
      <c r="BD32" s="1461"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1204"/>
      <c r="C33" s="1538"/>
      <c r="D33" s="1538"/>
      <c r="E33" s="1538"/>
      <c r="F33" s="1825"/>
      <c r="G33" s="1825"/>
      <c r="H33" s="1825"/>
      <c r="I33" s="1825"/>
      <c r="J33" s="1825"/>
      <c r="K33" s="1825"/>
      <c r="L33" s="1825"/>
      <c r="M33" s="1825"/>
      <c r="N33" s="1825"/>
      <c r="O33" s="1825"/>
      <c r="P33" s="1825"/>
      <c r="Q33" s="1856"/>
      <c r="R33" s="1856"/>
      <c r="S33" s="1819"/>
      <c r="T33" s="1823"/>
      <c r="U33" s="826"/>
      <c r="V33" s="1825"/>
      <c r="W33" s="1825"/>
      <c r="X33" s="1825"/>
      <c r="Y33" s="1825"/>
      <c r="Z33" s="1856"/>
      <c r="AA33" s="1856"/>
      <c r="AB33" s="1819"/>
      <c r="AC33" s="1820"/>
      <c r="AD33" s="1725"/>
      <c r="AE33" s="1215"/>
      <c r="AF33" s="1725"/>
      <c r="AG33" s="1215"/>
      <c r="AH33" s="1835"/>
      <c r="AI33" s="1400"/>
      <c r="AJ33" s="1400"/>
      <c r="AK33" s="1837"/>
      <c r="AL33" s="1837"/>
      <c r="AM33" s="1837"/>
      <c r="AN33" s="1837"/>
      <c r="AO33" s="1424"/>
      <c r="AP33" s="1424"/>
      <c r="AQ33" s="1424"/>
      <c r="AR33" s="69"/>
      <c r="AU33" s="1052"/>
      <c r="AV33" s="1291"/>
      <c r="AW33" s="1816"/>
      <c r="AX33" s="801"/>
      <c r="AY33" s="1812"/>
      <c r="AZ33" s="1462"/>
      <c r="BA33" s="1462"/>
      <c r="BB33" s="1462"/>
      <c r="BC33" s="1462"/>
      <c r="BD33" s="1462"/>
    </row>
    <row r="34" spans="2:56" ht="15.95" customHeight="1" x14ac:dyDescent="0.25">
      <c r="B34" s="1204">
        <v>10</v>
      </c>
      <c r="C34" s="1854"/>
      <c r="D34" s="1854"/>
      <c r="E34" s="1854"/>
      <c r="F34" s="1824"/>
      <c r="G34" s="1824"/>
      <c r="H34" s="1824"/>
      <c r="I34" s="1824"/>
      <c r="J34" s="1824"/>
      <c r="K34" s="1824"/>
      <c r="L34" s="1824"/>
      <c r="M34" s="1824"/>
      <c r="N34" s="1824"/>
      <c r="O34" s="1824"/>
      <c r="P34" s="1824"/>
      <c r="Q34" s="1855"/>
      <c r="R34" s="1855"/>
      <c r="S34" s="1817"/>
      <c r="T34" s="1822"/>
      <c r="U34" s="1472"/>
      <c r="V34" s="1824"/>
      <c r="W34" s="1824"/>
      <c r="X34" s="1824"/>
      <c r="Y34" s="1824"/>
      <c r="Z34" s="1855"/>
      <c r="AA34" s="1855"/>
      <c r="AB34" s="1817"/>
      <c r="AC34" s="1818"/>
      <c r="AD34" s="1723"/>
      <c r="AE34" s="1821"/>
      <c r="AF34" s="1723"/>
      <c r="AG34" s="1821"/>
      <c r="AH34" s="1688" t="str">
        <f>IF(OR(C34="",F34="",L34="",Q34="",S34="",U34="",Z34="",AB34="",AD34="",AF34=""),"",ROUND(AD34+AF34,2))</f>
        <v/>
      </c>
      <c r="AI34" s="1834"/>
      <c r="AJ34" s="1834"/>
      <c r="AK34" s="1836" t="str">
        <f>IF(M02S02F44="","Update Install Status",IF(M02S02F44="Yes","Not Eligible if Pre-Purchased",IF(OR(C34="",F34="",L34="",Q34="",S34="",U34="",Z34="",AB34="",AD34="",AF34=""),"",IF(BC34&lt;&gt;"",BC34,IF(C34="New/Replace Failed Equip.",BA34,AZ34)))))</f>
        <v>Update Install Status</v>
      </c>
      <c r="AL34" s="1836"/>
      <c r="AM34" s="1836"/>
      <c r="AN34" s="1836"/>
      <c r="AO34" s="1838" t="str">
        <f>IF(OR(C34="",F34="",L34="",Q34="",S34="",U34="",Z34="",AB34="",AD34="",AF34=""),"",IF((Q34*S34)-(Z34*AB34)&lt;=0,0,ROUND((Q34*S34)-(Z34*AB34),0)))</f>
        <v/>
      </c>
      <c r="AP34" s="1838"/>
      <c r="AQ34" s="1838"/>
      <c r="AR34" s="69"/>
      <c r="AU34" s="1051" t="str">
        <f>IFERROR(IF(OR(C34="",F34="",L34="",Q34="",S34="",U34="",Z34="",AB34="",AD34="",AF34=""),"",((1+ELOSS)*PEAKTD*(1+INDEX(ELECCB[Capacity Reserve Margin],MATCH(AX34,ELECCB[Year Number],0)))*((AO34*INDEX(ELECCB[NPV AEC $/kWh],MATCH(AX34,ELECCB[Year Number],1)))+(AV34*INDEX(ELECCB[NPV ACC+T&amp;D $/kW],MATCH(AX34,ELECCB[Year Number],1))))/AH34)),0)</f>
        <v/>
      </c>
      <c r="AV34" s="1290" t="str">
        <f>IF(OR(C34="",F34="",L34="",Q34="",S34="",U34="",Z34="",AB34="",AD34="",AF34=""),"",ROUND(AO34*INDEX(ENDUSEALL[Factor],MATCH(AW34,ENDUSEALL[End Use to Coincident Peak Demand Factors],0)),4))</f>
        <v/>
      </c>
      <c r="AW34" s="1815" t="str">
        <f>IF(OR(C34="",F34="",L34="",Q34="",S34="",U34="",Z34="",AB34="",AD34="",AF34=""),"",INDEX(CMEMISC[End Use Category],MATCH(F34,CMEMISC[Proj Desc 1],0)))</f>
        <v/>
      </c>
      <c r="AX34" s="800" t="str">
        <f>IF(OR(C34="",F34="",L34="",Q34="",S34="",U34="",Z34="",AB34="",AD34="",AF34=""),"",INDEX(CMEMISC[EUL],MATCH(F34,CMEMISC[Proj Desc 1],0)))</f>
        <v/>
      </c>
      <c r="AY34" s="1811" t="str">
        <f>IF(OR(C34="",F34="",L34="",Q34="",S34="",U34="",Z34="",AB34="",AD34="",AF34=""),"",INDEX(CMEMISC[Measure Number],MATCH(F34,CMEMISC[Proj Desc 1],0)))</f>
        <v/>
      </c>
      <c r="AZ34" s="1461" t="str">
        <f>IFERROR(ROUND(MIN(AH34*0.5,AO34*INDEX(ENDUSEALL[Inc Rate],MATCH(AW34,ENDUSEALL[End Use to Coincident Peak Demand Factors],0))),2),"")</f>
        <v/>
      </c>
      <c r="BA34" s="1461" t="str">
        <f>IFERROR(ROUND(MIN(AH34,AO34*INDEX(ENDUSEALL[Inc Rate],MATCH(AW34,ENDUSEALL[End Use to Coincident Peak Demand Factors],0))),2),"")</f>
        <v/>
      </c>
      <c r="BB34" s="1461" t="str">
        <f>IFERROR(AH34/M02S02F35/AO34,"")</f>
        <v/>
      </c>
      <c r="BC34" s="1461" t="str">
        <f>IFERROR(IF((Q34*S34)-(Z34*AB34)&lt;=0,MEASURESAV,IF(M02S02F35="",MEASURERATE, IF(AH34/M02S02F35/AO34&lt;1,MEASUREPAY,IF(AU34&lt;1,MEASURECB,"")))),MEASURESUBMIT)</f>
        <v>Submit for Review</v>
      </c>
      <c r="BD34" s="1461"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1204"/>
      <c r="C35" s="1538"/>
      <c r="D35" s="1538"/>
      <c r="E35" s="1538"/>
      <c r="F35" s="1825"/>
      <c r="G35" s="1825"/>
      <c r="H35" s="1825"/>
      <c r="I35" s="1825"/>
      <c r="J35" s="1825"/>
      <c r="K35" s="1825"/>
      <c r="L35" s="1825"/>
      <c r="M35" s="1825"/>
      <c r="N35" s="1825"/>
      <c r="O35" s="1825"/>
      <c r="P35" s="1825"/>
      <c r="Q35" s="1856"/>
      <c r="R35" s="1856"/>
      <c r="S35" s="1819"/>
      <c r="T35" s="1823"/>
      <c r="U35" s="826"/>
      <c r="V35" s="1825"/>
      <c r="W35" s="1825"/>
      <c r="X35" s="1825"/>
      <c r="Y35" s="1825"/>
      <c r="Z35" s="1856"/>
      <c r="AA35" s="1856"/>
      <c r="AB35" s="1819"/>
      <c r="AC35" s="1820"/>
      <c r="AD35" s="1725"/>
      <c r="AE35" s="1215"/>
      <c r="AF35" s="1725"/>
      <c r="AG35" s="1215"/>
      <c r="AH35" s="1835"/>
      <c r="AI35" s="1400"/>
      <c r="AJ35" s="1400"/>
      <c r="AK35" s="1837"/>
      <c r="AL35" s="1837"/>
      <c r="AM35" s="1837"/>
      <c r="AN35" s="1837"/>
      <c r="AO35" s="1424"/>
      <c r="AP35" s="1424"/>
      <c r="AQ35" s="1424"/>
      <c r="AR35" s="69"/>
      <c r="AU35" s="1052"/>
      <c r="AV35" s="1291"/>
      <c r="AW35" s="1816"/>
      <c r="AX35" s="801"/>
      <c r="AY35" s="1812"/>
      <c r="AZ35" s="1462"/>
      <c r="BA35" s="1462"/>
      <c r="BB35" s="1462"/>
      <c r="BC35" s="1462"/>
      <c r="BD35" s="1462"/>
    </row>
    <row r="36" spans="2:56" ht="15.95" hidden="1" customHeight="1" x14ac:dyDescent="0.25">
      <c r="B36" s="1204">
        <v>11</v>
      </c>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row>
    <row r="37" spans="2:56" ht="15.95" hidden="1" customHeight="1" x14ac:dyDescent="0.25">
      <c r="B37" s="1204"/>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69"/>
    </row>
    <row r="38" spans="2:56" ht="15.95" hidden="1" customHeight="1" x14ac:dyDescent="0.25">
      <c r="B38" s="1204">
        <v>12</v>
      </c>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69"/>
    </row>
    <row r="39" spans="2:56" ht="15.95" hidden="1" customHeight="1" x14ac:dyDescent="0.25">
      <c r="B39" s="1204"/>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69"/>
    </row>
    <row r="40" spans="2:56" ht="15.95" hidden="1" customHeight="1" x14ac:dyDescent="0.25">
      <c r="B40" s="1204">
        <v>13</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69"/>
    </row>
    <row r="41" spans="2:56" ht="15.95" hidden="1" customHeight="1" x14ac:dyDescent="0.25">
      <c r="B41" s="1204"/>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69"/>
    </row>
    <row r="42" spans="2:56" ht="15.95" hidden="1" customHeight="1" x14ac:dyDescent="0.25">
      <c r="B42" s="1204">
        <v>14</v>
      </c>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69"/>
    </row>
    <row r="43" spans="2:56" ht="15.95" hidden="1" customHeight="1" x14ac:dyDescent="0.25">
      <c r="B43" s="1204"/>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69"/>
    </row>
    <row r="44" spans="2:56" ht="15.95" hidden="1" customHeight="1" x14ac:dyDescent="0.25">
      <c r="B44" s="1204">
        <v>15</v>
      </c>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69"/>
    </row>
    <row r="45" spans="2:56" ht="15.95" hidden="1" customHeight="1" x14ac:dyDescent="0.25">
      <c r="B45" s="120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69"/>
    </row>
    <row r="46" spans="2:56" ht="15.95" hidden="1" customHeight="1" x14ac:dyDescent="0.25">
      <c r="B46" s="1204">
        <v>16</v>
      </c>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69"/>
    </row>
    <row r="47" spans="2:56" ht="15.95" hidden="1" customHeight="1" x14ac:dyDescent="0.25">
      <c r="B47" s="1204"/>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69"/>
    </row>
    <row r="48" spans="2:56" ht="15.95" hidden="1" customHeight="1" x14ac:dyDescent="0.25">
      <c r="B48" s="1204">
        <v>17</v>
      </c>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69"/>
    </row>
    <row r="49" spans="2:44" ht="15.95" hidden="1" customHeight="1" x14ac:dyDescent="0.25">
      <c r="B49" s="1204"/>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69"/>
    </row>
    <row r="50" spans="2:44" ht="15.95" hidden="1" customHeight="1" x14ac:dyDescent="0.25">
      <c r="B50" s="1204">
        <v>18</v>
      </c>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69"/>
    </row>
    <row r="51" spans="2:44" ht="15.95" hidden="1" customHeight="1" x14ac:dyDescent="0.25">
      <c r="B51" s="120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69"/>
    </row>
    <row r="52" spans="2:44" ht="15.95" hidden="1" customHeight="1" x14ac:dyDescent="0.25">
      <c r="B52" s="1204">
        <v>19</v>
      </c>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69"/>
    </row>
    <row r="53" spans="2:44" ht="15.95" hidden="1" customHeight="1" x14ac:dyDescent="0.25">
      <c r="B53" s="1204"/>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69"/>
    </row>
    <row r="54" spans="2:44" ht="15.95" hidden="1" customHeight="1" x14ac:dyDescent="0.25">
      <c r="B54" s="1204">
        <v>20</v>
      </c>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69"/>
    </row>
    <row r="55" spans="2:44" ht="15.95" hidden="1" customHeight="1" x14ac:dyDescent="0.25">
      <c r="B55" s="1204"/>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69"/>
    </row>
    <row r="56" spans="2:44" ht="15.95" hidden="1" customHeight="1" x14ac:dyDescent="0.25">
      <c r="B56" s="1204">
        <v>21</v>
      </c>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69"/>
    </row>
    <row r="57" spans="2:44" ht="15.95" hidden="1" customHeight="1" x14ac:dyDescent="0.25">
      <c r="B57" s="1204"/>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69"/>
    </row>
    <row r="58" spans="2:44" ht="15.95" hidden="1" customHeight="1" x14ac:dyDescent="0.25">
      <c r="B58" s="1204">
        <v>22</v>
      </c>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69"/>
    </row>
    <row r="59" spans="2:44" ht="15.95" hidden="1" customHeight="1" x14ac:dyDescent="0.25">
      <c r="B59" s="1204"/>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69"/>
    </row>
    <row r="60" spans="2:44" ht="15.95" hidden="1" customHeight="1" x14ac:dyDescent="0.25">
      <c r="B60" s="1204">
        <v>23</v>
      </c>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69"/>
    </row>
    <row r="61" spans="2:44" ht="15.95" hidden="1" customHeight="1" x14ac:dyDescent="0.25">
      <c r="B61" s="1204"/>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69"/>
    </row>
    <row r="62" spans="2:44" ht="15.95" hidden="1" customHeight="1" x14ac:dyDescent="0.25">
      <c r="B62" s="1204">
        <v>24</v>
      </c>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69"/>
    </row>
    <row r="63" spans="2:44" ht="15.95" hidden="1" customHeight="1" x14ac:dyDescent="0.25">
      <c r="B63" s="1204"/>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69"/>
    </row>
    <row r="64" spans="2:44" ht="15.95" hidden="1" customHeight="1" x14ac:dyDescent="0.25">
      <c r="B64" s="1204">
        <v>25</v>
      </c>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69"/>
    </row>
    <row r="65" spans="2:44" ht="15.95" hidden="1" customHeight="1" x14ac:dyDescent="0.25">
      <c r="B65" s="1204"/>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69"/>
    </row>
    <row r="66" spans="2:44" ht="15.95" hidden="1" customHeight="1" x14ac:dyDescent="0.25">
      <c r="B66" s="1204">
        <v>26</v>
      </c>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69"/>
    </row>
    <row r="67" spans="2:44" ht="15.95" hidden="1" customHeight="1" x14ac:dyDescent="0.25">
      <c r="B67" s="120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69"/>
    </row>
    <row r="68" spans="2:44" ht="15.95" hidden="1" customHeight="1" x14ac:dyDescent="0.25">
      <c r="B68" s="1204">
        <v>27</v>
      </c>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69"/>
    </row>
    <row r="69" spans="2:44" ht="15.95" hidden="1" customHeight="1" x14ac:dyDescent="0.25">
      <c r="B69" s="1204"/>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69"/>
    </row>
    <row r="70" spans="2:44" ht="15.95" hidden="1" customHeight="1" x14ac:dyDescent="0.25">
      <c r="B70" s="1204">
        <v>28</v>
      </c>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69"/>
    </row>
    <row r="71" spans="2:44" ht="15.95" hidden="1" customHeight="1" x14ac:dyDescent="0.25">
      <c r="B71" s="1204"/>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69"/>
    </row>
    <row r="72" spans="2:44" ht="15.95" hidden="1" customHeight="1" x14ac:dyDescent="0.25">
      <c r="B72" s="1204">
        <v>29</v>
      </c>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69"/>
    </row>
    <row r="73" spans="2:44" ht="15.95" hidden="1" customHeight="1" x14ac:dyDescent="0.25">
      <c r="B73" s="1204"/>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69"/>
    </row>
    <row r="74" spans="2:44" ht="15.95" hidden="1" customHeight="1" x14ac:dyDescent="0.25">
      <c r="B74" s="1204">
        <v>30</v>
      </c>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69"/>
    </row>
    <row r="75" spans="2:44" ht="15.95" hidden="1" customHeight="1" x14ac:dyDescent="0.25">
      <c r="B75" s="1204"/>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69"/>
    </row>
    <row r="76" spans="2:44" ht="15.95" hidden="1" customHeight="1" x14ac:dyDescent="0.25">
      <c r="B76" s="1204">
        <v>31</v>
      </c>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69"/>
    </row>
    <row r="77" spans="2:44" ht="15.95" hidden="1" customHeight="1" x14ac:dyDescent="0.25">
      <c r="B77" s="1204"/>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69"/>
    </row>
    <row r="78" spans="2:44" ht="15.95" hidden="1" customHeight="1" x14ac:dyDescent="0.25">
      <c r="B78" s="1204">
        <v>32</v>
      </c>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69"/>
    </row>
    <row r="79" spans="2:44" ht="15.95" hidden="1" customHeight="1" x14ac:dyDescent="0.25">
      <c r="B79" s="1204"/>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69"/>
    </row>
    <row r="80" spans="2:44" ht="15.95" hidden="1" customHeight="1" x14ac:dyDescent="0.25">
      <c r="B80" s="1204">
        <v>33</v>
      </c>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69"/>
    </row>
    <row r="81" spans="2:44" ht="15.95" hidden="1" customHeight="1" x14ac:dyDescent="0.25">
      <c r="B81" s="120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69"/>
    </row>
    <row r="82" spans="2:44" ht="15.95" hidden="1" customHeight="1" x14ac:dyDescent="0.25">
      <c r="B82" s="1204">
        <v>34</v>
      </c>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69"/>
    </row>
    <row r="83" spans="2:44" ht="15.95" hidden="1" customHeight="1" x14ac:dyDescent="0.25">
      <c r="B83" s="1204"/>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69"/>
    </row>
    <row r="84" spans="2:44" ht="15.95" hidden="1" customHeight="1" x14ac:dyDescent="0.25">
      <c r="B84" s="1204">
        <v>35</v>
      </c>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69"/>
    </row>
    <row r="85" spans="2:44" ht="15.95" hidden="1" customHeight="1" x14ac:dyDescent="0.25">
      <c r="B85" s="1204"/>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69"/>
    </row>
    <row r="86" spans="2:44" ht="15.95" hidden="1" customHeight="1" x14ac:dyDescent="0.25">
      <c r="B86" s="1204">
        <v>36</v>
      </c>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69"/>
    </row>
    <row r="87" spans="2:44" ht="15.95" hidden="1" customHeight="1" x14ac:dyDescent="0.25">
      <c r="B87" s="120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69"/>
    </row>
    <row r="88" spans="2:44" ht="15.95" hidden="1" customHeight="1" x14ac:dyDescent="0.25">
      <c r="B88" s="1204">
        <v>37</v>
      </c>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69"/>
    </row>
    <row r="89" spans="2:44" ht="15.95" hidden="1" customHeight="1" x14ac:dyDescent="0.25">
      <c r="B89" s="1204"/>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69"/>
    </row>
    <row r="90" spans="2:44" ht="15.95" hidden="1" customHeight="1" x14ac:dyDescent="0.25">
      <c r="B90" s="1204">
        <v>38</v>
      </c>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69"/>
    </row>
    <row r="91" spans="2:44" ht="15.95" hidden="1" customHeight="1" x14ac:dyDescent="0.25">
      <c r="B91" s="1204"/>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69"/>
    </row>
    <row r="92" spans="2:44" ht="15.95" hidden="1" customHeight="1" x14ac:dyDescent="0.25">
      <c r="B92" s="1204">
        <v>39</v>
      </c>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69"/>
    </row>
    <row r="93" spans="2:44" ht="15.95" hidden="1" customHeight="1" x14ac:dyDescent="0.25">
      <c r="B93" s="1204"/>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69"/>
    </row>
    <row r="94" spans="2:44" ht="15.95" hidden="1" customHeight="1" x14ac:dyDescent="0.25">
      <c r="B94" s="1204">
        <v>40</v>
      </c>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69"/>
    </row>
    <row r="95" spans="2:44" ht="15.95" hidden="1" customHeight="1" x14ac:dyDescent="0.25">
      <c r="B95" s="1204"/>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69"/>
    </row>
    <row r="96" spans="2:44" ht="15.95" hidden="1" customHeight="1" x14ac:dyDescent="0.25">
      <c r="B96" s="1204">
        <v>41</v>
      </c>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69"/>
    </row>
    <row r="97" spans="2:44" ht="15.95" hidden="1" customHeight="1" x14ac:dyDescent="0.25">
      <c r="B97" s="1204"/>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69"/>
    </row>
    <row r="98" spans="2:44" ht="15.95" hidden="1" customHeight="1" x14ac:dyDescent="0.25">
      <c r="B98" s="1204">
        <v>42</v>
      </c>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69"/>
    </row>
    <row r="99" spans="2:44" ht="15.95" hidden="1" customHeight="1" x14ac:dyDescent="0.25">
      <c r="B99" s="1204"/>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69"/>
    </row>
    <row r="100" spans="2:44" ht="15.95" hidden="1" customHeight="1" x14ac:dyDescent="0.25">
      <c r="B100" s="1204">
        <v>43</v>
      </c>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69"/>
    </row>
    <row r="101" spans="2:44" ht="15.95" hidden="1" customHeight="1" x14ac:dyDescent="0.25">
      <c r="B101" s="1204"/>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69"/>
    </row>
    <row r="102" spans="2:44" ht="15.95" hidden="1" customHeight="1" x14ac:dyDescent="0.25">
      <c r="B102" s="1204">
        <v>44</v>
      </c>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69"/>
    </row>
    <row r="103" spans="2:44" ht="15.95" hidden="1" customHeight="1" x14ac:dyDescent="0.25">
      <c r="B103" s="120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69"/>
    </row>
    <row r="104" spans="2:44" ht="15.95" hidden="1" customHeight="1" x14ac:dyDescent="0.25">
      <c r="B104" s="1204">
        <v>45</v>
      </c>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69"/>
    </row>
    <row r="105" spans="2:44" ht="15.95" hidden="1" customHeight="1" x14ac:dyDescent="0.25">
      <c r="B105" s="1204"/>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69"/>
    </row>
    <row r="106" spans="2:44" ht="15.95" hidden="1" customHeight="1" x14ac:dyDescent="0.25">
      <c r="B106" s="1204">
        <v>46</v>
      </c>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69"/>
    </row>
    <row r="107" spans="2:44" ht="15.95" hidden="1" customHeight="1" x14ac:dyDescent="0.25">
      <c r="B107" s="1204"/>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69"/>
    </row>
    <row r="108" spans="2:44" ht="15.95" hidden="1" customHeight="1" x14ac:dyDescent="0.25">
      <c r="B108" s="1204">
        <v>47</v>
      </c>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69"/>
    </row>
    <row r="109" spans="2:44" ht="15.95" hidden="1" customHeight="1" x14ac:dyDescent="0.25">
      <c r="B109" s="1204"/>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69"/>
    </row>
    <row r="110" spans="2:44" ht="15.95" hidden="1" customHeight="1" x14ac:dyDescent="0.25">
      <c r="B110" s="1204">
        <v>48</v>
      </c>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69"/>
    </row>
    <row r="111" spans="2:44" ht="15.95" hidden="1" customHeight="1" x14ac:dyDescent="0.25">
      <c r="B111" s="1204"/>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69"/>
    </row>
    <row r="112" spans="2:44" ht="15.95" hidden="1" customHeight="1" x14ac:dyDescent="0.25">
      <c r="B112" s="1204">
        <v>49</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69"/>
    </row>
    <row r="113" spans="2:44" ht="15.95" hidden="1" customHeight="1" x14ac:dyDescent="0.25">
      <c r="B113" s="1204"/>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69"/>
    </row>
    <row r="114" spans="2:44" ht="15.95" hidden="1" customHeight="1" x14ac:dyDescent="0.25">
      <c r="B114" s="1204">
        <v>50</v>
      </c>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69"/>
    </row>
    <row r="115" spans="2:44" ht="15.95" hidden="1" customHeight="1" x14ac:dyDescent="0.25">
      <c r="B115" s="1204"/>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69"/>
    </row>
    <row r="116" spans="2:44" ht="15.95" hidden="1" customHeight="1" x14ac:dyDescent="0.25">
      <c r="B116" s="1204">
        <v>51</v>
      </c>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69"/>
    </row>
    <row r="117" spans="2:44" ht="15.95" hidden="1" customHeight="1" x14ac:dyDescent="0.25">
      <c r="B117" s="120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69"/>
    </row>
    <row r="118" spans="2:44" ht="15.95" hidden="1" customHeight="1" x14ac:dyDescent="0.25">
      <c r="B118" s="1204">
        <v>52</v>
      </c>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69"/>
    </row>
    <row r="119" spans="2:44" ht="15.95" hidden="1" customHeight="1" x14ac:dyDescent="0.25">
      <c r="B119" s="120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69"/>
    </row>
    <row r="120" spans="2:44" ht="15.95" hidden="1" customHeight="1" x14ac:dyDescent="0.25">
      <c r="B120" s="1204">
        <v>53</v>
      </c>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69"/>
    </row>
    <row r="121" spans="2:44" ht="15.95" hidden="1" customHeight="1" x14ac:dyDescent="0.25">
      <c r="B121" s="120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69"/>
    </row>
    <row r="122" spans="2:44" ht="15.95" hidden="1" customHeight="1" x14ac:dyDescent="0.25">
      <c r="B122" s="1204">
        <v>54</v>
      </c>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69"/>
    </row>
    <row r="123" spans="2:44" ht="15.95" hidden="1" customHeight="1" x14ac:dyDescent="0.25">
      <c r="B123" s="120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69"/>
    </row>
    <row r="124" spans="2:44" ht="15.95" hidden="1" customHeight="1" x14ac:dyDescent="0.25">
      <c r="B124" s="1204">
        <v>55</v>
      </c>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69"/>
    </row>
    <row r="125" spans="2:44" ht="15.95" hidden="1" customHeight="1" x14ac:dyDescent="0.25">
      <c r="B125" s="120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69"/>
    </row>
    <row r="126" spans="2:44" ht="15.95" hidden="1" customHeight="1" x14ac:dyDescent="0.25">
      <c r="B126" s="1204">
        <v>56</v>
      </c>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69"/>
    </row>
    <row r="127" spans="2:44" ht="15.95" hidden="1" customHeight="1" x14ac:dyDescent="0.25">
      <c r="B127" s="120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69"/>
    </row>
    <row r="128" spans="2:44" ht="15.95" hidden="1" customHeight="1" x14ac:dyDescent="0.25">
      <c r="B128" s="1204">
        <v>57</v>
      </c>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69"/>
    </row>
    <row r="129" spans="2:44" ht="15.95" hidden="1" customHeight="1" x14ac:dyDescent="0.25">
      <c r="B129" s="120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69"/>
    </row>
    <row r="130" spans="2:44" ht="15.95" hidden="1" customHeight="1" x14ac:dyDescent="0.25">
      <c r="B130" s="1204">
        <v>58</v>
      </c>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69"/>
    </row>
    <row r="131" spans="2:44" ht="15.95" hidden="1" customHeight="1" x14ac:dyDescent="0.25">
      <c r="B131" s="120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69"/>
    </row>
    <row r="132" spans="2:44" ht="15.95" hidden="1" customHeight="1" x14ac:dyDescent="0.25">
      <c r="B132" s="1204">
        <v>59</v>
      </c>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69"/>
    </row>
    <row r="133" spans="2:44" ht="15.95" hidden="1" customHeight="1" x14ac:dyDescent="0.25">
      <c r="B133" s="120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69"/>
    </row>
    <row r="134" spans="2:44" ht="15.95" hidden="1" customHeight="1" x14ac:dyDescent="0.25">
      <c r="B134" s="1204">
        <v>60</v>
      </c>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69"/>
    </row>
    <row r="135" spans="2:44" ht="15.95" hidden="1" customHeight="1" x14ac:dyDescent="0.25">
      <c r="B135" s="120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69"/>
    </row>
    <row r="136" spans="2:44" ht="15.95" hidden="1" customHeight="1" x14ac:dyDescent="0.25">
      <c r="B136" s="1204">
        <v>61</v>
      </c>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69"/>
    </row>
    <row r="137" spans="2:44" ht="15.95" hidden="1" customHeight="1" x14ac:dyDescent="0.25">
      <c r="B137" s="120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69"/>
    </row>
    <row r="138" spans="2:44" ht="15.95" hidden="1" customHeight="1" x14ac:dyDescent="0.25">
      <c r="B138" s="1204">
        <v>62</v>
      </c>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69"/>
    </row>
    <row r="139" spans="2:44" ht="15.95" hidden="1" customHeight="1" x14ac:dyDescent="0.25">
      <c r="B139" s="120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69"/>
    </row>
    <row r="140" spans="2:44" ht="15.95" hidden="1" customHeight="1" x14ac:dyDescent="0.25">
      <c r="B140" s="1204">
        <v>63</v>
      </c>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69"/>
    </row>
    <row r="141" spans="2:44" ht="15.95" hidden="1" customHeight="1" x14ac:dyDescent="0.25">
      <c r="B141" s="120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69"/>
    </row>
    <row r="142" spans="2:44" ht="15.95" hidden="1" customHeight="1" x14ac:dyDescent="0.25">
      <c r="B142" s="1204">
        <v>64</v>
      </c>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69"/>
    </row>
    <row r="143" spans="2:44" ht="15.95" hidden="1" customHeight="1" x14ac:dyDescent="0.25">
      <c r="B143" s="120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69"/>
    </row>
    <row r="144" spans="2:44" ht="15.95" hidden="1" customHeight="1" x14ac:dyDescent="0.25">
      <c r="B144" s="1204">
        <v>65</v>
      </c>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69"/>
    </row>
    <row r="145" spans="2:44" ht="15.95" hidden="1" customHeight="1" x14ac:dyDescent="0.25">
      <c r="B145" s="120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69"/>
    </row>
    <row r="146" spans="2:44" ht="15.95" hidden="1" customHeight="1" x14ac:dyDescent="0.25">
      <c r="B146" s="1204">
        <v>66</v>
      </c>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69"/>
    </row>
    <row r="147" spans="2:44" ht="15.95" hidden="1" customHeight="1" x14ac:dyDescent="0.25">
      <c r="B147" s="120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69"/>
    </row>
    <row r="148" spans="2:44" ht="15.95" hidden="1" customHeight="1" x14ac:dyDescent="0.25">
      <c r="B148" s="1204">
        <v>67</v>
      </c>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69"/>
    </row>
    <row r="149" spans="2:44" ht="15.95" hidden="1" customHeight="1" x14ac:dyDescent="0.25">
      <c r="B149" s="120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69"/>
    </row>
    <row r="150" spans="2:44" ht="15.95" hidden="1" customHeight="1" x14ac:dyDescent="0.25">
      <c r="B150" s="1204">
        <v>68</v>
      </c>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69"/>
    </row>
    <row r="151" spans="2:44" ht="15.95" hidden="1" customHeight="1" x14ac:dyDescent="0.25">
      <c r="B151" s="120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69"/>
    </row>
    <row r="152" spans="2:44" ht="15.95" hidden="1" customHeight="1" x14ac:dyDescent="0.25">
      <c r="B152" s="1204">
        <v>69</v>
      </c>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69"/>
    </row>
    <row r="153" spans="2:44" ht="15.95" hidden="1" customHeight="1" x14ac:dyDescent="0.25">
      <c r="B153" s="120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69"/>
    </row>
    <row r="154" spans="2:44" ht="15.95" hidden="1" customHeight="1" x14ac:dyDescent="0.25">
      <c r="B154" s="1204">
        <v>70</v>
      </c>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69"/>
    </row>
    <row r="155" spans="2:44" ht="15.95" hidden="1" customHeight="1" x14ac:dyDescent="0.25">
      <c r="B155" s="120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69"/>
    </row>
    <row r="156" spans="2:44" ht="15.95" hidden="1" customHeight="1" x14ac:dyDescent="0.25">
      <c r="B156" s="1204">
        <v>71</v>
      </c>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69"/>
    </row>
    <row r="157" spans="2:44" ht="15.95" hidden="1" customHeight="1" x14ac:dyDescent="0.25">
      <c r="B157" s="120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69"/>
    </row>
    <row r="158" spans="2:44" ht="15.95" hidden="1" customHeight="1" x14ac:dyDescent="0.25">
      <c r="B158" s="1204">
        <v>72</v>
      </c>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69"/>
    </row>
    <row r="159" spans="2:44" ht="15.95" hidden="1" customHeight="1" x14ac:dyDescent="0.25">
      <c r="B159" s="120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69"/>
    </row>
    <row r="160" spans="2:44" ht="15.95" hidden="1" customHeight="1" x14ac:dyDescent="0.25">
      <c r="B160" s="1204">
        <v>73</v>
      </c>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69"/>
    </row>
    <row r="161" spans="2:44" ht="15.95" hidden="1" customHeight="1" x14ac:dyDescent="0.25">
      <c r="B161" s="120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69"/>
    </row>
    <row r="162" spans="2:44" ht="15.95" hidden="1" customHeight="1" x14ac:dyDescent="0.25">
      <c r="B162" s="1204">
        <v>74</v>
      </c>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69"/>
    </row>
    <row r="163" spans="2:44" ht="15.95" hidden="1" customHeight="1" x14ac:dyDescent="0.25">
      <c r="B163" s="120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69"/>
    </row>
    <row r="164" spans="2:44" ht="15.95" hidden="1" customHeight="1" x14ac:dyDescent="0.25">
      <c r="B164" s="1204">
        <v>75</v>
      </c>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69"/>
    </row>
    <row r="165" spans="2:44" ht="15.95" hidden="1" customHeight="1" x14ac:dyDescent="0.25">
      <c r="B165" s="120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69"/>
    </row>
    <row r="166" spans="2:44" ht="15.95" hidden="1" customHeight="1" x14ac:dyDescent="0.25">
      <c r="B166" s="1204">
        <v>76</v>
      </c>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69"/>
    </row>
    <row r="167" spans="2:44" ht="15.95" hidden="1" customHeight="1" x14ac:dyDescent="0.25">
      <c r="B167" s="120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69"/>
    </row>
    <row r="168" spans="2:44" ht="15.95" hidden="1" customHeight="1" x14ac:dyDescent="0.25">
      <c r="B168" s="1204">
        <v>77</v>
      </c>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69"/>
    </row>
    <row r="169" spans="2:44" ht="15.95" hidden="1" customHeight="1" x14ac:dyDescent="0.25">
      <c r="B169" s="1204"/>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69"/>
    </row>
    <row r="170" spans="2:44" ht="15.95" hidden="1" customHeight="1" x14ac:dyDescent="0.25">
      <c r="B170" s="1204">
        <v>78</v>
      </c>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69"/>
    </row>
    <row r="171" spans="2:44" ht="15.95" hidden="1" customHeight="1" x14ac:dyDescent="0.25">
      <c r="B171" s="1204"/>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69"/>
    </row>
    <row r="172" spans="2:44" ht="15.95" hidden="1" customHeight="1" x14ac:dyDescent="0.25">
      <c r="B172" s="1204">
        <v>79</v>
      </c>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69"/>
    </row>
    <row r="173" spans="2:44" ht="15.95" hidden="1" customHeight="1" x14ac:dyDescent="0.25">
      <c r="B173" s="1204"/>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69"/>
    </row>
    <row r="174" spans="2:44" ht="15.95" hidden="1" customHeight="1" x14ac:dyDescent="0.25">
      <c r="B174" s="1204">
        <v>80</v>
      </c>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69"/>
    </row>
    <row r="175" spans="2:44" ht="15.95" hidden="1" customHeight="1" x14ac:dyDescent="0.25">
      <c r="B175" s="1204"/>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69"/>
    </row>
    <row r="176" spans="2:44" ht="15.95" hidden="1" customHeight="1" x14ac:dyDescent="0.25">
      <c r="B176" s="1204">
        <v>81</v>
      </c>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69"/>
    </row>
    <row r="177" spans="2:44" ht="15.95" hidden="1" customHeight="1" x14ac:dyDescent="0.25">
      <c r="B177" s="1204"/>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69"/>
    </row>
    <row r="178" spans="2:44" ht="15.95" hidden="1" customHeight="1" x14ac:dyDescent="0.25">
      <c r="B178" s="1204">
        <v>82</v>
      </c>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69"/>
    </row>
    <row r="179" spans="2:44" ht="15.95" hidden="1" customHeight="1" x14ac:dyDescent="0.25">
      <c r="B179" s="1204"/>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69"/>
    </row>
    <row r="180" spans="2:44" ht="15.95" hidden="1" customHeight="1" x14ac:dyDescent="0.25">
      <c r="B180" s="1204">
        <v>83</v>
      </c>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69"/>
    </row>
    <row r="181" spans="2:44" ht="15.95" hidden="1" customHeight="1" x14ac:dyDescent="0.25">
      <c r="B181" s="1204"/>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69"/>
    </row>
    <row r="182" spans="2:44" ht="15.95" hidden="1" customHeight="1" x14ac:dyDescent="0.25">
      <c r="B182" s="1204">
        <v>84</v>
      </c>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69"/>
    </row>
    <row r="183" spans="2:44" ht="15.95" hidden="1" customHeight="1" x14ac:dyDescent="0.25">
      <c r="B183" s="1204"/>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69"/>
    </row>
    <row r="184" spans="2:44" ht="15.95" hidden="1" customHeight="1" x14ac:dyDescent="0.25">
      <c r="B184" s="1204">
        <v>85</v>
      </c>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69"/>
    </row>
    <row r="185" spans="2:44" ht="15.95" hidden="1" customHeight="1" x14ac:dyDescent="0.25">
      <c r="B185" s="1204"/>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69"/>
    </row>
    <row r="186" spans="2:44" ht="15.95" hidden="1" customHeight="1" x14ac:dyDescent="0.25">
      <c r="B186" s="1204">
        <v>86</v>
      </c>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69"/>
    </row>
    <row r="187" spans="2:44" ht="15.95" hidden="1" customHeight="1" x14ac:dyDescent="0.25">
      <c r="B187" s="1204"/>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69"/>
    </row>
    <row r="188" spans="2:44" ht="15.95" hidden="1" customHeight="1" x14ac:dyDescent="0.25">
      <c r="B188" s="1204">
        <v>87</v>
      </c>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69"/>
    </row>
    <row r="189" spans="2:44" ht="15.95" hidden="1" customHeight="1" x14ac:dyDescent="0.25">
      <c r="B189" s="1204"/>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69"/>
    </row>
    <row r="190" spans="2:44" ht="15.95" hidden="1" customHeight="1" x14ac:dyDescent="0.25">
      <c r="B190" s="1204">
        <v>88</v>
      </c>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69"/>
    </row>
    <row r="191" spans="2:44" ht="15.95" hidden="1" customHeight="1" x14ac:dyDescent="0.25">
      <c r="B191" s="1204"/>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69"/>
    </row>
    <row r="192" spans="2:44" ht="15.95" hidden="1" customHeight="1" x14ac:dyDescent="0.25">
      <c r="B192" s="1204">
        <v>89</v>
      </c>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69"/>
    </row>
    <row r="193" spans="2:44" ht="15.95" hidden="1" customHeight="1" x14ac:dyDescent="0.25">
      <c r="B193" s="1204"/>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69"/>
    </row>
    <row r="194" spans="2:44" ht="15.95" hidden="1" customHeight="1" x14ac:dyDescent="0.25">
      <c r="B194" s="873">
        <v>90</v>
      </c>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2:44" ht="15.95" hidden="1" customHeight="1" x14ac:dyDescent="0.25">
      <c r="B195" s="87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2:44" ht="15.95" hidden="1" customHeight="1" x14ac:dyDescent="0.25">
      <c r="B196" s="873">
        <v>91</v>
      </c>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2:44" ht="15.95" hidden="1" customHeight="1" x14ac:dyDescent="0.25">
      <c r="B197" s="87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2:44" ht="15.95" hidden="1" customHeight="1" x14ac:dyDescent="0.25">
      <c r="B198" s="873">
        <v>92</v>
      </c>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row>
    <row r="199" spans="2:44" ht="15.95" hidden="1" customHeight="1" x14ac:dyDescent="0.25">
      <c r="B199" s="87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XPFNnA/IPDJcwduHDp9DSWv+Gd9MmQZV1aLAOwmjMURREKMmVyEG0/eMXxPqjvkMmRKjP6pXoaJb3vWqoca4A==" saltValue="Sm9DnrHKwHVLZdDzjBWLSw==" spinCount="100000" sheet="1" objects="1" scenarios="1" selectLockedCells="1"/>
  <mergeCells count="366">
    <mergeCell ref="AY22:AY23"/>
    <mergeCell ref="AZ22:AZ23"/>
    <mergeCell ref="Q1:R1"/>
    <mergeCell ref="U1:V1"/>
    <mergeCell ref="Y1:Z1"/>
    <mergeCell ref="AH1:AK1"/>
    <mergeCell ref="AL1:AP1"/>
    <mergeCell ref="AH2:AK3"/>
    <mergeCell ref="AL2:AP3"/>
    <mergeCell ref="R12:U13"/>
    <mergeCell ref="V12:Y13"/>
    <mergeCell ref="Z12:AC13"/>
    <mergeCell ref="O9:AF10"/>
    <mergeCell ref="L22:P23"/>
    <mergeCell ref="Q22:R23"/>
    <mergeCell ref="S22:T23"/>
    <mergeCell ref="U22:Y23"/>
    <mergeCell ref="Z22:AA23"/>
    <mergeCell ref="AB22:AC23"/>
    <mergeCell ref="AD22:AE23"/>
    <mergeCell ref="AW16:AW17"/>
    <mergeCell ref="AX16:AX17"/>
    <mergeCell ref="AY16:AY17"/>
    <mergeCell ref="AQ1:AR1"/>
    <mergeCell ref="BA30:BA31"/>
    <mergeCell ref="AF28:AG29"/>
    <mergeCell ref="AH28:AJ29"/>
    <mergeCell ref="AK28:AN29"/>
    <mergeCell ref="AO28:AQ29"/>
    <mergeCell ref="AU28:AU29"/>
    <mergeCell ref="AV28:AV29"/>
    <mergeCell ref="AW28:AW29"/>
    <mergeCell ref="AX28:AX29"/>
    <mergeCell ref="AY28:AY29"/>
    <mergeCell ref="AF30:AG31"/>
    <mergeCell ref="AH30:AJ31"/>
    <mergeCell ref="AK30:AN31"/>
    <mergeCell ref="AO30:AQ31"/>
    <mergeCell ref="AU30:AU31"/>
    <mergeCell ref="AV30:AV31"/>
    <mergeCell ref="AW30:AW31"/>
    <mergeCell ref="AX30:AX31"/>
    <mergeCell ref="AY30:AY31"/>
    <mergeCell ref="AZ28:AZ29"/>
    <mergeCell ref="BA28:BA29"/>
    <mergeCell ref="L34:P35"/>
    <mergeCell ref="Q34:R35"/>
    <mergeCell ref="S34:T35"/>
    <mergeCell ref="U34:Y35"/>
    <mergeCell ref="Z34:AA35"/>
    <mergeCell ref="AB34:AC35"/>
    <mergeCell ref="AD34:AE35"/>
    <mergeCell ref="AY14:AY15"/>
    <mergeCell ref="AZ30:AZ31"/>
    <mergeCell ref="AF26:AG27"/>
    <mergeCell ref="AZ24:AZ25"/>
    <mergeCell ref="AO24:AQ25"/>
    <mergeCell ref="AU24:AU25"/>
    <mergeCell ref="AV24:AV25"/>
    <mergeCell ref="AW24:AW25"/>
    <mergeCell ref="AX24:AX25"/>
    <mergeCell ref="AY24:AY25"/>
    <mergeCell ref="AZ20:AZ21"/>
    <mergeCell ref="AO20:AQ21"/>
    <mergeCell ref="AU20:AU21"/>
    <mergeCell ref="AV20:AV21"/>
    <mergeCell ref="AW20:AW21"/>
    <mergeCell ref="AX20:AX21"/>
    <mergeCell ref="AY20:AY21"/>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BA32:BA33"/>
    <mergeCell ref="AZ32:AZ33"/>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H26:AJ27"/>
    <mergeCell ref="AK26:AN27"/>
    <mergeCell ref="AO26:AQ27"/>
    <mergeCell ref="AU26:AU27"/>
    <mergeCell ref="AV26:AV27"/>
    <mergeCell ref="AW26:AW27"/>
    <mergeCell ref="AX26:AX27"/>
    <mergeCell ref="C28:E29"/>
    <mergeCell ref="F28:K29"/>
    <mergeCell ref="L28:P29"/>
    <mergeCell ref="Q28:R29"/>
    <mergeCell ref="S28:T29"/>
    <mergeCell ref="U28:Y29"/>
    <mergeCell ref="Z28:AA29"/>
    <mergeCell ref="AB28:AC29"/>
    <mergeCell ref="AD28:AE29"/>
    <mergeCell ref="C26:E27"/>
    <mergeCell ref="F26:K27"/>
    <mergeCell ref="L26:P27"/>
    <mergeCell ref="Q26:R27"/>
    <mergeCell ref="S26:T27"/>
    <mergeCell ref="U26:Y27"/>
    <mergeCell ref="Z26:AA27"/>
    <mergeCell ref="AB26:AC27"/>
    <mergeCell ref="AD26:AE27"/>
    <mergeCell ref="BA24:BA25"/>
    <mergeCell ref="L20:P21"/>
    <mergeCell ref="Q20:R21"/>
    <mergeCell ref="S20:T21"/>
    <mergeCell ref="U20:Y21"/>
    <mergeCell ref="Z20:AA21"/>
    <mergeCell ref="AB20:AC21"/>
    <mergeCell ref="AD20:AE21"/>
    <mergeCell ref="AY26:AY27"/>
    <mergeCell ref="AZ26:AZ27"/>
    <mergeCell ref="BA26:BA27"/>
    <mergeCell ref="AF24:AG25"/>
    <mergeCell ref="AH24:AJ25"/>
    <mergeCell ref="AK24:AN25"/>
    <mergeCell ref="BA20:BA21"/>
    <mergeCell ref="AF22:AG23"/>
    <mergeCell ref="AH22:AJ23"/>
    <mergeCell ref="AK22:AN23"/>
    <mergeCell ref="AO22:AQ23"/>
    <mergeCell ref="AU22:AU23"/>
    <mergeCell ref="AV22:AV23"/>
    <mergeCell ref="AW22:AW23"/>
    <mergeCell ref="AX22:AX23"/>
    <mergeCell ref="C24:E25"/>
    <mergeCell ref="F24:K25"/>
    <mergeCell ref="L24:P25"/>
    <mergeCell ref="Q24:R25"/>
    <mergeCell ref="S24:T25"/>
    <mergeCell ref="U24:Y25"/>
    <mergeCell ref="Z24:AA25"/>
    <mergeCell ref="AB24:AC25"/>
    <mergeCell ref="AD24:AE25"/>
    <mergeCell ref="BA22:BA23"/>
    <mergeCell ref="AF20:AG21"/>
    <mergeCell ref="AH20:AJ21"/>
    <mergeCell ref="AK20:AN21"/>
    <mergeCell ref="AZ16:AZ17"/>
    <mergeCell ref="AB14:AC15"/>
    <mergeCell ref="BA16:BA17"/>
    <mergeCell ref="AF18:AG19"/>
    <mergeCell ref="AH18:AJ19"/>
    <mergeCell ref="AK18:AN19"/>
    <mergeCell ref="AO18:AQ19"/>
    <mergeCell ref="AU18:AU19"/>
    <mergeCell ref="AV18:AV19"/>
    <mergeCell ref="AW18:AW19"/>
    <mergeCell ref="AX18:AX19"/>
    <mergeCell ref="AY18:AY19"/>
    <mergeCell ref="AZ18:AZ19"/>
    <mergeCell ref="BA18:BA19"/>
    <mergeCell ref="AF16:AG17"/>
    <mergeCell ref="AH16:AJ17"/>
    <mergeCell ref="AK16:AN17"/>
    <mergeCell ref="AO16:AQ17"/>
    <mergeCell ref="AU16:AU17"/>
    <mergeCell ref="AV16:AV17"/>
    <mergeCell ref="Z16:AA17"/>
    <mergeCell ref="AB16:AC17"/>
    <mergeCell ref="AD16:AE17"/>
    <mergeCell ref="C18:E19"/>
    <mergeCell ref="F18:K19"/>
    <mergeCell ref="L18:P19"/>
    <mergeCell ref="Q18:R19"/>
    <mergeCell ref="S18:T19"/>
    <mergeCell ref="U18:Y19"/>
    <mergeCell ref="Z18:AA19"/>
    <mergeCell ref="AB18:AC19"/>
    <mergeCell ref="AD18:AE1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B180:B181"/>
    <mergeCell ref="AQ2:AR3"/>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08:B109"/>
    <mergeCell ref="F20:K21"/>
    <mergeCell ref="B64:B65"/>
    <mergeCell ref="B42:B43"/>
    <mergeCell ref="B44:B45"/>
    <mergeCell ref="B46:B47"/>
    <mergeCell ref="B48:B49"/>
    <mergeCell ref="B50:B51"/>
    <mergeCell ref="B52:B53"/>
    <mergeCell ref="B54:B55"/>
    <mergeCell ref="B56:B57"/>
    <mergeCell ref="B58:B59"/>
    <mergeCell ref="B60:B61"/>
    <mergeCell ref="B62:B63"/>
    <mergeCell ref="C22:E23"/>
    <mergeCell ref="F22:K23"/>
    <mergeCell ref="C30:E31"/>
    <mergeCell ref="F30:K31"/>
    <mergeCell ref="C34:E35"/>
    <mergeCell ref="F34:K35"/>
    <mergeCell ref="AF15:AG15"/>
    <mergeCell ref="B16:B17"/>
    <mergeCell ref="R11:U11"/>
    <mergeCell ref="V11:Y11"/>
    <mergeCell ref="Z11:AC11"/>
    <mergeCell ref="AD12:AG12"/>
    <mergeCell ref="C14:E15"/>
    <mergeCell ref="F14:K15"/>
    <mergeCell ref="L14:P15"/>
    <mergeCell ref="Q14:R15"/>
    <mergeCell ref="S14:T15"/>
    <mergeCell ref="C20:E21"/>
    <mergeCell ref="E9:I13"/>
    <mergeCell ref="C16:E17"/>
    <mergeCell ref="F16:K17"/>
    <mergeCell ref="L16:P17"/>
    <mergeCell ref="Q16:R17"/>
    <mergeCell ref="S16:T17"/>
    <mergeCell ref="B40:B41"/>
    <mergeCell ref="B18:B19"/>
    <mergeCell ref="B20:B21"/>
    <mergeCell ref="B22:B23"/>
    <mergeCell ref="B24:B25"/>
    <mergeCell ref="B26:B27"/>
    <mergeCell ref="B28:B29"/>
    <mergeCell ref="B30:B31"/>
    <mergeCell ref="B32:B33"/>
    <mergeCell ref="B34:B35"/>
    <mergeCell ref="B36:B37"/>
    <mergeCell ref="B38:B39"/>
    <mergeCell ref="BB30:BB31"/>
    <mergeCell ref="BC30:BC31"/>
    <mergeCell ref="U14:Y15"/>
    <mergeCell ref="Z14:AA15"/>
    <mergeCell ref="BB14:BB15"/>
    <mergeCell ref="BC14:BC15"/>
    <mergeCell ref="BB16:BB17"/>
    <mergeCell ref="BC16:BC17"/>
    <mergeCell ref="BB18:BB19"/>
    <mergeCell ref="BC18:BC19"/>
    <mergeCell ref="BB20:BB21"/>
    <mergeCell ref="BC20:BC21"/>
    <mergeCell ref="AD14:AG14"/>
    <mergeCell ref="AH14:AJ15"/>
    <mergeCell ref="AK14:AN15"/>
    <mergeCell ref="AO14:AQ15"/>
    <mergeCell ref="AU14:AU15"/>
    <mergeCell ref="AV14:AV15"/>
    <mergeCell ref="AW14:AW15"/>
    <mergeCell ref="AX14:AX15"/>
    <mergeCell ref="AZ14:AZ15"/>
    <mergeCell ref="BA14:BA15"/>
    <mergeCell ref="AD15:AE15"/>
    <mergeCell ref="U16:Y17"/>
    <mergeCell ref="BB32:BB33"/>
    <mergeCell ref="BC32:BC33"/>
    <mergeCell ref="BB22:BB23"/>
    <mergeCell ref="BC22:BC23"/>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s>
  <conditionalFormatting sqref="L16:AG35">
    <cfRule type="expression" dxfId="77" priority="21">
      <formula>AND(ISBLANK($F16)=FALSE,ISBLANK(L16)=TRUE)</formula>
    </cfRule>
  </conditionalFormatting>
  <conditionalFormatting sqref="O9">
    <cfRule type="expression" dxfId="76" priority="335">
      <formula>ISNUMBER(SEARCH("Inspection",$O$9))</formula>
    </cfRule>
  </conditionalFormatting>
  <conditionalFormatting sqref="AH2 AL2">
    <cfRule type="expression" dxfId="75" priority="2">
      <formula>PROJSTATUS=PROJSTATELI</formula>
    </cfRule>
    <cfRule type="expression" dxfId="74" priority="3">
      <formula>PROJSTATUS=PROJSTATREVIEW</formula>
    </cfRule>
    <cfRule type="expression" dxfId="73" priority="4">
      <formula>PROJSTATUS=PROJSTATPREAPPROVE</formula>
    </cfRule>
    <cfRule type="expression" dxfId="72" priority="5">
      <formula>PROJSTATUS=PROJSTATSTANDARD</formula>
    </cfRule>
    <cfRule type="expression" dxfId="71" priority="6">
      <formula>PROJSTATUS=PROJSTATEXP</formula>
    </cfRule>
  </conditionalFormatting>
  <conditionalFormatting sqref="AK16 AK18 AK20 AK22 AK24 AK26 AK28 AK30 AK32 AK34">
    <cfRule type="expression" dxfId="70" priority="59">
      <formula>ISNUMBER(AK16)=FALSE</formula>
    </cfRule>
  </conditionalFormatting>
  <conditionalFormatting sqref="AQ2:AR3">
    <cfRule type="cellIs" dxfId="69" priority="15" operator="equal">
      <formula>1</formula>
    </cfRule>
    <cfRule type="cellIs" dxfId="68" priority="16" operator="between">
      <formula>0.51</formula>
      <formula>0.99</formula>
    </cfRule>
    <cfRule type="cellIs" dxfId="67" priority="17" operator="lessThanOrEqual">
      <formula>0.5</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xr:uid="{00000000-0002-0000-2600-000000000000}">
      <formula1>0</formula1>
      <formula2>999999999</formula2>
    </dataValidation>
    <dataValidation type="decimal" allowBlank="1" showInputMessage="1" showErrorMessage="1" error="Please enter a numerical value" sqref="Z16 Q16 Z34 Q20 Q22 Q24 Q26 Q28 Q30 Q32 Q34 Q18 Z20 Z22 Z24 Z26 Z28 Z30 Z32 Z18" xr:uid="{00000000-0002-0000-2600-000001000000}">
      <formula1>0</formula1>
      <formula2>999999</formula2>
    </dataValidation>
    <dataValidation type="list" allowBlank="1" showInputMessage="1" showErrorMessage="1" sqref="AW16:AW35" xr:uid="{00000000-0002-0000-2600-000002000000}">
      <formula1>ENDUSECAT</formula1>
    </dataValidation>
    <dataValidation type="list" allowBlank="1" showInputMessage="1" showErrorMessage="1" prompt="Select the measure type that is closest to the selections in this list. If not listed, select &quot;Others&quot;" sqref="F16:K35" xr:uid="{00000000-0002-0000-2600-000003000000}">
      <formula1>CMEMISCDESC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xr:uid="{00000000-0002-0000-2600-000004000000}">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xr:uid="{00000000-0002-0000-2600-000005000000}">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xr:uid="{00000000-0002-0000-2600-000006000000}"/>
  </dataValidations>
  <hyperlinks>
    <hyperlink ref="B202" r:id="rId1" display="NIPSCO.Savings@LMCO.com" xr:uid="{00000000-0004-0000-2600-000000000000}"/>
  </hyperlinks>
  <pageMargins left="0.25" right="0.25" top="0.25" bottom="0.25" header="0.25" footer="0.25"/>
  <pageSetup scale="64" fitToHeight="0"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0605-6EF8-4CAE-B754-37400C150B93}">
  <sheetPr codeName="Sheet9">
    <pageSetUpPr fitToPage="1"/>
  </sheetPr>
  <dimension ref="A1:AX202"/>
  <sheetViews>
    <sheetView showGridLines="0" showRowColHeaders="0" zoomScale="85" zoomScaleNormal="85" workbookViewId="0">
      <selection activeCell="C6" sqref="C6"/>
    </sheetView>
  </sheetViews>
  <sheetFormatPr defaultColWidth="0" defaultRowHeight="15" zeroHeight="1" x14ac:dyDescent="0.25"/>
  <cols>
    <col min="1" max="45" width="4.7109375" customWidth="1"/>
    <col min="46" max="67" width="9.140625" hidden="1" customWidth="1"/>
    <col min="68" max="16384" width="9.140625" hidden="1"/>
  </cols>
  <sheetData>
    <row r="1" spans="2: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4" ht="15.95" customHeight="1" x14ac:dyDescent="0.25">
      <c r="AH2" s="602" t="str">
        <f>INCENSTATUS</f>
        <v>---</v>
      </c>
      <c r="AI2" s="603"/>
      <c r="AJ2" s="603"/>
      <c r="AK2" s="603"/>
      <c r="AL2" s="613" t="str">
        <f ca="1">PROJSTATUS</f>
        <v>Enter Measures</v>
      </c>
      <c r="AM2" s="613"/>
      <c r="AN2" s="613"/>
      <c r="AO2" s="613"/>
      <c r="AP2" s="613"/>
      <c r="AQ2" s="622">
        <f ca="1">PROGRESSSTATUS</f>
        <v>0</v>
      </c>
      <c r="AR2" s="623"/>
    </row>
    <row r="3" spans="2:44" ht="15.95" customHeight="1" x14ac:dyDescent="0.25">
      <c r="AH3" s="604"/>
      <c r="AI3" s="605"/>
      <c r="AJ3" s="605"/>
      <c r="AK3" s="605"/>
      <c r="AL3" s="614"/>
      <c r="AM3" s="614"/>
      <c r="AN3" s="614"/>
      <c r="AO3" s="614"/>
      <c r="AP3" s="614"/>
      <c r="AQ3" s="624"/>
      <c r="AR3" s="625"/>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G10" s="448"/>
      <c r="I10" s="448"/>
      <c r="J10" s="448"/>
      <c r="K10" s="448"/>
      <c r="L10" s="448"/>
      <c r="M10" s="617" t="s">
        <v>74</v>
      </c>
      <c r="N10" s="617"/>
      <c r="O10" s="617"/>
      <c r="P10" s="617"/>
      <c r="Q10" s="617"/>
      <c r="R10" s="617"/>
      <c r="S10" s="617"/>
      <c r="T10" s="617"/>
      <c r="U10" s="617"/>
      <c r="V10" s="617"/>
      <c r="W10" s="617"/>
      <c r="X10" s="617"/>
      <c r="Y10" s="617"/>
      <c r="Z10" s="617"/>
      <c r="AA10" s="617"/>
      <c r="AB10" s="617"/>
      <c r="AC10" s="617"/>
      <c r="AD10" s="617"/>
      <c r="AE10" s="617"/>
      <c r="AF10" s="617"/>
      <c r="AG10" s="617"/>
      <c r="AH10" s="448"/>
      <c r="AI10" s="448"/>
      <c r="AJ10" s="448"/>
      <c r="AK10" s="448"/>
      <c r="AL10" s="448"/>
      <c r="AM10" s="448"/>
      <c r="AN10" s="448"/>
      <c r="AO10" s="69"/>
      <c r="AP10" s="69"/>
      <c r="AQ10" s="69"/>
      <c r="AR10" s="69"/>
    </row>
    <row r="11" spans="2:44" ht="15.95" customHeight="1" x14ac:dyDescent="0.25">
      <c r="B11" s="69"/>
      <c r="C11" s="69"/>
      <c r="D11" s="69"/>
      <c r="E11" s="69"/>
      <c r="I11" s="395"/>
      <c r="J11" s="395"/>
      <c r="K11" s="395"/>
      <c r="L11" s="395"/>
      <c r="M11" s="1914" t="s">
        <v>1554</v>
      </c>
      <c r="N11" s="1914"/>
      <c r="O11" s="1914"/>
      <c r="P11" s="1914"/>
      <c r="Q11" s="1914"/>
      <c r="R11" s="1914"/>
      <c r="S11" s="1914"/>
      <c r="T11" s="1914"/>
      <c r="U11" s="1914"/>
      <c r="V11" s="1914"/>
      <c r="W11" s="1914"/>
      <c r="X11" s="1914"/>
      <c r="Y11" s="1914"/>
      <c r="Z11" s="1914"/>
      <c r="AA11" s="1914"/>
      <c r="AB11" s="1914"/>
      <c r="AC11" s="1914"/>
      <c r="AD11" s="1914"/>
      <c r="AE11" s="1914"/>
      <c r="AF11" s="1914"/>
      <c r="AG11" s="1914"/>
      <c r="AH11" s="395"/>
      <c r="AI11" s="395"/>
      <c r="AJ11" s="395"/>
      <c r="AK11" s="395"/>
      <c r="AL11" s="395"/>
      <c r="AM11" s="395"/>
      <c r="AN11" s="395"/>
      <c r="AO11" s="396"/>
      <c r="AP11" s="396"/>
      <c r="AQ11" s="69"/>
      <c r="AR11" s="69"/>
    </row>
    <row r="12" spans="2:44" ht="15.95" customHeight="1" x14ac:dyDescent="0.25">
      <c r="B12" s="69"/>
      <c r="C12" s="69"/>
      <c r="D12" s="69"/>
      <c r="E12" s="69"/>
      <c r="F12" s="395"/>
      <c r="G12" s="395"/>
      <c r="H12" s="395"/>
      <c r="I12" s="395"/>
      <c r="J12" s="395"/>
      <c r="K12" s="395"/>
      <c r="L12" s="395"/>
      <c r="M12" s="1914"/>
      <c r="N12" s="1914"/>
      <c r="O12" s="1914"/>
      <c r="P12" s="1914"/>
      <c r="Q12" s="1914"/>
      <c r="R12" s="1914"/>
      <c r="S12" s="1914"/>
      <c r="T12" s="1914"/>
      <c r="U12" s="1914"/>
      <c r="V12" s="1914"/>
      <c r="W12" s="1914"/>
      <c r="X12" s="1914"/>
      <c r="Y12" s="1914"/>
      <c r="Z12" s="1914"/>
      <c r="AA12" s="1914"/>
      <c r="AB12" s="1914"/>
      <c r="AC12" s="1914"/>
      <c r="AD12" s="1914"/>
      <c r="AE12" s="1914"/>
      <c r="AF12" s="1914"/>
      <c r="AG12" s="1914"/>
      <c r="AH12" s="395"/>
      <c r="AI12" s="395"/>
      <c r="AJ12" s="395"/>
      <c r="AK12" s="395"/>
      <c r="AL12" s="395"/>
      <c r="AM12" s="395"/>
      <c r="AN12" s="395"/>
      <c r="AO12" s="396"/>
      <c r="AP12" s="396"/>
      <c r="AQ12" s="69"/>
      <c r="AR12" s="69"/>
    </row>
    <row r="13" spans="2:44" ht="15.95" customHeight="1" x14ac:dyDescent="0.25">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row>
    <row r="14" spans="2:44" ht="15.95" customHeight="1" x14ac:dyDescent="0.25">
      <c r="B14" s="69"/>
      <c r="C14" s="268"/>
      <c r="D14" s="69"/>
      <c r="E14" s="69"/>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c r="AO14" s="69"/>
      <c r="AP14" s="69"/>
      <c r="AQ14" s="69"/>
      <c r="AR14" s="69"/>
    </row>
    <row r="15" spans="2:44" ht="15.95" customHeight="1" x14ac:dyDescent="0.25">
      <c r="B15" s="69"/>
      <c r="C15" s="69"/>
      <c r="D15" s="69"/>
      <c r="E15" s="69"/>
      <c r="F15" s="69"/>
      <c r="G15" s="69"/>
      <c r="H15" s="69"/>
      <c r="I15" s="213"/>
      <c r="J15" s="1912" t="s">
        <v>1546</v>
      </c>
      <c r="K15" s="1913"/>
      <c r="L15" s="1913"/>
      <c r="M15" s="1913"/>
      <c r="N15" s="1913"/>
      <c r="O15" s="1913"/>
      <c r="P15" s="1913"/>
      <c r="Q15" s="1913"/>
      <c r="R15" s="1913"/>
      <c r="S15" s="1913"/>
      <c r="T15" s="1913"/>
      <c r="U15" s="1913"/>
      <c r="V15" s="1913"/>
      <c r="W15" s="1913"/>
      <c r="X15" s="1913"/>
      <c r="Y15" s="1913"/>
      <c r="Z15" s="1913"/>
      <c r="AA15" s="1913"/>
      <c r="AB15" s="1913"/>
      <c r="AC15" s="70"/>
      <c r="AD15" s="70"/>
      <c r="AE15" s="218"/>
      <c r="AF15" s="218"/>
      <c r="AG15" s="218"/>
      <c r="AH15" s="218"/>
      <c r="AI15" s="218"/>
      <c r="AJ15" s="218"/>
      <c r="AK15" s="214"/>
      <c r="AL15" s="69"/>
      <c r="AM15" s="69"/>
      <c r="AN15" s="69"/>
      <c r="AO15" s="69"/>
      <c r="AP15" s="69"/>
      <c r="AQ15" s="69"/>
      <c r="AR15" s="69"/>
    </row>
    <row r="16" spans="2:44" ht="15.95" customHeight="1" x14ac:dyDescent="0.25">
      <c r="B16" s="69"/>
      <c r="C16" s="397"/>
      <c r="D16" s="397"/>
      <c r="E16" s="397"/>
      <c r="F16" s="397"/>
      <c r="G16" s="397"/>
      <c r="H16" s="397"/>
      <c r="I16" s="213"/>
      <c r="J16" s="1913"/>
      <c r="K16" s="1913"/>
      <c r="L16" s="1913"/>
      <c r="M16" s="1913"/>
      <c r="N16" s="1913"/>
      <c r="O16" s="1913"/>
      <c r="P16" s="1913"/>
      <c r="Q16" s="1913"/>
      <c r="R16" s="1913"/>
      <c r="S16" s="1913"/>
      <c r="T16" s="1913"/>
      <c r="U16" s="1913"/>
      <c r="V16" s="1913"/>
      <c r="W16" s="1913"/>
      <c r="X16" s="1913"/>
      <c r="Y16" s="1913"/>
      <c r="Z16" s="1913"/>
      <c r="AA16" s="1913"/>
      <c r="AB16" s="1913"/>
      <c r="AC16" s="398"/>
      <c r="AD16" s="70"/>
      <c r="AE16" s="218"/>
      <c r="AF16" s="218"/>
      <c r="AG16" s="218"/>
      <c r="AH16" s="218"/>
      <c r="AI16" s="218"/>
      <c r="AJ16" s="218"/>
      <c r="AK16" s="214"/>
      <c r="AL16" s="69"/>
      <c r="AM16" s="69"/>
      <c r="AN16" s="69"/>
      <c r="AO16" s="69"/>
      <c r="AP16" s="69"/>
      <c r="AQ16" s="69"/>
      <c r="AR16" s="69"/>
    </row>
    <row r="17" spans="2:44" ht="15.95" customHeight="1" x14ac:dyDescent="0.25">
      <c r="B17" s="69"/>
      <c r="C17" s="268"/>
      <c r="D17" s="268"/>
      <c r="E17" s="268"/>
      <c r="F17" s="268"/>
      <c r="G17" s="268"/>
      <c r="H17" s="268"/>
      <c r="I17" s="213"/>
      <c r="J17" s="1913"/>
      <c r="K17" s="1913"/>
      <c r="L17" s="1913"/>
      <c r="M17" s="1913"/>
      <c r="N17" s="1913"/>
      <c r="O17" s="1913"/>
      <c r="P17" s="1913"/>
      <c r="Q17" s="1913"/>
      <c r="R17" s="1913"/>
      <c r="S17" s="1913"/>
      <c r="T17" s="1913"/>
      <c r="U17" s="1913"/>
      <c r="V17" s="1913"/>
      <c r="W17" s="1913"/>
      <c r="X17" s="1913"/>
      <c r="Y17" s="1913"/>
      <c r="Z17" s="1913"/>
      <c r="AA17" s="1913"/>
      <c r="AB17" s="1913"/>
      <c r="AC17" s="398"/>
      <c r="AD17" s="70"/>
      <c r="AE17" s="218"/>
      <c r="AF17" s="218"/>
      <c r="AG17" s="218"/>
      <c r="AH17" s="218"/>
      <c r="AI17" s="218"/>
      <c r="AJ17" s="218"/>
      <c r="AK17" s="214"/>
      <c r="AL17" s="69"/>
      <c r="AM17" s="69"/>
      <c r="AN17" s="69"/>
      <c r="AO17" s="69"/>
      <c r="AP17" s="69"/>
      <c r="AQ17" s="69"/>
      <c r="AR17" s="69"/>
    </row>
    <row r="18" spans="2:44" ht="15.95" customHeight="1" x14ac:dyDescent="0.25">
      <c r="B18" s="69"/>
      <c r="C18" s="69"/>
      <c r="D18" s="69"/>
      <c r="E18" s="69"/>
      <c r="F18" s="69"/>
      <c r="G18" s="69"/>
      <c r="H18" s="69"/>
      <c r="I18" s="213"/>
      <c r="J18" s="1913"/>
      <c r="K18" s="1913"/>
      <c r="L18" s="1913"/>
      <c r="M18" s="1913"/>
      <c r="N18" s="1913"/>
      <c r="O18" s="1913"/>
      <c r="P18" s="1913"/>
      <c r="Q18" s="1913"/>
      <c r="R18" s="1913"/>
      <c r="S18" s="1913"/>
      <c r="T18" s="1913"/>
      <c r="U18" s="1913"/>
      <c r="V18" s="1913"/>
      <c r="W18" s="1913"/>
      <c r="X18" s="1913"/>
      <c r="Y18" s="1913"/>
      <c r="Z18" s="1913"/>
      <c r="AA18" s="1913"/>
      <c r="AB18" s="1913"/>
      <c r="AC18" s="70"/>
      <c r="AD18" s="70"/>
      <c r="AE18" s="218"/>
      <c r="AF18" s="218"/>
      <c r="AG18" s="218"/>
      <c r="AH18" s="218"/>
      <c r="AI18" s="218"/>
      <c r="AJ18" s="218"/>
      <c r="AK18" s="214"/>
      <c r="AL18" s="69"/>
      <c r="AM18" s="69"/>
      <c r="AN18" s="69"/>
      <c r="AO18" s="69"/>
      <c r="AP18" s="69"/>
      <c r="AQ18" s="69"/>
      <c r="AR18" s="69"/>
    </row>
    <row r="19" spans="2:44" ht="15.95" customHeight="1" x14ac:dyDescent="0.25">
      <c r="B19" s="69"/>
      <c r="C19" s="268"/>
      <c r="D19" s="268"/>
      <c r="E19" s="268"/>
      <c r="F19" s="268"/>
      <c r="G19" s="268"/>
      <c r="H19" s="268"/>
      <c r="I19" s="213"/>
      <c r="J19" s="1909" t="str">
        <f>IF(M02S02F47="","",M02S02F47)</f>
        <v/>
      </c>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214"/>
      <c r="AL19" s="69"/>
      <c r="AM19" s="69"/>
      <c r="AN19" s="69"/>
      <c r="AO19" s="69"/>
      <c r="AP19" s="69"/>
      <c r="AQ19" s="69"/>
      <c r="AR19" s="69"/>
    </row>
    <row r="20" spans="2:44" ht="15.95" customHeight="1" x14ac:dyDescent="0.25">
      <c r="B20" s="69"/>
      <c r="C20" s="69"/>
      <c r="D20" s="69"/>
      <c r="E20" s="69"/>
      <c r="F20" s="69"/>
      <c r="G20" s="69"/>
      <c r="H20" s="69"/>
      <c r="I20" s="213"/>
      <c r="J20" s="1909"/>
      <c r="K20" s="1909"/>
      <c r="L20" s="1909"/>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c r="AI20" s="1909"/>
      <c r="AJ20" s="1909"/>
      <c r="AK20" s="214"/>
      <c r="AL20" s="69"/>
      <c r="AM20" s="69"/>
      <c r="AN20" s="69"/>
      <c r="AO20" s="69"/>
      <c r="AP20" s="69"/>
      <c r="AQ20" s="69"/>
      <c r="AR20" s="69"/>
    </row>
    <row r="21" spans="2:44" ht="15.95" customHeight="1" x14ac:dyDescent="0.25">
      <c r="B21" s="69"/>
      <c r="C21" s="268"/>
      <c r="D21" s="268"/>
      <c r="E21" s="268"/>
      <c r="F21" s="268"/>
      <c r="G21" s="268"/>
      <c r="H21" s="268"/>
      <c r="I21" s="213"/>
      <c r="J21" s="1910" t="str">
        <f>IF(M02S02F13="","",M02S02F13)</f>
        <v/>
      </c>
      <c r="K21" s="1910"/>
      <c r="L21" s="1910"/>
      <c r="M21" s="1910"/>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214"/>
      <c r="AL21" s="69"/>
      <c r="AM21" s="69"/>
      <c r="AN21" s="69"/>
      <c r="AO21" s="69"/>
      <c r="AP21" s="69"/>
      <c r="AQ21" s="69"/>
      <c r="AR21" s="69"/>
    </row>
    <row r="22" spans="2:44" ht="15.95" customHeight="1" x14ac:dyDescent="0.25">
      <c r="B22" s="69"/>
      <c r="C22" s="69"/>
      <c r="D22" s="69"/>
      <c r="E22" s="69"/>
      <c r="F22" s="69"/>
      <c r="G22" s="69"/>
      <c r="H22" s="69"/>
      <c r="I22" s="213"/>
      <c r="J22" s="399" t="s">
        <v>1955</v>
      </c>
      <c r="K22" s="69"/>
      <c r="L22" s="69"/>
      <c r="O22" s="597" t="str">
        <f>M02S02F02&amp;" "&amp;M02S02F03</f>
        <v xml:space="preserve"> </v>
      </c>
      <c r="P22" s="597"/>
      <c r="Q22" s="597"/>
      <c r="R22" s="597"/>
      <c r="S22" s="597"/>
      <c r="T22" s="597"/>
      <c r="U22" s="397"/>
      <c r="V22" s="397"/>
      <c r="W22" s="69"/>
      <c r="X22" s="399" t="s">
        <v>1540</v>
      </c>
      <c r="Y22" s="69"/>
      <c r="Z22" s="69"/>
      <c r="AC22" s="597" t="str">
        <f>IF(M02S03F02="","",M02S03F02)</f>
        <v/>
      </c>
      <c r="AD22" s="597"/>
      <c r="AE22" s="597"/>
      <c r="AF22" s="597"/>
      <c r="AG22" s="597"/>
      <c r="AH22" s="597"/>
      <c r="AI22" s="397"/>
      <c r="AJ22" s="397"/>
      <c r="AK22" s="214"/>
      <c r="AL22" s="69"/>
      <c r="AM22" s="69"/>
      <c r="AN22" s="69"/>
      <c r="AO22" s="69"/>
      <c r="AP22" s="69"/>
      <c r="AQ22" s="69"/>
      <c r="AR22" s="69"/>
    </row>
    <row r="23" spans="2:44" ht="15.95" customHeight="1" x14ac:dyDescent="0.25">
      <c r="B23" s="69"/>
      <c r="C23" s="268"/>
      <c r="D23" s="268"/>
      <c r="E23" s="268"/>
      <c r="F23" s="268"/>
      <c r="G23" s="268"/>
      <c r="H23" s="268"/>
      <c r="I23" s="213"/>
      <c r="J23" s="399" t="s">
        <v>1537</v>
      </c>
      <c r="K23" s="268"/>
      <c r="L23" s="268"/>
      <c r="O23" s="597" t="str">
        <f>M02S02F22</f>
        <v/>
      </c>
      <c r="P23" s="597"/>
      <c r="Q23" s="597"/>
      <c r="R23" s="597"/>
      <c r="S23" s="597"/>
      <c r="T23" s="597"/>
      <c r="U23" s="259"/>
      <c r="V23" s="259"/>
      <c r="W23" s="69"/>
      <c r="X23" s="399" t="s">
        <v>1541</v>
      </c>
      <c r="AC23" s="1911" t="str">
        <f>IF(M02S03F03=""," ",M02S03F03&amp;" "&amp;M02S03F04)</f>
        <v xml:space="preserve"> </v>
      </c>
      <c r="AD23" s="1911"/>
      <c r="AE23" s="1911"/>
      <c r="AF23" s="1911"/>
      <c r="AG23" s="1911"/>
      <c r="AH23" s="1911"/>
      <c r="AK23" s="214"/>
      <c r="AL23" s="69"/>
      <c r="AM23" s="69"/>
      <c r="AN23" s="69"/>
      <c r="AO23" s="69"/>
      <c r="AP23" s="69"/>
      <c r="AQ23" s="69"/>
      <c r="AR23" s="69"/>
    </row>
    <row r="24" spans="2:44" ht="15.95" customHeight="1" x14ac:dyDescent="0.25">
      <c r="B24" s="69"/>
      <c r="C24" s="69"/>
      <c r="D24" s="69"/>
      <c r="E24" s="69"/>
      <c r="F24" s="69"/>
      <c r="G24" s="69"/>
      <c r="H24" s="69"/>
      <c r="I24" s="213"/>
      <c r="J24" s="399"/>
      <c r="K24" s="69"/>
      <c r="L24" s="69"/>
      <c r="O24" s="597" t="str">
        <f>M02S02F23</f>
        <v/>
      </c>
      <c r="P24" s="597"/>
      <c r="Q24" s="597"/>
      <c r="R24" s="597"/>
      <c r="S24" s="776" t="s">
        <v>409</v>
      </c>
      <c r="T24" s="776"/>
      <c r="U24" s="1898" t="str">
        <f>M02S02F25</f>
        <v/>
      </c>
      <c r="V24" s="1898"/>
      <c r="W24" s="69"/>
      <c r="X24" s="399" t="s">
        <v>1536</v>
      </c>
      <c r="Y24" s="268"/>
      <c r="Z24" s="268"/>
      <c r="AC24" s="597" t="str">
        <f>IF(M02S03F09="","",M02S03F09)</f>
        <v/>
      </c>
      <c r="AD24" s="597"/>
      <c r="AE24" s="597"/>
      <c r="AF24" s="597"/>
      <c r="AG24" s="597"/>
      <c r="AH24" s="597"/>
      <c r="AI24" s="259"/>
      <c r="AJ24" s="259"/>
      <c r="AK24" s="214"/>
      <c r="AL24" s="69"/>
      <c r="AM24" s="69"/>
      <c r="AN24" s="69"/>
      <c r="AO24" s="69"/>
      <c r="AP24" s="69"/>
      <c r="AQ24" s="69"/>
      <c r="AR24" s="69"/>
    </row>
    <row r="25" spans="2:44" ht="15.95" customHeight="1" x14ac:dyDescent="0.25">
      <c r="B25" s="69"/>
      <c r="C25" s="268"/>
      <c r="D25" s="268"/>
      <c r="E25" s="268"/>
      <c r="F25" s="268"/>
      <c r="G25" s="268"/>
      <c r="H25" s="268"/>
      <c r="I25" s="213"/>
      <c r="J25" s="399" t="s">
        <v>1538</v>
      </c>
      <c r="K25" s="268"/>
      <c r="L25" s="268"/>
      <c r="O25" s="1899" t="str">
        <f>M02S02F05</f>
        <v/>
      </c>
      <c r="P25" s="1899"/>
      <c r="Q25" s="1899"/>
      <c r="R25" s="1899"/>
      <c r="S25" s="1899"/>
      <c r="T25" s="1899"/>
      <c r="U25" s="397"/>
      <c r="V25" s="397"/>
      <c r="W25" s="69"/>
      <c r="X25" s="399"/>
      <c r="Y25" s="69"/>
      <c r="Z25" s="69"/>
      <c r="AC25" s="597" t="str">
        <f>IF(M02S03F10="","",M02S03F10)</f>
        <v/>
      </c>
      <c r="AD25" s="597"/>
      <c r="AE25" s="597"/>
      <c r="AF25" s="597"/>
      <c r="AG25" s="776" t="str">
        <f>IF(M02S03F11="","",M02S03F11)</f>
        <v/>
      </c>
      <c r="AH25" s="776"/>
      <c r="AI25" s="1898" t="str">
        <f>IF(M02S03F12="","",M02S03F12)</f>
        <v/>
      </c>
      <c r="AJ25" s="1898"/>
      <c r="AK25" s="214"/>
      <c r="AL25" s="69"/>
      <c r="AM25" s="69"/>
      <c r="AN25" s="69"/>
      <c r="AO25" s="69"/>
      <c r="AP25" s="69"/>
      <c r="AQ25" s="69"/>
      <c r="AR25" s="69"/>
    </row>
    <row r="26" spans="2:44" ht="15.95" customHeight="1" x14ac:dyDescent="0.25">
      <c r="B26" s="69"/>
      <c r="C26" s="69"/>
      <c r="D26" s="69"/>
      <c r="E26" s="69"/>
      <c r="F26" s="69"/>
      <c r="G26" s="69"/>
      <c r="H26" s="69"/>
      <c r="I26" s="213"/>
      <c r="J26" s="399" t="s">
        <v>1539</v>
      </c>
      <c r="K26" s="69"/>
      <c r="L26" s="69"/>
      <c r="O26" s="597" t="str">
        <f>M02S02F07</f>
        <v/>
      </c>
      <c r="P26" s="597"/>
      <c r="Q26" s="597"/>
      <c r="R26" s="597"/>
      <c r="S26" s="597"/>
      <c r="T26" s="597"/>
      <c r="U26" s="400"/>
      <c r="V26" s="400"/>
      <c r="W26" s="69"/>
      <c r="X26" s="399" t="s">
        <v>1538</v>
      </c>
      <c r="Y26" s="268"/>
      <c r="Z26" s="268"/>
      <c r="AC26" s="1899" t="str">
        <f>IF(M02S03F06="","",M02S03F06)</f>
        <v/>
      </c>
      <c r="AD26" s="1899"/>
      <c r="AE26" s="1899"/>
      <c r="AF26" s="1899"/>
      <c r="AG26" s="1899"/>
      <c r="AH26" s="1899"/>
      <c r="AI26" s="397"/>
      <c r="AJ26" s="397"/>
      <c r="AK26" s="214"/>
      <c r="AL26" s="69"/>
      <c r="AM26" s="69"/>
      <c r="AN26" s="69"/>
      <c r="AO26" s="69"/>
      <c r="AP26" s="69"/>
      <c r="AQ26" s="69"/>
      <c r="AR26" s="69"/>
    </row>
    <row r="27" spans="2:44" ht="15.95" customHeight="1" x14ac:dyDescent="0.25">
      <c r="B27" s="69"/>
      <c r="C27" s="268"/>
      <c r="D27" s="268"/>
      <c r="E27" s="268"/>
      <c r="F27" s="268"/>
      <c r="G27" s="268"/>
      <c r="H27" s="268"/>
      <c r="I27" s="213"/>
      <c r="J27" s="268"/>
      <c r="K27" s="268"/>
      <c r="L27" s="268"/>
      <c r="M27" s="268"/>
      <c r="N27" s="268"/>
      <c r="O27" s="268"/>
      <c r="P27" s="69"/>
      <c r="W27" s="69"/>
      <c r="X27" s="399" t="s">
        <v>1539</v>
      </c>
      <c r="Y27" s="69"/>
      <c r="Z27" s="69"/>
      <c r="AC27" s="597" t="str">
        <f>IF(M02S03F08="","",M02S03F08)</f>
        <v/>
      </c>
      <c r="AD27" s="597"/>
      <c r="AE27" s="597"/>
      <c r="AF27" s="597"/>
      <c r="AG27" s="597"/>
      <c r="AH27" s="597"/>
      <c r="AI27" s="400"/>
      <c r="AJ27" s="400"/>
      <c r="AK27" s="214"/>
      <c r="AL27" s="69"/>
      <c r="AM27" s="69"/>
      <c r="AN27" s="69"/>
      <c r="AO27" s="69"/>
      <c r="AP27" s="69"/>
      <c r="AQ27" s="69"/>
      <c r="AR27" s="69"/>
    </row>
    <row r="28" spans="2:44" ht="15.95" customHeight="1" x14ac:dyDescent="0.25">
      <c r="B28" s="69"/>
      <c r="C28" s="69"/>
      <c r="D28" s="69"/>
      <c r="E28" s="69"/>
      <c r="F28" s="69"/>
      <c r="G28" s="69"/>
      <c r="H28" s="69"/>
      <c r="I28" s="213"/>
      <c r="AK28" s="214"/>
      <c r="AL28" s="69"/>
      <c r="AM28" s="69"/>
      <c r="AN28" s="69"/>
      <c r="AO28" s="69"/>
      <c r="AP28" s="69"/>
      <c r="AQ28" s="69"/>
      <c r="AR28" s="69"/>
    </row>
    <row r="29" spans="2:44" ht="15.95" customHeight="1" x14ac:dyDescent="0.25">
      <c r="B29" s="69"/>
      <c r="C29" s="268"/>
      <c r="D29" s="268"/>
      <c r="E29" s="268"/>
      <c r="F29" s="268"/>
      <c r="G29" s="268"/>
      <c r="H29" s="268"/>
      <c r="I29" s="213"/>
      <c r="AK29" s="214"/>
      <c r="AL29" s="69"/>
      <c r="AM29" s="69"/>
      <c r="AN29" s="69"/>
      <c r="AO29" s="69"/>
      <c r="AP29" s="69"/>
      <c r="AQ29" s="69"/>
      <c r="AR29" s="69"/>
    </row>
    <row r="30" spans="2:44" ht="15.95" customHeight="1" thickBot="1" x14ac:dyDescent="0.3">
      <c r="B30" s="69"/>
      <c r="C30" s="401"/>
      <c r="D30" s="401"/>
      <c r="E30" s="401"/>
      <c r="F30" s="401"/>
      <c r="G30" s="401"/>
      <c r="H30" s="401"/>
      <c r="I30" s="213"/>
      <c r="J30" s="402"/>
      <c r="K30" s="1900" t="s">
        <v>1542</v>
      </c>
      <c r="L30" s="1901"/>
      <c r="M30" s="1901"/>
      <c r="N30" s="1901"/>
      <c r="O30" s="1901"/>
      <c r="P30" s="1901"/>
      <c r="Q30" s="1901"/>
      <c r="R30" s="1901"/>
      <c r="S30" s="1901"/>
      <c r="T30" s="1901"/>
      <c r="U30" s="1901"/>
      <c r="V30" s="1901"/>
      <c r="W30" s="1901"/>
      <c r="X30" s="1901"/>
      <c r="Y30" s="1901"/>
      <c r="Z30" s="1901"/>
      <c r="AA30" s="1901"/>
      <c r="AB30" s="1901"/>
      <c r="AC30" s="1901"/>
      <c r="AD30" s="1904">
        <f>IFERROR(KWHTOTALALL*M02S02F35,0)*5</f>
        <v>0</v>
      </c>
      <c r="AE30" s="1905"/>
      <c r="AF30" s="1905"/>
      <c r="AG30" s="1905"/>
      <c r="AH30" s="1905"/>
      <c r="AI30" s="1905"/>
      <c r="AJ30" s="1905"/>
      <c r="AK30" s="214"/>
      <c r="AL30" s="69"/>
      <c r="AM30" s="69"/>
      <c r="AN30" s="69"/>
      <c r="AO30" s="69"/>
      <c r="AP30" s="69"/>
      <c r="AQ30" s="69"/>
      <c r="AR30" s="69"/>
    </row>
    <row r="31" spans="2:44" ht="15.95" customHeight="1" thickBot="1" x14ac:dyDescent="0.3">
      <c r="B31" s="69"/>
      <c r="C31" s="268"/>
      <c r="D31" s="268"/>
      <c r="E31" s="268"/>
      <c r="F31" s="268"/>
      <c r="G31" s="268"/>
      <c r="H31" s="268"/>
      <c r="I31" s="213"/>
      <c r="J31" s="403"/>
      <c r="K31" s="1902"/>
      <c r="L31" s="1903"/>
      <c r="M31" s="1903"/>
      <c r="N31" s="1903"/>
      <c r="O31" s="1903"/>
      <c r="P31" s="1903"/>
      <c r="Q31" s="1903"/>
      <c r="R31" s="1903"/>
      <c r="S31" s="1903"/>
      <c r="T31" s="1903"/>
      <c r="U31" s="1903"/>
      <c r="V31" s="1903"/>
      <c r="W31" s="1903"/>
      <c r="X31" s="1903"/>
      <c r="Y31" s="1903"/>
      <c r="Z31" s="1903"/>
      <c r="AA31" s="1903"/>
      <c r="AB31" s="1903"/>
      <c r="AC31" s="1903"/>
      <c r="AD31" s="1897"/>
      <c r="AE31" s="1897"/>
      <c r="AF31" s="1897"/>
      <c r="AG31" s="1897"/>
      <c r="AH31" s="1897"/>
      <c r="AI31" s="1897"/>
      <c r="AJ31" s="1897"/>
      <c r="AK31" s="214"/>
      <c r="AL31" s="69"/>
      <c r="AM31" s="69"/>
      <c r="AN31" s="69"/>
      <c r="AO31" s="69"/>
      <c r="AP31" s="69"/>
      <c r="AQ31" s="69"/>
      <c r="AR31" s="69"/>
    </row>
    <row r="32" spans="2:44" ht="15.95" customHeight="1" x14ac:dyDescent="0.25">
      <c r="B32" s="69"/>
      <c r="C32" s="160"/>
      <c r="D32" s="160"/>
      <c r="E32" s="160"/>
      <c r="F32" s="160"/>
      <c r="G32" s="160"/>
      <c r="H32" s="160"/>
      <c r="I32" s="213"/>
      <c r="AK32" s="214"/>
      <c r="AL32" s="397"/>
      <c r="AM32" s="397"/>
      <c r="AN32" s="397"/>
      <c r="AO32" s="397"/>
      <c r="AP32" s="397"/>
      <c r="AQ32" s="397"/>
      <c r="AR32" s="69"/>
    </row>
    <row r="33" spans="2:44" ht="15.95" customHeight="1" thickBot="1" x14ac:dyDescent="0.3">
      <c r="B33" s="69"/>
      <c r="I33" s="213"/>
      <c r="J33" s="69"/>
      <c r="K33" s="69"/>
      <c r="L33" s="69"/>
      <c r="M33" s="69"/>
      <c r="N33" s="69"/>
      <c r="O33" s="69"/>
      <c r="P33" s="69"/>
      <c r="W33" s="69"/>
      <c r="X33" s="69"/>
      <c r="Y33" s="69"/>
      <c r="Z33" s="69"/>
      <c r="AA33" s="69"/>
      <c r="AB33" s="69"/>
      <c r="AC33" s="69"/>
      <c r="AD33" s="69"/>
      <c r="AE33" s="69"/>
      <c r="AF33" s="69"/>
      <c r="AG33" s="69"/>
      <c r="AH33" s="69"/>
      <c r="AI33" s="69"/>
      <c r="AJ33" s="69"/>
      <c r="AK33" s="214"/>
      <c r="AL33" s="259"/>
      <c r="AM33" s="259"/>
      <c r="AN33" s="259"/>
      <c r="AO33" s="259"/>
      <c r="AP33" s="259"/>
      <c r="AQ33" s="259"/>
      <c r="AR33" s="69"/>
    </row>
    <row r="34" spans="2:44" ht="15.95" customHeight="1" x14ac:dyDescent="0.25">
      <c r="B34" s="69"/>
      <c r="I34" s="213"/>
      <c r="J34" s="1881" t="s">
        <v>74</v>
      </c>
      <c r="K34" s="1881"/>
      <c r="L34" s="1881"/>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214"/>
      <c r="AL34" s="69"/>
      <c r="AM34" s="69"/>
      <c r="AN34" s="69"/>
      <c r="AO34" s="69"/>
      <c r="AP34" s="69"/>
      <c r="AQ34" s="69"/>
      <c r="AR34" s="69"/>
    </row>
    <row r="35" spans="2:44" ht="15.95" customHeight="1" x14ac:dyDescent="0.25">
      <c r="B35" s="69"/>
      <c r="I35" s="213"/>
      <c r="J35" s="1882"/>
      <c r="K35" s="1882"/>
      <c r="L35" s="1882"/>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214"/>
      <c r="AL35" s="69"/>
      <c r="AM35" s="69"/>
      <c r="AN35" s="69"/>
      <c r="AO35" s="69"/>
      <c r="AP35" s="69"/>
      <c r="AQ35" s="69"/>
      <c r="AR35" s="69"/>
    </row>
    <row r="36" spans="2:44" ht="15.95" customHeight="1" x14ac:dyDescent="0.25">
      <c r="B36" s="69"/>
      <c r="I36" s="213"/>
      <c r="J36" s="76"/>
      <c r="K36" s="76"/>
      <c r="L36" s="76"/>
      <c r="M36" s="76"/>
      <c r="N36" s="76"/>
      <c r="O36" s="76"/>
      <c r="P36" s="69"/>
      <c r="W36" s="69"/>
      <c r="X36" s="69"/>
      <c r="Y36" s="69"/>
      <c r="Z36" s="69"/>
      <c r="AA36" s="69"/>
      <c r="AB36" s="69"/>
      <c r="AC36" s="69"/>
      <c r="AD36" s="69"/>
      <c r="AE36" s="69"/>
      <c r="AF36" s="69"/>
      <c r="AG36" s="69"/>
      <c r="AH36" s="69"/>
      <c r="AI36" s="69"/>
      <c r="AJ36" s="69"/>
      <c r="AK36" s="214"/>
      <c r="AL36" s="69"/>
      <c r="AM36" s="69"/>
      <c r="AN36" s="69"/>
      <c r="AO36" s="69"/>
      <c r="AP36" s="69"/>
      <c r="AQ36" s="69"/>
      <c r="AR36" s="69"/>
    </row>
    <row r="37" spans="2:44" ht="15.95" customHeight="1" x14ac:dyDescent="0.25">
      <c r="B37" s="69"/>
      <c r="I37" s="213"/>
      <c r="J37" s="76"/>
      <c r="K37" s="76"/>
      <c r="L37" s="76"/>
      <c r="M37" s="76"/>
      <c r="N37" s="76"/>
      <c r="O37" s="76"/>
      <c r="P37" s="69"/>
      <c r="W37" s="69"/>
      <c r="X37" s="69"/>
      <c r="Y37" s="69"/>
      <c r="Z37" s="69"/>
      <c r="AA37" s="69"/>
      <c r="AB37" s="69"/>
      <c r="AC37" s="69"/>
      <c r="AD37" s="69"/>
      <c r="AE37" s="69"/>
      <c r="AF37" s="69"/>
      <c r="AG37" s="69"/>
      <c r="AH37" s="69"/>
      <c r="AI37" s="69"/>
      <c r="AJ37" s="69"/>
      <c r="AK37" s="214"/>
      <c r="AL37" s="69"/>
      <c r="AM37" s="69"/>
      <c r="AN37" s="69"/>
      <c r="AO37" s="69"/>
      <c r="AP37" s="69"/>
      <c r="AQ37" s="69"/>
      <c r="AR37" s="69"/>
    </row>
    <row r="38" spans="2:44" ht="15.95" customHeight="1" x14ac:dyDescent="0.25">
      <c r="B38" s="69"/>
      <c r="I38" s="213"/>
      <c r="J38" s="76"/>
      <c r="K38" s="1906" t="str">
        <f>INCENSTATUS</f>
        <v>---</v>
      </c>
      <c r="L38" s="1906"/>
      <c r="M38" s="1906"/>
      <c r="N38" s="1906"/>
      <c r="O38" s="1906"/>
      <c r="P38" s="1906"/>
      <c r="Q38" s="1906"/>
      <c r="R38" s="1906"/>
      <c r="S38" s="1906"/>
      <c r="T38" s="1906"/>
      <c r="W38" s="69"/>
      <c r="X38" s="69"/>
      <c r="Y38" s="69"/>
      <c r="Z38" s="1906">
        <f>IFERROR(KWHTOTALALL*M02S02F35,0)</f>
        <v>0</v>
      </c>
      <c r="AA38" s="1906"/>
      <c r="AB38" s="1906"/>
      <c r="AC38" s="1906"/>
      <c r="AD38" s="1906"/>
      <c r="AE38" s="1906"/>
      <c r="AF38" s="1906"/>
      <c r="AG38" s="1906"/>
      <c r="AH38" s="1906"/>
      <c r="AI38" s="1906"/>
      <c r="AJ38" s="69"/>
      <c r="AK38" s="214"/>
      <c r="AL38" s="69"/>
      <c r="AM38" s="69"/>
      <c r="AN38" s="69"/>
      <c r="AO38" s="69"/>
      <c r="AP38" s="69"/>
      <c r="AQ38" s="69"/>
      <c r="AR38" s="69"/>
    </row>
    <row r="39" spans="2:44" ht="15.95" customHeight="1" x14ac:dyDescent="0.25">
      <c r="B39" s="69"/>
      <c r="I39" s="213"/>
      <c r="J39" s="76"/>
      <c r="K39" s="1906"/>
      <c r="L39" s="1906"/>
      <c r="M39" s="1906"/>
      <c r="N39" s="1906"/>
      <c r="O39" s="1906"/>
      <c r="P39" s="1906"/>
      <c r="Q39" s="1906"/>
      <c r="R39" s="1906"/>
      <c r="S39" s="1906"/>
      <c r="T39" s="1906"/>
      <c r="W39" s="69"/>
      <c r="X39" s="69"/>
      <c r="Y39" s="69"/>
      <c r="Z39" s="1906"/>
      <c r="AA39" s="1906"/>
      <c r="AB39" s="1906"/>
      <c r="AC39" s="1906"/>
      <c r="AD39" s="1906"/>
      <c r="AE39" s="1906"/>
      <c r="AF39" s="1906"/>
      <c r="AG39" s="1906"/>
      <c r="AH39" s="1906"/>
      <c r="AI39" s="1906"/>
      <c r="AJ39" s="69"/>
      <c r="AK39" s="214"/>
      <c r="AL39" s="69"/>
      <c r="AM39" s="69"/>
      <c r="AN39" s="69"/>
      <c r="AO39" s="69"/>
      <c r="AP39" s="69"/>
      <c r="AQ39" s="69"/>
      <c r="AR39" s="69"/>
    </row>
    <row r="40" spans="2:44" ht="15.95" customHeight="1" x14ac:dyDescent="0.25">
      <c r="B40" s="69"/>
      <c r="I40" s="213"/>
      <c r="J40" s="76"/>
      <c r="K40" s="1907" t="s">
        <v>1544</v>
      </c>
      <c r="L40" s="1907"/>
      <c r="M40" s="1907"/>
      <c r="N40" s="1907"/>
      <c r="O40" s="1907"/>
      <c r="P40" s="1907"/>
      <c r="Q40" s="1907"/>
      <c r="R40" s="1907"/>
      <c r="S40" s="1907"/>
      <c r="T40" s="1907"/>
      <c r="W40" s="69"/>
      <c r="X40" s="69"/>
      <c r="Y40" s="69"/>
      <c r="Z40" s="1907" t="s">
        <v>1543</v>
      </c>
      <c r="AA40" s="1907"/>
      <c r="AB40" s="1907"/>
      <c r="AC40" s="1907"/>
      <c r="AD40" s="1907"/>
      <c r="AE40" s="1907"/>
      <c r="AF40" s="1907"/>
      <c r="AG40" s="1907"/>
      <c r="AH40" s="1907"/>
      <c r="AI40" s="1907"/>
      <c r="AJ40" s="69"/>
      <c r="AK40" s="214"/>
      <c r="AL40" s="69"/>
      <c r="AM40" s="69"/>
      <c r="AN40" s="69"/>
      <c r="AO40" s="69"/>
      <c r="AP40" s="69"/>
      <c r="AQ40" s="69"/>
      <c r="AR40" s="69"/>
    </row>
    <row r="41" spans="2:44" ht="15.95" customHeight="1" x14ac:dyDescent="0.25">
      <c r="B41" s="69"/>
      <c r="I41" s="213"/>
      <c r="J41" s="76"/>
      <c r="K41" s="1907"/>
      <c r="L41" s="1907"/>
      <c r="M41" s="1907"/>
      <c r="N41" s="1907"/>
      <c r="O41" s="1907"/>
      <c r="P41" s="1907"/>
      <c r="Q41" s="1907"/>
      <c r="R41" s="1907"/>
      <c r="S41" s="1907"/>
      <c r="T41" s="1907"/>
      <c r="W41" s="69"/>
      <c r="X41" s="69"/>
      <c r="Y41" s="69"/>
      <c r="Z41" s="1907"/>
      <c r="AA41" s="1907"/>
      <c r="AB41" s="1907"/>
      <c r="AC41" s="1907"/>
      <c r="AD41" s="1907"/>
      <c r="AE41" s="1907"/>
      <c r="AF41" s="1907"/>
      <c r="AG41" s="1907"/>
      <c r="AH41" s="1907"/>
      <c r="AI41" s="1907"/>
      <c r="AJ41" s="69"/>
      <c r="AK41" s="214"/>
      <c r="AL41" s="69"/>
      <c r="AM41" s="69"/>
      <c r="AN41" s="69"/>
      <c r="AO41" s="69"/>
      <c r="AP41" s="69"/>
      <c r="AQ41" s="69"/>
      <c r="AR41" s="69"/>
    </row>
    <row r="42" spans="2:44" ht="15.95" customHeight="1" x14ac:dyDescent="0.25">
      <c r="B42" s="69"/>
      <c r="I42" s="213"/>
      <c r="J42" s="1908" t="str">
        <f>IF(INCENSTATUS="---","",IF(INCENSTATUS&gt;15000,"This project may require an inspection. Please submit photos of existing equipment and of new efficient equipment once installed.",""))</f>
        <v/>
      </c>
      <c r="K42" s="1908"/>
      <c r="L42" s="1908"/>
      <c r="M42" s="1908"/>
      <c r="N42" s="1908"/>
      <c r="O42" s="1908"/>
      <c r="P42" s="1908"/>
      <c r="Q42" s="1908"/>
      <c r="R42" s="1908"/>
      <c r="S42" s="1908"/>
      <c r="W42" s="69"/>
      <c r="X42" s="69"/>
      <c r="Y42" s="69"/>
      <c r="Z42" s="69"/>
      <c r="AA42" s="69"/>
      <c r="AB42" s="69"/>
      <c r="AC42" s="69"/>
      <c r="AD42" s="69"/>
      <c r="AE42" s="69"/>
      <c r="AF42" s="69"/>
      <c r="AG42" s="69"/>
      <c r="AH42" s="69"/>
      <c r="AI42" s="69"/>
      <c r="AJ42" s="69"/>
      <c r="AK42" s="214"/>
      <c r="AL42" s="69"/>
      <c r="AM42" s="69"/>
      <c r="AN42" s="69"/>
      <c r="AO42" s="69"/>
      <c r="AP42" s="69"/>
      <c r="AQ42" s="69"/>
      <c r="AR42" s="69"/>
    </row>
    <row r="43" spans="2:44" ht="15.95" customHeight="1" x14ac:dyDescent="0.25">
      <c r="B43" s="69"/>
      <c r="I43" s="213"/>
      <c r="J43" s="1908"/>
      <c r="K43" s="1908"/>
      <c r="L43" s="1908"/>
      <c r="M43" s="1908"/>
      <c r="N43" s="1908"/>
      <c r="O43" s="1908"/>
      <c r="P43" s="1908"/>
      <c r="Q43" s="1908"/>
      <c r="R43" s="1908"/>
      <c r="S43" s="1908"/>
      <c r="W43" s="69"/>
      <c r="X43" s="69"/>
      <c r="Y43" s="69"/>
      <c r="Z43" s="69"/>
      <c r="AA43" s="69"/>
      <c r="AB43" s="69"/>
      <c r="AC43" s="69"/>
      <c r="AD43" s="69"/>
      <c r="AE43" s="69"/>
      <c r="AF43" s="69"/>
      <c r="AG43" s="69"/>
      <c r="AH43" s="69"/>
      <c r="AI43" s="69"/>
      <c r="AJ43" s="69"/>
      <c r="AK43" s="214"/>
      <c r="AL43" s="69"/>
      <c r="AM43" s="69"/>
      <c r="AN43" s="69"/>
      <c r="AO43" s="69"/>
      <c r="AP43" s="69"/>
      <c r="AQ43" s="69"/>
      <c r="AR43" s="69"/>
    </row>
    <row r="44" spans="2:44" ht="15.95" customHeight="1" thickBot="1" x14ac:dyDescent="0.3">
      <c r="B44" s="69"/>
      <c r="I44" s="213"/>
      <c r="J44" s="1908"/>
      <c r="K44" s="1908"/>
      <c r="L44" s="1908"/>
      <c r="M44" s="1908"/>
      <c r="N44" s="1908"/>
      <c r="O44" s="1908"/>
      <c r="P44" s="1908"/>
      <c r="Q44" s="1908"/>
      <c r="R44" s="1908"/>
      <c r="S44" s="1908"/>
      <c r="W44" s="69"/>
      <c r="X44" s="69"/>
      <c r="Y44" s="69"/>
      <c r="Z44" s="69"/>
      <c r="AA44" s="69"/>
      <c r="AB44" s="69"/>
      <c r="AC44" s="69"/>
      <c r="AD44" s="69"/>
      <c r="AE44" s="69"/>
      <c r="AF44" s="69"/>
      <c r="AG44" s="69"/>
      <c r="AH44" s="69"/>
      <c r="AI44" s="69"/>
      <c r="AJ44" s="69"/>
      <c r="AK44" s="214"/>
      <c r="AL44" s="69"/>
      <c r="AM44" s="69"/>
      <c r="AN44" s="69"/>
      <c r="AO44" s="69"/>
      <c r="AP44" s="69"/>
      <c r="AQ44" s="69"/>
      <c r="AR44" s="69"/>
    </row>
    <row r="45" spans="2:44" ht="15.95" customHeight="1" thickBot="1" x14ac:dyDescent="0.3">
      <c r="B45" s="69"/>
      <c r="I45" s="213"/>
      <c r="J45" s="76"/>
      <c r="K45" s="69"/>
      <c r="L45" s="69"/>
      <c r="M45" s="69"/>
      <c r="N45" s="69"/>
      <c r="O45" s="1896" t="s">
        <v>1558</v>
      </c>
      <c r="P45" s="1896"/>
      <c r="Q45" s="1896"/>
      <c r="R45" s="1896"/>
      <c r="S45" s="1896"/>
      <c r="T45" s="1896"/>
      <c r="U45" s="1896"/>
      <c r="V45" s="1896"/>
      <c r="W45" s="1896"/>
      <c r="X45" s="1897" t="s">
        <v>1559</v>
      </c>
      <c r="Y45" s="1897"/>
      <c r="Z45" s="1897"/>
      <c r="AA45" s="1897"/>
      <c r="AB45" s="1897"/>
      <c r="AC45" s="1897"/>
      <c r="AD45" s="1897"/>
      <c r="AE45" s="1897"/>
      <c r="AF45" s="1897"/>
      <c r="AG45" s="69"/>
      <c r="AH45" s="69"/>
      <c r="AI45" s="69"/>
      <c r="AJ45" s="69"/>
      <c r="AK45" s="214"/>
      <c r="AL45" s="69"/>
      <c r="AM45" s="69"/>
      <c r="AN45" s="69"/>
      <c r="AO45" s="69"/>
      <c r="AP45" s="69"/>
      <c r="AQ45" s="69"/>
      <c r="AR45" s="69"/>
    </row>
    <row r="46" spans="2:44" ht="15.95" customHeight="1" thickBot="1" x14ac:dyDescent="0.3">
      <c r="B46" s="69"/>
      <c r="I46" s="213"/>
      <c r="J46" s="76"/>
      <c r="K46" s="1878" t="s">
        <v>496</v>
      </c>
      <c r="L46" s="1878"/>
      <c r="M46" s="1878"/>
      <c r="N46" s="1878"/>
      <c r="O46" s="1890">
        <f>COSTTOTALALL</f>
        <v>0</v>
      </c>
      <c r="P46" s="1890"/>
      <c r="Q46" s="1890"/>
      <c r="R46" s="1890"/>
      <c r="S46" s="1890"/>
      <c r="T46" s="1890"/>
      <c r="U46" s="1890"/>
      <c r="V46" s="1890"/>
      <c r="W46" s="1890"/>
      <c r="X46" s="1891">
        <f>IFERROR(COSTTOTALALL-INCENSTATUS,0)</f>
        <v>0</v>
      </c>
      <c r="Y46" s="1891"/>
      <c r="Z46" s="1891"/>
      <c r="AA46" s="1891"/>
      <c r="AB46" s="1891"/>
      <c r="AC46" s="1891"/>
      <c r="AD46" s="1891"/>
      <c r="AE46" s="1891"/>
      <c r="AF46" s="1891"/>
      <c r="AG46" s="69"/>
      <c r="AH46" s="69"/>
      <c r="AI46" s="69"/>
      <c r="AJ46" s="69"/>
      <c r="AK46" s="214"/>
      <c r="AL46" s="69"/>
      <c r="AM46" s="69"/>
      <c r="AN46" s="69"/>
      <c r="AO46" s="69"/>
      <c r="AP46" s="69"/>
      <c r="AQ46" s="69"/>
      <c r="AR46" s="69"/>
    </row>
    <row r="47" spans="2:44" ht="15.95" customHeight="1" thickBot="1" x14ac:dyDescent="0.3">
      <c r="B47" s="69"/>
      <c r="I47" s="213"/>
      <c r="J47" s="76"/>
      <c r="K47" s="1889"/>
      <c r="L47" s="1889"/>
      <c r="M47" s="1889"/>
      <c r="N47" s="1889"/>
      <c r="O47" s="1890"/>
      <c r="P47" s="1890"/>
      <c r="Q47" s="1890"/>
      <c r="R47" s="1890"/>
      <c r="S47" s="1890"/>
      <c r="T47" s="1890"/>
      <c r="U47" s="1890"/>
      <c r="V47" s="1890"/>
      <c r="W47" s="1890"/>
      <c r="X47" s="1891"/>
      <c r="Y47" s="1891"/>
      <c r="Z47" s="1891"/>
      <c r="AA47" s="1891"/>
      <c r="AB47" s="1891"/>
      <c r="AC47" s="1891"/>
      <c r="AD47" s="1891"/>
      <c r="AE47" s="1891"/>
      <c r="AF47" s="1891"/>
      <c r="AG47" s="69"/>
      <c r="AH47" s="69"/>
      <c r="AI47" s="69"/>
      <c r="AJ47" s="69"/>
      <c r="AK47" s="214"/>
      <c r="AL47" s="69"/>
      <c r="AM47" s="69"/>
      <c r="AN47" s="69"/>
      <c r="AO47" s="69"/>
      <c r="AP47" s="69"/>
      <c r="AQ47" s="69"/>
      <c r="AR47" s="69"/>
    </row>
    <row r="48" spans="2:44" ht="15.95" customHeight="1" thickBot="1" x14ac:dyDescent="0.3">
      <c r="B48" s="69"/>
      <c r="I48" s="213"/>
      <c r="J48" s="76"/>
      <c r="K48" s="1877" t="s">
        <v>1545</v>
      </c>
      <c r="L48" s="1877"/>
      <c r="M48" s="1877"/>
      <c r="N48" s="1877"/>
      <c r="O48" s="1892">
        <f>IFERROR(Z38/O46,0)</f>
        <v>0</v>
      </c>
      <c r="P48" s="1892"/>
      <c r="Q48" s="1892"/>
      <c r="R48" s="1892"/>
      <c r="S48" s="1892"/>
      <c r="T48" s="1892"/>
      <c r="U48" s="1892"/>
      <c r="V48" s="1892"/>
      <c r="W48" s="1892"/>
      <c r="X48" s="1893">
        <f>IFERROR(Z38/X46,0)</f>
        <v>0</v>
      </c>
      <c r="Y48" s="1893"/>
      <c r="Z48" s="1893"/>
      <c r="AA48" s="1893"/>
      <c r="AB48" s="1893"/>
      <c r="AC48" s="1893"/>
      <c r="AD48" s="1893"/>
      <c r="AE48" s="1893"/>
      <c r="AF48" s="1893"/>
      <c r="AG48" s="69"/>
      <c r="AH48" s="69"/>
      <c r="AI48" s="69"/>
      <c r="AJ48" s="69"/>
      <c r="AK48" s="214"/>
      <c r="AL48" s="69"/>
      <c r="AM48" s="69"/>
      <c r="AN48" s="69"/>
      <c r="AO48" s="69"/>
      <c r="AP48" s="69"/>
      <c r="AQ48" s="69"/>
      <c r="AR48" s="69"/>
    </row>
    <row r="49" spans="2:50" ht="15.95" customHeight="1" thickBot="1" x14ac:dyDescent="0.3">
      <c r="B49" s="69"/>
      <c r="I49" s="213"/>
      <c r="J49" s="76"/>
      <c r="K49" s="1889"/>
      <c r="L49" s="1889"/>
      <c r="M49" s="1889"/>
      <c r="N49" s="1889"/>
      <c r="O49" s="1892"/>
      <c r="P49" s="1892"/>
      <c r="Q49" s="1892"/>
      <c r="R49" s="1892"/>
      <c r="S49" s="1892"/>
      <c r="T49" s="1892"/>
      <c r="U49" s="1892"/>
      <c r="V49" s="1892"/>
      <c r="W49" s="1892"/>
      <c r="X49" s="1893"/>
      <c r="Y49" s="1893"/>
      <c r="Z49" s="1893"/>
      <c r="AA49" s="1893"/>
      <c r="AB49" s="1893"/>
      <c r="AC49" s="1893"/>
      <c r="AD49" s="1893"/>
      <c r="AE49" s="1893"/>
      <c r="AF49" s="1893"/>
      <c r="AG49" s="69"/>
      <c r="AH49" s="69"/>
      <c r="AI49" s="69"/>
      <c r="AJ49" s="69"/>
      <c r="AK49" s="214"/>
      <c r="AL49" s="69"/>
      <c r="AM49" s="69"/>
      <c r="AN49" s="69"/>
      <c r="AO49" s="69"/>
      <c r="AP49" s="69"/>
      <c r="AQ49" s="69"/>
      <c r="AR49" s="69"/>
    </row>
    <row r="50" spans="2:50" ht="15.95" customHeight="1" thickBot="1" x14ac:dyDescent="0.3">
      <c r="B50" s="69"/>
      <c r="I50" s="213"/>
      <c r="J50" s="76"/>
      <c r="K50" s="1877" t="s">
        <v>561</v>
      </c>
      <c r="L50" s="1877"/>
      <c r="M50" s="1877"/>
      <c r="N50" s="1877"/>
      <c r="O50" s="1879">
        <f>IFERROR(O46/Z38,0)</f>
        <v>0</v>
      </c>
      <c r="P50" s="1879"/>
      <c r="Q50" s="1879"/>
      <c r="R50" s="1879"/>
      <c r="S50" s="1879"/>
      <c r="T50" s="1879"/>
      <c r="U50" s="1879"/>
      <c r="V50" s="1879"/>
      <c r="W50" s="1879"/>
      <c r="X50" s="1880">
        <f>IFERROR(X46/Z38,0)</f>
        <v>0</v>
      </c>
      <c r="Y50" s="1880"/>
      <c r="Z50" s="1880"/>
      <c r="AA50" s="1880"/>
      <c r="AB50" s="1880"/>
      <c r="AC50" s="1880"/>
      <c r="AD50" s="1880"/>
      <c r="AE50" s="1880"/>
      <c r="AF50" s="1880"/>
      <c r="AG50" s="69"/>
      <c r="AH50" s="69"/>
      <c r="AI50" s="69"/>
      <c r="AJ50" s="69"/>
      <c r="AK50" s="214"/>
      <c r="AL50" s="69"/>
      <c r="AM50" s="69"/>
      <c r="AN50" s="69"/>
      <c r="AO50" s="69"/>
      <c r="AP50" s="69"/>
      <c r="AQ50" s="69"/>
      <c r="AR50" s="69"/>
    </row>
    <row r="51" spans="2:50" ht="15.95" customHeight="1" thickBot="1" x14ac:dyDescent="0.3">
      <c r="B51" s="69"/>
      <c r="I51" s="213"/>
      <c r="J51" s="76"/>
      <c r="K51" s="1878"/>
      <c r="L51" s="1878"/>
      <c r="M51" s="1878"/>
      <c r="N51" s="1878"/>
      <c r="O51" s="1879"/>
      <c r="P51" s="1879"/>
      <c r="Q51" s="1879"/>
      <c r="R51" s="1879"/>
      <c r="S51" s="1879"/>
      <c r="T51" s="1879"/>
      <c r="U51" s="1879"/>
      <c r="V51" s="1879"/>
      <c r="W51" s="1879"/>
      <c r="X51" s="1880"/>
      <c r="Y51" s="1880"/>
      <c r="Z51" s="1880"/>
      <c r="AA51" s="1880"/>
      <c r="AB51" s="1880"/>
      <c r="AC51" s="1880"/>
      <c r="AD51" s="1880"/>
      <c r="AE51" s="1880"/>
      <c r="AF51" s="1880"/>
      <c r="AG51" s="69"/>
      <c r="AH51" s="69"/>
      <c r="AI51" s="69"/>
      <c r="AJ51" s="69"/>
      <c r="AK51" s="214"/>
      <c r="AL51" s="69"/>
      <c r="AM51" s="69"/>
      <c r="AN51" s="69"/>
      <c r="AO51" s="69"/>
      <c r="AP51" s="69"/>
      <c r="AQ51" s="69"/>
      <c r="AR51" s="69"/>
    </row>
    <row r="52" spans="2:50" ht="15.95" customHeight="1" x14ac:dyDescent="0.25">
      <c r="B52" s="69"/>
      <c r="I52" s="213"/>
      <c r="J52" s="76"/>
      <c r="K52" s="76"/>
      <c r="L52" s="76"/>
      <c r="M52" s="76"/>
      <c r="N52" s="76"/>
      <c r="O52" s="76"/>
      <c r="P52" s="69"/>
      <c r="W52" s="69"/>
      <c r="X52" s="69"/>
      <c r="Y52" s="69"/>
      <c r="Z52" s="69"/>
      <c r="AA52" s="69"/>
      <c r="AB52" s="69"/>
      <c r="AC52" s="69"/>
      <c r="AD52" s="69"/>
      <c r="AE52" s="69"/>
      <c r="AF52" s="69"/>
      <c r="AG52" s="69"/>
      <c r="AH52" s="69"/>
      <c r="AI52" s="69"/>
      <c r="AJ52" s="69"/>
      <c r="AK52" s="214"/>
      <c r="AL52" s="69"/>
      <c r="AM52" s="69"/>
      <c r="AN52" s="69"/>
      <c r="AO52" s="69"/>
      <c r="AP52" s="69"/>
      <c r="AQ52" s="69"/>
      <c r="AR52" s="69"/>
    </row>
    <row r="53" spans="2:50" ht="15.95" customHeight="1" x14ac:dyDescent="0.25">
      <c r="B53" s="69"/>
      <c r="I53" s="213"/>
      <c r="AK53" s="214"/>
      <c r="AL53" s="69"/>
      <c r="AM53" s="69"/>
      <c r="AN53" s="69"/>
      <c r="AO53" s="69"/>
      <c r="AP53" s="69"/>
      <c r="AQ53" s="69"/>
      <c r="AR53" s="69"/>
      <c r="AU53" t="s">
        <v>1560</v>
      </c>
      <c r="AX53">
        <f>AVERAGE(66827349,61605176,67743805)/AVERAGE(80878917,75449280,81061185)/1000</f>
        <v>8.2639049963911197E-4</v>
      </c>
    </row>
    <row r="54" spans="2:50" ht="15.95" customHeight="1" x14ac:dyDescent="0.25">
      <c r="B54" s="69"/>
      <c r="I54" s="213"/>
      <c r="AK54" s="214"/>
      <c r="AL54" s="69"/>
      <c r="AM54" s="69"/>
      <c r="AN54" s="69"/>
      <c r="AO54" s="69"/>
      <c r="AP54" s="69"/>
      <c r="AQ54" s="69"/>
      <c r="AR54" s="69"/>
      <c r="AU54" s="15" t="s">
        <v>1564</v>
      </c>
      <c r="AW54" s="61"/>
    </row>
    <row r="55" spans="2:50" ht="15.95" customHeight="1" x14ac:dyDescent="0.25">
      <c r="B55" s="69"/>
      <c r="I55" s="213"/>
      <c r="AK55" s="214"/>
      <c r="AL55" s="69"/>
      <c r="AM55" s="69"/>
      <c r="AN55" s="69"/>
      <c r="AO55" s="69"/>
      <c r="AP55" s="69"/>
      <c r="AQ55" s="69"/>
      <c r="AR55" s="69"/>
      <c r="AU55" s="394"/>
    </row>
    <row r="56" spans="2:50" ht="15.95" customHeight="1" x14ac:dyDescent="0.25">
      <c r="B56" s="69"/>
      <c r="I56" s="213"/>
      <c r="AK56" s="214"/>
      <c r="AL56" s="69"/>
      <c r="AM56" s="69"/>
      <c r="AN56" s="69"/>
      <c r="AO56" s="69"/>
      <c r="AP56" s="69"/>
      <c r="AQ56" s="69"/>
      <c r="AR56" s="69"/>
      <c r="AU56" t="s">
        <v>1561</v>
      </c>
      <c r="AX56">
        <v>4.71</v>
      </c>
    </row>
    <row r="57" spans="2:50" ht="15.95" customHeight="1" x14ac:dyDescent="0.25">
      <c r="B57" s="69"/>
      <c r="I57" s="213"/>
      <c r="J57" s="1883" t="s">
        <v>1550</v>
      </c>
      <c r="K57" s="1883"/>
      <c r="L57" s="1883"/>
      <c r="M57" s="1883"/>
      <c r="N57" s="1883"/>
      <c r="O57" s="1883"/>
      <c r="P57" s="1883"/>
      <c r="Q57" s="1883"/>
      <c r="R57" s="1883"/>
      <c r="AK57" s="214"/>
      <c r="AL57" s="69"/>
      <c r="AM57" s="69"/>
      <c r="AN57" s="69"/>
      <c r="AO57" s="69"/>
      <c r="AP57" s="69"/>
      <c r="AQ57" s="69"/>
      <c r="AR57" s="69"/>
      <c r="AU57" t="s">
        <v>1562</v>
      </c>
      <c r="AX57">
        <f>5.734/12</f>
        <v>0.47783333333333333</v>
      </c>
    </row>
    <row r="58" spans="2:50" ht="15.95" customHeight="1" x14ac:dyDescent="0.25">
      <c r="B58" s="69"/>
      <c r="I58" s="213"/>
      <c r="J58" s="1883"/>
      <c r="K58" s="1883"/>
      <c r="L58" s="1883"/>
      <c r="M58" s="1883"/>
      <c r="N58" s="1883"/>
      <c r="O58" s="1883"/>
      <c r="P58" s="1883"/>
      <c r="Q58" s="1883"/>
      <c r="R58" s="1883"/>
      <c r="AK58" s="214"/>
      <c r="AL58" s="69"/>
      <c r="AM58" s="69"/>
      <c r="AN58" s="69"/>
      <c r="AO58" s="69"/>
      <c r="AP58" s="69"/>
      <c r="AQ58" s="69"/>
      <c r="AR58" s="69"/>
      <c r="AU58" t="s">
        <v>1563</v>
      </c>
      <c r="AX58" s="156">
        <v>2.87</v>
      </c>
    </row>
    <row r="59" spans="2:50" ht="15.95" customHeight="1" x14ac:dyDescent="0.25">
      <c r="B59" s="69"/>
      <c r="I59" s="213"/>
      <c r="J59" s="1884">
        <f>KWHTOTALALL</f>
        <v>0</v>
      </c>
      <c r="K59" s="1884"/>
      <c r="L59" s="1884"/>
      <c r="M59" s="1884"/>
      <c r="N59" s="1884"/>
      <c r="O59" s="1884"/>
      <c r="P59" s="1884"/>
      <c r="Q59" s="1884"/>
      <c r="R59" s="1884"/>
      <c r="AK59" s="214"/>
      <c r="AL59" s="69"/>
      <c r="AM59" s="69"/>
      <c r="AN59" s="69"/>
      <c r="AO59" s="69"/>
      <c r="AP59" s="69"/>
      <c r="AQ59" s="69"/>
      <c r="AR59" s="69"/>
      <c r="AU59" t="s">
        <v>1566</v>
      </c>
    </row>
    <row r="60" spans="2:50" ht="15.95" customHeight="1" x14ac:dyDescent="0.25">
      <c r="B60" s="69"/>
      <c r="I60" s="213"/>
      <c r="J60" s="1884"/>
      <c r="K60" s="1884"/>
      <c r="L60" s="1884"/>
      <c r="M60" s="1884"/>
      <c r="N60" s="1884"/>
      <c r="O60" s="1884"/>
      <c r="P60" s="1884"/>
      <c r="Q60" s="1884"/>
      <c r="R60" s="1884"/>
      <c r="AK60" s="214"/>
      <c r="AL60" s="69"/>
      <c r="AM60" s="69"/>
      <c r="AN60" s="69"/>
      <c r="AO60" s="69"/>
      <c r="AP60" s="69"/>
      <c r="AQ60" s="69"/>
      <c r="AR60" s="69"/>
    </row>
    <row r="61" spans="2:50" ht="15.95" customHeight="1" x14ac:dyDescent="0.35">
      <c r="B61" s="69"/>
      <c r="I61" s="213"/>
      <c r="K61" s="404"/>
      <c r="L61" s="404"/>
      <c r="M61" s="404"/>
      <c r="N61" s="404"/>
      <c r="O61" s="404"/>
      <c r="P61" s="404"/>
      <c r="Q61" s="404"/>
      <c r="R61" s="404"/>
      <c r="S61" s="404"/>
      <c r="T61" s="1885" t="s">
        <v>1553</v>
      </c>
      <c r="U61" s="1885"/>
      <c r="V61" s="1885"/>
      <c r="W61" s="1885"/>
      <c r="X61" s="1885"/>
      <c r="Y61" s="1885"/>
      <c r="Z61" s="1885"/>
      <c r="AA61" s="404"/>
      <c r="AB61" s="404"/>
      <c r="AC61" s="404"/>
      <c r="AD61" s="404"/>
      <c r="AE61" s="404"/>
      <c r="AF61" s="404"/>
      <c r="AG61" s="404"/>
      <c r="AH61" s="404"/>
      <c r="AI61" s="404"/>
      <c r="AJ61" s="404"/>
      <c r="AK61" s="214"/>
      <c r="AL61" s="69"/>
      <c r="AM61" s="69"/>
      <c r="AN61" s="69"/>
      <c r="AO61" s="69"/>
      <c r="AP61" s="69"/>
      <c r="AQ61" s="69"/>
      <c r="AR61" s="69"/>
    </row>
    <row r="62" spans="2:50" ht="15.95" customHeight="1" x14ac:dyDescent="0.35">
      <c r="B62" s="69"/>
      <c r="I62" s="213"/>
      <c r="J62" s="405"/>
      <c r="K62" s="405"/>
      <c r="L62" s="405"/>
      <c r="M62" s="405"/>
      <c r="N62" s="405"/>
      <c r="O62" s="405"/>
      <c r="P62" s="405"/>
      <c r="Q62" s="405"/>
      <c r="R62" s="405"/>
      <c r="S62" s="405"/>
      <c r="T62" s="1885"/>
      <c r="U62" s="1885"/>
      <c r="V62" s="1885"/>
      <c r="W62" s="1885"/>
      <c r="X62" s="1885"/>
      <c r="Y62" s="1885"/>
      <c r="Z62" s="1885"/>
      <c r="AA62" s="405"/>
      <c r="AB62" s="405"/>
      <c r="AC62" s="405"/>
      <c r="AD62" s="405"/>
      <c r="AE62" s="405"/>
      <c r="AF62" s="405"/>
      <c r="AG62" s="405"/>
      <c r="AH62" s="405"/>
      <c r="AI62" s="405"/>
      <c r="AJ62" s="405"/>
      <c r="AK62" s="214"/>
      <c r="AL62" s="69"/>
      <c r="AM62" s="69"/>
      <c r="AN62" s="69"/>
      <c r="AO62" s="69"/>
      <c r="AP62" s="69"/>
      <c r="AQ62" s="69"/>
      <c r="AR62" s="69"/>
    </row>
    <row r="63" spans="2:50" ht="15.95" customHeight="1" x14ac:dyDescent="0.25">
      <c r="B63" s="69"/>
      <c r="I63" s="213"/>
      <c r="T63" s="1885"/>
      <c r="U63" s="1885"/>
      <c r="V63" s="1885"/>
      <c r="W63" s="1885"/>
      <c r="X63" s="1885"/>
      <c r="Y63" s="1885"/>
      <c r="Z63" s="1885"/>
      <c r="AK63" s="214"/>
      <c r="AL63" s="69"/>
      <c r="AM63" s="69"/>
      <c r="AN63" s="69"/>
      <c r="AO63" s="69"/>
      <c r="AP63" s="69"/>
      <c r="AQ63" s="69"/>
      <c r="AR63" s="69"/>
    </row>
    <row r="64" spans="2:50" ht="15.95" customHeight="1" x14ac:dyDescent="0.25">
      <c r="B64" s="69"/>
      <c r="I64" s="213"/>
      <c r="T64" s="1886">
        <f>J59*AX53</f>
        <v>0</v>
      </c>
      <c r="U64" s="1886"/>
      <c r="V64" s="1886"/>
      <c r="W64" s="1886"/>
      <c r="X64" s="1886"/>
      <c r="Y64" s="1886"/>
      <c r="Z64" s="1886"/>
      <c r="AK64" s="214"/>
      <c r="AL64" s="69"/>
      <c r="AM64" s="69"/>
      <c r="AN64" s="69"/>
      <c r="AO64" s="69"/>
      <c r="AP64" s="69"/>
      <c r="AQ64" s="69"/>
      <c r="AR64" s="69"/>
    </row>
    <row r="65" spans="2:44" ht="15.95" customHeight="1" x14ac:dyDescent="0.25">
      <c r="B65" s="69"/>
      <c r="I65" s="213"/>
      <c r="T65" s="1886"/>
      <c r="U65" s="1886"/>
      <c r="V65" s="1886"/>
      <c r="W65" s="1886"/>
      <c r="X65" s="1886"/>
      <c r="Y65" s="1886"/>
      <c r="Z65" s="1886"/>
      <c r="AK65" s="214"/>
      <c r="AL65" s="69"/>
      <c r="AM65" s="69"/>
      <c r="AN65" s="69"/>
      <c r="AO65" s="69"/>
      <c r="AP65" s="69"/>
      <c r="AQ65" s="69"/>
      <c r="AR65" s="69"/>
    </row>
    <row r="66" spans="2:44" ht="15.95" customHeight="1" x14ac:dyDescent="0.25">
      <c r="B66" s="69"/>
      <c r="I66" s="213"/>
      <c r="T66" s="1887" t="s">
        <v>1565</v>
      </c>
      <c r="U66" s="1887"/>
      <c r="V66" s="1887"/>
      <c r="W66" s="1887"/>
      <c r="X66" s="1887"/>
      <c r="Y66" s="1887"/>
      <c r="Z66" s="1887"/>
      <c r="AK66" s="214"/>
      <c r="AL66" s="69"/>
      <c r="AM66" s="69"/>
      <c r="AN66" s="69"/>
      <c r="AO66" s="69"/>
      <c r="AP66" s="69"/>
      <c r="AQ66" s="69"/>
      <c r="AR66" s="69"/>
    </row>
    <row r="67" spans="2:44" ht="15.95" customHeight="1" x14ac:dyDescent="0.25">
      <c r="B67" s="69"/>
      <c r="I67" s="213"/>
      <c r="T67" s="1887"/>
      <c r="U67" s="1887"/>
      <c r="V67" s="1887"/>
      <c r="W67" s="1887"/>
      <c r="X67" s="1887"/>
      <c r="Y67" s="1887"/>
      <c r="Z67" s="1887"/>
      <c r="AK67" s="214"/>
      <c r="AL67" s="69"/>
      <c r="AM67" s="69"/>
      <c r="AN67" s="69"/>
      <c r="AO67" s="69"/>
      <c r="AP67" s="69"/>
      <c r="AQ67" s="69"/>
      <c r="AR67" s="69"/>
    </row>
    <row r="68" spans="2:44" ht="15.95" customHeight="1" x14ac:dyDescent="0.25">
      <c r="B68" s="69"/>
      <c r="I68" s="213"/>
      <c r="AK68" s="214"/>
      <c r="AL68" s="69"/>
      <c r="AM68" s="69"/>
      <c r="AN68" s="69"/>
      <c r="AO68" s="69"/>
      <c r="AP68" s="69"/>
      <c r="AQ68" s="69"/>
      <c r="AR68" s="69"/>
    </row>
    <row r="69" spans="2:44" ht="15.95" customHeight="1" x14ac:dyDescent="0.25">
      <c r="B69" s="69"/>
      <c r="I69" s="213"/>
      <c r="M69" s="1876">
        <f>T64/AX56</f>
        <v>0</v>
      </c>
      <c r="N69" s="1876"/>
      <c r="O69" s="1876"/>
      <c r="P69" s="1876"/>
      <c r="Q69" s="1876"/>
      <c r="R69" s="1876"/>
      <c r="S69" s="406"/>
      <c r="T69" s="406"/>
      <c r="V69" s="1876">
        <f>T64/AX57</f>
        <v>0</v>
      </c>
      <c r="W69" s="1876"/>
      <c r="X69" s="1876"/>
      <c r="Y69" s="1876"/>
      <c r="Z69" s="1876"/>
      <c r="AA69" s="1876"/>
      <c r="AB69" s="407"/>
      <c r="AC69" s="407"/>
      <c r="AD69" s="407"/>
      <c r="AE69" s="1876">
        <f>T64/AX58</f>
        <v>0</v>
      </c>
      <c r="AF69" s="1876"/>
      <c r="AG69" s="1876"/>
      <c r="AH69" s="1876"/>
      <c r="AI69" s="1876"/>
      <c r="AJ69" s="1876"/>
      <c r="AK69" s="214"/>
      <c r="AL69" s="69"/>
      <c r="AM69" s="69"/>
      <c r="AN69" s="69"/>
      <c r="AO69" s="69"/>
      <c r="AP69" s="69"/>
      <c r="AQ69" s="69"/>
      <c r="AR69" s="69"/>
    </row>
    <row r="70" spans="2:44" ht="15.95" customHeight="1" x14ac:dyDescent="0.25">
      <c r="B70" s="69"/>
      <c r="I70" s="213"/>
      <c r="M70" s="1857" t="s">
        <v>1567</v>
      </c>
      <c r="N70" s="1857"/>
      <c r="O70" s="1857"/>
      <c r="P70" s="1857"/>
      <c r="Q70" s="1857"/>
      <c r="R70" s="1857"/>
      <c r="S70" s="408"/>
      <c r="T70" s="408"/>
      <c r="V70" s="1888" t="s">
        <v>1551</v>
      </c>
      <c r="W70" s="1888"/>
      <c r="X70" s="1888"/>
      <c r="Y70" s="1888"/>
      <c r="Z70" s="1888"/>
      <c r="AA70" s="1888"/>
      <c r="AB70" s="409"/>
      <c r="AC70" s="409"/>
      <c r="AD70" s="409"/>
      <c r="AE70" s="1888" t="s">
        <v>1569</v>
      </c>
      <c r="AF70" s="1888"/>
      <c r="AG70" s="1888"/>
      <c r="AH70" s="1888"/>
      <c r="AI70" s="1888"/>
      <c r="AJ70" s="1888"/>
      <c r="AK70" s="214"/>
      <c r="AL70" s="69"/>
      <c r="AM70" s="69"/>
      <c r="AN70" s="69"/>
      <c r="AO70" s="69"/>
      <c r="AP70" s="69"/>
      <c r="AQ70" s="69"/>
      <c r="AR70" s="69"/>
    </row>
    <row r="71" spans="2:44" ht="15.95" customHeight="1" x14ac:dyDescent="0.25">
      <c r="B71" s="69"/>
      <c r="I71" s="213"/>
      <c r="M71" s="1857" t="s">
        <v>1568</v>
      </c>
      <c r="N71" s="1857"/>
      <c r="O71" s="1857"/>
      <c r="P71" s="1857"/>
      <c r="Q71" s="1857"/>
      <c r="R71" s="1857"/>
      <c r="S71" s="408"/>
      <c r="T71" s="408"/>
      <c r="V71" s="1894" t="s">
        <v>1552</v>
      </c>
      <c r="W71" s="1894"/>
      <c r="X71" s="1894"/>
      <c r="Y71" s="1894"/>
      <c r="Z71" s="1894"/>
      <c r="AA71" s="1894"/>
      <c r="AE71" s="1895" t="s">
        <v>1570</v>
      </c>
      <c r="AF71" s="1895"/>
      <c r="AG71" s="1895"/>
      <c r="AH71" s="1895"/>
      <c r="AI71" s="1895"/>
      <c r="AJ71" s="1895"/>
      <c r="AK71" s="214"/>
      <c r="AL71" s="69"/>
      <c r="AM71" s="69"/>
      <c r="AN71" s="69"/>
      <c r="AO71" s="69"/>
      <c r="AP71" s="69"/>
      <c r="AQ71" s="69"/>
      <c r="AR71" s="69"/>
    </row>
    <row r="72" spans="2:44" ht="15.95" customHeight="1" x14ac:dyDescent="0.25">
      <c r="B72" s="69"/>
      <c r="I72" s="213"/>
      <c r="M72" s="1857"/>
      <c r="N72" s="1857"/>
      <c r="O72" s="1857"/>
      <c r="P72" s="1857"/>
      <c r="Q72" s="1857"/>
      <c r="R72" s="1857"/>
      <c r="AK72" s="214"/>
      <c r="AL72" s="69"/>
      <c r="AM72" s="69"/>
      <c r="AN72" s="69"/>
      <c r="AO72" s="69"/>
      <c r="AP72" s="69"/>
      <c r="AQ72" s="69"/>
      <c r="AR72" s="69"/>
    </row>
    <row r="73" spans="2:44" ht="15.95" customHeight="1" x14ac:dyDescent="0.25">
      <c r="B73" s="69"/>
      <c r="I73" s="213"/>
      <c r="AK73" s="214"/>
      <c r="AL73" s="69"/>
      <c r="AM73" s="69"/>
      <c r="AN73" s="69"/>
      <c r="AO73" s="69"/>
      <c r="AP73" s="69"/>
      <c r="AQ73" s="69"/>
      <c r="AR73" s="69"/>
    </row>
    <row r="74" spans="2:44" ht="15.95" customHeight="1" thickBot="1" x14ac:dyDescent="0.3">
      <c r="B74" s="69"/>
      <c r="I74" s="213"/>
      <c r="AK74" s="214"/>
      <c r="AL74" s="69"/>
      <c r="AM74" s="69"/>
      <c r="AN74" s="69"/>
      <c r="AO74" s="69"/>
      <c r="AP74" s="69"/>
      <c r="AQ74" s="69"/>
      <c r="AR74" s="69"/>
    </row>
    <row r="75" spans="2:44" ht="15.95" customHeight="1" x14ac:dyDescent="0.25">
      <c r="B75" s="69"/>
      <c r="I75" s="213"/>
      <c r="J75" s="1881" t="s">
        <v>2151</v>
      </c>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1"/>
      <c r="AK75" s="214"/>
      <c r="AL75" s="69"/>
      <c r="AM75" s="69"/>
      <c r="AN75" s="69"/>
      <c r="AO75" s="69"/>
      <c r="AP75" s="69"/>
      <c r="AQ75" s="69"/>
      <c r="AR75" s="69"/>
    </row>
    <row r="76" spans="2:44" ht="15.95" customHeight="1" x14ac:dyDescent="0.25">
      <c r="B76" s="69"/>
      <c r="I76" s="213"/>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214"/>
      <c r="AL76" s="69"/>
      <c r="AM76" s="69"/>
      <c r="AN76" s="69"/>
      <c r="AO76" s="69"/>
      <c r="AP76" s="69"/>
      <c r="AQ76" s="69"/>
      <c r="AR76" s="69"/>
    </row>
    <row r="77" spans="2:44" ht="15.95" customHeight="1" x14ac:dyDescent="0.25">
      <c r="B77" s="69"/>
      <c r="I77" s="140"/>
      <c r="J77" s="1875" t="s">
        <v>2223</v>
      </c>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1875"/>
      <c r="AI77" s="1875"/>
      <c r="AJ77" s="1875"/>
      <c r="AK77" s="141"/>
      <c r="AL77" s="69"/>
      <c r="AM77" s="69"/>
      <c r="AN77" s="69"/>
      <c r="AO77" s="69"/>
      <c r="AP77" s="69"/>
      <c r="AQ77" s="69"/>
      <c r="AR77" s="69"/>
    </row>
    <row r="78" spans="2:44" ht="15.95" customHeight="1" x14ac:dyDescent="0.25">
      <c r="B78" s="69"/>
      <c r="I78" s="140"/>
      <c r="J78" s="1875"/>
      <c r="K78" s="1875"/>
      <c r="L78" s="1875"/>
      <c r="M78" s="1875"/>
      <c r="N78" s="1875"/>
      <c r="O78" s="1875"/>
      <c r="P78" s="1875"/>
      <c r="Q78" s="1875"/>
      <c r="R78" s="1875"/>
      <c r="S78" s="1875"/>
      <c r="T78" s="1875"/>
      <c r="U78" s="1875"/>
      <c r="V78" s="1875"/>
      <c r="W78" s="1875"/>
      <c r="X78" s="1875"/>
      <c r="Y78" s="1875"/>
      <c r="Z78" s="1875"/>
      <c r="AA78" s="1875"/>
      <c r="AB78" s="1875"/>
      <c r="AC78" s="1875"/>
      <c r="AD78" s="1875"/>
      <c r="AE78" s="1875"/>
      <c r="AF78" s="1875"/>
      <c r="AG78" s="1875"/>
      <c r="AH78" s="1875"/>
      <c r="AI78" s="1875"/>
      <c r="AJ78" s="1875"/>
      <c r="AK78" s="141"/>
      <c r="AL78" s="69"/>
      <c r="AM78" s="69"/>
      <c r="AN78" s="69"/>
      <c r="AO78" s="69"/>
      <c r="AP78" s="69"/>
      <c r="AQ78" s="69"/>
      <c r="AR78" s="69"/>
    </row>
    <row r="79" spans="2:44" ht="15.95" customHeight="1" x14ac:dyDescent="0.25">
      <c r="B79" s="69"/>
      <c r="I79" s="140"/>
      <c r="AK79" s="141"/>
      <c r="AL79" s="69"/>
      <c r="AM79" s="69"/>
      <c r="AN79" s="69"/>
      <c r="AO79" s="69"/>
      <c r="AP79" s="69"/>
      <c r="AQ79" s="69"/>
      <c r="AR79" s="69"/>
    </row>
    <row r="80" spans="2:44" ht="15.95" customHeight="1" thickBot="1" x14ac:dyDescent="0.3">
      <c r="B80" s="69"/>
      <c r="I80" s="213"/>
      <c r="J80" s="469" t="s">
        <v>2156</v>
      </c>
      <c r="K80" s="440"/>
      <c r="L80" s="440"/>
      <c r="M80" s="419"/>
      <c r="N80" s="419"/>
      <c r="T80" s="469" t="s">
        <v>2152</v>
      </c>
      <c r="U80" s="440"/>
      <c r="V80" s="440"/>
      <c r="W80" s="419"/>
      <c r="X80" s="419"/>
      <c r="Z80" s="288"/>
      <c r="AD80" s="469" t="s">
        <v>1902</v>
      </c>
      <c r="AF80" s="440"/>
      <c r="AG80" s="440"/>
      <c r="AH80" s="419"/>
      <c r="AI80" s="419"/>
      <c r="AK80" s="214"/>
      <c r="AL80" s="69"/>
      <c r="AM80" s="69"/>
      <c r="AN80" s="69"/>
      <c r="AO80" s="69"/>
      <c r="AP80" s="69"/>
      <c r="AQ80" s="69"/>
      <c r="AR80" s="69"/>
    </row>
    <row r="81" spans="2:44" ht="15.95" customHeight="1" thickBot="1" x14ac:dyDescent="0.3">
      <c r="B81" s="69"/>
      <c r="I81" s="213"/>
      <c r="J81" s="1862" t="str">
        <f>IF(O46&lt;&gt;0,O46,"")</f>
        <v/>
      </c>
      <c r="K81" s="1863"/>
      <c r="L81" s="1863"/>
      <c r="M81" s="1863"/>
      <c r="N81" s="1863"/>
      <c r="O81" s="1863"/>
      <c r="P81" s="1864"/>
      <c r="T81" s="1859"/>
      <c r="U81" s="1860"/>
      <c r="V81" s="1860"/>
      <c r="W81" s="1860"/>
      <c r="X81" s="1860"/>
      <c r="Y81" s="1860"/>
      <c r="Z81" s="1861"/>
      <c r="AD81" s="1865"/>
      <c r="AE81" s="1866"/>
      <c r="AF81" s="1866"/>
      <c r="AG81" s="1866"/>
      <c r="AH81" s="1866"/>
      <c r="AI81" s="1866"/>
      <c r="AJ81" s="1867"/>
      <c r="AK81" s="214"/>
      <c r="AL81" s="69"/>
      <c r="AM81" s="69"/>
      <c r="AN81" s="69"/>
      <c r="AO81" s="69"/>
      <c r="AP81" s="69"/>
      <c r="AQ81" s="69"/>
      <c r="AR81" s="69"/>
    </row>
    <row r="82" spans="2:44" ht="15.95" customHeight="1" thickBot="1" x14ac:dyDescent="0.3">
      <c r="B82" s="69"/>
      <c r="I82" s="213"/>
      <c r="K82" s="454"/>
      <c r="L82" s="454"/>
      <c r="M82" s="455"/>
      <c r="N82" s="455"/>
      <c r="O82" s="288"/>
      <c r="P82" s="288"/>
      <c r="X82" s="288"/>
      <c r="Y82" s="288"/>
      <c r="Z82" s="288"/>
      <c r="AA82" s="288"/>
      <c r="AB82" s="288"/>
      <c r="AC82" s="288"/>
      <c r="AD82" s="288"/>
      <c r="AE82" s="288"/>
      <c r="AF82" s="288"/>
      <c r="AG82" s="288"/>
      <c r="AH82" s="288"/>
      <c r="AI82" s="288"/>
      <c r="AJ82" s="288"/>
      <c r="AK82" s="214"/>
      <c r="AL82" s="69"/>
      <c r="AM82" s="69"/>
      <c r="AN82" s="69"/>
      <c r="AO82" s="69"/>
      <c r="AP82" s="69"/>
      <c r="AQ82" s="69"/>
      <c r="AR82" s="69"/>
    </row>
    <row r="83" spans="2:44" ht="15.95" customHeight="1" thickBot="1" x14ac:dyDescent="0.3">
      <c r="B83" s="69"/>
      <c r="I83" s="213"/>
      <c r="J83" s="1868" t="s">
        <v>2153</v>
      </c>
      <c r="K83" s="1869"/>
      <c r="L83" s="1869"/>
      <c r="M83" s="1869"/>
      <c r="N83" s="1869"/>
      <c r="O83" s="1869"/>
      <c r="P83" s="1869"/>
      <c r="T83" s="1868" t="s">
        <v>2154</v>
      </c>
      <c r="U83" s="1869"/>
      <c r="V83" s="1869"/>
      <c r="W83" s="1869"/>
      <c r="X83" s="1869"/>
      <c r="Y83" s="1869"/>
      <c r="Z83" s="1869"/>
      <c r="AD83" s="1868" t="s">
        <v>2155</v>
      </c>
      <c r="AE83" s="1869"/>
      <c r="AF83" s="1869"/>
      <c r="AG83" s="1869"/>
      <c r="AH83" s="1869"/>
      <c r="AI83" s="1869"/>
      <c r="AJ83" s="1869"/>
      <c r="AK83" s="214"/>
      <c r="AL83" s="69"/>
      <c r="AM83" s="69"/>
      <c r="AN83" s="69"/>
      <c r="AO83" s="69"/>
      <c r="AP83" s="69"/>
      <c r="AQ83" s="69"/>
      <c r="AR83" s="69"/>
    </row>
    <row r="84" spans="2:44" ht="15.95" customHeight="1" x14ac:dyDescent="0.25">
      <c r="B84" s="69"/>
      <c r="I84" s="213"/>
      <c r="J84" s="1870">
        <f>IFERROR(PMT(T81/12,AD81,-J81),0)</f>
        <v>0</v>
      </c>
      <c r="K84" s="1871"/>
      <c r="L84" s="1871"/>
      <c r="M84" s="1871"/>
      <c r="N84" s="1871"/>
      <c r="O84" s="1871"/>
      <c r="P84" s="1871"/>
      <c r="T84" s="1870">
        <f>IF(OR(J81="",T81="",AD81=""),0,(AD81*J84)-J81)</f>
        <v>0</v>
      </c>
      <c r="U84" s="1871"/>
      <c r="V84" s="1871"/>
      <c r="W84" s="1871"/>
      <c r="X84" s="1871"/>
      <c r="Y84" s="1871"/>
      <c r="Z84" s="1871"/>
      <c r="AD84" s="1870">
        <f>IF(OR(J81="",T81="",AD81=""),0,AD81*J84)</f>
        <v>0</v>
      </c>
      <c r="AE84" s="1871"/>
      <c r="AF84" s="1871"/>
      <c r="AG84" s="1871"/>
      <c r="AH84" s="1871"/>
      <c r="AI84" s="1871"/>
      <c r="AJ84" s="1871"/>
      <c r="AK84" s="214"/>
      <c r="AL84" s="69"/>
      <c r="AM84" s="69"/>
      <c r="AN84" s="69"/>
      <c r="AO84" s="69"/>
      <c r="AP84" s="69"/>
      <c r="AQ84" s="69"/>
      <c r="AR84" s="69"/>
    </row>
    <row r="85" spans="2:44" ht="15.95" customHeight="1" thickBot="1" x14ac:dyDescent="0.3">
      <c r="B85" s="69"/>
      <c r="I85" s="213"/>
      <c r="J85" s="1872"/>
      <c r="K85" s="1873"/>
      <c r="L85" s="1873"/>
      <c r="M85" s="1873"/>
      <c r="N85" s="1873"/>
      <c r="O85" s="1873"/>
      <c r="P85" s="1873"/>
      <c r="T85" s="1872"/>
      <c r="U85" s="1873"/>
      <c r="V85" s="1873"/>
      <c r="W85" s="1873"/>
      <c r="X85" s="1873"/>
      <c r="Y85" s="1873"/>
      <c r="Z85" s="1873"/>
      <c r="AD85" s="1872"/>
      <c r="AE85" s="1873"/>
      <c r="AF85" s="1873"/>
      <c r="AG85" s="1873"/>
      <c r="AH85" s="1873"/>
      <c r="AI85" s="1873"/>
      <c r="AJ85" s="1873"/>
      <c r="AK85" s="214"/>
      <c r="AL85" s="69"/>
      <c r="AM85" s="69"/>
      <c r="AN85" s="69"/>
      <c r="AO85" s="69"/>
      <c r="AP85" s="69"/>
      <c r="AQ85" s="69"/>
      <c r="AR85" s="69"/>
    </row>
    <row r="86" spans="2:44" ht="15.95" customHeight="1" x14ac:dyDescent="0.25">
      <c r="B86" s="69"/>
      <c r="I86" s="213"/>
      <c r="J86" s="1874" t="s">
        <v>2159</v>
      </c>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214"/>
      <c r="AL86" s="69"/>
      <c r="AM86" s="69"/>
      <c r="AN86" s="69"/>
      <c r="AO86" s="69"/>
      <c r="AP86" s="69"/>
      <c r="AQ86" s="69"/>
      <c r="AR86" s="69"/>
    </row>
    <row r="87" spans="2:44" ht="15.95" customHeight="1" x14ac:dyDescent="0.25">
      <c r="B87" s="69"/>
      <c r="I87" s="213"/>
      <c r="AK87" s="214"/>
      <c r="AL87" s="69"/>
      <c r="AM87" s="69"/>
      <c r="AN87" s="69"/>
      <c r="AO87" s="69"/>
      <c r="AP87" s="69"/>
      <c r="AQ87" s="69"/>
      <c r="AR87" s="69"/>
    </row>
    <row r="88" spans="2:44" ht="15.95" customHeight="1" x14ac:dyDescent="0.25">
      <c r="B88" s="69"/>
      <c r="I88" s="213"/>
      <c r="J88" s="1858" t="s">
        <v>1256</v>
      </c>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214"/>
      <c r="AL88" s="69"/>
      <c r="AM88" s="69"/>
      <c r="AN88" s="69"/>
      <c r="AO88" s="69"/>
      <c r="AP88" s="69"/>
      <c r="AQ88" s="69"/>
      <c r="AR88" s="69"/>
    </row>
    <row r="89" spans="2:44" ht="15.95" customHeight="1" x14ac:dyDescent="0.25">
      <c r="B89" s="69"/>
      <c r="I89" s="213"/>
      <c r="J89" s="1858"/>
      <c r="K89" s="1858"/>
      <c r="L89" s="1858"/>
      <c r="M89" s="1858"/>
      <c r="N89" s="1858"/>
      <c r="O89" s="1858"/>
      <c r="P89" s="1858"/>
      <c r="Q89" s="1858"/>
      <c r="R89" s="1858"/>
      <c r="S89" s="1858"/>
      <c r="T89" s="1858"/>
      <c r="U89" s="1858"/>
      <c r="V89" s="1858"/>
      <c r="W89" s="1858"/>
      <c r="X89" s="1858"/>
      <c r="Y89" s="1858"/>
      <c r="Z89" s="1858"/>
      <c r="AA89" s="1858"/>
      <c r="AB89" s="1858"/>
      <c r="AC89" s="1858"/>
      <c r="AD89" s="1858"/>
      <c r="AE89" s="1858"/>
      <c r="AF89" s="1858"/>
      <c r="AG89" s="1858"/>
      <c r="AH89" s="1858"/>
      <c r="AI89" s="1858"/>
      <c r="AJ89" s="1858"/>
      <c r="AK89" s="214"/>
      <c r="AL89" s="69"/>
      <c r="AM89" s="69"/>
      <c r="AN89" s="69"/>
      <c r="AO89" s="69"/>
      <c r="AP89" s="69"/>
      <c r="AQ89" s="69"/>
      <c r="AR89" s="69"/>
    </row>
    <row r="90" spans="2:44" ht="15.95" customHeight="1" x14ac:dyDescent="0.25">
      <c r="B90" s="69"/>
      <c r="I90" s="215"/>
      <c r="J90" s="410"/>
      <c r="K90" s="410"/>
      <c r="L90" s="410"/>
      <c r="M90" s="410"/>
      <c r="N90" s="410"/>
      <c r="O90" s="410"/>
      <c r="P90" s="216"/>
      <c r="Q90" s="145"/>
      <c r="R90" s="145"/>
      <c r="S90" s="145"/>
      <c r="T90" s="145"/>
      <c r="U90" s="145"/>
      <c r="V90" s="145"/>
      <c r="W90" s="216"/>
      <c r="X90" s="216"/>
      <c r="Y90" s="216"/>
      <c r="Z90" s="216"/>
      <c r="AA90" s="216"/>
      <c r="AB90" s="216"/>
      <c r="AC90" s="216"/>
      <c r="AD90" s="216"/>
      <c r="AE90" s="216"/>
      <c r="AF90" s="216"/>
      <c r="AG90" s="216"/>
      <c r="AH90" s="216"/>
      <c r="AI90" s="216"/>
      <c r="AJ90" s="216"/>
      <c r="AK90" s="217"/>
      <c r="AL90" s="69"/>
      <c r="AM90" s="69"/>
      <c r="AN90" s="69"/>
      <c r="AO90" s="69"/>
      <c r="AP90" s="69"/>
      <c r="AQ90" s="69"/>
      <c r="AR90" s="69"/>
    </row>
    <row r="91" spans="2:44" ht="15.95" customHeight="1" x14ac:dyDescent="0.25">
      <c r="B91" s="69"/>
      <c r="AL91" s="69"/>
      <c r="AM91" s="69"/>
      <c r="AN91" s="69"/>
      <c r="AO91" s="69"/>
      <c r="AP91" s="69"/>
      <c r="AQ91" s="69"/>
      <c r="AR91" s="69"/>
    </row>
    <row r="92" spans="2:44" ht="15.95" hidden="1" customHeight="1" x14ac:dyDescent="0.25">
      <c r="B92" s="69"/>
      <c r="AL92" s="69"/>
      <c r="AM92" s="69"/>
      <c r="AN92" s="69"/>
      <c r="AO92" s="69"/>
      <c r="AP92" s="69"/>
      <c r="AQ92" s="69"/>
      <c r="AR92" s="69"/>
    </row>
    <row r="93" spans="2:44" ht="15.95" hidden="1" customHeight="1" x14ac:dyDescent="0.25">
      <c r="B93" s="69"/>
      <c r="AL93" s="69"/>
      <c r="AM93" s="69"/>
      <c r="AN93" s="69"/>
      <c r="AO93" s="69"/>
      <c r="AP93" s="69"/>
      <c r="AQ93" s="69"/>
      <c r="AR93" s="69"/>
    </row>
    <row r="94" spans="2:44" ht="15.95" hidden="1" customHeight="1" x14ac:dyDescent="0.25">
      <c r="B94" s="69"/>
      <c r="AL94" s="69"/>
      <c r="AM94" s="69"/>
      <c r="AN94" s="69"/>
      <c r="AO94" s="69"/>
      <c r="AP94" s="69"/>
      <c r="AQ94" s="69"/>
      <c r="AR94" s="69"/>
    </row>
    <row r="95" spans="2:44" ht="15.95" hidden="1" customHeight="1" x14ac:dyDescent="0.25">
      <c r="B95" s="69"/>
      <c r="AL95" s="69"/>
      <c r="AM95" s="69"/>
      <c r="AN95" s="69"/>
      <c r="AO95" s="69"/>
      <c r="AP95" s="69"/>
      <c r="AQ95" s="69"/>
      <c r="AR95" s="69"/>
    </row>
    <row r="96" spans="2:44" ht="15.95" hidden="1" customHeight="1" x14ac:dyDescent="0.25">
      <c r="B96" s="69"/>
      <c r="AL96" s="69"/>
      <c r="AM96" s="69"/>
      <c r="AN96" s="69"/>
      <c r="AO96" s="69"/>
      <c r="AP96" s="69"/>
      <c r="AQ96" s="69"/>
      <c r="AR96" s="69"/>
    </row>
    <row r="97" spans="2:44" ht="15.95" hidden="1" customHeight="1" x14ac:dyDescent="0.25">
      <c r="B97" s="69"/>
      <c r="AL97" s="69"/>
      <c r="AM97" s="69"/>
      <c r="AN97" s="69"/>
      <c r="AO97" s="69"/>
      <c r="AP97" s="69"/>
      <c r="AQ97" s="69"/>
      <c r="AR97" s="69"/>
    </row>
    <row r="98" spans="2:44" ht="15.95" hidden="1" customHeight="1" x14ac:dyDescent="0.25">
      <c r="B98" s="69"/>
      <c r="AL98" s="69"/>
      <c r="AM98" s="69"/>
      <c r="AN98" s="69"/>
      <c r="AO98" s="69"/>
      <c r="AP98" s="69"/>
      <c r="AQ98" s="69"/>
      <c r="AR98" s="69"/>
    </row>
    <row r="99" spans="2:44" ht="15.95" hidden="1" customHeight="1" x14ac:dyDescent="0.25">
      <c r="B99" s="69"/>
      <c r="AL99" s="69"/>
      <c r="AM99" s="69"/>
      <c r="AN99" s="69"/>
      <c r="AO99" s="69"/>
      <c r="AP99" s="69"/>
      <c r="AQ99" s="69"/>
      <c r="AR99" s="69"/>
    </row>
    <row r="100" spans="2:44" ht="15.95" hidden="1" customHeight="1" x14ac:dyDescent="0.25">
      <c r="B100" s="69"/>
      <c r="AL100" s="69"/>
      <c r="AM100" s="69"/>
      <c r="AN100" s="69"/>
      <c r="AO100" s="69"/>
      <c r="AP100" s="69"/>
      <c r="AQ100" s="69"/>
      <c r="AR100" s="69"/>
    </row>
    <row r="101" spans="2:44" ht="15.95" hidden="1" customHeight="1" x14ac:dyDescent="0.25">
      <c r="B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qwpkYNXUbd1f2fcmpkpNa9R80MnsIFgSLNYFdUotIEza08kmMuVUot+3p6g/tNvjLNSkOVLCdrX4DIuB+OjU4g==" saltValue="eavzV0O1Y1klMwtlBvBHDg==" spinCount="100000" sheet="1" objects="1" scenarios="1" selectLockedCells="1"/>
  <mergeCells count="77">
    <mergeCell ref="AL1:AP1"/>
    <mergeCell ref="AQ1:AR1"/>
    <mergeCell ref="J15:AB18"/>
    <mergeCell ref="Q1:R1"/>
    <mergeCell ref="U1:V1"/>
    <mergeCell ref="Y1:Z1"/>
    <mergeCell ref="AH1:AK1"/>
    <mergeCell ref="AH2:AK3"/>
    <mergeCell ref="AL2:AP3"/>
    <mergeCell ref="AQ2:AR3"/>
    <mergeCell ref="M10:AG10"/>
    <mergeCell ref="M11:AG12"/>
    <mergeCell ref="J19:AJ20"/>
    <mergeCell ref="J21:AJ21"/>
    <mergeCell ref="O22:T22"/>
    <mergeCell ref="AC22:AH22"/>
    <mergeCell ref="O23:T23"/>
    <mergeCell ref="AC23:AH23"/>
    <mergeCell ref="O24:R24"/>
    <mergeCell ref="S24:T24"/>
    <mergeCell ref="U24:V24"/>
    <mergeCell ref="AC24:AH24"/>
    <mergeCell ref="O25:T25"/>
    <mergeCell ref="AC25:AF25"/>
    <mergeCell ref="AG25:AH25"/>
    <mergeCell ref="V71:AA71"/>
    <mergeCell ref="AE71:AJ71"/>
    <mergeCell ref="O45:W45"/>
    <mergeCell ref="X45:AF45"/>
    <mergeCell ref="AI25:AJ25"/>
    <mergeCell ref="O26:T26"/>
    <mergeCell ref="AC26:AH26"/>
    <mergeCell ref="AC27:AH27"/>
    <mergeCell ref="K30:AC31"/>
    <mergeCell ref="AD30:AJ31"/>
    <mergeCell ref="J34:AJ35"/>
    <mergeCell ref="K38:T39"/>
    <mergeCell ref="Z38:AI39"/>
    <mergeCell ref="K40:T41"/>
    <mergeCell ref="Z40:AI41"/>
    <mergeCell ref="J42:S44"/>
    <mergeCell ref="K46:N47"/>
    <mergeCell ref="O46:W47"/>
    <mergeCell ref="X46:AF47"/>
    <mergeCell ref="K48:N49"/>
    <mergeCell ref="O48:W49"/>
    <mergeCell ref="X48:AF49"/>
    <mergeCell ref="AE69:AJ69"/>
    <mergeCell ref="K50:N51"/>
    <mergeCell ref="O50:W51"/>
    <mergeCell ref="X50:AF51"/>
    <mergeCell ref="J75:AJ76"/>
    <mergeCell ref="J57:R58"/>
    <mergeCell ref="J59:R60"/>
    <mergeCell ref="T61:Z63"/>
    <mergeCell ref="T64:Z65"/>
    <mergeCell ref="T66:Z67"/>
    <mergeCell ref="M69:R69"/>
    <mergeCell ref="V69:AA69"/>
    <mergeCell ref="M70:R70"/>
    <mergeCell ref="V70:AA70"/>
    <mergeCell ref="AE70:AJ70"/>
    <mergeCell ref="M71:R71"/>
    <mergeCell ref="M72:R72"/>
    <mergeCell ref="J88:AJ89"/>
    <mergeCell ref="M200:AG201"/>
    <mergeCell ref="T81:Z81"/>
    <mergeCell ref="J81:P81"/>
    <mergeCell ref="AD81:AJ81"/>
    <mergeCell ref="T83:Z83"/>
    <mergeCell ref="T84:Z85"/>
    <mergeCell ref="J84:P85"/>
    <mergeCell ref="AD83:AJ83"/>
    <mergeCell ref="AD84:AJ85"/>
    <mergeCell ref="J86:AJ86"/>
    <mergeCell ref="J83:P83"/>
    <mergeCell ref="J77:AJ78"/>
  </mergeCells>
  <conditionalFormatting sqref="J42">
    <cfRule type="expression" dxfId="66" priority="315">
      <formula>$J$42&lt;&gt;""</formula>
    </cfRule>
  </conditionalFormatting>
  <conditionalFormatting sqref="AH2 AL2">
    <cfRule type="expression" dxfId="65" priority="2">
      <formula>PROJSTATUS=PROJSTATELI</formula>
    </cfRule>
    <cfRule type="expression" dxfId="64" priority="3">
      <formula>PROJSTATUS=PROJSTATREVIEW</formula>
    </cfRule>
    <cfRule type="expression" dxfId="63" priority="4">
      <formula>PROJSTATUS=PROJSTATPREAPPROVE</formula>
    </cfRule>
    <cfRule type="expression" dxfId="62" priority="5">
      <formula>PROJSTATUS=PROJSTATSTANDARD</formula>
    </cfRule>
    <cfRule type="expression" dxfId="61" priority="6">
      <formula>PROJSTATUS=PROJSTATEXP</formula>
    </cfRule>
  </conditionalFormatting>
  <conditionalFormatting sqref="AQ2:AR3">
    <cfRule type="cellIs" dxfId="60" priority="7" operator="equal">
      <formula>1</formula>
    </cfRule>
    <cfRule type="cellIs" dxfId="59" priority="8" operator="between">
      <formula>0.51</formula>
      <formula>0.99</formula>
    </cfRule>
    <cfRule type="cellIs" dxfId="58" priority="9" operator="lessThanOrEqual">
      <formula>0.5</formula>
    </cfRule>
  </conditionalFormatting>
  <hyperlinks>
    <hyperlink ref="B202" r:id="rId1" display="NIPSCO.Savings@LMCO.com" xr:uid="{0FB25781-5816-45B4-A180-78B05B46240F}"/>
    <hyperlink ref="AU54" r:id="rId2" xr:uid="{B0FA9991-E137-4B25-B3CD-B79D5EE0B4DB}"/>
  </hyperlinks>
  <pageMargins left="0.2" right="0.2" top="0.2" bottom="0.2" header="0" footer="0"/>
  <pageSetup scale="80"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0FFF-B7D7-4A2B-90A7-A1D3F267B407}">
  <sheetPr codeName="Sheet13">
    <pageSetUpPr fitToPage="1"/>
  </sheetPr>
  <dimension ref="A1:AY205"/>
  <sheetViews>
    <sheetView showGridLines="0" showRowColHeaders="0" zoomScale="85" zoomScaleNormal="85" workbookViewId="0">
      <selection activeCell="C6" sqref="C6"/>
    </sheetView>
  </sheetViews>
  <sheetFormatPr defaultColWidth="0" defaultRowHeight="15.95" customHeight="1" zeroHeight="1" x14ac:dyDescent="0.25"/>
  <cols>
    <col min="1" max="45" width="4.7109375" customWidth="1"/>
    <col min="46" max="46" width="9.140625" hidden="1" customWidth="1"/>
    <col min="47" max="47" width="10.42578125" hidden="1" customWidth="1"/>
    <col min="48" max="51" width="11.28515625" hidden="1" customWidth="1"/>
    <col min="52" max="16384" width="9.140625" hidden="1"/>
  </cols>
  <sheetData>
    <row r="1" spans="2:51" ht="15.95" customHeight="1" x14ac:dyDescent="0.3">
      <c r="Q1" s="616" t="str">
        <f>IF(OR('M03-S01'!AU13&lt;&gt;0,'M03-S02'!AU13&lt;&gt;0,'M03-S03'!AU13&lt;&gt;0,'M03-S04'!AU13&lt;&gt;0,'M03-S05'!AU13&lt;&gt;0),"P","")</f>
        <v/>
      </c>
      <c r="R1" s="616"/>
      <c r="U1" s="615" t="str">
        <f>IF(OR('M04-S01'!AU13&lt;&gt;0,'M04-S02'!AU13&lt;&gt;0,'M04-S03'!AU13&lt;&gt;0,'M04-S04'!AU13&lt;&gt;0),"P","")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51" ht="15.95" customHeight="1" x14ac:dyDescent="0.25">
      <c r="AH2" s="602" t="str">
        <f>INCENSTATUS</f>
        <v>---</v>
      </c>
      <c r="AI2" s="603"/>
      <c r="AJ2" s="603"/>
      <c r="AK2" s="603"/>
      <c r="AL2" s="613" t="str">
        <f ca="1">PROJSTATUS</f>
        <v>Enter Measures</v>
      </c>
      <c r="AM2" s="613"/>
      <c r="AN2" s="613"/>
      <c r="AO2" s="613"/>
      <c r="AP2" s="613"/>
      <c r="AQ2" s="622">
        <f ca="1">PROGRESSSTATUS</f>
        <v>0</v>
      </c>
      <c r="AR2" s="623"/>
    </row>
    <row r="3" spans="2:51" ht="15.95" customHeight="1" x14ac:dyDescent="0.25">
      <c r="AH3" s="604"/>
      <c r="AI3" s="605"/>
      <c r="AJ3" s="605"/>
      <c r="AK3" s="605"/>
      <c r="AL3" s="614"/>
      <c r="AM3" s="614"/>
      <c r="AN3" s="614"/>
      <c r="AO3" s="614"/>
      <c r="AP3" s="614"/>
      <c r="AQ3" s="624"/>
      <c r="AR3" s="625"/>
    </row>
    <row r="4" spans="2:51" ht="15.95" customHeight="1" x14ac:dyDescent="0.25"/>
    <row r="5" spans="2:51" ht="15.95" customHeight="1" x14ac:dyDescent="0.25"/>
    <row r="6" spans="2:51" ht="15.95" customHeight="1" x14ac:dyDescent="0.25">
      <c r="C6" s="37"/>
    </row>
    <row r="7" spans="2:51" ht="15.95" customHeight="1" x14ac:dyDescent="0.25"/>
    <row r="8" spans="2:51" ht="15.95" customHeight="1" x14ac:dyDescent="0.25"/>
    <row r="9" spans="2:51"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51" ht="15.95" customHeight="1" x14ac:dyDescent="0.3">
      <c r="B10" s="69"/>
      <c r="C10" s="69"/>
      <c r="D10" s="69"/>
      <c r="E10" s="69"/>
      <c r="G10" s="448"/>
      <c r="H10" s="448"/>
      <c r="I10" s="448"/>
      <c r="J10" s="448"/>
      <c r="K10" s="617" t="s">
        <v>1855</v>
      </c>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448"/>
      <c r="AK10" s="448"/>
      <c r="AL10" s="448"/>
      <c r="AM10" s="448"/>
      <c r="AN10" s="448"/>
      <c r="AO10" s="69"/>
      <c r="AP10" s="69"/>
      <c r="AQ10" s="69"/>
      <c r="AR10" s="69"/>
    </row>
    <row r="11" spans="2:51" ht="15.95" customHeight="1" x14ac:dyDescent="0.25">
      <c r="B11" s="69"/>
      <c r="C11" s="69"/>
      <c r="D11" s="69"/>
      <c r="E11" s="69"/>
      <c r="H11" s="395"/>
      <c r="I11" s="395"/>
      <c r="J11" s="395"/>
      <c r="K11" s="395"/>
      <c r="L11" s="395"/>
      <c r="M11" s="1914" t="s">
        <v>1891</v>
      </c>
      <c r="N11" s="1914"/>
      <c r="O11" s="1914"/>
      <c r="P11" s="1914"/>
      <c r="Q11" s="1914"/>
      <c r="R11" s="1914"/>
      <c r="S11" s="1914"/>
      <c r="T11" s="1914"/>
      <c r="U11" s="1914"/>
      <c r="V11" s="1914"/>
      <c r="W11" s="1914"/>
      <c r="X11" s="1914"/>
      <c r="Y11" s="1914"/>
      <c r="Z11" s="1914"/>
      <c r="AA11" s="1914"/>
      <c r="AB11" s="1914"/>
      <c r="AC11" s="1914"/>
      <c r="AD11" s="1914"/>
      <c r="AE11" s="1914"/>
      <c r="AF11" s="1914"/>
      <c r="AG11" s="1914"/>
      <c r="AH11" s="395"/>
      <c r="AI11" s="395"/>
      <c r="AJ11" s="395"/>
      <c r="AK11" s="395"/>
      <c r="AL11" s="395"/>
      <c r="AM11" s="395"/>
      <c r="AN11" s="395"/>
      <c r="AO11" s="396"/>
      <c r="AP11" s="396"/>
      <c r="AQ11" s="69"/>
      <c r="AR11" s="69"/>
      <c r="AU11" t="s">
        <v>1848</v>
      </c>
      <c r="AV11" t="s">
        <v>1849</v>
      </c>
      <c r="AW11" t="s">
        <v>1850</v>
      </c>
      <c r="AX11" t="s">
        <v>1851</v>
      </c>
      <c r="AY11" t="s">
        <v>1852</v>
      </c>
    </row>
    <row r="12" spans="2:51" ht="15.95" customHeight="1" x14ac:dyDescent="0.25">
      <c r="B12" s="69"/>
      <c r="C12" s="69"/>
      <c r="D12" s="69"/>
      <c r="E12" s="69"/>
      <c r="F12" s="395"/>
      <c r="G12" s="395"/>
      <c r="H12" s="395"/>
      <c r="I12" s="395"/>
      <c r="J12" s="395"/>
      <c r="K12" s="395"/>
      <c r="L12" s="395"/>
      <c r="M12" s="1914"/>
      <c r="N12" s="1914"/>
      <c r="O12" s="1914"/>
      <c r="P12" s="1914"/>
      <c r="Q12" s="1914"/>
      <c r="R12" s="1914"/>
      <c r="S12" s="1914"/>
      <c r="T12" s="1914"/>
      <c r="U12" s="1914"/>
      <c r="V12" s="1914"/>
      <c r="W12" s="1914"/>
      <c r="X12" s="1914"/>
      <c r="Y12" s="1914"/>
      <c r="Z12" s="1914"/>
      <c r="AA12" s="1914"/>
      <c r="AB12" s="1914"/>
      <c r="AC12" s="1914"/>
      <c r="AD12" s="1914"/>
      <c r="AE12" s="1914"/>
      <c r="AF12" s="1914"/>
      <c r="AG12" s="1914"/>
      <c r="AH12" s="395"/>
      <c r="AI12" s="395"/>
      <c r="AJ12" s="395"/>
      <c r="AK12" s="395"/>
      <c r="AL12" s="395"/>
      <c r="AM12" s="395"/>
      <c r="AN12" s="395"/>
      <c r="AO12" s="396"/>
      <c r="AP12" s="396"/>
      <c r="AQ12" s="69"/>
      <c r="AR12" s="69"/>
      <c r="AT12" t="s">
        <v>1846</v>
      </c>
      <c r="AU12" s="453">
        <f>'M06-S01'!$X$46</f>
        <v>0</v>
      </c>
      <c r="AV12" s="453">
        <f>'M06-S01'!$X$46</f>
        <v>0</v>
      </c>
      <c r="AW12" s="453">
        <f>'M06-S01'!$X$46</f>
        <v>0</v>
      </c>
      <c r="AX12" s="453">
        <f>'M06-S01'!$X$46</f>
        <v>0</v>
      </c>
      <c r="AY12" s="453">
        <f>'M06-S01'!$X$46</f>
        <v>0</v>
      </c>
    </row>
    <row r="13" spans="2:51" ht="15.95" customHeight="1" thickBot="1" x14ac:dyDescent="0.3">
      <c r="B13" s="69"/>
      <c r="C13" s="69"/>
      <c r="D13" s="69"/>
      <c r="E13" s="69"/>
      <c r="F13" s="395"/>
      <c r="G13" s="395"/>
      <c r="H13" s="419"/>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395"/>
      <c r="AN13" s="395"/>
      <c r="AO13" s="396"/>
      <c r="AP13" s="396"/>
      <c r="AQ13" s="69"/>
      <c r="AR13" s="69"/>
      <c r="AT13" t="s">
        <v>1847</v>
      </c>
      <c r="AU13" s="453">
        <f>'M06-S01'!$AD$30/5</f>
        <v>0</v>
      </c>
      <c r="AV13" s="453">
        <f>AU13+('M06-S01'!$AD$30/5)</f>
        <v>0</v>
      </c>
      <c r="AW13" s="453">
        <f>AV13+('M06-S01'!$AD$30/5)</f>
        <v>0</v>
      </c>
      <c r="AX13" s="453">
        <f>AW13+('M06-S01'!$AD$30/5)</f>
        <v>0</v>
      </c>
      <c r="AY13" s="453">
        <f>AX13+('M06-S01'!$AD$30/5)</f>
        <v>0</v>
      </c>
    </row>
    <row r="14" spans="2:51" ht="15.95" customHeight="1" thickBot="1" x14ac:dyDescent="0.3">
      <c r="B14" s="69"/>
      <c r="C14" s="69"/>
      <c r="D14" s="1896" t="s">
        <v>1892</v>
      </c>
      <c r="E14" s="1896"/>
      <c r="F14" s="1896"/>
      <c r="G14" s="1896"/>
      <c r="H14" s="1896"/>
      <c r="I14" s="1896"/>
      <c r="J14" s="1896"/>
      <c r="K14" s="1896"/>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395"/>
      <c r="AN14" s="395"/>
      <c r="AO14" s="396"/>
      <c r="AP14" s="396"/>
      <c r="AQ14" s="69"/>
      <c r="AR14" s="69"/>
    </row>
    <row r="15" spans="2:51" ht="15.95" customHeight="1" thickBot="1" x14ac:dyDescent="0.3">
      <c r="B15" s="69"/>
      <c r="C15" s="69"/>
      <c r="D15" s="1890">
        <f>COSTTOTALALL</f>
        <v>0</v>
      </c>
      <c r="E15" s="1890"/>
      <c r="F15" s="1890"/>
      <c r="G15" s="1890"/>
      <c r="H15" s="1890"/>
      <c r="I15" s="1890"/>
      <c r="J15" s="1890"/>
      <c r="K15" s="1890"/>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395"/>
      <c r="AN15" s="395"/>
      <c r="AO15" s="396"/>
      <c r="AP15" s="396"/>
      <c r="AQ15" s="69"/>
      <c r="AR15" s="69"/>
    </row>
    <row r="16" spans="2:51" ht="15.95" customHeight="1" thickBot="1" x14ac:dyDescent="0.3">
      <c r="B16" s="69"/>
      <c r="C16" s="268"/>
      <c r="D16" s="1890"/>
      <c r="E16" s="1890"/>
      <c r="F16" s="1890"/>
      <c r="G16" s="1890"/>
      <c r="H16" s="1890"/>
      <c r="I16" s="1890"/>
      <c r="J16" s="1890"/>
      <c r="K16" s="1890"/>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row>
    <row r="17" spans="2:44" ht="15.95" customHeight="1" thickBot="1" x14ac:dyDescent="0.3">
      <c r="B17" s="69"/>
      <c r="C17" s="69"/>
      <c r="D17" s="69"/>
      <c r="E17" s="69"/>
      <c r="F17" s="69"/>
      <c r="G17" s="69"/>
      <c r="H17" s="69"/>
      <c r="I17" s="69"/>
      <c r="J17" s="446"/>
      <c r="K17" s="447"/>
      <c r="L17" s="447"/>
      <c r="M17" s="447"/>
      <c r="N17" s="447"/>
      <c r="O17" s="447"/>
      <c r="P17" s="447"/>
      <c r="Q17" s="447"/>
      <c r="R17" s="447"/>
      <c r="S17" s="447"/>
      <c r="T17" s="447"/>
      <c r="U17" s="447"/>
      <c r="V17" s="447"/>
      <c r="W17" s="447"/>
      <c r="X17" s="447"/>
      <c r="Y17" s="447"/>
      <c r="Z17" s="447"/>
      <c r="AA17" s="447"/>
      <c r="AB17" s="447"/>
      <c r="AC17" s="420"/>
      <c r="AD17" s="420"/>
      <c r="AE17" s="69"/>
      <c r="AF17" s="69"/>
      <c r="AG17" s="69"/>
      <c r="AH17" s="69"/>
      <c r="AI17" s="69"/>
      <c r="AJ17" s="69"/>
      <c r="AK17" s="69"/>
      <c r="AL17" s="69"/>
      <c r="AM17" s="69"/>
      <c r="AN17" s="69"/>
      <c r="AO17" s="69"/>
      <c r="AP17" s="69"/>
      <c r="AQ17" s="69"/>
      <c r="AR17" s="69"/>
    </row>
    <row r="18" spans="2:44" ht="15.95" customHeight="1" thickBot="1" x14ac:dyDescent="0.3">
      <c r="B18" s="69"/>
      <c r="C18" s="397"/>
      <c r="D18" s="1896" t="s">
        <v>1893</v>
      </c>
      <c r="E18" s="1896"/>
      <c r="F18" s="1896"/>
      <c r="G18" s="1896"/>
      <c r="H18" s="1896"/>
      <c r="I18" s="1896"/>
      <c r="J18" s="1896"/>
      <c r="K18" s="1896"/>
      <c r="L18" s="447"/>
      <c r="M18" s="447"/>
      <c r="N18" s="447"/>
      <c r="O18" s="447"/>
      <c r="P18" s="447"/>
      <c r="Q18" s="447"/>
      <c r="R18" s="447"/>
      <c r="S18" s="447"/>
      <c r="T18" s="447"/>
      <c r="U18" s="447"/>
      <c r="V18" s="447"/>
      <c r="W18" s="447"/>
      <c r="X18" s="447"/>
      <c r="Y18" s="447"/>
      <c r="Z18" s="447"/>
      <c r="AA18" s="447"/>
      <c r="AB18" s="447"/>
      <c r="AC18" s="421"/>
      <c r="AD18" s="420"/>
      <c r="AE18" s="69"/>
      <c r="AF18" s="69"/>
      <c r="AG18" s="69"/>
      <c r="AH18" s="69"/>
      <c r="AI18" s="69"/>
      <c r="AJ18" s="69"/>
      <c r="AK18" s="69"/>
      <c r="AL18" s="69"/>
      <c r="AM18" s="69"/>
      <c r="AN18" s="69"/>
      <c r="AO18" s="69"/>
      <c r="AP18" s="69"/>
      <c r="AQ18" s="69"/>
      <c r="AR18" s="69"/>
    </row>
    <row r="19" spans="2:44" ht="15.95" customHeight="1" thickBot="1" x14ac:dyDescent="0.3">
      <c r="B19" s="69"/>
      <c r="C19" s="268"/>
      <c r="D19" s="1890">
        <f>IFERROR(COSTTOTALALL-INCENSTATUS,0)</f>
        <v>0</v>
      </c>
      <c r="E19" s="1890"/>
      <c r="F19" s="1890"/>
      <c r="G19" s="1890"/>
      <c r="H19" s="1890"/>
      <c r="I19" s="1890"/>
      <c r="J19" s="1890"/>
      <c r="K19" s="1890"/>
      <c r="L19" s="447"/>
      <c r="M19" s="447"/>
      <c r="N19" s="447"/>
      <c r="O19" s="447"/>
      <c r="P19" s="447"/>
      <c r="Q19" s="447"/>
      <c r="R19" s="447"/>
      <c r="S19" s="447"/>
      <c r="T19" s="447"/>
      <c r="U19" s="447"/>
      <c r="V19" s="447"/>
      <c r="W19" s="447"/>
      <c r="X19" s="447"/>
      <c r="Y19" s="447"/>
      <c r="Z19" s="447"/>
      <c r="AA19" s="447"/>
      <c r="AB19" s="447"/>
      <c r="AC19" s="421"/>
      <c r="AD19" s="420"/>
      <c r="AE19" s="69"/>
      <c r="AF19" s="69"/>
      <c r="AG19" s="69"/>
      <c r="AH19" s="69"/>
      <c r="AI19" s="69"/>
      <c r="AJ19" s="69"/>
      <c r="AK19" s="69"/>
      <c r="AL19" s="69"/>
      <c r="AM19" s="69"/>
      <c r="AN19" s="69"/>
      <c r="AO19" s="69"/>
      <c r="AP19" s="69"/>
      <c r="AQ19" s="69"/>
      <c r="AR19" s="69"/>
    </row>
    <row r="20" spans="2:44" ht="15.95" customHeight="1" thickBot="1" x14ac:dyDescent="0.3">
      <c r="B20" s="69"/>
      <c r="C20" s="69"/>
      <c r="D20" s="1890"/>
      <c r="E20" s="1890"/>
      <c r="F20" s="1890"/>
      <c r="G20" s="1890"/>
      <c r="H20" s="1890"/>
      <c r="I20" s="1890"/>
      <c r="J20" s="1890"/>
      <c r="K20" s="1890"/>
      <c r="L20" s="447"/>
      <c r="M20" s="447"/>
      <c r="N20" s="447"/>
      <c r="O20" s="447"/>
      <c r="P20" s="447"/>
      <c r="Q20" s="447"/>
      <c r="R20" s="447"/>
      <c r="S20" s="447"/>
      <c r="T20" s="447"/>
      <c r="U20" s="447"/>
      <c r="V20" s="447"/>
      <c r="W20" s="447"/>
      <c r="X20" s="447"/>
      <c r="Y20" s="447"/>
      <c r="Z20" s="447"/>
      <c r="AA20" s="447"/>
      <c r="AB20" s="447"/>
      <c r="AC20" s="420"/>
      <c r="AD20" s="420"/>
      <c r="AE20" s="69"/>
      <c r="AF20" s="69"/>
      <c r="AG20" s="69"/>
      <c r="AH20" s="69"/>
      <c r="AI20" s="69"/>
      <c r="AJ20" s="69"/>
      <c r="AK20" s="69"/>
      <c r="AL20" s="69"/>
      <c r="AM20" s="69"/>
      <c r="AN20" s="69"/>
      <c r="AO20" s="69"/>
      <c r="AP20" s="69"/>
      <c r="AQ20" s="69"/>
      <c r="AR20" s="69"/>
    </row>
    <row r="21" spans="2:44" ht="15.95" customHeight="1" thickBot="1" x14ac:dyDescent="0.45">
      <c r="B21" s="69"/>
      <c r="C21" s="268"/>
      <c r="D21" s="268"/>
      <c r="E21" s="268"/>
      <c r="F21" s="268"/>
      <c r="G21" s="268"/>
      <c r="H21" s="268"/>
      <c r="I21" s="69"/>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69"/>
      <c r="AL21" s="69"/>
      <c r="AM21" s="69"/>
      <c r="AN21" s="69"/>
      <c r="AO21" s="69"/>
      <c r="AP21" s="69"/>
      <c r="AQ21" s="69"/>
      <c r="AR21" s="69"/>
    </row>
    <row r="22" spans="2:44" ht="15.95" customHeight="1" thickBot="1" x14ac:dyDescent="0.45">
      <c r="B22" s="69"/>
      <c r="C22" s="69"/>
      <c r="D22" s="1896" t="s">
        <v>1853</v>
      </c>
      <c r="E22" s="1896"/>
      <c r="F22" s="1896"/>
      <c r="G22" s="1896"/>
      <c r="H22" s="1896"/>
      <c r="I22" s="1896"/>
      <c r="J22" s="1896"/>
      <c r="K22" s="1896"/>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69"/>
      <c r="AL22" s="69"/>
      <c r="AM22" s="69"/>
      <c r="AN22" s="69"/>
      <c r="AO22" s="69"/>
      <c r="AP22" s="69"/>
      <c r="AQ22" s="69"/>
      <c r="AR22" s="69"/>
    </row>
    <row r="23" spans="2:44" ht="15.95" customHeight="1" thickBot="1" x14ac:dyDescent="0.3">
      <c r="B23" s="69"/>
      <c r="C23" s="268"/>
      <c r="D23" s="1890" t="str">
        <f>INCENSTATUS</f>
        <v>---</v>
      </c>
      <c r="E23" s="1890"/>
      <c r="F23" s="1890"/>
      <c r="G23" s="1890"/>
      <c r="H23" s="1890"/>
      <c r="I23" s="1890"/>
      <c r="J23" s="1890"/>
      <c r="K23" s="1890"/>
      <c r="L23" s="444"/>
      <c r="M23" s="444"/>
      <c r="N23" s="444"/>
      <c r="O23" s="444"/>
      <c r="P23" s="444"/>
      <c r="Q23" s="444"/>
      <c r="R23" s="444"/>
      <c r="S23" s="444"/>
      <c r="T23" s="444"/>
      <c r="U23" s="444"/>
      <c r="V23" s="444"/>
      <c r="W23" s="444"/>
      <c r="X23" s="444"/>
      <c r="Y23" s="444"/>
      <c r="Z23" s="444"/>
      <c r="AA23" s="444"/>
      <c r="AB23" s="444"/>
      <c r="AC23" s="444"/>
      <c r="AD23" s="444"/>
      <c r="AE23" s="444"/>
      <c r="AF23" s="444"/>
      <c r="AG23" s="444"/>
      <c r="AH23" s="444"/>
      <c r="AI23" s="444"/>
      <c r="AJ23" s="444"/>
      <c r="AK23" s="69"/>
      <c r="AL23" s="69"/>
      <c r="AM23" s="69"/>
      <c r="AN23" s="69"/>
      <c r="AO23" s="69"/>
      <c r="AP23" s="69"/>
      <c r="AQ23" s="69"/>
      <c r="AR23" s="69"/>
    </row>
    <row r="24" spans="2:44" ht="15.95" customHeight="1" thickBot="1" x14ac:dyDescent="0.3">
      <c r="B24" s="69"/>
      <c r="C24" s="69"/>
      <c r="D24" s="1890"/>
      <c r="E24" s="1890"/>
      <c r="F24" s="1890"/>
      <c r="G24" s="1890"/>
      <c r="H24" s="1890"/>
      <c r="I24" s="1890"/>
      <c r="J24" s="1890"/>
      <c r="K24" s="1890"/>
      <c r="L24" s="69"/>
      <c r="O24" s="69"/>
      <c r="P24" s="69"/>
      <c r="Q24" s="69"/>
      <c r="R24" s="69"/>
      <c r="S24" s="69"/>
      <c r="T24" s="69"/>
      <c r="U24" s="397"/>
      <c r="V24" s="397"/>
      <c r="W24" s="69"/>
      <c r="X24" s="399"/>
      <c r="Y24" s="69"/>
      <c r="Z24" s="69"/>
      <c r="AC24" s="69"/>
      <c r="AD24" s="69"/>
      <c r="AE24" s="69"/>
      <c r="AF24" s="69"/>
      <c r="AG24" s="69"/>
      <c r="AH24" s="69"/>
      <c r="AI24" s="397"/>
      <c r="AJ24" s="397"/>
      <c r="AK24" s="69"/>
      <c r="AL24" s="69"/>
      <c r="AM24" s="69"/>
      <c r="AN24" s="69"/>
      <c r="AO24" s="69"/>
      <c r="AP24" s="69"/>
      <c r="AQ24" s="69"/>
      <c r="AR24" s="69"/>
    </row>
    <row r="25" spans="2:44" ht="15.95" customHeight="1" thickBot="1" x14ac:dyDescent="0.3">
      <c r="B25" s="69"/>
      <c r="C25" s="268"/>
      <c r="D25" s="268"/>
      <c r="E25" s="268"/>
      <c r="F25" s="268"/>
      <c r="G25" s="268"/>
      <c r="H25" s="268"/>
      <c r="I25" s="69"/>
      <c r="J25" s="399"/>
      <c r="K25" s="268"/>
      <c r="L25" s="268"/>
      <c r="O25" s="69"/>
      <c r="P25" s="69"/>
      <c r="Q25" s="69"/>
      <c r="R25" s="69"/>
      <c r="S25" s="69"/>
      <c r="T25" s="69"/>
      <c r="U25" s="259"/>
      <c r="V25" s="259"/>
      <c r="W25" s="69"/>
      <c r="X25" s="399"/>
      <c r="AC25" s="445"/>
      <c r="AD25" s="445"/>
      <c r="AE25" s="445"/>
      <c r="AF25" s="445"/>
      <c r="AG25" s="445"/>
      <c r="AH25" s="445"/>
      <c r="AK25" s="69"/>
      <c r="AL25" s="69"/>
      <c r="AM25" s="69"/>
      <c r="AN25" s="69"/>
      <c r="AO25" s="69"/>
      <c r="AP25" s="69"/>
      <c r="AQ25" s="69"/>
      <c r="AR25" s="69"/>
    </row>
    <row r="26" spans="2:44" ht="15.95" customHeight="1" thickBot="1" x14ac:dyDescent="0.3">
      <c r="B26" s="69"/>
      <c r="C26" s="69"/>
      <c r="D26" s="1896" t="s">
        <v>1854</v>
      </c>
      <c r="E26" s="1896"/>
      <c r="F26" s="1896"/>
      <c r="G26" s="1896"/>
      <c r="H26" s="1896"/>
      <c r="I26" s="1896"/>
      <c r="J26" s="1896"/>
      <c r="K26" s="1896"/>
      <c r="L26" s="69"/>
      <c r="O26" s="69"/>
      <c r="P26" s="69"/>
      <c r="Q26" s="69"/>
      <c r="R26" s="69"/>
      <c r="S26" s="69"/>
      <c r="T26" s="69"/>
      <c r="U26" s="442"/>
      <c r="V26" s="442"/>
      <c r="W26" s="69"/>
      <c r="X26" s="399"/>
      <c r="Y26" s="268"/>
      <c r="Z26" s="268"/>
      <c r="AC26" s="69"/>
      <c r="AD26" s="69"/>
      <c r="AE26" s="69"/>
      <c r="AF26" s="69"/>
      <c r="AG26" s="69"/>
      <c r="AH26" s="69"/>
      <c r="AI26" s="259"/>
      <c r="AJ26" s="259"/>
      <c r="AK26" s="69"/>
      <c r="AL26" s="69"/>
      <c r="AM26" s="69"/>
      <c r="AN26" s="69"/>
      <c r="AO26" s="69"/>
      <c r="AP26" s="69"/>
      <c r="AQ26" s="69"/>
      <c r="AR26" s="69"/>
    </row>
    <row r="27" spans="2:44" ht="15.95" customHeight="1" thickBot="1" x14ac:dyDescent="0.3">
      <c r="B27" s="69"/>
      <c r="C27" s="268"/>
      <c r="D27" s="1890">
        <f>IFERROR(KWHTOTALALL*M02S02F35,0)</f>
        <v>0</v>
      </c>
      <c r="E27" s="1890"/>
      <c r="F27" s="1890"/>
      <c r="G27" s="1890"/>
      <c r="H27" s="1890"/>
      <c r="I27" s="1890"/>
      <c r="J27" s="1890"/>
      <c r="K27" s="1890"/>
      <c r="L27" s="268"/>
      <c r="O27" s="401"/>
      <c r="P27" s="401"/>
      <c r="Q27" s="401"/>
      <c r="R27" s="401"/>
      <c r="S27" s="401"/>
      <c r="T27" s="401"/>
      <c r="U27" s="397"/>
      <c r="V27" s="397"/>
      <c r="W27" s="69"/>
      <c r="X27" s="399"/>
      <c r="Y27" s="69"/>
      <c r="Z27" s="69"/>
      <c r="AC27" s="69"/>
      <c r="AD27" s="69"/>
      <c r="AE27" s="69"/>
      <c r="AF27" s="69"/>
      <c r="AG27" s="69"/>
      <c r="AH27" s="69"/>
      <c r="AI27" s="442"/>
      <c r="AJ27" s="442"/>
      <c r="AK27" s="69"/>
      <c r="AL27" s="69"/>
      <c r="AM27" s="69"/>
      <c r="AN27" s="69"/>
      <c r="AO27" s="69"/>
      <c r="AP27" s="69"/>
      <c r="AQ27" s="69"/>
      <c r="AR27" s="69"/>
    </row>
    <row r="28" spans="2:44" ht="15.95" customHeight="1" thickBot="1" x14ac:dyDescent="0.3">
      <c r="B28" s="69"/>
      <c r="C28" s="69"/>
      <c r="D28" s="1890"/>
      <c r="E28" s="1890"/>
      <c r="F28" s="1890"/>
      <c r="G28" s="1890"/>
      <c r="H28" s="1890"/>
      <c r="I28" s="1890"/>
      <c r="J28" s="1890"/>
      <c r="K28" s="1890"/>
      <c r="L28" s="69"/>
      <c r="O28" s="69"/>
      <c r="P28" s="69"/>
      <c r="Q28" s="69"/>
      <c r="R28" s="69"/>
      <c r="S28" s="69"/>
      <c r="T28" s="69"/>
      <c r="U28" s="400"/>
      <c r="V28" s="400"/>
      <c r="W28" s="69"/>
      <c r="X28" s="399"/>
      <c r="Y28" s="268"/>
      <c r="Z28" s="268"/>
      <c r="AC28" s="401"/>
      <c r="AD28" s="401"/>
      <c r="AE28" s="401"/>
      <c r="AF28" s="401"/>
      <c r="AG28" s="401"/>
      <c r="AH28" s="401"/>
      <c r="AI28" s="397"/>
      <c r="AJ28" s="397"/>
      <c r="AK28" s="69"/>
      <c r="AL28" s="69"/>
      <c r="AM28" s="69"/>
      <c r="AN28" s="69"/>
      <c r="AO28" s="69"/>
      <c r="AP28" s="69"/>
      <c r="AQ28" s="69"/>
      <c r="AR28" s="69"/>
    </row>
    <row r="29" spans="2:44" ht="15.95" customHeight="1" thickBot="1" x14ac:dyDescent="0.3">
      <c r="B29" s="69"/>
      <c r="C29" s="268"/>
      <c r="D29" s="268"/>
      <c r="E29" s="268"/>
      <c r="F29" s="268"/>
      <c r="G29" s="268"/>
      <c r="H29" s="268"/>
      <c r="I29" s="69"/>
      <c r="J29" s="268"/>
      <c r="K29" s="268"/>
      <c r="L29" s="268"/>
      <c r="M29" s="268"/>
      <c r="N29" s="268"/>
      <c r="O29" s="268"/>
      <c r="P29" s="69"/>
      <c r="W29" s="69"/>
      <c r="X29" s="399"/>
      <c r="Y29" s="69"/>
      <c r="Z29" s="69"/>
      <c r="AC29" s="69"/>
      <c r="AD29" s="69"/>
      <c r="AE29" s="69"/>
      <c r="AF29" s="69"/>
      <c r="AG29" s="69"/>
      <c r="AH29" s="69"/>
      <c r="AI29" s="400"/>
      <c r="AJ29" s="400"/>
      <c r="AK29" s="69"/>
      <c r="AL29" s="69"/>
      <c r="AM29" s="69"/>
      <c r="AN29" s="69"/>
      <c r="AO29" s="69"/>
      <c r="AP29" s="69"/>
      <c r="AQ29" s="69"/>
      <c r="AR29" s="69"/>
    </row>
    <row r="30" spans="2:44" ht="15.95" customHeight="1" thickBot="1" x14ac:dyDescent="0.3">
      <c r="B30" s="69"/>
      <c r="C30" s="69"/>
      <c r="D30" s="1896" t="s">
        <v>1894</v>
      </c>
      <c r="E30" s="1896"/>
      <c r="F30" s="1896"/>
      <c r="G30" s="1896"/>
      <c r="H30" s="1896"/>
      <c r="I30" s="1896"/>
      <c r="J30" s="1896"/>
      <c r="K30" s="1896"/>
      <c r="AK30" s="69"/>
      <c r="AL30" s="69"/>
      <c r="AM30" s="69"/>
      <c r="AN30" s="69"/>
      <c r="AO30" s="69"/>
      <c r="AP30" s="69"/>
      <c r="AQ30" s="69"/>
      <c r="AR30" s="69"/>
    </row>
    <row r="31" spans="2:44" ht="15.95" customHeight="1" thickBot="1" x14ac:dyDescent="0.3">
      <c r="B31" s="69"/>
      <c r="C31" s="268"/>
      <c r="D31" s="1921">
        <f>IFERROR('M06-S01'!Z38/'M06-S01'!X46,0)</f>
        <v>0</v>
      </c>
      <c r="E31" s="1921"/>
      <c r="F31" s="1921"/>
      <c r="G31" s="1921"/>
      <c r="H31" s="1921"/>
      <c r="I31" s="1921"/>
      <c r="J31" s="1921"/>
      <c r="K31" s="1921"/>
      <c r="AK31" s="69"/>
      <c r="AL31" s="69"/>
      <c r="AM31" s="69"/>
      <c r="AN31" s="69"/>
      <c r="AO31" s="69"/>
      <c r="AP31" s="69"/>
      <c r="AQ31" s="69"/>
      <c r="AR31" s="69"/>
    </row>
    <row r="32" spans="2:44" ht="15.95" customHeight="1" thickBot="1" x14ac:dyDescent="0.3">
      <c r="B32" s="69"/>
      <c r="C32" s="401"/>
      <c r="D32" s="1921"/>
      <c r="E32" s="1921"/>
      <c r="F32" s="1921"/>
      <c r="G32" s="1921"/>
      <c r="H32" s="1921"/>
      <c r="I32" s="1921"/>
      <c r="J32" s="1921"/>
      <c r="K32" s="1921"/>
      <c r="L32" s="441"/>
      <c r="M32" s="441"/>
      <c r="N32" s="441"/>
      <c r="O32" s="441"/>
      <c r="P32" s="441"/>
      <c r="Q32" s="441"/>
      <c r="R32" s="441"/>
      <c r="S32" s="441"/>
      <c r="T32" s="441"/>
      <c r="U32" s="441"/>
      <c r="V32" s="441"/>
      <c r="W32" s="441"/>
      <c r="X32" s="441"/>
      <c r="Y32" s="441"/>
      <c r="Z32" s="441"/>
      <c r="AA32" s="441"/>
      <c r="AB32" s="441"/>
      <c r="AC32" s="441"/>
      <c r="AD32" s="435"/>
      <c r="AE32" s="441"/>
      <c r="AF32" s="441"/>
      <c r="AG32" s="441"/>
      <c r="AH32" s="441"/>
      <c r="AI32" s="441"/>
      <c r="AJ32" s="441"/>
      <c r="AK32" s="69"/>
      <c r="AL32" s="69"/>
      <c r="AM32" s="69"/>
      <c r="AN32" s="69"/>
      <c r="AO32" s="69"/>
      <c r="AP32" s="69"/>
      <c r="AQ32" s="69"/>
      <c r="AR32" s="69"/>
    </row>
    <row r="33" spans="2:44" ht="15.95" customHeight="1" thickBot="1" x14ac:dyDescent="0.3">
      <c r="B33" s="69"/>
      <c r="C33" s="268"/>
      <c r="D33" s="268"/>
      <c r="E33" s="268"/>
      <c r="F33" s="268"/>
      <c r="G33" s="268"/>
      <c r="H33" s="268"/>
      <c r="I33" s="69"/>
      <c r="J33" s="397"/>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69"/>
      <c r="AL33" s="69"/>
      <c r="AM33" s="69"/>
      <c r="AN33" s="69"/>
      <c r="AO33" s="69"/>
      <c r="AP33" s="69"/>
      <c r="AQ33" s="69"/>
      <c r="AR33" s="69"/>
    </row>
    <row r="34" spans="2:44" ht="15.95" customHeight="1" x14ac:dyDescent="0.25">
      <c r="B34" s="69"/>
      <c r="C34" s="160"/>
      <c r="D34" s="1915" t="s">
        <v>1895</v>
      </c>
      <c r="E34" s="1916"/>
      <c r="F34" s="1916"/>
      <c r="G34" s="1916"/>
      <c r="H34" s="1916"/>
      <c r="I34" s="1916"/>
      <c r="J34" s="1916"/>
      <c r="K34" s="1917"/>
      <c r="AK34" s="69"/>
      <c r="AL34" s="397"/>
      <c r="AM34" s="397"/>
      <c r="AN34" s="397"/>
      <c r="AO34" s="397"/>
      <c r="AP34" s="397"/>
      <c r="AQ34" s="397"/>
      <c r="AR34" s="69"/>
    </row>
    <row r="35" spans="2:44" ht="15.95" customHeight="1" thickBot="1" x14ac:dyDescent="0.3">
      <c r="B35" s="69"/>
      <c r="D35" s="1918"/>
      <c r="E35" s="1919"/>
      <c r="F35" s="1919"/>
      <c r="G35" s="1919"/>
      <c r="H35" s="1919"/>
      <c r="I35" s="1919"/>
      <c r="J35" s="1919"/>
      <c r="K35" s="1920"/>
      <c r="L35" s="69"/>
      <c r="M35" s="69"/>
      <c r="N35" s="69"/>
      <c r="O35" s="69"/>
      <c r="P35" s="69"/>
      <c r="W35" s="69"/>
      <c r="X35" s="69"/>
      <c r="Y35" s="69"/>
      <c r="Z35" s="69"/>
      <c r="AA35" s="69"/>
      <c r="AB35" s="69"/>
      <c r="AC35" s="69"/>
      <c r="AD35" s="69"/>
      <c r="AE35" s="69"/>
      <c r="AF35" s="69"/>
      <c r="AG35" s="69"/>
      <c r="AH35" s="69"/>
      <c r="AI35" s="69"/>
      <c r="AJ35" s="69"/>
      <c r="AK35" s="69"/>
      <c r="AL35" s="259"/>
      <c r="AM35" s="259"/>
      <c r="AN35" s="259"/>
      <c r="AO35" s="259"/>
      <c r="AP35" s="259"/>
      <c r="AQ35" s="259"/>
      <c r="AR35" s="69"/>
    </row>
    <row r="36" spans="2:44" ht="15.95" customHeight="1" thickBot="1" x14ac:dyDescent="0.45">
      <c r="B36" s="69"/>
      <c r="D36" s="1879">
        <f>IFERROR('M06-S01'!X46/'M06-S01'!Z38,0)</f>
        <v>0</v>
      </c>
      <c r="E36" s="1879"/>
      <c r="F36" s="1879"/>
      <c r="G36" s="1879"/>
      <c r="H36" s="1879"/>
      <c r="I36" s="1879"/>
      <c r="J36" s="1879"/>
      <c r="K36" s="1879"/>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69"/>
      <c r="AL36" s="69"/>
      <c r="AM36" s="69"/>
      <c r="AN36" s="69"/>
      <c r="AO36" s="69"/>
      <c r="AP36" s="69"/>
      <c r="AQ36" s="69"/>
      <c r="AR36" s="69"/>
    </row>
    <row r="37" spans="2:44" ht="15.95" customHeight="1" thickBot="1" x14ac:dyDescent="0.45">
      <c r="B37" s="69"/>
      <c r="D37" s="1879"/>
      <c r="E37" s="1879"/>
      <c r="F37" s="1879"/>
      <c r="G37" s="1879"/>
      <c r="H37" s="1879"/>
      <c r="I37" s="1879"/>
      <c r="J37" s="1879"/>
      <c r="K37" s="1879"/>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69"/>
      <c r="AL37" s="69"/>
      <c r="AM37" s="69"/>
      <c r="AN37" s="69"/>
      <c r="AO37" s="69"/>
      <c r="AP37" s="69"/>
      <c r="AQ37" s="69"/>
      <c r="AR37" s="69"/>
    </row>
    <row r="38" spans="2:44" ht="15.95" customHeight="1" x14ac:dyDescent="0.25">
      <c r="B38" s="69"/>
      <c r="L38" s="76"/>
      <c r="M38" s="76"/>
      <c r="N38" s="76"/>
      <c r="O38" s="76"/>
      <c r="P38" s="69"/>
      <c r="W38" s="69"/>
      <c r="X38" s="69"/>
      <c r="Y38" s="69"/>
      <c r="Z38" s="69"/>
      <c r="AA38" s="69"/>
      <c r="AB38" s="69"/>
      <c r="AC38" s="69"/>
      <c r="AD38" s="69"/>
      <c r="AE38" s="69"/>
      <c r="AF38" s="69"/>
      <c r="AG38" s="69"/>
      <c r="AH38" s="69"/>
      <c r="AI38" s="69"/>
      <c r="AJ38" s="69"/>
      <c r="AK38" s="69"/>
      <c r="AL38" s="69"/>
      <c r="AM38" s="69"/>
      <c r="AN38" s="69"/>
      <c r="AO38" s="69"/>
      <c r="AP38" s="69"/>
      <c r="AQ38" s="69"/>
      <c r="AR38" s="69"/>
    </row>
    <row r="39" spans="2:44" ht="15.95" hidden="1" customHeight="1" x14ac:dyDescent="0.25">
      <c r="B39" s="69"/>
      <c r="L39" s="76"/>
      <c r="M39" s="76"/>
      <c r="N39" s="76"/>
      <c r="O39" s="76"/>
      <c r="P39" s="69"/>
      <c r="W39" s="69"/>
      <c r="X39" s="69"/>
      <c r="Y39" s="69"/>
      <c r="Z39" s="69"/>
      <c r="AA39" s="69"/>
      <c r="AB39" s="69"/>
      <c r="AC39" s="69"/>
      <c r="AD39" s="69"/>
      <c r="AE39" s="69"/>
      <c r="AF39" s="69"/>
      <c r="AG39" s="69"/>
      <c r="AH39" s="69"/>
      <c r="AI39" s="69"/>
      <c r="AJ39" s="69"/>
      <c r="AK39" s="69"/>
      <c r="AL39" s="69"/>
      <c r="AM39" s="69"/>
      <c r="AN39" s="69"/>
      <c r="AO39" s="69"/>
      <c r="AP39" s="69"/>
      <c r="AQ39" s="69"/>
      <c r="AR39" s="69"/>
    </row>
    <row r="40" spans="2:44" ht="15.95" hidden="1" customHeight="1" x14ac:dyDescent="0.35">
      <c r="B40" s="69"/>
      <c r="I40" s="69"/>
      <c r="J40" s="76"/>
      <c r="K40" s="438"/>
      <c r="L40" s="438"/>
      <c r="M40" s="438"/>
      <c r="N40" s="438"/>
      <c r="O40" s="438"/>
      <c r="P40" s="438"/>
      <c r="Q40" s="438"/>
      <c r="R40" s="438"/>
      <c r="S40" s="438"/>
      <c r="T40" s="438"/>
      <c r="W40" s="69"/>
      <c r="X40" s="69"/>
      <c r="Y40" s="69"/>
      <c r="Z40" s="438"/>
      <c r="AA40" s="438"/>
      <c r="AB40" s="438"/>
      <c r="AC40" s="438"/>
      <c r="AD40" s="438"/>
      <c r="AE40" s="438"/>
      <c r="AF40" s="438"/>
      <c r="AG40" s="438"/>
      <c r="AH40" s="438"/>
      <c r="AI40" s="438"/>
      <c r="AJ40" s="69"/>
      <c r="AK40" s="69"/>
      <c r="AL40" s="69"/>
      <c r="AM40" s="69"/>
      <c r="AN40" s="69"/>
      <c r="AO40" s="69"/>
      <c r="AP40" s="69"/>
      <c r="AQ40" s="69"/>
      <c r="AR40" s="69"/>
    </row>
    <row r="41" spans="2:44" ht="15.95" hidden="1" customHeight="1" x14ac:dyDescent="0.35">
      <c r="B41" s="69"/>
      <c r="I41" s="69"/>
      <c r="J41" s="76"/>
      <c r="K41" s="438"/>
      <c r="L41" s="438"/>
      <c r="M41" s="438"/>
      <c r="N41" s="438"/>
      <c r="O41" s="438"/>
      <c r="P41" s="438"/>
      <c r="Q41" s="438"/>
      <c r="R41" s="438"/>
      <c r="S41" s="438"/>
      <c r="T41" s="438"/>
      <c r="W41" s="69"/>
      <c r="X41" s="69"/>
      <c r="Y41" s="69"/>
      <c r="Z41" s="438"/>
      <c r="AA41" s="438"/>
      <c r="AB41" s="438"/>
      <c r="AC41" s="438"/>
      <c r="AD41" s="438"/>
      <c r="AE41" s="438"/>
      <c r="AF41" s="438"/>
      <c r="AG41" s="438"/>
      <c r="AH41" s="438"/>
      <c r="AI41" s="438"/>
      <c r="AJ41" s="69"/>
      <c r="AK41" s="69"/>
      <c r="AL41" s="69"/>
      <c r="AM41" s="69"/>
      <c r="AN41" s="69"/>
      <c r="AO41" s="69"/>
      <c r="AP41" s="69"/>
      <c r="AQ41" s="69"/>
      <c r="AR41" s="69"/>
    </row>
    <row r="42" spans="2:44" ht="15.95" hidden="1" customHeight="1" x14ac:dyDescent="0.25">
      <c r="B42" s="69"/>
      <c r="I42" s="69"/>
      <c r="J42" s="76"/>
      <c r="K42" s="439"/>
      <c r="L42" s="439"/>
      <c r="M42" s="439"/>
      <c r="N42" s="439"/>
      <c r="O42" s="439"/>
      <c r="P42" s="439"/>
      <c r="Q42" s="439"/>
      <c r="R42" s="439"/>
      <c r="S42" s="439"/>
      <c r="T42" s="439"/>
      <c r="W42" s="69"/>
      <c r="X42" s="69"/>
      <c r="Y42" s="69"/>
      <c r="Z42" s="439"/>
      <c r="AA42" s="439"/>
      <c r="AB42" s="439"/>
      <c r="AC42" s="439"/>
      <c r="AD42" s="439"/>
      <c r="AE42" s="439"/>
      <c r="AF42" s="439"/>
      <c r="AG42" s="439"/>
      <c r="AH42" s="439"/>
      <c r="AI42" s="439"/>
      <c r="AJ42" s="69"/>
      <c r="AK42" s="69"/>
      <c r="AL42" s="69"/>
      <c r="AM42" s="69"/>
      <c r="AN42" s="69"/>
      <c r="AO42" s="69"/>
      <c r="AP42" s="69"/>
      <c r="AQ42" s="69"/>
      <c r="AR42" s="69"/>
    </row>
    <row r="43" spans="2:44" ht="15.95" hidden="1" customHeight="1" x14ac:dyDescent="0.25">
      <c r="B43" s="69"/>
      <c r="I43" s="69"/>
      <c r="J43" s="76"/>
      <c r="K43" s="439"/>
      <c r="L43" s="439"/>
      <c r="M43" s="439"/>
      <c r="N43" s="439"/>
      <c r="O43" s="439"/>
      <c r="P43" s="439"/>
      <c r="Q43" s="439"/>
      <c r="R43" s="439"/>
      <c r="S43" s="439"/>
      <c r="T43" s="439"/>
      <c r="W43" s="69"/>
      <c r="X43" s="69"/>
      <c r="Y43" s="69"/>
      <c r="Z43" s="439"/>
      <c r="AA43" s="439"/>
      <c r="AB43" s="439"/>
      <c r="AC43" s="439"/>
      <c r="AD43" s="439"/>
      <c r="AE43" s="439"/>
      <c r="AF43" s="439"/>
      <c r="AG43" s="439"/>
      <c r="AH43" s="439"/>
      <c r="AI43" s="439"/>
      <c r="AJ43" s="69"/>
      <c r="AK43" s="69"/>
      <c r="AL43" s="69"/>
      <c r="AM43" s="69"/>
      <c r="AN43" s="69"/>
      <c r="AO43" s="69"/>
      <c r="AP43" s="69"/>
      <c r="AQ43" s="69"/>
      <c r="AR43" s="69"/>
    </row>
    <row r="44" spans="2:44" ht="15.95" hidden="1" customHeight="1" x14ac:dyDescent="0.25">
      <c r="B44" s="69"/>
      <c r="I44" s="69"/>
      <c r="J44" s="76"/>
      <c r="K44" s="76"/>
      <c r="L44" s="76"/>
      <c r="M44" s="76"/>
      <c r="N44" s="76"/>
      <c r="O44" s="76"/>
      <c r="P44" s="69"/>
      <c r="W44" s="69"/>
      <c r="X44" s="69"/>
      <c r="Y44" s="69"/>
      <c r="Z44" s="69"/>
      <c r="AA44" s="69"/>
      <c r="AB44" s="69"/>
      <c r="AC44" s="69"/>
      <c r="AD44" s="69"/>
      <c r="AE44" s="69"/>
      <c r="AF44" s="69"/>
      <c r="AG44" s="69"/>
      <c r="AH44" s="69"/>
      <c r="AI44" s="69"/>
      <c r="AJ44" s="69"/>
      <c r="AK44" s="69"/>
      <c r="AL44" s="69"/>
      <c r="AM44" s="69"/>
      <c r="AN44" s="69"/>
      <c r="AO44" s="69"/>
      <c r="AP44" s="69"/>
      <c r="AQ44" s="69"/>
      <c r="AR44" s="69"/>
    </row>
    <row r="45" spans="2:44" ht="15.95" hidden="1" customHeight="1" x14ac:dyDescent="0.25">
      <c r="B45" s="69"/>
      <c r="I45" s="69"/>
      <c r="J45" s="76"/>
      <c r="K45" s="76"/>
      <c r="L45" s="76"/>
      <c r="M45" s="76"/>
      <c r="N45" s="76"/>
      <c r="O45" s="76"/>
      <c r="P45" s="69"/>
      <c r="W45" s="69"/>
      <c r="X45" s="69"/>
      <c r="Y45" s="69"/>
      <c r="Z45" s="69"/>
      <c r="AA45" s="69"/>
      <c r="AB45" s="69"/>
      <c r="AC45" s="69"/>
      <c r="AD45" s="69"/>
      <c r="AE45" s="69"/>
      <c r="AF45" s="69"/>
      <c r="AG45" s="69"/>
      <c r="AH45" s="69"/>
      <c r="AI45" s="69"/>
      <c r="AJ45" s="69"/>
      <c r="AK45" s="69"/>
      <c r="AL45" s="69"/>
      <c r="AM45" s="69"/>
      <c r="AN45" s="69"/>
      <c r="AO45" s="69"/>
      <c r="AP45" s="69"/>
      <c r="AQ45" s="69"/>
      <c r="AR45" s="69"/>
    </row>
    <row r="46" spans="2:44" ht="15.95" hidden="1" customHeight="1" x14ac:dyDescent="0.25">
      <c r="B46" s="69"/>
      <c r="I46" s="69"/>
      <c r="J46" s="76"/>
      <c r="K46" s="76"/>
      <c r="L46" s="76"/>
      <c r="M46" s="76"/>
      <c r="N46" s="76"/>
      <c r="O46" s="76"/>
      <c r="P46" s="69"/>
      <c r="W46" s="69"/>
      <c r="X46" s="69"/>
      <c r="Y46" s="69"/>
      <c r="Z46" s="69"/>
      <c r="AA46" s="69"/>
      <c r="AB46" s="69"/>
      <c r="AC46" s="69"/>
      <c r="AD46" s="69"/>
      <c r="AE46" s="69"/>
      <c r="AF46" s="69"/>
      <c r="AG46" s="69"/>
      <c r="AH46" s="69"/>
      <c r="AI46" s="69"/>
      <c r="AJ46" s="69"/>
      <c r="AK46" s="69"/>
      <c r="AL46" s="69"/>
      <c r="AM46" s="69"/>
      <c r="AN46" s="69"/>
      <c r="AO46" s="69"/>
      <c r="AP46" s="69"/>
      <c r="AQ46" s="69"/>
      <c r="AR46" s="69"/>
    </row>
    <row r="47" spans="2:44" ht="15.95" hidden="1" customHeight="1" x14ac:dyDescent="0.25">
      <c r="B47" s="69"/>
      <c r="I47" s="69"/>
      <c r="J47" s="76"/>
      <c r="K47" s="69"/>
      <c r="L47" s="69"/>
      <c r="M47" s="69"/>
      <c r="N47" s="69"/>
      <c r="O47" s="440"/>
      <c r="P47" s="440"/>
      <c r="Q47" s="440"/>
      <c r="R47" s="440"/>
      <c r="S47" s="440"/>
      <c r="T47" s="440"/>
      <c r="U47" s="440"/>
      <c r="V47" s="440"/>
      <c r="W47" s="440"/>
      <c r="X47" s="441"/>
      <c r="Y47" s="441"/>
      <c r="Z47" s="441"/>
      <c r="AA47" s="441"/>
      <c r="AB47" s="441"/>
      <c r="AC47" s="441"/>
      <c r="AD47" s="441"/>
      <c r="AE47" s="441"/>
      <c r="AF47" s="441"/>
      <c r="AG47" s="69"/>
      <c r="AH47" s="69"/>
      <c r="AI47" s="69"/>
      <c r="AJ47" s="69"/>
      <c r="AK47" s="69"/>
      <c r="AL47" s="69"/>
      <c r="AM47" s="69"/>
      <c r="AN47" s="69"/>
      <c r="AO47" s="69"/>
      <c r="AP47" s="69"/>
      <c r="AQ47" s="69"/>
      <c r="AR47" s="69"/>
    </row>
    <row r="48" spans="2:44" ht="15.95" hidden="1" customHeight="1" x14ac:dyDescent="0.25">
      <c r="B48" s="69"/>
      <c r="I48" s="69"/>
      <c r="J48" s="76"/>
      <c r="K48" s="428"/>
      <c r="L48" s="428"/>
      <c r="M48" s="428"/>
      <c r="N48" s="428"/>
      <c r="O48" s="434"/>
      <c r="P48" s="434"/>
      <c r="Q48" s="434"/>
      <c r="R48" s="434"/>
      <c r="S48" s="434"/>
      <c r="T48" s="434"/>
      <c r="U48" s="434"/>
      <c r="V48" s="434"/>
      <c r="W48" s="434"/>
      <c r="X48" s="435"/>
      <c r="Y48" s="435"/>
      <c r="Z48" s="435"/>
      <c r="AA48" s="435"/>
      <c r="AB48" s="435"/>
      <c r="AC48" s="435"/>
      <c r="AD48" s="435"/>
      <c r="AE48" s="435"/>
      <c r="AF48" s="435"/>
      <c r="AG48" s="69"/>
      <c r="AH48" s="69"/>
      <c r="AI48" s="69"/>
      <c r="AJ48" s="69"/>
      <c r="AK48" s="69"/>
      <c r="AL48" s="69"/>
      <c r="AM48" s="69"/>
      <c r="AN48" s="69"/>
      <c r="AO48" s="69"/>
      <c r="AP48" s="69"/>
      <c r="AQ48" s="69"/>
      <c r="AR48" s="69"/>
    </row>
    <row r="49" spans="2:44" ht="15.95" hidden="1" customHeight="1" x14ac:dyDescent="0.25">
      <c r="B49" s="69"/>
      <c r="I49" s="69"/>
      <c r="J49" s="76"/>
      <c r="K49" s="428"/>
      <c r="L49" s="428"/>
      <c r="M49" s="428"/>
      <c r="N49" s="428"/>
      <c r="O49" s="434"/>
      <c r="P49" s="434"/>
      <c r="Q49" s="434"/>
      <c r="R49" s="434"/>
      <c r="S49" s="434"/>
      <c r="T49" s="434"/>
      <c r="U49" s="434"/>
      <c r="V49" s="434"/>
      <c r="W49" s="434"/>
      <c r="X49" s="435"/>
      <c r="Y49" s="435"/>
      <c r="Z49" s="435"/>
      <c r="AA49" s="435"/>
      <c r="AB49" s="435"/>
      <c r="AC49" s="435"/>
      <c r="AD49" s="435"/>
      <c r="AE49" s="435"/>
      <c r="AF49" s="435"/>
      <c r="AG49" s="69"/>
      <c r="AH49" s="69"/>
      <c r="AI49" s="69"/>
      <c r="AJ49" s="69"/>
      <c r="AK49" s="69"/>
      <c r="AL49" s="69"/>
      <c r="AM49" s="69"/>
      <c r="AN49" s="69"/>
      <c r="AO49" s="69"/>
      <c r="AP49" s="69"/>
      <c r="AQ49" s="69"/>
      <c r="AR49" s="69"/>
    </row>
    <row r="50" spans="2:44" ht="15.95" hidden="1" customHeight="1" x14ac:dyDescent="0.25">
      <c r="B50" s="69"/>
      <c r="I50" s="69"/>
      <c r="J50" s="76"/>
      <c r="K50" s="428"/>
      <c r="L50" s="428"/>
      <c r="M50" s="428"/>
      <c r="N50" s="428"/>
      <c r="O50" s="436"/>
      <c r="P50" s="436"/>
      <c r="Q50" s="436"/>
      <c r="R50" s="436"/>
      <c r="S50" s="436"/>
      <c r="T50" s="436"/>
      <c r="U50" s="436"/>
      <c r="V50" s="436"/>
      <c r="W50" s="436"/>
      <c r="X50" s="437"/>
      <c r="Y50" s="437"/>
      <c r="Z50" s="437"/>
      <c r="AA50" s="437"/>
      <c r="AB50" s="437"/>
      <c r="AC50" s="437"/>
      <c r="AD50" s="437"/>
      <c r="AE50" s="437"/>
      <c r="AF50" s="437"/>
      <c r="AG50" s="69"/>
      <c r="AH50" s="69"/>
      <c r="AI50" s="69"/>
      <c r="AJ50" s="69"/>
      <c r="AK50" s="69"/>
      <c r="AL50" s="69"/>
      <c r="AM50" s="69"/>
      <c r="AN50" s="69"/>
      <c r="AO50" s="69"/>
      <c r="AP50" s="69"/>
      <c r="AQ50" s="69"/>
      <c r="AR50" s="69"/>
    </row>
    <row r="51" spans="2:44" ht="15.95" hidden="1" customHeight="1" x14ac:dyDescent="0.25">
      <c r="B51" s="69"/>
      <c r="I51" s="69"/>
      <c r="J51" s="76"/>
      <c r="K51" s="428"/>
      <c r="L51" s="428"/>
      <c r="M51" s="428"/>
      <c r="N51" s="428"/>
      <c r="O51" s="436"/>
      <c r="P51" s="436"/>
      <c r="Q51" s="436"/>
      <c r="R51" s="436"/>
      <c r="S51" s="436"/>
      <c r="T51" s="436"/>
      <c r="U51" s="436"/>
      <c r="V51" s="436"/>
      <c r="W51" s="436"/>
      <c r="X51" s="437"/>
      <c r="Y51" s="437"/>
      <c r="Z51" s="437"/>
      <c r="AA51" s="437"/>
      <c r="AB51" s="437"/>
      <c r="AC51" s="437"/>
      <c r="AD51" s="437"/>
      <c r="AE51" s="437"/>
      <c r="AF51" s="437"/>
      <c r="AG51" s="69"/>
      <c r="AH51" s="69"/>
      <c r="AI51" s="69"/>
      <c r="AJ51" s="69"/>
      <c r="AK51" s="69"/>
      <c r="AL51" s="69"/>
      <c r="AM51" s="69"/>
      <c r="AN51" s="69"/>
      <c r="AO51" s="69"/>
      <c r="AP51" s="69"/>
      <c r="AQ51" s="69"/>
      <c r="AR51" s="69"/>
    </row>
    <row r="52" spans="2:44" ht="15.95" hidden="1" customHeight="1" x14ac:dyDescent="0.25">
      <c r="B52" s="69"/>
      <c r="I52" s="69"/>
      <c r="J52" s="76"/>
      <c r="K52" s="428"/>
      <c r="L52" s="428"/>
      <c r="M52" s="428"/>
      <c r="N52" s="428"/>
      <c r="O52" s="429"/>
      <c r="P52" s="429"/>
      <c r="Q52" s="429"/>
      <c r="R52" s="429"/>
      <c r="S52" s="429"/>
      <c r="T52" s="429"/>
      <c r="U52" s="429"/>
      <c r="V52" s="429"/>
      <c r="W52" s="429"/>
      <c r="X52" s="430"/>
      <c r="Y52" s="430"/>
      <c r="Z52" s="430"/>
      <c r="AA52" s="430"/>
      <c r="AB52" s="430"/>
      <c r="AC52" s="430"/>
      <c r="AD52" s="430"/>
      <c r="AE52" s="430"/>
      <c r="AF52" s="430"/>
      <c r="AG52" s="69"/>
      <c r="AH52" s="69"/>
      <c r="AI52" s="69"/>
      <c r="AJ52" s="69"/>
      <c r="AK52" s="69"/>
      <c r="AL52" s="69"/>
      <c r="AM52" s="69"/>
      <c r="AN52" s="69"/>
      <c r="AO52" s="69"/>
      <c r="AP52" s="69"/>
      <c r="AQ52" s="69"/>
      <c r="AR52" s="69"/>
    </row>
    <row r="53" spans="2:44" ht="15.95" hidden="1" customHeight="1" x14ac:dyDescent="0.25">
      <c r="B53" s="69"/>
      <c r="I53" s="69"/>
      <c r="J53" s="76"/>
      <c r="K53" s="428"/>
      <c r="L53" s="428"/>
      <c r="M53" s="428"/>
      <c r="N53" s="428"/>
      <c r="O53" s="429"/>
      <c r="P53" s="429"/>
      <c r="Q53" s="429"/>
      <c r="R53" s="429"/>
      <c r="S53" s="429"/>
      <c r="T53" s="429"/>
      <c r="U53" s="429"/>
      <c r="V53" s="429"/>
      <c r="W53" s="429"/>
      <c r="X53" s="430"/>
      <c r="Y53" s="430"/>
      <c r="Z53" s="430"/>
      <c r="AA53" s="430"/>
      <c r="AB53" s="430"/>
      <c r="AC53" s="430"/>
      <c r="AD53" s="430"/>
      <c r="AE53" s="430"/>
      <c r="AF53" s="430"/>
      <c r="AG53" s="69"/>
      <c r="AH53" s="69"/>
      <c r="AI53" s="69"/>
      <c r="AJ53" s="69"/>
      <c r="AK53" s="69"/>
      <c r="AL53" s="69"/>
      <c r="AM53" s="69"/>
      <c r="AN53" s="69"/>
      <c r="AO53" s="69"/>
      <c r="AP53" s="69"/>
      <c r="AQ53" s="69"/>
      <c r="AR53" s="69"/>
    </row>
    <row r="54" spans="2:44" ht="15.95" hidden="1" customHeight="1" x14ac:dyDescent="0.25">
      <c r="B54" s="69"/>
      <c r="I54" s="69"/>
      <c r="J54" s="76"/>
      <c r="K54" s="76"/>
      <c r="L54" s="76"/>
      <c r="M54" s="76"/>
      <c r="N54" s="76"/>
      <c r="O54" s="76"/>
      <c r="P54" s="69"/>
      <c r="W54" s="69"/>
      <c r="X54" s="69"/>
      <c r="Y54" s="69"/>
      <c r="Z54" s="69"/>
      <c r="AA54" s="69"/>
      <c r="AB54" s="69"/>
      <c r="AC54" s="69"/>
      <c r="AD54" s="69"/>
      <c r="AE54" s="69"/>
      <c r="AF54" s="69"/>
      <c r="AG54" s="69"/>
      <c r="AH54" s="69"/>
      <c r="AI54" s="69"/>
      <c r="AJ54" s="69"/>
      <c r="AK54" s="69"/>
      <c r="AL54" s="69"/>
      <c r="AM54" s="69"/>
      <c r="AN54" s="69"/>
      <c r="AO54" s="69"/>
      <c r="AP54" s="69"/>
      <c r="AQ54" s="69"/>
      <c r="AR54" s="69"/>
    </row>
    <row r="55" spans="2:44" ht="15.95" hidden="1" customHeight="1" x14ac:dyDescent="0.4">
      <c r="B55" s="69"/>
      <c r="I55" s="69"/>
      <c r="J55" s="431"/>
      <c r="K55" s="431"/>
      <c r="L55" s="431"/>
      <c r="M55" s="431"/>
      <c r="N55" s="431"/>
      <c r="O55" s="431"/>
      <c r="P55" s="431"/>
      <c r="Q55" s="431"/>
      <c r="R55" s="431"/>
      <c r="S55" s="431"/>
      <c r="T55" s="431"/>
      <c r="U55" s="431"/>
      <c r="V55" s="431"/>
      <c r="W55" s="431"/>
      <c r="X55" s="431"/>
      <c r="Y55" s="431"/>
      <c r="Z55" s="431"/>
      <c r="AA55" s="431"/>
      <c r="AB55" s="431"/>
      <c r="AC55" s="431"/>
      <c r="AD55" s="431"/>
      <c r="AE55" s="431"/>
      <c r="AF55" s="431"/>
      <c r="AG55" s="431"/>
      <c r="AH55" s="431"/>
      <c r="AI55" s="431"/>
      <c r="AJ55" s="431"/>
      <c r="AK55" s="69"/>
      <c r="AL55" s="69"/>
      <c r="AM55" s="69"/>
      <c r="AN55" s="69"/>
      <c r="AO55" s="69"/>
      <c r="AP55" s="69"/>
      <c r="AQ55" s="69"/>
      <c r="AR55" s="69"/>
    </row>
    <row r="56" spans="2:44" ht="15.95" hidden="1" customHeight="1" x14ac:dyDescent="0.4">
      <c r="B56" s="69"/>
      <c r="I56" s="69"/>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1"/>
      <c r="AJ56" s="431"/>
      <c r="AK56" s="69"/>
      <c r="AL56" s="69"/>
      <c r="AM56" s="69"/>
      <c r="AN56" s="69"/>
      <c r="AO56" s="69"/>
      <c r="AP56" s="69"/>
      <c r="AQ56" s="69"/>
      <c r="AR56" s="69"/>
    </row>
    <row r="57" spans="2:44" ht="15.95" hidden="1" customHeight="1" x14ac:dyDescent="0.25">
      <c r="B57" s="69"/>
      <c r="I57" s="69"/>
      <c r="AK57" s="69"/>
      <c r="AL57" s="69"/>
      <c r="AM57" s="69"/>
      <c r="AN57" s="69"/>
      <c r="AO57" s="69"/>
      <c r="AP57" s="69"/>
      <c r="AQ57" s="69"/>
      <c r="AR57" s="69"/>
    </row>
    <row r="58" spans="2:44" ht="15.95" hidden="1" customHeight="1" x14ac:dyDescent="0.25">
      <c r="B58" s="69"/>
      <c r="I58" s="69"/>
      <c r="AK58" s="69"/>
      <c r="AL58" s="69"/>
      <c r="AM58" s="69"/>
      <c r="AN58" s="69"/>
      <c r="AO58" s="69"/>
      <c r="AP58" s="69"/>
      <c r="AQ58" s="69"/>
      <c r="AR58" s="69"/>
    </row>
    <row r="59" spans="2:44" ht="15.95" hidden="1" customHeight="1" x14ac:dyDescent="0.35">
      <c r="B59" s="69"/>
      <c r="I59" s="69"/>
      <c r="J59" s="432"/>
      <c r="K59" s="432"/>
      <c r="L59" s="432"/>
      <c r="M59" s="432"/>
      <c r="N59" s="432"/>
      <c r="O59" s="432"/>
      <c r="P59" s="432"/>
      <c r="Q59" s="432"/>
      <c r="R59" s="432"/>
      <c r="AK59" s="69"/>
      <c r="AL59" s="69"/>
      <c r="AM59" s="69"/>
      <c r="AN59" s="69"/>
      <c r="AO59" s="69"/>
      <c r="AP59" s="69"/>
      <c r="AQ59" s="69"/>
      <c r="AR59" s="69"/>
    </row>
    <row r="60" spans="2:44" ht="15.95" hidden="1" customHeight="1" x14ac:dyDescent="0.35">
      <c r="B60" s="69"/>
      <c r="I60" s="69"/>
      <c r="J60" s="432"/>
      <c r="K60" s="432"/>
      <c r="L60" s="432"/>
      <c r="M60" s="432"/>
      <c r="N60" s="432"/>
      <c r="O60" s="432"/>
      <c r="P60" s="432"/>
      <c r="Q60" s="432"/>
      <c r="R60" s="432"/>
      <c r="AK60" s="69"/>
      <c r="AL60" s="69"/>
      <c r="AM60" s="69"/>
      <c r="AN60" s="69"/>
      <c r="AO60" s="69"/>
      <c r="AP60" s="69"/>
      <c r="AQ60" s="69"/>
      <c r="AR60" s="69"/>
    </row>
    <row r="61" spans="2:44" ht="15.95" hidden="1" customHeight="1" x14ac:dyDescent="0.25">
      <c r="B61" s="69"/>
      <c r="I61" s="69"/>
      <c r="J61" s="433"/>
      <c r="K61" s="433"/>
      <c r="L61" s="433"/>
      <c r="M61" s="433"/>
      <c r="N61" s="433"/>
      <c r="O61" s="433"/>
      <c r="P61" s="433"/>
      <c r="Q61" s="433"/>
      <c r="R61" s="433"/>
      <c r="AK61" s="69"/>
      <c r="AL61" s="69"/>
      <c r="AM61" s="69"/>
      <c r="AN61" s="69"/>
      <c r="AO61" s="69"/>
      <c r="AP61" s="69"/>
      <c r="AQ61" s="69"/>
      <c r="AR61" s="69"/>
    </row>
    <row r="62" spans="2:44" ht="15.95" hidden="1" customHeight="1" x14ac:dyDescent="0.25">
      <c r="B62" s="69"/>
      <c r="I62" s="69"/>
      <c r="J62" s="433"/>
      <c r="K62" s="433"/>
      <c r="L62" s="433"/>
      <c r="M62" s="433"/>
      <c r="N62" s="433"/>
      <c r="O62" s="433"/>
      <c r="P62" s="433"/>
      <c r="Q62" s="433"/>
      <c r="R62" s="433"/>
      <c r="AK62" s="69"/>
      <c r="AL62" s="69"/>
      <c r="AM62" s="69"/>
      <c r="AN62" s="69"/>
      <c r="AO62" s="69"/>
      <c r="AP62" s="69"/>
      <c r="AQ62" s="69"/>
      <c r="AR62" s="69"/>
    </row>
    <row r="63" spans="2:44" ht="15.95" hidden="1" customHeight="1" x14ac:dyDescent="0.35">
      <c r="B63" s="69"/>
      <c r="I63" s="69"/>
      <c r="K63" s="404"/>
      <c r="L63" s="404"/>
      <c r="M63" s="404"/>
      <c r="N63" s="404"/>
      <c r="O63" s="404"/>
      <c r="P63" s="404"/>
      <c r="Q63" s="404"/>
      <c r="R63" s="404"/>
      <c r="S63" s="404"/>
      <c r="T63" s="235"/>
      <c r="U63" s="235"/>
      <c r="V63" s="235"/>
      <c r="W63" s="235"/>
      <c r="X63" s="235"/>
      <c r="Y63" s="235"/>
      <c r="Z63" s="235"/>
      <c r="AA63" s="404"/>
      <c r="AB63" s="404"/>
      <c r="AC63" s="404"/>
      <c r="AD63" s="404"/>
      <c r="AE63" s="404"/>
      <c r="AF63" s="404"/>
      <c r="AG63" s="404"/>
      <c r="AH63" s="404"/>
      <c r="AI63" s="404"/>
      <c r="AJ63" s="404"/>
      <c r="AK63" s="69"/>
      <c r="AL63" s="69"/>
      <c r="AM63" s="69"/>
      <c r="AN63" s="69"/>
      <c r="AO63" s="69"/>
      <c r="AP63" s="69"/>
      <c r="AQ63" s="69"/>
      <c r="AR63" s="69"/>
    </row>
    <row r="64" spans="2:44" ht="15.95" hidden="1" customHeight="1" x14ac:dyDescent="0.35">
      <c r="B64" s="69"/>
      <c r="I64" s="69"/>
      <c r="J64" s="404"/>
      <c r="K64" s="404"/>
      <c r="L64" s="404"/>
      <c r="M64" s="404"/>
      <c r="N64" s="404"/>
      <c r="O64" s="404"/>
      <c r="P64" s="404"/>
      <c r="Q64" s="404"/>
      <c r="R64" s="404"/>
      <c r="S64" s="404"/>
      <c r="T64" s="235"/>
      <c r="U64" s="235"/>
      <c r="V64" s="235"/>
      <c r="W64" s="235"/>
      <c r="X64" s="235"/>
      <c r="Y64" s="235"/>
      <c r="Z64" s="235"/>
      <c r="AA64" s="404"/>
      <c r="AB64" s="404"/>
      <c r="AC64" s="404"/>
      <c r="AD64" s="404"/>
      <c r="AE64" s="404"/>
      <c r="AF64" s="404"/>
      <c r="AG64" s="404"/>
      <c r="AH64" s="404"/>
      <c r="AI64" s="404"/>
      <c r="AJ64" s="404"/>
      <c r="AK64" s="69"/>
      <c r="AL64" s="69"/>
      <c r="AM64" s="69"/>
      <c r="AN64" s="69"/>
      <c r="AO64" s="69"/>
      <c r="AP64" s="69"/>
      <c r="AQ64" s="69"/>
      <c r="AR64" s="69"/>
    </row>
    <row r="65" spans="2:44" ht="15.95" hidden="1" customHeight="1" x14ac:dyDescent="0.25">
      <c r="B65" s="69"/>
      <c r="I65" s="69"/>
      <c r="T65" s="235"/>
      <c r="U65" s="235"/>
      <c r="V65" s="235"/>
      <c r="W65" s="235"/>
      <c r="X65" s="235"/>
      <c r="Y65" s="235"/>
      <c r="Z65" s="235"/>
      <c r="AK65" s="69"/>
      <c r="AL65" s="69"/>
      <c r="AM65" s="69"/>
      <c r="AN65" s="69"/>
      <c r="AO65" s="69"/>
      <c r="AP65" s="69"/>
      <c r="AQ65" s="69"/>
      <c r="AR65" s="69"/>
    </row>
    <row r="66" spans="2:44" ht="15.95" hidden="1" customHeight="1" x14ac:dyDescent="0.35">
      <c r="B66" s="69"/>
      <c r="I66" s="69"/>
      <c r="T66" s="425"/>
      <c r="U66" s="425"/>
      <c r="V66" s="425"/>
      <c r="W66" s="425"/>
      <c r="X66" s="425"/>
      <c r="Y66" s="425"/>
      <c r="Z66" s="425"/>
      <c r="AK66" s="69"/>
      <c r="AL66" s="69"/>
      <c r="AM66" s="69"/>
      <c r="AN66" s="69"/>
      <c r="AO66" s="69"/>
      <c r="AP66" s="69"/>
      <c r="AQ66" s="69"/>
      <c r="AR66" s="69"/>
    </row>
    <row r="67" spans="2:44" ht="15.95" hidden="1" customHeight="1" x14ac:dyDescent="0.35">
      <c r="B67" s="69"/>
      <c r="I67" s="69"/>
      <c r="T67" s="425"/>
      <c r="U67" s="425"/>
      <c r="V67" s="425"/>
      <c r="W67" s="425"/>
      <c r="X67" s="425"/>
      <c r="Y67" s="425"/>
      <c r="Z67" s="425"/>
      <c r="AK67" s="69"/>
      <c r="AL67" s="69"/>
      <c r="AM67" s="69"/>
      <c r="AN67" s="69"/>
      <c r="AO67" s="69"/>
      <c r="AP67" s="69"/>
      <c r="AQ67" s="69"/>
      <c r="AR67" s="69"/>
    </row>
    <row r="68" spans="2:44" ht="15.95" hidden="1" customHeight="1" x14ac:dyDescent="0.25">
      <c r="B68" s="69"/>
      <c r="I68" s="69"/>
      <c r="T68" s="426"/>
      <c r="U68" s="426"/>
      <c r="V68" s="426"/>
      <c r="W68" s="426"/>
      <c r="X68" s="426"/>
      <c r="Y68" s="426"/>
      <c r="Z68" s="426"/>
      <c r="AK68" s="69"/>
      <c r="AL68" s="69"/>
      <c r="AM68" s="69"/>
      <c r="AN68" s="69"/>
      <c r="AO68" s="69"/>
      <c r="AP68" s="69"/>
      <c r="AQ68" s="69"/>
      <c r="AR68" s="69"/>
    </row>
    <row r="69" spans="2:44" ht="15.95" hidden="1" customHeight="1" x14ac:dyDescent="0.25">
      <c r="B69" s="69"/>
      <c r="I69" s="69"/>
      <c r="T69" s="426"/>
      <c r="U69" s="426"/>
      <c r="V69" s="426"/>
      <c r="W69" s="426"/>
      <c r="X69" s="426"/>
      <c r="Y69" s="426"/>
      <c r="Z69" s="426"/>
      <c r="AK69" s="69"/>
      <c r="AL69" s="69"/>
      <c r="AM69" s="69"/>
      <c r="AN69" s="69"/>
      <c r="AO69" s="69"/>
      <c r="AP69" s="69"/>
      <c r="AQ69" s="69"/>
      <c r="AR69" s="69"/>
    </row>
    <row r="70" spans="2:44" ht="15.95" hidden="1" customHeight="1" x14ac:dyDescent="0.25">
      <c r="B70" s="69"/>
      <c r="I70" s="69"/>
      <c r="AK70" s="69"/>
      <c r="AL70" s="69"/>
      <c r="AM70" s="69"/>
      <c r="AN70" s="69"/>
      <c r="AO70" s="69"/>
      <c r="AP70" s="69"/>
      <c r="AQ70" s="69"/>
      <c r="AR70" s="69"/>
    </row>
    <row r="71" spans="2:44" ht="15.95" hidden="1" customHeight="1" x14ac:dyDescent="0.25">
      <c r="B71" s="69"/>
      <c r="I71" s="69"/>
      <c r="M71" s="427"/>
      <c r="N71" s="427"/>
      <c r="O71" s="427"/>
      <c r="P71" s="427"/>
      <c r="Q71" s="427"/>
      <c r="R71" s="427"/>
      <c r="S71" s="406"/>
      <c r="T71" s="406"/>
      <c r="V71" s="427"/>
      <c r="W71" s="427"/>
      <c r="X71" s="427"/>
      <c r="Y71" s="427"/>
      <c r="Z71" s="427"/>
      <c r="AA71" s="427"/>
      <c r="AB71" s="407"/>
      <c r="AC71" s="407"/>
      <c r="AD71" s="407"/>
      <c r="AE71" s="427"/>
      <c r="AF71" s="427"/>
      <c r="AG71" s="427"/>
      <c r="AH71" s="427"/>
      <c r="AI71" s="427"/>
      <c r="AJ71" s="427"/>
      <c r="AK71" s="69"/>
      <c r="AL71" s="69"/>
      <c r="AM71" s="69"/>
      <c r="AN71" s="69"/>
      <c r="AO71" s="69"/>
      <c r="AP71" s="69"/>
      <c r="AQ71" s="69"/>
      <c r="AR71" s="69"/>
    </row>
    <row r="72" spans="2:44" ht="15.95" hidden="1" customHeight="1" x14ac:dyDescent="0.25">
      <c r="B72" s="69"/>
      <c r="I72" s="69"/>
      <c r="M72" s="408"/>
      <c r="N72" s="408"/>
      <c r="O72" s="408"/>
      <c r="P72" s="408"/>
      <c r="Q72" s="408"/>
      <c r="R72" s="408"/>
      <c r="S72" s="408"/>
      <c r="T72" s="408"/>
      <c r="V72" s="409"/>
      <c r="W72" s="409"/>
      <c r="X72" s="409"/>
      <c r="Y72" s="409"/>
      <c r="Z72" s="409"/>
      <c r="AA72" s="409"/>
      <c r="AB72" s="409"/>
      <c r="AC72" s="409"/>
      <c r="AD72" s="409"/>
      <c r="AE72" s="409"/>
      <c r="AF72" s="409"/>
      <c r="AG72" s="409"/>
      <c r="AH72" s="409"/>
      <c r="AI72" s="409"/>
      <c r="AJ72" s="409"/>
      <c r="AK72" s="69"/>
      <c r="AL72" s="69"/>
      <c r="AM72" s="69"/>
      <c r="AN72" s="69"/>
      <c r="AO72" s="69"/>
      <c r="AP72" s="69"/>
      <c r="AQ72" s="69"/>
      <c r="AR72" s="69"/>
    </row>
    <row r="73" spans="2:44" ht="15.95" hidden="1" customHeight="1" x14ac:dyDescent="0.25">
      <c r="B73" s="69"/>
      <c r="I73" s="69"/>
      <c r="M73" s="408"/>
      <c r="N73" s="408"/>
      <c r="O73" s="408"/>
      <c r="P73" s="408"/>
      <c r="Q73" s="408"/>
      <c r="R73" s="408"/>
      <c r="S73" s="408"/>
      <c r="T73" s="408"/>
      <c r="V73" s="423"/>
      <c r="W73" s="423"/>
      <c r="X73" s="423"/>
      <c r="Y73" s="423"/>
      <c r="Z73" s="423"/>
      <c r="AA73" s="423"/>
      <c r="AE73" s="424"/>
      <c r="AF73" s="424"/>
      <c r="AG73" s="424"/>
      <c r="AH73" s="424"/>
      <c r="AI73" s="424"/>
      <c r="AJ73" s="424"/>
      <c r="AK73" s="69"/>
      <c r="AL73" s="69"/>
      <c r="AM73" s="69"/>
      <c r="AN73" s="69"/>
      <c r="AO73" s="69"/>
      <c r="AP73" s="69"/>
      <c r="AQ73" s="69"/>
      <c r="AR73" s="69"/>
    </row>
    <row r="74" spans="2:44" ht="15.95" hidden="1" customHeight="1" x14ac:dyDescent="0.25">
      <c r="B74" s="69"/>
      <c r="I74" s="69"/>
      <c r="M74" s="408"/>
      <c r="N74" s="408"/>
      <c r="O74" s="408"/>
      <c r="P74" s="408"/>
      <c r="Q74" s="408"/>
      <c r="R74" s="408"/>
      <c r="AK74" s="69"/>
      <c r="AL74" s="69"/>
      <c r="AM74" s="69"/>
      <c r="AN74" s="69"/>
      <c r="AO74" s="69"/>
      <c r="AP74" s="69"/>
      <c r="AQ74" s="69"/>
      <c r="AR74" s="69"/>
    </row>
    <row r="75" spans="2:44" ht="15.95" hidden="1" customHeight="1" x14ac:dyDescent="0.25">
      <c r="B75" s="69"/>
      <c r="I75" s="69"/>
      <c r="AK75" s="69"/>
      <c r="AL75" s="69"/>
      <c r="AM75" s="69"/>
      <c r="AN75" s="69"/>
      <c r="AO75" s="69"/>
      <c r="AP75" s="69"/>
      <c r="AQ75" s="69"/>
      <c r="AR75" s="69"/>
    </row>
    <row r="76" spans="2:44" ht="15.95" hidden="1" customHeight="1" x14ac:dyDescent="0.25">
      <c r="B76" s="69"/>
      <c r="I76" s="69"/>
      <c r="J76" s="76"/>
      <c r="K76" s="76"/>
      <c r="L76" s="76"/>
      <c r="M76" s="76"/>
      <c r="N76" s="76"/>
      <c r="O76" s="76"/>
      <c r="P76" s="69"/>
      <c r="W76" s="69"/>
      <c r="X76" s="69"/>
      <c r="Y76" s="69"/>
      <c r="Z76" s="69"/>
      <c r="AA76" s="69"/>
      <c r="AB76" s="69"/>
      <c r="AC76" s="69"/>
      <c r="AD76" s="69"/>
      <c r="AE76" s="69"/>
      <c r="AF76" s="69"/>
      <c r="AG76" s="69"/>
      <c r="AH76" s="69"/>
      <c r="AI76" s="69"/>
      <c r="AJ76" s="69"/>
      <c r="AK76" s="69"/>
      <c r="AL76" s="69"/>
      <c r="AM76" s="69"/>
      <c r="AN76" s="69"/>
      <c r="AO76" s="69"/>
      <c r="AP76" s="69"/>
      <c r="AQ76" s="69"/>
      <c r="AR76" s="69"/>
    </row>
    <row r="77" spans="2:44" ht="15.95" hidden="1" customHeight="1" x14ac:dyDescent="0.25">
      <c r="B77" s="69"/>
      <c r="I77" s="69"/>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69"/>
      <c r="AL77" s="69"/>
      <c r="AM77" s="69"/>
      <c r="AN77" s="69"/>
      <c r="AO77" s="69"/>
      <c r="AP77" s="69"/>
      <c r="AQ77" s="69"/>
      <c r="AR77" s="69"/>
    </row>
    <row r="78" spans="2:44" ht="15.95" hidden="1" customHeight="1" x14ac:dyDescent="0.25">
      <c r="B78" s="69"/>
      <c r="I78" s="69"/>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69"/>
      <c r="AL78" s="69"/>
      <c r="AM78" s="69"/>
      <c r="AN78" s="69"/>
      <c r="AO78" s="69"/>
      <c r="AP78" s="69"/>
      <c r="AQ78" s="69"/>
      <c r="AR78" s="69"/>
    </row>
    <row r="79" spans="2:44" ht="15.95" hidden="1" customHeight="1" x14ac:dyDescent="0.25">
      <c r="B79" s="69"/>
      <c r="I79" s="69"/>
      <c r="J79" s="76"/>
      <c r="K79" s="76"/>
      <c r="L79" s="76"/>
      <c r="M79" s="76"/>
      <c r="N79" s="76"/>
      <c r="O79" s="76"/>
      <c r="P79" s="69"/>
      <c r="W79" s="69"/>
      <c r="X79" s="69"/>
      <c r="Y79" s="69"/>
      <c r="Z79" s="69"/>
      <c r="AA79" s="69"/>
      <c r="AB79" s="69"/>
      <c r="AC79" s="69"/>
      <c r="AD79" s="69"/>
      <c r="AE79" s="69"/>
      <c r="AF79" s="69"/>
      <c r="AG79" s="69"/>
      <c r="AH79" s="69"/>
      <c r="AI79" s="69"/>
      <c r="AJ79" s="69"/>
      <c r="AK79" s="69"/>
      <c r="AL79" s="69"/>
      <c r="AM79" s="69"/>
      <c r="AN79" s="69"/>
      <c r="AO79" s="69"/>
      <c r="AP79" s="69"/>
      <c r="AQ79" s="69"/>
      <c r="AR79" s="69"/>
    </row>
    <row r="80" spans="2:44" ht="15.95" hidden="1" customHeight="1" x14ac:dyDescent="0.25">
      <c r="B80" s="69"/>
      <c r="I80" s="69"/>
      <c r="J80" s="76"/>
      <c r="K80" s="76"/>
      <c r="L80" s="76"/>
      <c r="M80" s="76"/>
      <c r="N80" s="76"/>
      <c r="O80" s="76"/>
      <c r="P80" s="69"/>
      <c r="W80" s="69"/>
      <c r="X80" s="69"/>
      <c r="Y80" s="69"/>
      <c r="Z80" s="69"/>
      <c r="AA80" s="69"/>
      <c r="AB80" s="69"/>
      <c r="AC80" s="69"/>
      <c r="AD80" s="69"/>
      <c r="AE80" s="69"/>
      <c r="AF80" s="69"/>
      <c r="AG80" s="69"/>
      <c r="AH80" s="69"/>
      <c r="AI80" s="69"/>
      <c r="AJ80" s="69"/>
      <c r="AK80" s="69"/>
      <c r="AL80" s="69"/>
      <c r="AM80" s="69"/>
      <c r="AN80" s="69"/>
      <c r="AO80" s="69"/>
      <c r="AP80" s="69"/>
      <c r="AQ80" s="69"/>
      <c r="AR80" s="69"/>
    </row>
    <row r="81" spans="2:44" ht="15.95" hidden="1" customHeight="1" x14ac:dyDescent="0.25">
      <c r="B81" s="69"/>
      <c r="I81" s="69"/>
      <c r="J81" s="76"/>
      <c r="K81" s="76"/>
      <c r="L81" s="76"/>
      <c r="M81" s="76"/>
      <c r="N81" s="76"/>
      <c r="O81" s="76"/>
      <c r="P81" s="69"/>
      <c r="W81" s="69"/>
      <c r="X81" s="69"/>
      <c r="Y81" s="69"/>
      <c r="Z81" s="69"/>
      <c r="AA81" s="69"/>
      <c r="AB81" s="69"/>
      <c r="AC81" s="69"/>
      <c r="AD81" s="69"/>
      <c r="AE81" s="69"/>
      <c r="AF81" s="69"/>
      <c r="AG81" s="69"/>
      <c r="AH81" s="69"/>
      <c r="AI81" s="69"/>
      <c r="AJ81" s="69"/>
      <c r="AK81" s="69"/>
      <c r="AL81" s="69"/>
      <c r="AM81" s="69"/>
      <c r="AN81" s="69"/>
      <c r="AO81" s="69"/>
      <c r="AP81" s="69"/>
      <c r="AQ81" s="69"/>
      <c r="AR81" s="69"/>
    </row>
    <row r="82" spans="2:44" ht="15.95" hidden="1" customHeight="1" x14ac:dyDescent="0.25">
      <c r="B82" s="69"/>
      <c r="I82" s="69"/>
      <c r="J82" s="76"/>
      <c r="K82" s="76"/>
      <c r="L82" s="76"/>
      <c r="M82" s="76"/>
      <c r="N82" s="76"/>
      <c r="O82" s="76"/>
      <c r="P82" s="69"/>
      <c r="W82" s="69"/>
      <c r="X82" s="69"/>
      <c r="Y82" s="69"/>
      <c r="Z82" s="69"/>
      <c r="AA82" s="69"/>
      <c r="AB82" s="69"/>
      <c r="AC82" s="69"/>
      <c r="AD82" s="69"/>
      <c r="AE82" s="69"/>
      <c r="AF82" s="69"/>
      <c r="AG82" s="69"/>
      <c r="AH82" s="69"/>
      <c r="AI82" s="69"/>
      <c r="AJ82" s="69"/>
      <c r="AK82" s="69"/>
      <c r="AL82" s="69"/>
      <c r="AM82" s="69"/>
      <c r="AN82" s="69"/>
      <c r="AO82" s="69"/>
      <c r="AP82" s="69"/>
      <c r="AQ82" s="69"/>
      <c r="AR82" s="69"/>
    </row>
    <row r="83" spans="2:44" ht="15.95" hidden="1" customHeight="1" x14ac:dyDescent="0.25">
      <c r="B83" s="69"/>
      <c r="I83" s="69"/>
      <c r="J83" s="76"/>
      <c r="K83" s="76"/>
      <c r="L83" s="76"/>
      <c r="M83" s="76"/>
      <c r="N83" s="76"/>
      <c r="O83" s="76"/>
      <c r="P83" s="69"/>
      <c r="W83" s="69"/>
      <c r="X83" s="69"/>
      <c r="Y83" s="69"/>
      <c r="Z83" s="69"/>
      <c r="AA83" s="69"/>
      <c r="AB83" s="69"/>
      <c r="AC83" s="69"/>
      <c r="AD83" s="69"/>
      <c r="AE83" s="69"/>
      <c r="AF83" s="69"/>
      <c r="AG83" s="69"/>
      <c r="AH83" s="69"/>
      <c r="AI83" s="69"/>
      <c r="AJ83" s="69"/>
      <c r="AK83" s="69"/>
      <c r="AL83" s="69"/>
      <c r="AM83" s="69"/>
      <c r="AN83" s="69"/>
      <c r="AO83" s="69"/>
      <c r="AP83" s="69"/>
      <c r="AQ83" s="69"/>
      <c r="AR83" s="69"/>
    </row>
    <row r="84" spans="2:44" ht="15.95" hidden="1" customHeight="1" x14ac:dyDescent="0.25">
      <c r="B84" s="69"/>
      <c r="I84" s="69"/>
      <c r="J84" s="76"/>
      <c r="K84" s="76"/>
      <c r="L84" s="76"/>
      <c r="M84" s="76"/>
      <c r="N84" s="76"/>
      <c r="O84" s="76"/>
      <c r="P84" s="69"/>
      <c r="W84" s="69"/>
      <c r="X84" s="69"/>
      <c r="Y84" s="69"/>
      <c r="Z84" s="69"/>
      <c r="AA84" s="69"/>
      <c r="AB84" s="69"/>
      <c r="AC84" s="69"/>
      <c r="AD84" s="69"/>
      <c r="AE84" s="69"/>
      <c r="AF84" s="69"/>
      <c r="AG84" s="69"/>
      <c r="AH84" s="69"/>
      <c r="AI84" s="69"/>
      <c r="AJ84" s="69"/>
      <c r="AK84" s="69"/>
      <c r="AL84" s="69"/>
      <c r="AM84" s="69"/>
      <c r="AN84" s="69"/>
      <c r="AO84" s="69"/>
      <c r="AP84" s="69"/>
      <c r="AQ84" s="69"/>
      <c r="AR84" s="69"/>
    </row>
    <row r="85" spans="2:44" ht="15.95" hidden="1" customHeight="1" x14ac:dyDescent="0.25">
      <c r="B85" s="69"/>
      <c r="I85" s="69"/>
      <c r="J85" s="76"/>
      <c r="K85" s="76"/>
      <c r="L85" s="76"/>
      <c r="M85" s="76"/>
      <c r="N85" s="76"/>
      <c r="O85" s="76"/>
      <c r="P85" s="69"/>
      <c r="W85" s="69"/>
      <c r="X85" s="69"/>
      <c r="Y85" s="69"/>
      <c r="Z85" s="69"/>
      <c r="AA85" s="69"/>
      <c r="AB85" s="69"/>
      <c r="AC85" s="69"/>
      <c r="AD85" s="69"/>
      <c r="AE85" s="69"/>
      <c r="AF85" s="69"/>
      <c r="AG85" s="69"/>
      <c r="AH85" s="69"/>
      <c r="AI85" s="69"/>
      <c r="AJ85" s="69"/>
      <c r="AK85" s="69"/>
      <c r="AL85" s="69"/>
      <c r="AM85" s="69"/>
      <c r="AN85" s="69"/>
      <c r="AO85" s="69"/>
      <c r="AP85" s="69"/>
      <c r="AQ85" s="69"/>
      <c r="AR85" s="69"/>
    </row>
    <row r="86" spans="2:44" ht="15.95" hidden="1" customHeight="1" x14ac:dyDescent="0.25">
      <c r="B86" s="69"/>
      <c r="I86" s="69"/>
      <c r="J86" s="76"/>
      <c r="K86" s="76"/>
      <c r="L86" s="76"/>
      <c r="M86" s="76"/>
      <c r="N86" s="76"/>
      <c r="O86" s="76"/>
      <c r="P86" s="69"/>
      <c r="W86" s="69"/>
      <c r="X86" s="69"/>
      <c r="Y86" s="69"/>
      <c r="Z86" s="69"/>
      <c r="AA86" s="69"/>
      <c r="AB86" s="69"/>
      <c r="AC86" s="69"/>
      <c r="AD86" s="69"/>
      <c r="AE86" s="69"/>
      <c r="AF86" s="69"/>
      <c r="AG86" s="69"/>
      <c r="AH86" s="69"/>
      <c r="AI86" s="69"/>
      <c r="AJ86" s="69"/>
      <c r="AK86" s="69"/>
      <c r="AL86" s="69"/>
      <c r="AM86" s="69"/>
      <c r="AN86" s="69"/>
      <c r="AO86" s="69"/>
      <c r="AP86" s="69"/>
      <c r="AQ86" s="69"/>
      <c r="AR86" s="69"/>
    </row>
    <row r="87" spans="2:44" ht="15.95" hidden="1" customHeight="1" x14ac:dyDescent="0.25">
      <c r="B87" s="69"/>
      <c r="I87" s="69"/>
      <c r="J87" s="76"/>
      <c r="K87" s="76"/>
      <c r="L87" s="76"/>
      <c r="M87" s="76"/>
      <c r="N87" s="76"/>
      <c r="O87" s="76"/>
      <c r="P87" s="69"/>
      <c r="W87" s="69"/>
      <c r="X87" s="69"/>
      <c r="Y87" s="69"/>
      <c r="Z87" s="69"/>
      <c r="AA87" s="69"/>
      <c r="AB87" s="69"/>
      <c r="AC87" s="69"/>
      <c r="AD87" s="69"/>
      <c r="AE87" s="69"/>
      <c r="AF87" s="69"/>
      <c r="AG87" s="69"/>
      <c r="AH87" s="69"/>
      <c r="AI87" s="69"/>
      <c r="AJ87" s="69"/>
      <c r="AK87" s="69"/>
      <c r="AL87" s="69"/>
      <c r="AM87" s="69"/>
      <c r="AN87" s="69"/>
      <c r="AO87" s="69"/>
      <c r="AP87" s="69"/>
      <c r="AQ87" s="69"/>
      <c r="AR87" s="69"/>
    </row>
    <row r="88" spans="2:44" ht="15.95" hidden="1" customHeight="1" x14ac:dyDescent="0.25">
      <c r="B88" s="69"/>
      <c r="I88" s="69"/>
      <c r="J88" s="76"/>
      <c r="K88" s="76"/>
      <c r="L88" s="76"/>
      <c r="M88" s="76"/>
      <c r="N88" s="76"/>
      <c r="O88" s="76"/>
      <c r="P88" s="69"/>
      <c r="W88" s="69"/>
      <c r="X88" s="69"/>
      <c r="Y88" s="69"/>
      <c r="Z88" s="69"/>
      <c r="AA88" s="69"/>
      <c r="AB88" s="69"/>
      <c r="AC88" s="69"/>
      <c r="AD88" s="69"/>
      <c r="AE88" s="69"/>
      <c r="AF88" s="69"/>
      <c r="AG88" s="69"/>
      <c r="AH88" s="69"/>
      <c r="AI88" s="69"/>
      <c r="AJ88" s="69"/>
      <c r="AK88" s="69"/>
      <c r="AL88" s="69"/>
      <c r="AM88" s="69"/>
      <c r="AN88" s="69"/>
      <c r="AO88" s="69"/>
      <c r="AP88" s="69"/>
      <c r="AQ88" s="69"/>
      <c r="AR88" s="69"/>
    </row>
    <row r="89" spans="2:44" ht="15.95" hidden="1" customHeight="1" x14ac:dyDescent="0.25">
      <c r="B89" s="69"/>
      <c r="I89" s="69"/>
      <c r="J89" s="76"/>
      <c r="K89" s="76"/>
      <c r="L89" s="76"/>
      <c r="M89" s="76"/>
      <c r="N89" s="76"/>
      <c r="O89" s="76"/>
      <c r="P89" s="69"/>
      <c r="W89" s="69"/>
      <c r="X89" s="69"/>
      <c r="Y89" s="69"/>
      <c r="Z89" s="69"/>
      <c r="AA89" s="69"/>
      <c r="AB89" s="69"/>
      <c r="AC89" s="69"/>
      <c r="AD89" s="69"/>
      <c r="AE89" s="69"/>
      <c r="AF89" s="69"/>
      <c r="AG89" s="69"/>
      <c r="AH89" s="69"/>
      <c r="AI89" s="69"/>
      <c r="AJ89" s="69"/>
      <c r="AK89" s="69"/>
      <c r="AL89" s="69"/>
      <c r="AM89" s="69"/>
      <c r="AN89" s="69"/>
      <c r="AO89" s="69"/>
      <c r="AP89" s="69"/>
      <c r="AQ89" s="69"/>
      <c r="AR89" s="69"/>
    </row>
    <row r="90" spans="2:44" ht="15.95" hidden="1" customHeight="1" x14ac:dyDescent="0.25">
      <c r="B90" s="69"/>
      <c r="I90" s="69"/>
      <c r="J90" s="76"/>
      <c r="K90" s="76"/>
      <c r="L90" s="76"/>
      <c r="M90" s="76"/>
      <c r="N90" s="76"/>
      <c r="O90" s="76"/>
      <c r="P90" s="69"/>
      <c r="W90" s="69"/>
      <c r="X90" s="69"/>
      <c r="Y90" s="69"/>
      <c r="Z90" s="69"/>
      <c r="AA90" s="69"/>
      <c r="AB90" s="69"/>
      <c r="AC90" s="69"/>
      <c r="AD90" s="69"/>
      <c r="AE90" s="69"/>
      <c r="AF90" s="69"/>
      <c r="AG90" s="69"/>
      <c r="AH90" s="69"/>
      <c r="AI90" s="69"/>
      <c r="AJ90" s="69"/>
      <c r="AK90" s="69"/>
      <c r="AL90" s="69"/>
      <c r="AM90" s="69"/>
      <c r="AN90" s="69"/>
      <c r="AO90" s="69"/>
      <c r="AP90" s="69"/>
      <c r="AQ90" s="69"/>
      <c r="AR90" s="69"/>
    </row>
    <row r="91" spans="2:44" ht="15.95" hidden="1" customHeight="1" x14ac:dyDescent="0.25">
      <c r="B91" s="69"/>
      <c r="I91" s="69"/>
      <c r="J91" s="76"/>
      <c r="K91" s="76"/>
      <c r="L91" s="76"/>
      <c r="M91" s="76"/>
      <c r="N91" s="76"/>
      <c r="O91" s="76"/>
      <c r="P91" s="69"/>
      <c r="W91" s="69"/>
      <c r="X91" s="69"/>
      <c r="Y91" s="69"/>
      <c r="Z91" s="69"/>
      <c r="AA91" s="69"/>
      <c r="AB91" s="69"/>
      <c r="AC91" s="69"/>
      <c r="AD91" s="69"/>
      <c r="AE91" s="69"/>
      <c r="AF91" s="69"/>
      <c r="AG91" s="69"/>
      <c r="AH91" s="69"/>
      <c r="AI91" s="69"/>
      <c r="AJ91" s="69"/>
      <c r="AK91" s="69"/>
      <c r="AL91" s="69"/>
      <c r="AM91" s="69"/>
      <c r="AN91" s="69"/>
      <c r="AO91" s="69"/>
      <c r="AP91" s="69"/>
      <c r="AQ91" s="69"/>
      <c r="AR91" s="69"/>
    </row>
    <row r="92" spans="2:44" ht="15.95" hidden="1" customHeight="1" x14ac:dyDescent="0.25">
      <c r="B92" s="69"/>
      <c r="I92" s="69"/>
      <c r="J92" s="76"/>
      <c r="K92" s="76"/>
      <c r="L92" s="76"/>
      <c r="M92" s="76"/>
      <c r="N92" s="76"/>
      <c r="O92" s="76"/>
      <c r="P92" s="69"/>
      <c r="W92" s="69"/>
      <c r="X92" s="69"/>
      <c r="Y92" s="69"/>
      <c r="Z92" s="69"/>
      <c r="AA92" s="69"/>
      <c r="AB92" s="69"/>
      <c r="AC92" s="69"/>
      <c r="AD92" s="69"/>
      <c r="AE92" s="69"/>
      <c r="AF92" s="69"/>
      <c r="AG92" s="69"/>
      <c r="AH92" s="69"/>
      <c r="AI92" s="69"/>
      <c r="AJ92" s="69"/>
      <c r="AK92" s="69"/>
      <c r="AL92" s="69"/>
      <c r="AM92" s="69"/>
      <c r="AN92" s="69"/>
      <c r="AO92" s="69"/>
      <c r="AP92" s="69"/>
      <c r="AQ92" s="69"/>
      <c r="AR92" s="69"/>
    </row>
    <row r="93" spans="2:44" ht="15.95" hidden="1" customHeight="1" x14ac:dyDescent="0.25">
      <c r="B93" s="69"/>
      <c r="I93" s="69"/>
      <c r="J93" s="76"/>
      <c r="K93" s="76"/>
      <c r="L93" s="76"/>
      <c r="M93" s="76"/>
      <c r="N93" s="76"/>
      <c r="O93" s="76"/>
      <c r="P93" s="69"/>
      <c r="W93" s="69"/>
      <c r="X93" s="69"/>
      <c r="Y93" s="69"/>
      <c r="Z93" s="69"/>
      <c r="AA93" s="69"/>
      <c r="AB93" s="69"/>
      <c r="AC93" s="69"/>
      <c r="AD93" s="69"/>
      <c r="AE93" s="69"/>
      <c r="AF93" s="69"/>
      <c r="AG93" s="69"/>
      <c r="AH93" s="69"/>
      <c r="AI93" s="69"/>
      <c r="AJ93" s="69"/>
      <c r="AK93" s="69"/>
      <c r="AL93" s="69"/>
      <c r="AM93" s="69"/>
      <c r="AN93" s="69"/>
      <c r="AO93" s="69"/>
      <c r="AP93" s="69"/>
      <c r="AQ93" s="69"/>
      <c r="AR93" s="69"/>
    </row>
    <row r="94" spans="2:44" ht="15.95" hidden="1" customHeight="1" x14ac:dyDescent="0.25">
      <c r="B94" s="69"/>
      <c r="I94" s="69"/>
      <c r="J94" s="76"/>
      <c r="K94" s="76"/>
      <c r="L94" s="76"/>
      <c r="M94" s="76"/>
      <c r="N94" s="76"/>
      <c r="O94" s="76"/>
      <c r="P94" s="69"/>
      <c r="W94" s="69"/>
      <c r="X94" s="69"/>
      <c r="Y94" s="69"/>
      <c r="Z94" s="69"/>
      <c r="AA94" s="69"/>
      <c r="AB94" s="69"/>
      <c r="AC94" s="69"/>
      <c r="AD94" s="69"/>
      <c r="AE94" s="69"/>
      <c r="AF94" s="69"/>
      <c r="AG94" s="69"/>
      <c r="AH94" s="69"/>
      <c r="AI94" s="69"/>
      <c r="AJ94" s="69"/>
      <c r="AK94" s="69"/>
      <c r="AL94" s="69"/>
      <c r="AM94" s="69"/>
      <c r="AN94" s="69"/>
      <c r="AO94" s="69"/>
      <c r="AP94" s="69"/>
      <c r="AQ94" s="69"/>
      <c r="AR94" s="69"/>
    </row>
    <row r="95" spans="2:44" ht="15.95" hidden="1" customHeight="1" x14ac:dyDescent="0.25">
      <c r="B95" s="69"/>
      <c r="I95" s="69"/>
      <c r="J95" s="76"/>
      <c r="K95" s="76"/>
      <c r="L95" s="76"/>
      <c r="M95" s="76"/>
      <c r="N95" s="76"/>
      <c r="O95" s="76"/>
      <c r="P95" s="69"/>
      <c r="W95" s="69"/>
      <c r="X95" s="69"/>
      <c r="Y95" s="69"/>
      <c r="Z95" s="69"/>
      <c r="AA95" s="69"/>
      <c r="AB95" s="69"/>
      <c r="AC95" s="69"/>
      <c r="AD95" s="69"/>
      <c r="AE95" s="69"/>
      <c r="AF95" s="69"/>
      <c r="AG95" s="69"/>
      <c r="AH95" s="69"/>
      <c r="AI95" s="69"/>
      <c r="AJ95" s="69"/>
      <c r="AK95" s="69"/>
      <c r="AL95" s="69"/>
      <c r="AM95" s="69"/>
      <c r="AN95" s="69"/>
      <c r="AO95" s="69"/>
      <c r="AP95" s="69"/>
      <c r="AQ95" s="69"/>
      <c r="AR95" s="69"/>
    </row>
    <row r="96" spans="2:44" ht="15.95" hidden="1" customHeight="1" x14ac:dyDescent="0.25">
      <c r="B96" s="69"/>
      <c r="I96" s="69"/>
      <c r="J96" s="76"/>
      <c r="K96" s="76"/>
      <c r="L96" s="76"/>
      <c r="M96" s="76"/>
      <c r="N96" s="76"/>
      <c r="O96" s="76"/>
      <c r="P96" s="69"/>
      <c r="W96" s="69"/>
      <c r="X96" s="69"/>
      <c r="Y96" s="69"/>
      <c r="Z96" s="69"/>
      <c r="AA96" s="69"/>
      <c r="AB96" s="69"/>
      <c r="AC96" s="69"/>
      <c r="AD96" s="69"/>
      <c r="AE96" s="69"/>
      <c r="AF96" s="69"/>
      <c r="AG96" s="69"/>
      <c r="AH96" s="69"/>
      <c r="AI96" s="69"/>
      <c r="AJ96" s="69"/>
      <c r="AK96" s="69"/>
      <c r="AL96" s="69"/>
      <c r="AM96" s="69"/>
      <c r="AN96" s="69"/>
      <c r="AO96" s="69"/>
      <c r="AP96" s="69"/>
      <c r="AQ96" s="69"/>
      <c r="AR96" s="69"/>
    </row>
    <row r="97" spans="2:44" ht="15.95" hidden="1" customHeight="1" x14ac:dyDescent="0.25">
      <c r="B97" s="69"/>
      <c r="I97" s="69"/>
      <c r="J97" s="76"/>
      <c r="K97" s="76"/>
      <c r="L97" s="76"/>
      <c r="M97" s="76"/>
      <c r="N97" s="76"/>
      <c r="O97" s="76"/>
      <c r="P97" s="69"/>
      <c r="W97" s="69"/>
      <c r="X97" s="69"/>
      <c r="Y97" s="69"/>
      <c r="Z97" s="69"/>
      <c r="AA97" s="69"/>
      <c r="AB97" s="69"/>
      <c r="AC97" s="69"/>
      <c r="AD97" s="69"/>
      <c r="AE97" s="69"/>
      <c r="AF97" s="69"/>
      <c r="AG97" s="69"/>
      <c r="AH97" s="69"/>
      <c r="AI97" s="69"/>
      <c r="AJ97" s="69"/>
      <c r="AK97" s="69"/>
      <c r="AL97" s="69"/>
      <c r="AM97" s="69"/>
      <c r="AN97" s="69"/>
      <c r="AO97" s="69"/>
      <c r="AP97" s="69"/>
      <c r="AQ97" s="69"/>
      <c r="AR97" s="69"/>
    </row>
    <row r="98" spans="2:44" ht="15.95" hidden="1" customHeight="1" x14ac:dyDescent="0.25">
      <c r="B98" s="69"/>
      <c r="I98" s="69"/>
      <c r="J98" s="76"/>
      <c r="K98" s="76"/>
      <c r="L98" s="76"/>
      <c r="M98" s="76"/>
      <c r="N98" s="76"/>
      <c r="O98" s="76"/>
      <c r="P98" s="69"/>
      <c r="W98" s="69"/>
      <c r="X98" s="69"/>
      <c r="Y98" s="69"/>
      <c r="Z98" s="69"/>
      <c r="AA98" s="69"/>
      <c r="AB98" s="69"/>
      <c r="AC98" s="69"/>
      <c r="AD98" s="69"/>
      <c r="AE98" s="69"/>
      <c r="AF98" s="69"/>
      <c r="AG98" s="69"/>
      <c r="AH98" s="69"/>
      <c r="AI98" s="69"/>
      <c r="AJ98" s="69"/>
      <c r="AK98" s="69"/>
      <c r="AL98" s="69"/>
      <c r="AM98" s="69"/>
      <c r="AN98" s="69"/>
      <c r="AO98" s="69"/>
      <c r="AP98" s="69"/>
      <c r="AQ98" s="69"/>
      <c r="AR98" s="69"/>
    </row>
    <row r="99" spans="2:44" ht="15.95" hidden="1" customHeight="1" x14ac:dyDescent="0.25">
      <c r="B99" s="69"/>
      <c r="I99" s="69"/>
      <c r="J99" s="76"/>
      <c r="K99" s="76"/>
      <c r="L99" s="76"/>
      <c r="M99" s="76"/>
      <c r="N99" s="76"/>
      <c r="O99" s="76"/>
      <c r="P99" s="69"/>
      <c r="W99" s="69"/>
      <c r="X99" s="69"/>
      <c r="Y99" s="69"/>
      <c r="Z99" s="69"/>
      <c r="AA99" s="69"/>
      <c r="AB99" s="69"/>
      <c r="AC99" s="69"/>
      <c r="AD99" s="69"/>
      <c r="AE99" s="69"/>
      <c r="AF99" s="69"/>
      <c r="AG99" s="69"/>
      <c r="AH99" s="69"/>
      <c r="AI99" s="69"/>
      <c r="AJ99" s="69"/>
      <c r="AK99" s="69"/>
      <c r="AL99" s="69"/>
      <c r="AM99" s="69"/>
      <c r="AN99" s="69"/>
      <c r="AO99" s="69"/>
      <c r="AP99" s="69"/>
      <c r="AQ99" s="69"/>
      <c r="AR99" s="69"/>
    </row>
    <row r="100" spans="2:44" ht="15.95" hidden="1" customHeight="1" x14ac:dyDescent="0.25">
      <c r="B100" s="69"/>
      <c r="I100" s="69"/>
      <c r="J100" s="76"/>
      <c r="K100" s="76"/>
      <c r="L100" s="76"/>
      <c r="M100" s="76"/>
      <c r="N100" s="76"/>
      <c r="O100" s="76"/>
      <c r="P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row>
    <row r="101" spans="2:44" ht="15.95" hidden="1" customHeight="1" x14ac:dyDescent="0.25">
      <c r="B101" s="69"/>
      <c r="I101" s="69"/>
      <c r="J101" s="76"/>
      <c r="K101" s="76"/>
      <c r="L101" s="76"/>
      <c r="M101" s="76"/>
      <c r="N101" s="76"/>
      <c r="O101" s="76"/>
      <c r="P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row>
    <row r="102" spans="2:44" ht="15.95" hidden="1" customHeight="1" x14ac:dyDescent="0.25">
      <c r="B102" s="69"/>
      <c r="I102" s="69"/>
      <c r="J102" s="76"/>
      <c r="K102" s="76"/>
      <c r="L102" s="76"/>
      <c r="M102" s="76"/>
      <c r="N102" s="76"/>
      <c r="O102" s="76"/>
      <c r="P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row>
    <row r="103" spans="2:44" ht="15.95" hidden="1" customHeight="1" x14ac:dyDescent="0.25">
      <c r="B103" s="69"/>
      <c r="I103" s="69"/>
      <c r="J103" s="76"/>
      <c r="K103" s="76"/>
      <c r="L103" s="76"/>
      <c r="M103" s="76"/>
      <c r="N103" s="76"/>
      <c r="O103" s="76"/>
      <c r="P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row>
    <row r="104" spans="2:44" ht="15.95" hidden="1" customHeight="1" x14ac:dyDescent="0.25">
      <c r="B104" s="69"/>
      <c r="I104" s="69"/>
      <c r="J104" s="76"/>
      <c r="K104" s="76"/>
      <c r="L104" s="76"/>
      <c r="M104" s="76"/>
      <c r="N104" s="76"/>
      <c r="O104" s="76"/>
      <c r="P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row>
    <row r="105" spans="2:44" ht="15.95" hidden="1" customHeight="1" x14ac:dyDescent="0.25">
      <c r="B105" s="69"/>
      <c r="I105" s="69"/>
      <c r="J105" s="76"/>
      <c r="K105" s="76"/>
      <c r="L105" s="76"/>
      <c r="M105" s="76"/>
      <c r="N105" s="76"/>
      <c r="O105" s="76"/>
      <c r="P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row>
    <row r="106" spans="2:44" ht="15.95" hidden="1" customHeight="1" x14ac:dyDescent="0.25">
      <c r="B106" s="69"/>
      <c r="I106" s="69"/>
      <c r="J106" s="76"/>
      <c r="K106" s="76"/>
      <c r="L106" s="76"/>
      <c r="M106" s="76"/>
      <c r="N106" s="76"/>
      <c r="O106" s="76"/>
      <c r="P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row>
    <row r="107" spans="2:44" ht="15.95" hidden="1" customHeight="1" x14ac:dyDescent="0.25">
      <c r="B107" s="69"/>
      <c r="I107" s="69"/>
      <c r="J107" s="76"/>
      <c r="K107" s="76"/>
      <c r="L107" s="76"/>
      <c r="M107" s="76"/>
      <c r="N107" s="76"/>
      <c r="O107" s="76"/>
      <c r="P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row>
    <row r="108" spans="2:44" ht="15.95" hidden="1" customHeight="1" x14ac:dyDescent="0.25">
      <c r="B108" s="69"/>
      <c r="I108" s="69"/>
      <c r="J108" s="76"/>
      <c r="K108" s="76"/>
      <c r="L108" s="76"/>
      <c r="M108" s="76"/>
      <c r="N108" s="76"/>
      <c r="O108" s="76"/>
      <c r="P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row>
    <row r="109" spans="2:44" ht="15.95" hidden="1" customHeight="1" x14ac:dyDescent="0.25">
      <c r="B109" s="69"/>
      <c r="I109" s="69"/>
      <c r="J109" s="76"/>
      <c r="K109" s="76"/>
      <c r="L109" s="76"/>
      <c r="M109" s="76"/>
      <c r="N109" s="76"/>
      <c r="O109" s="76"/>
      <c r="P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row>
    <row r="110" spans="2:44" ht="15.95" hidden="1" customHeight="1" x14ac:dyDescent="0.25">
      <c r="B110" s="69"/>
      <c r="I110" s="69"/>
      <c r="J110" s="76"/>
      <c r="K110" s="76"/>
      <c r="L110" s="76"/>
      <c r="M110" s="76"/>
      <c r="N110" s="76"/>
      <c r="O110" s="76"/>
      <c r="P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row>
    <row r="111" spans="2:44" ht="15.95" hidden="1" customHeight="1" x14ac:dyDescent="0.25">
      <c r="B111" s="69"/>
      <c r="I111" s="69"/>
      <c r="J111" s="76"/>
      <c r="K111" s="76"/>
      <c r="L111" s="76"/>
      <c r="M111" s="76"/>
      <c r="N111" s="76"/>
      <c r="O111" s="76"/>
      <c r="P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row>
    <row r="112" spans="2:44" ht="15.95" hidden="1" customHeight="1" x14ac:dyDescent="0.25">
      <c r="B112" s="69"/>
      <c r="I112" s="69"/>
      <c r="J112" s="76"/>
      <c r="K112" s="76"/>
      <c r="L112" s="76"/>
      <c r="M112" s="76"/>
      <c r="N112" s="76"/>
      <c r="O112" s="76"/>
      <c r="P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row>
    <row r="113" spans="2:44" ht="15.95" hidden="1" customHeight="1" x14ac:dyDescent="0.25">
      <c r="B113" s="69"/>
      <c r="I113" s="69"/>
      <c r="J113" s="76"/>
      <c r="K113" s="76"/>
      <c r="L113" s="76"/>
      <c r="M113" s="76"/>
      <c r="N113" s="76"/>
      <c r="O113" s="76"/>
      <c r="P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row>
    <row r="114" spans="2:44" ht="15.95" hidden="1" customHeight="1" x14ac:dyDescent="0.25">
      <c r="B114" s="69"/>
      <c r="I114" s="69"/>
      <c r="J114" s="76"/>
      <c r="K114" s="76"/>
      <c r="L114" s="76"/>
      <c r="M114" s="76"/>
      <c r="N114" s="76"/>
      <c r="O114" s="76"/>
      <c r="P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row>
    <row r="115" spans="2:44" ht="15.95" hidden="1" customHeight="1" x14ac:dyDescent="0.25">
      <c r="B115" s="69"/>
      <c r="I115" s="69"/>
      <c r="J115" s="76"/>
      <c r="K115" s="76"/>
      <c r="L115" s="76"/>
      <c r="M115" s="76"/>
      <c r="N115" s="76"/>
      <c r="O115" s="76"/>
      <c r="P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row>
    <row r="116" spans="2:44" ht="15.95" hidden="1" customHeight="1" x14ac:dyDescent="0.25">
      <c r="B116" s="69"/>
      <c r="I116" s="69"/>
      <c r="J116" s="76"/>
      <c r="K116" s="76"/>
      <c r="L116" s="76"/>
      <c r="M116" s="76"/>
      <c r="N116" s="76"/>
      <c r="O116" s="76"/>
      <c r="P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row>
    <row r="117" spans="2:44" ht="15.95" hidden="1" customHeight="1" x14ac:dyDescent="0.25">
      <c r="B117" s="69"/>
      <c r="I117" s="69"/>
      <c r="J117" s="76"/>
      <c r="K117" s="76"/>
      <c r="L117" s="76"/>
      <c r="M117" s="76"/>
      <c r="N117" s="76"/>
      <c r="O117" s="76"/>
      <c r="P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row>
    <row r="118" spans="2:44" ht="15.95" hidden="1" customHeight="1" x14ac:dyDescent="0.25">
      <c r="B118" s="69"/>
      <c r="I118" s="69"/>
      <c r="J118" s="76"/>
      <c r="K118" s="76"/>
      <c r="L118" s="76"/>
      <c r="M118" s="76"/>
      <c r="N118" s="76"/>
      <c r="O118" s="76"/>
      <c r="P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row>
    <row r="119" spans="2:44" ht="15.95" hidden="1" customHeight="1" x14ac:dyDescent="0.25">
      <c r="B119" s="69"/>
      <c r="I119" s="69"/>
      <c r="J119" s="76"/>
      <c r="K119" s="76"/>
      <c r="L119" s="76"/>
      <c r="M119" s="76"/>
      <c r="N119" s="76"/>
      <c r="O119" s="76"/>
      <c r="P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row>
    <row r="120" spans="2:44" ht="15.95" hidden="1" customHeight="1" x14ac:dyDescent="0.25">
      <c r="B120" s="69"/>
      <c r="I120" s="69"/>
      <c r="J120" s="76"/>
      <c r="K120" s="76"/>
      <c r="L120" s="76"/>
      <c r="M120" s="76"/>
      <c r="N120" s="76"/>
      <c r="O120" s="76"/>
      <c r="P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row>
    <row r="121" spans="2:44" ht="15.95" hidden="1" customHeight="1" x14ac:dyDescent="0.25">
      <c r="B121" s="69"/>
      <c r="I121" s="69"/>
      <c r="J121" s="76"/>
      <c r="K121" s="76"/>
      <c r="L121" s="76"/>
      <c r="M121" s="76"/>
      <c r="N121" s="76"/>
      <c r="O121" s="76"/>
      <c r="P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row>
    <row r="122" spans="2:44" ht="15.95" hidden="1" customHeight="1" x14ac:dyDescent="0.25">
      <c r="B122" s="69"/>
      <c r="I122" s="69"/>
      <c r="J122" s="76"/>
      <c r="K122" s="76"/>
      <c r="L122" s="76"/>
      <c r="M122" s="76"/>
      <c r="N122" s="76"/>
      <c r="O122" s="76"/>
      <c r="P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row>
    <row r="123" spans="2:44" ht="15.95" hidden="1" customHeight="1" x14ac:dyDescent="0.25">
      <c r="B123" s="69"/>
      <c r="I123" s="69"/>
      <c r="J123" s="76"/>
      <c r="K123" s="76"/>
      <c r="L123" s="76"/>
      <c r="M123" s="76"/>
      <c r="N123" s="76"/>
      <c r="O123" s="76"/>
      <c r="P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row>
    <row r="124" spans="2:44" ht="15.95" hidden="1" customHeight="1" x14ac:dyDescent="0.25">
      <c r="B124" s="69"/>
      <c r="I124" s="69"/>
      <c r="J124" s="76"/>
      <c r="K124" s="76"/>
      <c r="L124" s="76"/>
      <c r="M124" s="76"/>
      <c r="N124" s="76"/>
      <c r="O124" s="76"/>
      <c r="P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row>
    <row r="125" spans="2:44" ht="15.95" hidden="1" customHeight="1" x14ac:dyDescent="0.25">
      <c r="B125" s="69"/>
      <c r="I125" s="69"/>
      <c r="J125" s="76"/>
      <c r="K125" s="76"/>
      <c r="L125" s="76"/>
      <c r="M125" s="76"/>
      <c r="N125" s="76"/>
      <c r="O125" s="76"/>
      <c r="P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row>
    <row r="126" spans="2:44" ht="15.95" hidden="1" customHeight="1" x14ac:dyDescent="0.25">
      <c r="B126" s="69"/>
      <c r="I126" s="69"/>
      <c r="J126" s="76"/>
      <c r="K126" s="76"/>
      <c r="L126" s="76"/>
      <c r="M126" s="76"/>
      <c r="N126" s="76"/>
      <c r="O126" s="76"/>
      <c r="P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row>
    <row r="127" spans="2:44" ht="15.95" hidden="1" customHeight="1" x14ac:dyDescent="0.25">
      <c r="B127" s="69"/>
      <c r="I127" s="69"/>
      <c r="J127" s="76"/>
      <c r="K127" s="76"/>
      <c r="L127" s="76"/>
      <c r="M127" s="76"/>
      <c r="N127" s="76"/>
      <c r="O127" s="76"/>
      <c r="P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row>
    <row r="128" spans="2:44" ht="15.95" hidden="1" customHeight="1" x14ac:dyDescent="0.25">
      <c r="B128" s="69"/>
      <c r="I128" s="69"/>
      <c r="J128" s="76"/>
      <c r="K128" s="76"/>
      <c r="L128" s="76"/>
      <c r="M128" s="76"/>
      <c r="N128" s="76"/>
      <c r="O128" s="76"/>
      <c r="P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row>
    <row r="129" spans="2:44" ht="15.95" hidden="1" customHeight="1" x14ac:dyDescent="0.25">
      <c r="B129" s="69"/>
      <c r="I129" s="69"/>
      <c r="J129" s="76"/>
      <c r="K129" s="76"/>
      <c r="L129" s="76"/>
      <c r="M129" s="76"/>
      <c r="N129" s="76"/>
      <c r="O129" s="76"/>
      <c r="P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row>
    <row r="130" spans="2:44" ht="15.95" hidden="1" customHeight="1" x14ac:dyDescent="0.25">
      <c r="B130" s="69"/>
      <c r="I130" s="69"/>
      <c r="J130" s="76"/>
      <c r="K130" s="76"/>
      <c r="L130" s="76"/>
      <c r="M130" s="76"/>
      <c r="N130" s="76"/>
      <c r="O130" s="76"/>
      <c r="P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row>
    <row r="131" spans="2:44" ht="15.95" hidden="1" customHeight="1" x14ac:dyDescent="0.25">
      <c r="B131" s="69"/>
      <c r="I131" s="69"/>
      <c r="J131" s="76"/>
      <c r="K131" s="76"/>
      <c r="L131" s="76"/>
      <c r="M131" s="76"/>
      <c r="N131" s="76"/>
      <c r="O131" s="76"/>
      <c r="P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row>
    <row r="132" spans="2:44" ht="15.95" hidden="1" customHeight="1" x14ac:dyDescent="0.25">
      <c r="B132" s="69"/>
      <c r="I132" s="69"/>
      <c r="J132" s="76"/>
      <c r="K132" s="76"/>
      <c r="L132" s="76"/>
      <c r="M132" s="76"/>
      <c r="N132" s="76"/>
      <c r="O132" s="76"/>
      <c r="P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row>
    <row r="133" spans="2:44" ht="15.95" hidden="1" customHeight="1" x14ac:dyDescent="0.25">
      <c r="B133" s="69"/>
      <c r="I133" s="69"/>
      <c r="J133" s="76"/>
      <c r="K133" s="76"/>
      <c r="L133" s="76"/>
      <c r="M133" s="76"/>
      <c r="N133" s="76"/>
      <c r="O133" s="76"/>
      <c r="P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row>
    <row r="134" spans="2:44" ht="15.95" hidden="1" customHeight="1" x14ac:dyDescent="0.25">
      <c r="B134" s="69"/>
      <c r="I134" s="69"/>
      <c r="J134" s="76"/>
      <c r="K134" s="76"/>
      <c r="L134" s="76"/>
      <c r="M134" s="76"/>
      <c r="N134" s="76"/>
      <c r="O134" s="76"/>
      <c r="P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row>
    <row r="135" spans="2:44" ht="15.95" hidden="1" customHeight="1" x14ac:dyDescent="0.25">
      <c r="B135" s="69"/>
      <c r="I135" s="69"/>
      <c r="J135" s="76"/>
      <c r="K135" s="76"/>
      <c r="L135" s="76"/>
      <c r="M135" s="76"/>
      <c r="N135" s="76"/>
      <c r="O135" s="76"/>
      <c r="P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row>
    <row r="136" spans="2:44" ht="15.95" hidden="1" customHeight="1" x14ac:dyDescent="0.25">
      <c r="B136" s="69"/>
      <c r="I136" s="69"/>
      <c r="J136" s="76"/>
      <c r="K136" s="76"/>
      <c r="L136" s="76"/>
      <c r="M136" s="76"/>
      <c r="N136" s="76"/>
      <c r="O136" s="76"/>
      <c r="P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row>
    <row r="137" spans="2:44" ht="15.95" hidden="1" customHeight="1" x14ac:dyDescent="0.25">
      <c r="B137" s="69"/>
      <c r="I137" s="69"/>
      <c r="J137" s="76"/>
      <c r="K137" s="76"/>
      <c r="L137" s="76"/>
      <c r="M137" s="76"/>
      <c r="N137" s="76"/>
      <c r="O137" s="76"/>
      <c r="P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row>
    <row r="138" spans="2:44" ht="15.95" hidden="1" customHeight="1" x14ac:dyDescent="0.25">
      <c r="B138" s="69"/>
      <c r="I138" s="69"/>
      <c r="J138" s="76"/>
      <c r="K138" s="76"/>
      <c r="L138" s="76"/>
      <c r="M138" s="76"/>
      <c r="N138" s="76"/>
      <c r="O138" s="76"/>
      <c r="P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row>
    <row r="139" spans="2:44" ht="15.95" hidden="1" customHeight="1" x14ac:dyDescent="0.25">
      <c r="B139" s="69"/>
      <c r="I139" s="69"/>
      <c r="J139" s="76"/>
      <c r="K139" s="76"/>
      <c r="L139" s="76"/>
      <c r="M139" s="76"/>
      <c r="N139" s="76"/>
      <c r="O139" s="76"/>
      <c r="P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row>
    <row r="140" spans="2:44" ht="15.95" hidden="1" customHeight="1" x14ac:dyDescent="0.25">
      <c r="B140" s="69"/>
      <c r="I140" s="69"/>
      <c r="J140" s="76"/>
      <c r="K140" s="76"/>
      <c r="L140" s="76"/>
      <c r="M140" s="76"/>
      <c r="N140" s="76"/>
      <c r="O140" s="76"/>
      <c r="P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row>
    <row r="141" spans="2:44" ht="15.95" hidden="1" customHeight="1" x14ac:dyDescent="0.25">
      <c r="B141" s="69"/>
      <c r="I141" s="69"/>
      <c r="J141" s="76"/>
      <c r="K141" s="76"/>
      <c r="L141" s="76"/>
      <c r="M141" s="76"/>
      <c r="N141" s="76"/>
      <c r="O141" s="76"/>
      <c r="P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row>
    <row r="142" spans="2:44" ht="15.95" hidden="1" customHeight="1" x14ac:dyDescent="0.25">
      <c r="B142" s="69"/>
      <c r="I142" s="69"/>
      <c r="J142" s="76"/>
      <c r="K142" s="76"/>
      <c r="L142" s="76"/>
      <c r="M142" s="76"/>
      <c r="N142" s="76"/>
      <c r="O142" s="76"/>
      <c r="P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row>
    <row r="143" spans="2:44" ht="15.95" hidden="1" customHeight="1" x14ac:dyDescent="0.25">
      <c r="B143" s="69"/>
      <c r="I143" s="69"/>
      <c r="J143" s="76"/>
      <c r="K143" s="76"/>
      <c r="L143" s="76"/>
      <c r="M143" s="76"/>
      <c r="N143" s="76"/>
      <c r="O143" s="76"/>
      <c r="P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row>
    <row r="144" spans="2:44" ht="15.95" hidden="1" customHeight="1" x14ac:dyDescent="0.25">
      <c r="B144" s="69"/>
      <c r="I144" s="69"/>
      <c r="J144" s="76"/>
      <c r="K144" s="76"/>
      <c r="L144" s="76"/>
      <c r="M144" s="76"/>
      <c r="N144" s="76"/>
      <c r="O144" s="76"/>
      <c r="P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row>
    <row r="145" spans="2:44" ht="15.95" hidden="1" customHeight="1" x14ac:dyDescent="0.25">
      <c r="B145" s="69"/>
      <c r="I145" s="69"/>
      <c r="J145" s="76"/>
      <c r="K145" s="76"/>
      <c r="L145" s="76"/>
      <c r="M145" s="76"/>
      <c r="N145" s="76"/>
      <c r="O145" s="76"/>
      <c r="P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row>
    <row r="146" spans="2:44" ht="15.95" hidden="1" customHeight="1" x14ac:dyDescent="0.25">
      <c r="B146" s="69"/>
      <c r="I146" s="69"/>
      <c r="J146" s="76"/>
      <c r="K146" s="76"/>
      <c r="L146" s="76"/>
      <c r="M146" s="76"/>
      <c r="N146" s="76"/>
      <c r="O146" s="76"/>
      <c r="P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row>
    <row r="147" spans="2:44" ht="15.95" hidden="1" customHeight="1" x14ac:dyDescent="0.25">
      <c r="B147" s="69"/>
      <c r="I147" s="69"/>
      <c r="J147" s="76"/>
      <c r="K147" s="76"/>
      <c r="L147" s="76"/>
      <c r="M147" s="76"/>
      <c r="N147" s="76"/>
      <c r="O147" s="76"/>
      <c r="P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row>
    <row r="148" spans="2:44" ht="15.95" hidden="1" customHeight="1" x14ac:dyDescent="0.25">
      <c r="B148" s="69"/>
      <c r="I148" s="69"/>
      <c r="J148" s="76"/>
      <c r="K148" s="76"/>
      <c r="L148" s="76"/>
      <c r="M148" s="76"/>
      <c r="N148" s="76"/>
      <c r="O148" s="76"/>
      <c r="P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row>
    <row r="149" spans="2:44" ht="15.95" hidden="1" customHeight="1" x14ac:dyDescent="0.25">
      <c r="B149" s="69"/>
      <c r="I149" s="69"/>
      <c r="J149" s="76"/>
      <c r="K149" s="76"/>
      <c r="L149" s="76"/>
      <c r="M149" s="76"/>
      <c r="N149" s="76"/>
      <c r="O149" s="76"/>
      <c r="P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row>
    <row r="150" spans="2:44" ht="15.95" hidden="1" customHeight="1" x14ac:dyDescent="0.25">
      <c r="B150" s="69"/>
      <c r="I150" s="69"/>
      <c r="J150" s="76"/>
      <c r="K150" s="76"/>
      <c r="L150" s="76"/>
      <c r="M150" s="76"/>
      <c r="N150" s="76"/>
      <c r="O150" s="76"/>
      <c r="P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row>
    <row r="151" spans="2:44" ht="15.95" hidden="1" customHeight="1" x14ac:dyDescent="0.25">
      <c r="B151" s="69"/>
      <c r="I151" s="69"/>
      <c r="J151" s="76"/>
      <c r="K151" s="76"/>
      <c r="L151" s="76"/>
      <c r="M151" s="76"/>
      <c r="N151" s="76"/>
      <c r="O151" s="76"/>
      <c r="P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row>
    <row r="152" spans="2:44" ht="15.95" hidden="1" customHeight="1" x14ac:dyDescent="0.25">
      <c r="B152" s="69"/>
      <c r="I152" s="69"/>
      <c r="J152" s="76"/>
      <c r="K152" s="76"/>
      <c r="L152" s="76"/>
      <c r="M152" s="76"/>
      <c r="N152" s="76"/>
      <c r="O152" s="76"/>
      <c r="P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row>
    <row r="153" spans="2:44" ht="15.95" hidden="1" customHeight="1" x14ac:dyDescent="0.25">
      <c r="B153" s="69"/>
      <c r="I153" s="69"/>
      <c r="J153" s="76"/>
      <c r="K153" s="76"/>
      <c r="L153" s="76"/>
      <c r="M153" s="76"/>
      <c r="N153" s="76"/>
      <c r="O153" s="76"/>
      <c r="P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row>
    <row r="154" spans="2:44" ht="15.95" hidden="1" customHeight="1" x14ac:dyDescent="0.25">
      <c r="B154" s="69"/>
      <c r="I154" s="69"/>
      <c r="J154" s="76"/>
      <c r="K154" s="76"/>
      <c r="L154" s="76"/>
      <c r="M154" s="76"/>
      <c r="N154" s="76"/>
      <c r="O154" s="76"/>
      <c r="P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row>
    <row r="155" spans="2:44" ht="15.95" hidden="1" customHeight="1" x14ac:dyDescent="0.25">
      <c r="B155" s="69"/>
      <c r="I155" s="69"/>
      <c r="J155" s="76"/>
      <c r="K155" s="76"/>
      <c r="L155" s="76"/>
      <c r="M155" s="76"/>
      <c r="N155" s="76"/>
      <c r="O155" s="76"/>
      <c r="P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row>
    <row r="156" spans="2:44" ht="15.95" hidden="1" customHeight="1" x14ac:dyDescent="0.25">
      <c r="B156" s="69"/>
      <c r="I156" s="69"/>
      <c r="J156" s="76"/>
      <c r="K156" s="76"/>
      <c r="L156" s="76"/>
      <c r="M156" s="76"/>
      <c r="N156" s="76"/>
      <c r="O156" s="76"/>
      <c r="P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row>
    <row r="157" spans="2:44" ht="15.95" hidden="1" customHeight="1" x14ac:dyDescent="0.25">
      <c r="B157" s="69"/>
      <c r="I157" s="69"/>
      <c r="J157" s="76"/>
      <c r="K157" s="76"/>
      <c r="L157" s="76"/>
      <c r="M157" s="76"/>
      <c r="N157" s="76"/>
      <c r="O157" s="76"/>
      <c r="P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row>
    <row r="158" spans="2:44" ht="15.95" hidden="1" customHeight="1" x14ac:dyDescent="0.25">
      <c r="B158" s="69"/>
      <c r="I158" s="69"/>
      <c r="J158" s="76"/>
      <c r="K158" s="76"/>
      <c r="L158" s="76"/>
      <c r="M158" s="76"/>
      <c r="N158" s="76"/>
      <c r="O158" s="76"/>
      <c r="P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row>
    <row r="159" spans="2:44" ht="15.95" hidden="1" customHeight="1" x14ac:dyDescent="0.25">
      <c r="B159" s="69"/>
      <c r="I159" s="69"/>
      <c r="J159" s="76"/>
      <c r="K159" s="76"/>
      <c r="L159" s="76"/>
      <c r="M159" s="76"/>
      <c r="N159" s="76"/>
      <c r="O159" s="76"/>
      <c r="P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row>
    <row r="160" spans="2:44" ht="15.95" hidden="1" customHeight="1" x14ac:dyDescent="0.25">
      <c r="B160" s="69"/>
      <c r="I160" s="69"/>
      <c r="J160" s="76"/>
      <c r="K160" s="76"/>
      <c r="L160" s="76"/>
      <c r="M160" s="76"/>
      <c r="N160" s="76"/>
      <c r="O160" s="76"/>
      <c r="P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row>
    <row r="161" spans="2:44" ht="15.95" hidden="1" customHeight="1" x14ac:dyDescent="0.25">
      <c r="B161" s="69"/>
      <c r="I161" s="69"/>
      <c r="J161" s="76"/>
      <c r="K161" s="76"/>
      <c r="L161" s="76"/>
      <c r="M161" s="76"/>
      <c r="N161" s="76"/>
      <c r="O161" s="76"/>
      <c r="P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row>
    <row r="162" spans="2:44" ht="15.95" hidden="1" customHeight="1" x14ac:dyDescent="0.25">
      <c r="B162" s="69"/>
      <c r="I162" s="69"/>
      <c r="J162" s="76"/>
      <c r="K162" s="76"/>
      <c r="L162" s="76"/>
      <c r="M162" s="76"/>
      <c r="N162" s="76"/>
      <c r="O162" s="76"/>
      <c r="P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row>
    <row r="163" spans="2:44" ht="15.95" hidden="1" customHeight="1" x14ac:dyDescent="0.25">
      <c r="B163" s="69"/>
      <c r="I163" s="69"/>
      <c r="J163" s="76"/>
      <c r="K163" s="76"/>
      <c r="L163" s="76"/>
      <c r="M163" s="76"/>
      <c r="N163" s="76"/>
      <c r="O163" s="76"/>
      <c r="P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row>
    <row r="164" spans="2:44" ht="15.95" hidden="1" customHeight="1" x14ac:dyDescent="0.25">
      <c r="B164" s="69"/>
      <c r="I164" s="69"/>
      <c r="J164" s="76"/>
      <c r="K164" s="76"/>
      <c r="L164" s="76"/>
      <c r="M164" s="76"/>
      <c r="N164" s="76"/>
      <c r="O164" s="76"/>
      <c r="P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row>
    <row r="165" spans="2:44" ht="15.95" hidden="1" customHeight="1" x14ac:dyDescent="0.25">
      <c r="B165" s="69"/>
      <c r="I165" s="69"/>
      <c r="J165" s="76"/>
      <c r="K165" s="76"/>
      <c r="L165" s="76"/>
      <c r="M165" s="76"/>
      <c r="N165" s="76"/>
      <c r="O165" s="76"/>
      <c r="P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row>
    <row r="166" spans="2:44" ht="15.95" hidden="1" customHeight="1" x14ac:dyDescent="0.25">
      <c r="B166" s="69"/>
      <c r="I166" s="69"/>
      <c r="J166" s="76"/>
      <c r="K166" s="76"/>
      <c r="L166" s="76"/>
      <c r="M166" s="76"/>
      <c r="N166" s="76"/>
      <c r="O166" s="76"/>
      <c r="P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row>
    <row r="167" spans="2:44" ht="15.95" hidden="1" customHeight="1" x14ac:dyDescent="0.25">
      <c r="B167" s="69"/>
      <c r="I167" s="69"/>
      <c r="J167" s="76"/>
      <c r="K167" s="76"/>
      <c r="L167" s="76"/>
      <c r="M167" s="76"/>
      <c r="N167" s="76"/>
      <c r="O167" s="76"/>
      <c r="P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row>
    <row r="168" spans="2:44" ht="15.95" hidden="1" customHeight="1" x14ac:dyDescent="0.25">
      <c r="B168" s="69"/>
      <c r="I168" s="69"/>
      <c r="J168" s="76"/>
      <c r="K168" s="76"/>
      <c r="L168" s="76"/>
      <c r="M168" s="76"/>
      <c r="N168" s="76"/>
      <c r="O168" s="76"/>
      <c r="P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row>
    <row r="169" spans="2:44" ht="15.95" hidden="1" customHeight="1" x14ac:dyDescent="0.25">
      <c r="B169" s="69"/>
      <c r="I169" s="69"/>
      <c r="J169" s="76"/>
      <c r="K169" s="76"/>
      <c r="L169" s="76"/>
      <c r="M169" s="76"/>
      <c r="N169" s="76"/>
      <c r="O169" s="76"/>
      <c r="P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row>
    <row r="170" spans="2:44" ht="15.95" hidden="1" customHeight="1" x14ac:dyDescent="0.25">
      <c r="B170" s="69"/>
      <c r="I170" s="69"/>
      <c r="J170" s="76"/>
      <c r="K170" s="76"/>
      <c r="L170" s="76"/>
      <c r="M170" s="76"/>
      <c r="N170" s="76"/>
      <c r="O170" s="76"/>
      <c r="P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row>
    <row r="171" spans="2:44" ht="15.95" hidden="1" customHeight="1" x14ac:dyDescent="0.25">
      <c r="B171" s="69"/>
      <c r="I171" s="69"/>
      <c r="J171" s="76"/>
      <c r="K171" s="76"/>
      <c r="L171" s="76"/>
      <c r="M171" s="76"/>
      <c r="N171" s="76"/>
      <c r="O171" s="76"/>
      <c r="P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row>
    <row r="172" spans="2:44" ht="15.95" hidden="1" customHeight="1" x14ac:dyDescent="0.25">
      <c r="B172" s="69"/>
      <c r="I172" s="69"/>
      <c r="J172" s="76"/>
      <c r="K172" s="76"/>
      <c r="L172" s="76"/>
      <c r="M172" s="76"/>
      <c r="N172" s="76"/>
      <c r="O172" s="76"/>
      <c r="P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row>
    <row r="173" spans="2:44" ht="15.95" hidden="1" customHeight="1" x14ac:dyDescent="0.25">
      <c r="B173" s="69"/>
      <c r="I173" s="69"/>
      <c r="J173" s="76"/>
      <c r="K173" s="76"/>
      <c r="L173" s="76"/>
      <c r="M173" s="76"/>
      <c r="N173" s="76"/>
      <c r="O173" s="76"/>
      <c r="P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row>
    <row r="174" spans="2:44" ht="15.95" hidden="1" customHeight="1" x14ac:dyDescent="0.25">
      <c r="B174" s="69"/>
      <c r="I174" s="69"/>
      <c r="J174" s="76"/>
      <c r="K174" s="76"/>
      <c r="L174" s="76"/>
      <c r="M174" s="76"/>
      <c r="N174" s="76"/>
      <c r="O174" s="76"/>
      <c r="P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row>
    <row r="175" spans="2:44" ht="15.95" hidden="1" customHeight="1" x14ac:dyDescent="0.25">
      <c r="B175" s="69"/>
      <c r="I175" s="69"/>
      <c r="J175" s="76"/>
      <c r="K175" s="76"/>
      <c r="L175" s="76"/>
      <c r="M175" s="76"/>
      <c r="N175" s="76"/>
      <c r="O175" s="76"/>
      <c r="P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row>
    <row r="176" spans="2:44" ht="15.95" hidden="1" customHeight="1" x14ac:dyDescent="0.25">
      <c r="B176" s="69"/>
      <c r="I176" s="69"/>
      <c r="J176" s="76"/>
      <c r="K176" s="76"/>
      <c r="L176" s="76"/>
      <c r="M176" s="76"/>
      <c r="N176" s="76"/>
      <c r="O176" s="76"/>
      <c r="P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row>
    <row r="177" spans="2:44" ht="15.95" hidden="1" customHeight="1" x14ac:dyDescent="0.25">
      <c r="B177" s="69"/>
      <c r="I177" s="69"/>
      <c r="J177" s="76"/>
      <c r="K177" s="76"/>
      <c r="L177" s="76"/>
      <c r="M177" s="76"/>
      <c r="N177" s="76"/>
      <c r="O177" s="76"/>
      <c r="P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row>
    <row r="178" spans="2:44" ht="15.95" hidden="1" customHeight="1" x14ac:dyDescent="0.25">
      <c r="B178" s="69"/>
      <c r="I178" s="69"/>
      <c r="J178" s="76"/>
      <c r="K178" s="76"/>
      <c r="L178" s="76"/>
      <c r="M178" s="76"/>
      <c r="N178" s="76"/>
      <c r="O178" s="76"/>
      <c r="P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row>
    <row r="179" spans="2:44" ht="15.95" hidden="1" customHeight="1" x14ac:dyDescent="0.25">
      <c r="B179" s="69"/>
      <c r="I179" s="69"/>
      <c r="J179" s="76"/>
      <c r="K179" s="76"/>
      <c r="L179" s="76"/>
      <c r="M179" s="76"/>
      <c r="N179" s="76"/>
      <c r="O179" s="76"/>
      <c r="P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row>
    <row r="180" spans="2:44" ht="15.95" hidden="1" customHeight="1" x14ac:dyDescent="0.25">
      <c r="B180" s="69"/>
      <c r="I180" s="69"/>
      <c r="J180" s="76"/>
      <c r="K180" s="76"/>
      <c r="L180" s="76"/>
      <c r="M180" s="76"/>
      <c r="N180" s="76"/>
      <c r="O180" s="76"/>
      <c r="P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row>
    <row r="181" spans="2:44" ht="15.95" hidden="1" customHeight="1" x14ac:dyDescent="0.25">
      <c r="B181" s="69"/>
      <c r="I181" s="69"/>
      <c r="J181" s="76"/>
      <c r="K181" s="76"/>
      <c r="L181" s="76"/>
      <c r="M181" s="76"/>
      <c r="N181" s="76"/>
      <c r="O181" s="76"/>
      <c r="P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row>
    <row r="182" spans="2:44" ht="15.95" hidden="1" customHeight="1" x14ac:dyDescent="0.25">
      <c r="B182" s="69"/>
      <c r="I182" s="69"/>
      <c r="J182" s="76"/>
      <c r="K182" s="76"/>
      <c r="L182" s="76"/>
      <c r="M182" s="76"/>
      <c r="N182" s="76"/>
      <c r="O182" s="76"/>
      <c r="P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row>
    <row r="183" spans="2:44" ht="15.95" hidden="1" customHeight="1" x14ac:dyDescent="0.25">
      <c r="B183" s="69"/>
      <c r="I183" s="69"/>
      <c r="J183" s="76"/>
      <c r="K183" s="76"/>
      <c r="L183" s="76"/>
      <c r="M183" s="76"/>
      <c r="N183" s="76"/>
      <c r="O183" s="76"/>
      <c r="P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row>
    <row r="184" spans="2:44" ht="15.95" hidden="1" customHeight="1" x14ac:dyDescent="0.25">
      <c r="B184" s="69"/>
      <c r="I184" s="69"/>
      <c r="J184" s="76"/>
      <c r="K184" s="76"/>
      <c r="L184" s="76"/>
      <c r="M184" s="76"/>
      <c r="N184" s="76"/>
      <c r="O184" s="76"/>
      <c r="P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row>
    <row r="185" spans="2:44" ht="15.95" hidden="1" customHeight="1" x14ac:dyDescent="0.25">
      <c r="B185" s="69"/>
      <c r="I185" s="69"/>
      <c r="J185" s="76"/>
      <c r="K185" s="76"/>
      <c r="L185" s="76"/>
      <c r="M185" s="76"/>
      <c r="N185" s="76"/>
      <c r="O185" s="76"/>
      <c r="P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row>
    <row r="186" spans="2:44" ht="15.95" hidden="1" customHeight="1" x14ac:dyDescent="0.25">
      <c r="B186" s="69"/>
      <c r="I186" s="69"/>
      <c r="J186" s="76"/>
      <c r="K186" s="76"/>
      <c r="L186" s="76"/>
      <c r="M186" s="76"/>
      <c r="N186" s="76"/>
      <c r="O186" s="76"/>
      <c r="P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row>
    <row r="187" spans="2:44" ht="15.95" hidden="1" customHeight="1" x14ac:dyDescent="0.25">
      <c r="B187" s="69"/>
      <c r="I187" s="69"/>
      <c r="J187" s="76"/>
      <c r="K187" s="76"/>
      <c r="L187" s="76"/>
      <c r="M187" s="76"/>
      <c r="N187" s="76"/>
      <c r="O187" s="76"/>
      <c r="P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row>
    <row r="188" spans="2:44" ht="15.95" hidden="1" customHeight="1" x14ac:dyDescent="0.25">
      <c r="B188" s="69"/>
      <c r="I188" s="69"/>
      <c r="J188" s="76"/>
      <c r="K188" s="76"/>
      <c r="L188" s="76"/>
      <c r="M188" s="76"/>
      <c r="N188" s="76"/>
      <c r="O188" s="76"/>
      <c r="P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row>
    <row r="189" spans="2:44" ht="15.95" hidden="1" customHeight="1" x14ac:dyDescent="0.25">
      <c r="B189" s="69"/>
      <c r="I189" s="69"/>
      <c r="J189" s="76"/>
      <c r="K189" s="76"/>
      <c r="L189" s="76"/>
      <c r="M189" s="76"/>
      <c r="N189" s="76"/>
      <c r="O189" s="76"/>
      <c r="P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row>
    <row r="190" spans="2:44" ht="15.95" hidden="1" customHeight="1" x14ac:dyDescent="0.25">
      <c r="B190" s="69"/>
      <c r="I190" s="69"/>
      <c r="J190" s="76"/>
      <c r="K190" s="76"/>
      <c r="L190" s="76"/>
      <c r="M190" s="76"/>
      <c r="N190" s="76"/>
      <c r="O190" s="76"/>
      <c r="P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row>
    <row r="191" spans="2:44" ht="15.95" hidden="1" customHeight="1" x14ac:dyDescent="0.25">
      <c r="B191" s="69"/>
      <c r="I191" s="69"/>
      <c r="J191" s="76"/>
      <c r="K191" s="76"/>
      <c r="L191" s="76"/>
      <c r="M191" s="76"/>
      <c r="N191" s="76"/>
      <c r="O191" s="76"/>
      <c r="P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row>
    <row r="192" spans="2:44" ht="15.95" hidden="1" customHeight="1" x14ac:dyDescent="0.25">
      <c r="B192" s="69"/>
      <c r="I192" s="69"/>
      <c r="J192" s="76"/>
      <c r="K192" s="76"/>
      <c r="L192" s="76"/>
      <c r="M192" s="76"/>
      <c r="N192" s="76"/>
      <c r="O192" s="76"/>
      <c r="P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row>
    <row r="193" spans="2:44" ht="15.95" hidden="1" customHeight="1" x14ac:dyDescent="0.25">
      <c r="B193" s="69"/>
      <c r="I193" s="69"/>
      <c r="J193" s="76"/>
      <c r="K193" s="76"/>
      <c r="L193" s="76"/>
      <c r="M193" s="76"/>
      <c r="N193" s="76"/>
      <c r="O193" s="76"/>
      <c r="P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row>
    <row r="194" spans="2:44" ht="15.95" hidden="1" customHeight="1" x14ac:dyDescent="0.25">
      <c r="B194" s="69"/>
      <c r="I194" s="69"/>
      <c r="J194" s="76"/>
      <c r="K194" s="76"/>
      <c r="L194" s="76"/>
      <c r="M194" s="76"/>
      <c r="N194" s="76"/>
      <c r="O194" s="76"/>
      <c r="P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row>
    <row r="195" spans="2:44" ht="15.95" hidden="1" customHeight="1" x14ac:dyDescent="0.25">
      <c r="B195" s="69"/>
      <c r="I195" s="69"/>
      <c r="J195" s="76"/>
      <c r="K195" s="76"/>
      <c r="L195" s="76"/>
      <c r="M195" s="76"/>
      <c r="N195" s="76"/>
      <c r="O195" s="76"/>
      <c r="P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row>
    <row r="196" spans="2:44" ht="15.95" hidden="1" customHeight="1" x14ac:dyDescent="0.25">
      <c r="B196" s="69"/>
      <c r="I196" s="69"/>
      <c r="J196" s="76"/>
      <c r="K196" s="76"/>
      <c r="L196" s="76"/>
      <c r="M196" s="76"/>
      <c r="N196" s="76"/>
      <c r="O196" s="76"/>
      <c r="P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row>
    <row r="197" spans="2:44" ht="15.95" hidden="1" customHeight="1" x14ac:dyDescent="0.25">
      <c r="B197" s="69"/>
      <c r="I197" s="69"/>
      <c r="J197" s="76"/>
      <c r="K197" s="76"/>
      <c r="L197" s="76"/>
      <c r="M197" s="76"/>
      <c r="N197" s="76"/>
      <c r="O197" s="76"/>
      <c r="P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row>
    <row r="198" spans="2:44" ht="15.95" hidden="1" customHeight="1" x14ac:dyDescent="0.25">
      <c r="B198" s="69"/>
      <c r="I198" s="69"/>
      <c r="J198" s="76"/>
      <c r="K198" s="76"/>
      <c r="L198" s="76"/>
      <c r="M198" s="76"/>
      <c r="N198" s="76"/>
      <c r="O198" s="76"/>
      <c r="P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row>
    <row r="199" spans="2:44" ht="15.95" hidden="1" customHeight="1" x14ac:dyDescent="0.25">
      <c r="B199" s="69"/>
      <c r="I199" s="69"/>
      <c r="J199" s="76"/>
      <c r="K199" s="76"/>
      <c r="L199" s="76"/>
      <c r="M199" s="76"/>
      <c r="N199" s="76"/>
      <c r="O199" s="76"/>
      <c r="P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row>
    <row r="200" spans="2:44" ht="15.95" hidden="1" customHeight="1" x14ac:dyDescent="0.25">
      <c r="B200" s="69"/>
      <c r="I200" s="69"/>
      <c r="J200" s="76"/>
      <c r="K200" s="76"/>
      <c r="L200" s="76"/>
      <c r="M200" s="76"/>
      <c r="N200" s="76"/>
      <c r="O200" s="76"/>
      <c r="P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row>
    <row r="201" spans="2:44" ht="15.95" hidden="1" customHeight="1" x14ac:dyDescent="0.25">
      <c r="B201" s="69"/>
      <c r="I201" s="69"/>
      <c r="J201" s="76"/>
      <c r="K201" s="76"/>
      <c r="L201" s="76"/>
      <c r="M201" s="76"/>
      <c r="N201" s="76"/>
      <c r="O201" s="76"/>
      <c r="P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row>
    <row r="202" spans="2:44" ht="15.95" hidden="1" customHeight="1" x14ac:dyDescent="0.25">
      <c r="B202" s="69"/>
      <c r="I202" s="69"/>
      <c r="J202" s="76"/>
      <c r="K202" s="76"/>
      <c r="L202" s="76"/>
      <c r="M202" s="76"/>
      <c r="N202" s="76"/>
      <c r="O202" s="76"/>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row>
    <row r="203" spans="2:44" ht="15.95" customHeight="1" x14ac:dyDescent="0.25">
      <c r="B203" s="70" t="str">
        <f>FOOT1</f>
        <v>Ameren Missouri BizSavers Program</v>
      </c>
      <c r="C203" s="70"/>
      <c r="D203" s="70"/>
      <c r="E203" s="70"/>
      <c r="F203" s="70"/>
      <c r="G203" s="70"/>
      <c r="H203" s="70"/>
      <c r="I203" s="70"/>
      <c r="J203" s="70"/>
      <c r="K203" s="70"/>
      <c r="L203" s="70"/>
      <c r="M203" s="595" t="str">
        <f>FOOTDISCLAIM</f>
        <v/>
      </c>
      <c r="N203" s="595"/>
      <c r="O203" s="595"/>
      <c r="P203" s="595"/>
      <c r="Q203" s="595"/>
      <c r="R203" s="595"/>
      <c r="S203" s="595"/>
      <c r="T203" s="595"/>
      <c r="U203" s="595"/>
      <c r="V203" s="595"/>
      <c r="W203" s="595"/>
      <c r="X203" s="595"/>
      <c r="Y203" s="595"/>
      <c r="Z203" s="595"/>
      <c r="AA203" s="595"/>
      <c r="AB203" s="595"/>
      <c r="AC203" s="595"/>
      <c r="AD203" s="595"/>
      <c r="AE203" s="595"/>
      <c r="AF203" s="595"/>
      <c r="AG203" s="595"/>
      <c r="AH203" s="70"/>
      <c r="AI203" s="70"/>
      <c r="AJ203" s="70"/>
      <c r="AK203" s="70"/>
      <c r="AL203" s="70"/>
      <c r="AM203" s="70"/>
      <c r="AN203" s="70"/>
      <c r="AO203" s="70"/>
      <c r="AP203" s="70"/>
      <c r="AQ203" s="70"/>
      <c r="AR203" s="163" t="str">
        <f>FOOT4</f>
        <v/>
      </c>
    </row>
    <row r="204" spans="2:44" ht="15.95" customHeight="1" x14ac:dyDescent="0.25">
      <c r="B204" s="70" t="str">
        <f>FOOT2</f>
        <v>Toll-Free 866-941-7299</v>
      </c>
      <c r="C204" s="70"/>
      <c r="D204" s="70"/>
      <c r="E204" s="70"/>
      <c r="F204" s="70"/>
      <c r="G204" s="70"/>
      <c r="H204" s="70"/>
      <c r="I204" s="70"/>
      <c r="J204" s="70"/>
      <c r="K204" s="70"/>
      <c r="L204" s="70"/>
      <c r="M204" s="595"/>
      <c r="N204" s="595"/>
      <c r="O204" s="595"/>
      <c r="P204" s="595"/>
      <c r="Q204" s="595"/>
      <c r="R204" s="595"/>
      <c r="S204" s="595"/>
      <c r="T204" s="595"/>
      <c r="U204" s="595"/>
      <c r="V204" s="595"/>
      <c r="W204" s="595"/>
      <c r="X204" s="595"/>
      <c r="Y204" s="595"/>
      <c r="Z204" s="595"/>
      <c r="AA204" s="595"/>
      <c r="AB204" s="595"/>
      <c r="AC204" s="595"/>
      <c r="AD204" s="595"/>
      <c r="AE204" s="595"/>
      <c r="AF204" s="595"/>
      <c r="AG204" s="595"/>
      <c r="AH204" s="70"/>
      <c r="AI204" s="70"/>
      <c r="AJ204" s="70"/>
      <c r="AK204" s="70"/>
      <c r="AL204" s="70"/>
      <c r="AM204" s="70"/>
      <c r="AN204" s="70"/>
      <c r="AO204" s="70"/>
      <c r="AP204" s="70"/>
      <c r="AQ204" s="70"/>
      <c r="AR204" s="163" t="str">
        <f>FOOT5</f>
        <v/>
      </c>
    </row>
    <row r="205" spans="2:44" ht="15.95" customHeight="1" x14ac:dyDescent="0.25">
      <c r="B205" s="228" t="str">
        <f>FOOT3</f>
        <v>BizSavers@ameren.com</v>
      </c>
      <c r="C205" s="70"/>
      <c r="D205" s="70"/>
      <c r="E205" s="70"/>
      <c r="F205" s="70"/>
      <c r="G205" s="70"/>
      <c r="H205" s="70"/>
      <c r="I205" s="70"/>
      <c r="J205" s="70"/>
      <c r="K205" s="70"/>
      <c r="L205" s="70"/>
      <c r="M205" s="73"/>
      <c r="N205" s="70"/>
      <c r="O205" s="70"/>
      <c r="P205" s="73"/>
      <c r="Q205" s="73"/>
      <c r="R205" s="73"/>
      <c r="S205" s="73"/>
      <c r="T205" s="73"/>
      <c r="U205" s="73"/>
      <c r="V205" s="73"/>
      <c r="W205" s="74" t="str">
        <f>VERSION</f>
        <v>Custom and Standard v8.1.0</v>
      </c>
      <c r="X205" s="73"/>
      <c r="Y205" s="73"/>
      <c r="Z205" s="73"/>
      <c r="AA205" s="73"/>
      <c r="AB205" s="73"/>
      <c r="AC205" s="73"/>
      <c r="AD205" s="73"/>
      <c r="AE205" s="70"/>
      <c r="AF205" s="70"/>
      <c r="AG205" s="70"/>
      <c r="AH205" s="70"/>
      <c r="AI205" s="70"/>
      <c r="AJ205" s="70"/>
      <c r="AK205" s="70"/>
      <c r="AL205" s="70"/>
      <c r="AM205" s="70"/>
      <c r="AN205" s="70"/>
      <c r="AO205" s="70"/>
      <c r="AP205" s="70"/>
      <c r="AQ205" s="70"/>
      <c r="AR205" s="163" t="str">
        <f>FOOT6</f>
        <v>Product of TRC Companies</v>
      </c>
    </row>
  </sheetData>
  <sheetProtection algorithmName="SHA-512" hashValue="SDsHKVMwGit2vKIf5UyBTsVcvIsr5xzMJ9jr3v4m51kU8HNlsjYE750IFRf4Bm3iviKRVvvTLS1GSX+bJLBh9g==" saltValue="CWl2JZlouOuyLCMW0UfT3A==" spinCount="100000" sheet="1" objects="1" scenarios="1" selectLockedCells="1"/>
  <mergeCells count="24">
    <mergeCell ref="M11:AG12"/>
    <mergeCell ref="AH2:AK3"/>
    <mergeCell ref="AL2:AP3"/>
    <mergeCell ref="AQ1:AR1"/>
    <mergeCell ref="M203:AG204"/>
    <mergeCell ref="Q1:R1"/>
    <mergeCell ref="U1:V1"/>
    <mergeCell ref="AQ2:AR3"/>
    <mergeCell ref="K10:AI10"/>
    <mergeCell ref="Y1:Z1"/>
    <mergeCell ref="AH1:AK1"/>
    <mergeCell ref="AL1:AP1"/>
    <mergeCell ref="D14:K14"/>
    <mergeCell ref="D15:K16"/>
    <mergeCell ref="D18:K18"/>
    <mergeCell ref="D19:K20"/>
    <mergeCell ref="D36:K37"/>
    <mergeCell ref="D34:K35"/>
    <mergeCell ref="D23:K24"/>
    <mergeCell ref="D22:K22"/>
    <mergeCell ref="D27:K28"/>
    <mergeCell ref="D26:K26"/>
    <mergeCell ref="D31:K32"/>
    <mergeCell ref="D30:K30"/>
  </mergeCells>
  <conditionalFormatting sqref="AH2 AL2">
    <cfRule type="expression" dxfId="57" priority="1">
      <formula>PROJSTATUS=PROJSTATELI</formula>
    </cfRule>
    <cfRule type="expression" dxfId="56" priority="2">
      <formula>PROJSTATUS=PROJSTATREVIEW</formula>
    </cfRule>
    <cfRule type="expression" dxfId="55" priority="3">
      <formula>PROJSTATUS=PROJSTATPREAPPROVE</formula>
    </cfRule>
    <cfRule type="expression" dxfId="54" priority="4">
      <formula>PROJSTATUS=PROJSTATSTANDARD</formula>
    </cfRule>
    <cfRule type="expression" dxfId="53" priority="5">
      <formula>PROJSTATUS=PROJSTATEXP</formula>
    </cfRule>
  </conditionalFormatting>
  <conditionalFormatting sqref="AQ2:AR3">
    <cfRule type="cellIs" dxfId="52" priority="6" operator="equal">
      <formula>1</formula>
    </cfRule>
    <cfRule type="cellIs" dxfId="51" priority="7" operator="between">
      <formula>0.51</formula>
      <formula>0.99</formula>
    </cfRule>
    <cfRule type="cellIs" dxfId="50" priority="8" operator="lessThanOrEqual">
      <formula>0.5</formula>
    </cfRule>
  </conditionalFormatting>
  <hyperlinks>
    <hyperlink ref="B205" r:id="rId1" display="NIPSCO.Savings@LMCO.com" xr:uid="{7CF6BCA1-8D57-4B2D-8823-4CAB63A913F1}"/>
  </hyperlinks>
  <pageMargins left="0.7" right="0.7" top="0.75" bottom="0.75" header="0.3" footer="0.3"/>
  <pageSetup scale="89"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4" ht="15.95" customHeight="1" x14ac:dyDescent="0.25">
      <c r="AH3" s="604"/>
      <c r="AI3" s="605"/>
      <c r="AJ3" s="605"/>
      <c r="AK3" s="605"/>
      <c r="AL3" s="614"/>
      <c r="AM3" s="614"/>
      <c r="AN3" s="614"/>
      <c r="AO3" s="614"/>
      <c r="AP3" s="614"/>
      <c r="AQ3" s="610"/>
      <c r="AR3" s="611"/>
    </row>
    <row r="4" spans="2:44" ht="15.95" customHeight="1" x14ac:dyDescent="0.25"/>
    <row r="5" spans="2:44" ht="15.95" customHeight="1" x14ac:dyDescent="0.25"/>
    <row r="6" spans="2:44" ht="15.95" customHeight="1" x14ac:dyDescent="0.25">
      <c r="C6" s="37"/>
    </row>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110</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781" t="s">
        <v>1306</v>
      </c>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69"/>
      <c r="AP11" s="69"/>
      <c r="AQ11" s="69"/>
      <c r="AR11" s="69"/>
    </row>
    <row r="12" spans="2:44" ht="15.95" customHeight="1" x14ac:dyDescent="0.25">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x14ac:dyDescent="0.25">
      <c r="B13" s="69"/>
      <c r="C13" s="101" t="s">
        <v>432</v>
      </c>
      <c r="D13" s="99"/>
      <c r="E13" s="99"/>
      <c r="F13" s="99"/>
      <c r="G13" s="99"/>
      <c r="H13" s="99"/>
      <c r="I13" s="99"/>
      <c r="J13" s="99"/>
      <c r="K13" s="99"/>
      <c r="L13" s="99"/>
      <c r="M13" s="99"/>
      <c r="N13" s="100"/>
      <c r="O13" s="69"/>
      <c r="P13" s="69"/>
      <c r="Q13" s="101" t="s">
        <v>433</v>
      </c>
      <c r="R13" s="99"/>
      <c r="S13" s="99"/>
      <c r="T13" s="99"/>
      <c r="U13" s="99"/>
      <c r="V13" s="99"/>
      <c r="W13" s="99"/>
      <c r="X13" s="99"/>
      <c r="Y13" s="99"/>
      <c r="Z13" s="99"/>
      <c r="AA13" s="99"/>
      <c r="AB13" s="99"/>
      <c r="AC13" s="100"/>
      <c r="AD13" s="69"/>
      <c r="AE13" s="69"/>
      <c r="AF13" s="101" t="s">
        <v>434</v>
      </c>
      <c r="AG13" s="99"/>
      <c r="AH13" s="99"/>
      <c r="AI13" s="99"/>
      <c r="AJ13" s="99"/>
      <c r="AK13" s="99"/>
      <c r="AL13" s="99"/>
      <c r="AM13" s="99"/>
      <c r="AN13" s="99"/>
      <c r="AO13" s="99"/>
      <c r="AP13" s="99"/>
      <c r="AQ13" s="100"/>
      <c r="AR13" s="69"/>
    </row>
    <row r="14" spans="2:44" ht="15.95" customHeight="1" x14ac:dyDescent="0.25">
      <c r="B14" s="69"/>
      <c r="C14" s="96"/>
      <c r="D14" s="69"/>
      <c r="E14" s="69"/>
      <c r="F14" s="69"/>
      <c r="G14" s="69"/>
      <c r="H14" s="69"/>
      <c r="I14" s="69"/>
      <c r="J14" s="69"/>
      <c r="K14" s="69"/>
      <c r="L14" s="69"/>
      <c r="M14" s="69"/>
      <c r="N14" s="97"/>
      <c r="O14" s="69"/>
      <c r="P14" s="69"/>
      <c r="Q14" s="96"/>
      <c r="R14" s="69"/>
      <c r="S14" s="69"/>
      <c r="T14" s="69"/>
      <c r="U14" s="69"/>
      <c r="V14" s="69"/>
      <c r="W14" s="69"/>
      <c r="X14" s="69"/>
      <c r="Y14" s="69"/>
      <c r="Z14" s="69"/>
      <c r="AA14" s="69"/>
      <c r="AB14" s="69"/>
      <c r="AC14" s="97"/>
      <c r="AD14" s="69"/>
      <c r="AE14" s="69"/>
      <c r="AF14" s="96"/>
      <c r="AG14" s="69"/>
      <c r="AH14" s="69"/>
      <c r="AI14" s="69"/>
      <c r="AJ14" s="69"/>
      <c r="AK14" s="69"/>
      <c r="AL14" s="69"/>
      <c r="AM14" s="69"/>
      <c r="AN14" s="69"/>
      <c r="AO14" s="69"/>
      <c r="AP14" s="69"/>
      <c r="AQ14" s="97"/>
      <c r="AR14" s="69"/>
    </row>
    <row r="15" spans="2:44" ht="15.95" customHeight="1" x14ac:dyDescent="0.25">
      <c r="B15" s="69"/>
      <c r="C15" s="119" t="s">
        <v>436</v>
      </c>
      <c r="D15" s="1936" t="s">
        <v>997</v>
      </c>
      <c r="E15" s="1936"/>
      <c r="F15" s="1936"/>
      <c r="G15" s="1936"/>
      <c r="H15" s="1936"/>
      <c r="I15" s="1936"/>
      <c r="J15" s="1936"/>
      <c r="K15" s="1937" t="str">
        <f ca="1">IF(TEMPLATE!A72/TEMPLATE!D72=1,"Completed",IF(TEMPLATE!A72/TEMPLATE!D72&gt;0.7,"Almost!","Incomplete"))</f>
        <v>Incomplete</v>
      </c>
      <c r="L15" s="1937"/>
      <c r="M15" s="1937"/>
      <c r="N15" s="116"/>
      <c r="O15" s="69"/>
      <c r="P15" s="69"/>
      <c r="Q15" s="98" t="s">
        <v>436</v>
      </c>
      <c r="R15" s="69" t="s">
        <v>441</v>
      </c>
      <c r="S15" s="69"/>
      <c r="T15" s="69"/>
      <c r="U15" s="69"/>
      <c r="V15" s="69"/>
      <c r="W15" s="69"/>
      <c r="X15" s="69"/>
      <c r="Y15" s="69"/>
      <c r="Z15" s="69"/>
      <c r="AA15" s="69"/>
      <c r="AB15" s="69"/>
      <c r="AC15" s="97"/>
      <c r="AD15" s="69"/>
      <c r="AE15" s="69"/>
      <c r="AF15" s="98" t="s">
        <v>436</v>
      </c>
      <c r="AG15" s="1929" t="s">
        <v>1345</v>
      </c>
      <c r="AH15" s="1929"/>
      <c r="AI15" s="1929"/>
      <c r="AJ15" s="1929"/>
      <c r="AK15" s="1929"/>
      <c r="AL15" s="1929"/>
      <c r="AM15" s="1929"/>
      <c r="AN15" s="1929"/>
      <c r="AO15" s="1929"/>
      <c r="AP15" s="1929"/>
      <c r="AQ15" s="1930"/>
      <c r="AR15" s="69"/>
    </row>
    <row r="16" spans="2:44" ht="15.95" customHeight="1" x14ac:dyDescent="0.25">
      <c r="B16" s="69"/>
      <c r="C16" s="117"/>
      <c r="D16" s="1936"/>
      <c r="E16" s="1936"/>
      <c r="F16" s="1936"/>
      <c r="G16" s="1936"/>
      <c r="H16" s="1936"/>
      <c r="I16" s="1936"/>
      <c r="J16" s="1936"/>
      <c r="K16" s="1937"/>
      <c r="L16" s="1937"/>
      <c r="M16" s="1937"/>
      <c r="N16" s="118"/>
      <c r="O16" s="69"/>
      <c r="P16" s="69"/>
      <c r="Q16" s="114"/>
      <c r="Z16" s="69"/>
      <c r="AA16" s="69"/>
      <c r="AB16" s="69"/>
      <c r="AC16" s="97"/>
      <c r="AD16" s="69"/>
      <c r="AE16" s="69"/>
      <c r="AF16" s="98"/>
      <c r="AG16" s="1929"/>
      <c r="AH16" s="1929"/>
      <c r="AI16" s="1929"/>
      <c r="AJ16" s="1929"/>
      <c r="AK16" s="1929"/>
      <c r="AL16" s="1929"/>
      <c r="AM16" s="1929"/>
      <c r="AN16" s="1929"/>
      <c r="AO16" s="1929"/>
      <c r="AP16" s="1929"/>
      <c r="AQ16" s="1930"/>
      <c r="AR16" s="69"/>
    </row>
    <row r="17" spans="2:44" ht="15.95" customHeight="1" x14ac:dyDescent="0.25">
      <c r="B17" s="69"/>
      <c r="C17" s="114"/>
      <c r="N17" s="115"/>
      <c r="O17" s="69"/>
      <c r="P17" s="69"/>
      <c r="Q17" s="98" t="s">
        <v>437</v>
      </c>
      <c r="R17" s="69" t="s">
        <v>442</v>
      </c>
      <c r="S17" s="69"/>
      <c r="T17" s="69"/>
      <c r="U17" s="69"/>
      <c r="V17" s="69"/>
      <c r="W17" s="69"/>
      <c r="X17" s="69"/>
      <c r="Y17" s="69"/>
      <c r="Z17" s="69"/>
      <c r="AA17" s="69"/>
      <c r="AB17" s="69"/>
      <c r="AC17" s="97"/>
      <c r="AD17" s="69"/>
      <c r="AE17" s="69"/>
      <c r="AF17" s="96"/>
      <c r="AG17" s="1929"/>
      <c r="AH17" s="1929"/>
      <c r="AI17" s="1929"/>
      <c r="AJ17" s="1929"/>
      <c r="AK17" s="1929"/>
      <c r="AL17" s="1929"/>
      <c r="AM17" s="1929"/>
      <c r="AN17" s="1929"/>
      <c r="AO17" s="1929"/>
      <c r="AP17" s="1929"/>
      <c r="AQ17" s="1930"/>
      <c r="AR17" s="69"/>
    </row>
    <row r="18" spans="2:44" ht="15.95" customHeight="1" x14ac:dyDescent="0.25">
      <c r="B18" s="69"/>
      <c r="C18" s="119" t="s">
        <v>437</v>
      </c>
      <c r="D18" s="1939" t="s">
        <v>76</v>
      </c>
      <c r="E18" s="1939"/>
      <c r="F18" s="1939"/>
      <c r="G18" s="1939"/>
      <c r="H18" s="1939"/>
      <c r="I18" s="1939"/>
      <c r="J18" s="1939"/>
      <c r="K18" s="1937" t="str">
        <f ca="1">IF(TEMPLATE!A83/TEMPLATE!D83=1,"Completed",IF(TEMPLATE!A83/TEMPLATE!D83&gt;0.7,"Almost!","Incomplete"))</f>
        <v>Incomplete</v>
      </c>
      <c r="L18" s="1937"/>
      <c r="M18" s="1937"/>
      <c r="N18" s="116"/>
      <c r="O18" s="69"/>
      <c r="P18" s="69"/>
      <c r="Q18" s="98"/>
      <c r="R18" s="69" t="s">
        <v>1137</v>
      </c>
      <c r="U18" s="69"/>
      <c r="V18" s="69"/>
      <c r="W18" s="69"/>
      <c r="X18" s="69"/>
      <c r="Y18" s="69"/>
      <c r="Z18" s="69"/>
      <c r="AA18" s="69"/>
      <c r="AB18" s="69"/>
      <c r="AC18" s="97"/>
      <c r="AD18" s="69"/>
      <c r="AE18" s="69"/>
      <c r="AF18" s="98" t="s">
        <v>437</v>
      </c>
      <c r="AG18" s="1940" t="s">
        <v>2097</v>
      </c>
      <c r="AH18" s="1929"/>
      <c r="AI18" s="1929"/>
      <c r="AJ18" s="1929"/>
      <c r="AK18" s="1929"/>
      <c r="AL18" s="1929"/>
      <c r="AM18" s="1929"/>
      <c r="AN18" s="1929"/>
      <c r="AO18" s="1929"/>
      <c r="AP18" s="1929"/>
      <c r="AQ18" s="1930"/>
      <c r="AR18" s="69"/>
    </row>
    <row r="19" spans="2:44" ht="15.95" customHeight="1" x14ac:dyDescent="0.25">
      <c r="B19" s="69"/>
      <c r="C19" s="114"/>
      <c r="N19" s="115"/>
      <c r="O19" s="69"/>
      <c r="P19" s="69"/>
      <c r="Q19" s="98"/>
      <c r="R19" s="469" t="s">
        <v>2391</v>
      </c>
      <c r="U19" s="69"/>
      <c r="V19" s="69"/>
      <c r="W19" s="69"/>
      <c r="X19" s="69"/>
      <c r="Y19" s="69"/>
      <c r="Z19" s="69"/>
      <c r="AA19" s="69"/>
      <c r="AB19" s="69"/>
      <c r="AC19" s="97"/>
      <c r="AD19" s="69"/>
      <c r="AE19" s="69"/>
      <c r="AF19" s="96"/>
      <c r="AG19" s="1929"/>
      <c r="AH19" s="1929"/>
      <c r="AI19" s="1929"/>
      <c r="AJ19" s="1929"/>
      <c r="AK19" s="1929"/>
      <c r="AL19" s="1929"/>
      <c r="AM19" s="1929"/>
      <c r="AN19" s="1929"/>
      <c r="AO19" s="1929"/>
      <c r="AP19" s="1929"/>
      <c r="AQ19" s="1930"/>
      <c r="AR19" s="69"/>
    </row>
    <row r="20" spans="2:44" ht="15.95" customHeight="1" x14ac:dyDescent="0.25">
      <c r="B20" s="69"/>
      <c r="C20" s="119" t="s">
        <v>438</v>
      </c>
      <c r="D20" s="1939" t="s">
        <v>116</v>
      </c>
      <c r="E20" s="1939"/>
      <c r="F20" s="1939"/>
      <c r="G20" s="1939"/>
      <c r="H20" s="1939"/>
      <c r="I20" s="1939"/>
      <c r="J20" s="1939"/>
      <c r="K20" s="1937" t="str">
        <f ca="1">IF(TEMPLATE!A140/TEMPLATE!D140=1,"Completed",IF(TEMPLATE!A140/TEMPLATE!D140&gt;0.7,"Almost!","Incomplete"))</f>
        <v>Incomplete</v>
      </c>
      <c r="L20" s="1937"/>
      <c r="M20" s="1937"/>
      <c r="N20" s="116"/>
      <c r="O20" s="69"/>
      <c r="P20" s="69"/>
      <c r="Q20" s="98"/>
      <c r="R20" s="69" t="s">
        <v>906</v>
      </c>
      <c r="U20" s="69"/>
      <c r="V20" s="69"/>
      <c r="W20" s="69"/>
      <c r="X20" s="69"/>
      <c r="Y20" s="69"/>
      <c r="Z20" s="69"/>
      <c r="AA20" s="69"/>
      <c r="AB20" s="69"/>
      <c r="AC20" s="97"/>
      <c r="AD20" s="69"/>
      <c r="AE20" s="69"/>
      <c r="AF20" s="96"/>
      <c r="AG20" s="1929"/>
      <c r="AH20" s="1929"/>
      <c r="AI20" s="1929"/>
      <c r="AJ20" s="1929"/>
      <c r="AK20" s="1929"/>
      <c r="AL20" s="1929"/>
      <c r="AM20" s="1929"/>
      <c r="AN20" s="1929"/>
      <c r="AO20" s="1929"/>
      <c r="AP20" s="1929"/>
      <c r="AQ20" s="1930"/>
      <c r="AR20" s="69"/>
    </row>
    <row r="21" spans="2:44" ht="15.95" customHeight="1" x14ac:dyDescent="0.25">
      <c r="B21" s="69"/>
      <c r="C21" s="114"/>
      <c r="N21" s="115"/>
      <c r="O21" s="69"/>
      <c r="P21" s="69"/>
      <c r="Q21" s="114"/>
      <c r="R21" s="69" t="s">
        <v>907</v>
      </c>
      <c r="S21" s="69"/>
      <c r="T21" s="69"/>
      <c r="AC21" s="115"/>
      <c r="AD21" s="69"/>
      <c r="AE21" s="69"/>
      <c r="AF21" s="96"/>
      <c r="AG21" s="1929"/>
      <c r="AH21" s="1929"/>
      <c r="AI21" s="1929"/>
      <c r="AJ21" s="1929"/>
      <c r="AK21" s="1929"/>
      <c r="AL21" s="1929"/>
      <c r="AM21" s="1929"/>
      <c r="AN21" s="1929"/>
      <c r="AO21" s="1929"/>
      <c r="AP21" s="1929"/>
      <c r="AQ21" s="1930"/>
      <c r="AR21" s="69"/>
    </row>
    <row r="22" spans="2:44" ht="15.95" customHeight="1" x14ac:dyDescent="0.25">
      <c r="B22" s="69"/>
      <c r="C22" s="119" t="s">
        <v>439</v>
      </c>
      <c r="D22" s="1939" t="s">
        <v>73</v>
      </c>
      <c r="E22" s="1939"/>
      <c r="F22" s="1939"/>
      <c r="G22" s="1939"/>
      <c r="H22" s="1939"/>
      <c r="I22" s="1939"/>
      <c r="J22" s="1939"/>
      <c r="K22" s="1937" t="str">
        <f ca="1">IF(TEMPLATE!A182/TEMPLATE!D182=1,"Completed",IF(TEMPLATE!A182/TEMPLATE!D182&gt;0.7,"Almost!","Incomplete"))</f>
        <v>Incomplete</v>
      </c>
      <c r="L22" s="1937"/>
      <c r="M22" s="1937"/>
      <c r="N22" s="116"/>
      <c r="O22" s="69"/>
      <c r="P22" s="69"/>
      <c r="Q22" s="114"/>
      <c r="R22" s="69" t="s">
        <v>905</v>
      </c>
      <c r="S22" s="69"/>
      <c r="T22" s="69"/>
      <c r="AC22" s="115"/>
      <c r="AD22" s="69"/>
      <c r="AE22" s="69"/>
      <c r="AF22" s="96"/>
      <c r="AG22" s="1929"/>
      <c r="AH22" s="1929"/>
      <c r="AI22" s="1929"/>
      <c r="AJ22" s="1929"/>
      <c r="AK22" s="1929"/>
      <c r="AL22" s="1929"/>
      <c r="AM22" s="1929"/>
      <c r="AN22" s="1929"/>
      <c r="AO22" s="1929"/>
      <c r="AP22" s="1929"/>
      <c r="AQ22" s="1930"/>
      <c r="AR22" s="69"/>
    </row>
    <row r="23" spans="2:44" ht="15.95" customHeight="1" x14ac:dyDescent="0.25">
      <c r="B23" s="69"/>
      <c r="C23" s="114"/>
      <c r="N23" s="115"/>
      <c r="O23" s="69"/>
      <c r="P23" s="69"/>
      <c r="Q23" s="114"/>
      <c r="R23" s="418" t="s">
        <v>1840</v>
      </c>
      <c r="AC23" s="115"/>
      <c r="AD23" s="69"/>
      <c r="AE23" s="69"/>
      <c r="AF23" s="98" t="s">
        <v>438</v>
      </c>
      <c r="AG23" s="1938" t="s">
        <v>1839</v>
      </c>
      <c r="AH23" s="1929"/>
      <c r="AI23" s="1929"/>
      <c r="AJ23" s="1929"/>
      <c r="AK23" s="1929"/>
      <c r="AL23" s="1929"/>
      <c r="AM23" s="1929"/>
      <c r="AN23" s="1929"/>
      <c r="AO23" s="1929"/>
      <c r="AP23" s="1929"/>
      <c r="AQ23" s="1930"/>
      <c r="AR23" s="69"/>
    </row>
    <row r="24" spans="2:44" ht="15.95" customHeight="1" x14ac:dyDescent="0.25">
      <c r="B24" s="69"/>
      <c r="C24" s="119" t="s">
        <v>440</v>
      </c>
      <c r="D24" s="1936" t="s">
        <v>1301</v>
      </c>
      <c r="E24" s="1936"/>
      <c r="F24" s="1936"/>
      <c r="G24" s="1936"/>
      <c r="H24" s="1936"/>
      <c r="I24" s="1936"/>
      <c r="J24" s="1936"/>
      <c r="K24" s="1937" t="str">
        <f>IF(TEMPLATE!A208/TEMPLATE!D208=1,"Completed",IF(TEMPLATE!A208/TEMPLATE!D208&gt;0.7,"Almost!","Incomplete"))</f>
        <v>Incomplete</v>
      </c>
      <c r="L24" s="1937"/>
      <c r="M24" s="1937"/>
      <c r="N24" s="116"/>
      <c r="O24" s="69"/>
      <c r="P24" s="69"/>
      <c r="Q24" s="98"/>
      <c r="S24" s="78"/>
      <c r="T24" s="78"/>
      <c r="U24" s="78"/>
      <c r="V24" s="78"/>
      <c r="W24" s="78"/>
      <c r="X24" s="78"/>
      <c r="Y24" s="78"/>
      <c r="Z24" s="78"/>
      <c r="AA24" s="78"/>
      <c r="AB24" s="78"/>
      <c r="AC24" s="158"/>
      <c r="AD24" s="69"/>
      <c r="AE24" s="69"/>
      <c r="AF24" s="96"/>
      <c r="AG24" s="1929"/>
      <c r="AH24" s="1929"/>
      <c r="AI24" s="1929"/>
      <c r="AJ24" s="1929"/>
      <c r="AK24" s="1929"/>
      <c r="AL24" s="1929"/>
      <c r="AM24" s="1929"/>
      <c r="AN24" s="1929"/>
      <c r="AO24" s="1929"/>
      <c r="AP24" s="1929"/>
      <c r="AQ24" s="1930"/>
      <c r="AR24" s="69"/>
    </row>
    <row r="25" spans="2:44" ht="15.95" customHeight="1" x14ac:dyDescent="0.25">
      <c r="B25" s="69"/>
      <c r="C25" s="119"/>
      <c r="D25" s="1936"/>
      <c r="E25" s="1936"/>
      <c r="F25" s="1936"/>
      <c r="G25" s="1936"/>
      <c r="H25" s="1936"/>
      <c r="I25" s="1936"/>
      <c r="J25" s="1936"/>
      <c r="K25" s="1937"/>
      <c r="L25" s="1937"/>
      <c r="M25" s="1937"/>
      <c r="N25" s="116"/>
      <c r="O25" s="69"/>
      <c r="P25" s="69"/>
      <c r="Q25" s="98" t="s">
        <v>438</v>
      </c>
      <c r="R25" s="1929" t="s">
        <v>908</v>
      </c>
      <c r="S25" s="1929"/>
      <c r="T25" s="1929"/>
      <c r="U25" s="1929"/>
      <c r="V25" s="1929"/>
      <c r="W25" s="1929"/>
      <c r="X25" s="1929"/>
      <c r="Y25" s="1929"/>
      <c r="Z25" s="1929"/>
      <c r="AA25" s="1929"/>
      <c r="AB25" s="1929"/>
      <c r="AC25" s="1930"/>
      <c r="AD25" s="69"/>
      <c r="AE25" s="69"/>
      <c r="AF25" s="98"/>
      <c r="AG25" s="1929"/>
      <c r="AH25" s="1929"/>
      <c r="AI25" s="1929"/>
      <c r="AJ25" s="1929"/>
      <c r="AK25" s="1929"/>
      <c r="AL25" s="1929"/>
      <c r="AM25" s="1929"/>
      <c r="AN25" s="1929"/>
      <c r="AO25" s="1929"/>
      <c r="AP25" s="1929"/>
      <c r="AQ25" s="1930"/>
      <c r="AR25" s="69"/>
    </row>
    <row r="26" spans="2:44" ht="15.95" customHeight="1" x14ac:dyDescent="0.25">
      <c r="B26" s="69"/>
      <c r="C26" s="159"/>
      <c r="D26" s="162"/>
      <c r="E26" s="162"/>
      <c r="F26" s="162"/>
      <c r="G26" s="162"/>
      <c r="H26" s="162"/>
      <c r="I26" s="162"/>
      <c r="J26" s="162"/>
      <c r="K26" s="160"/>
      <c r="L26" s="160"/>
      <c r="M26" s="160"/>
      <c r="N26" s="97"/>
      <c r="O26" s="69"/>
      <c r="P26" s="69"/>
      <c r="Q26" s="96"/>
      <c r="R26" s="1929"/>
      <c r="S26" s="1929"/>
      <c r="T26" s="1929"/>
      <c r="U26" s="1929"/>
      <c r="V26" s="1929"/>
      <c r="W26" s="1929"/>
      <c r="X26" s="1929"/>
      <c r="Y26" s="1929"/>
      <c r="Z26" s="1929"/>
      <c r="AA26" s="1929"/>
      <c r="AB26" s="1929"/>
      <c r="AC26" s="1930"/>
      <c r="AD26" s="69"/>
      <c r="AE26" s="69"/>
      <c r="AF26" s="96"/>
      <c r="AG26" s="1929"/>
      <c r="AH26" s="1929"/>
      <c r="AI26" s="1929"/>
      <c r="AJ26" s="1929"/>
      <c r="AK26" s="1929"/>
      <c r="AL26" s="1929"/>
      <c r="AM26" s="1929"/>
      <c r="AN26" s="1929"/>
      <c r="AO26" s="1929"/>
      <c r="AP26" s="1929"/>
      <c r="AQ26" s="1930"/>
      <c r="AR26" s="69"/>
    </row>
    <row r="27" spans="2:44" ht="15.95" customHeight="1" x14ac:dyDescent="0.25">
      <c r="B27" s="69"/>
      <c r="C27" s="119"/>
      <c r="D27" s="1939"/>
      <c r="E27" s="1939"/>
      <c r="F27" s="1939"/>
      <c r="G27" s="1939"/>
      <c r="H27" s="1939"/>
      <c r="I27" s="1939"/>
      <c r="J27" s="1939"/>
      <c r="K27" s="1937"/>
      <c r="L27" s="1937"/>
      <c r="M27" s="1937"/>
      <c r="N27" s="97"/>
      <c r="O27" s="69"/>
      <c r="P27" s="69"/>
      <c r="Q27" s="98"/>
      <c r="S27" s="69"/>
      <c r="T27" s="69"/>
      <c r="U27" s="69"/>
      <c r="V27" s="69"/>
      <c r="W27" s="69"/>
      <c r="X27" s="69"/>
      <c r="Y27" s="69"/>
      <c r="Z27" s="69"/>
      <c r="AA27" s="69"/>
      <c r="AB27" s="69"/>
      <c r="AC27" s="97"/>
      <c r="AD27" s="69"/>
      <c r="AE27" s="69"/>
      <c r="AF27" s="96"/>
      <c r="AG27" s="1929"/>
      <c r="AH27" s="1929"/>
      <c r="AI27" s="1929"/>
      <c r="AJ27" s="1929"/>
      <c r="AK27" s="1929"/>
      <c r="AL27" s="1929"/>
      <c r="AM27" s="1929"/>
      <c r="AN27" s="1929"/>
      <c r="AO27" s="1929"/>
      <c r="AP27" s="1929"/>
      <c r="AQ27" s="1930"/>
      <c r="AR27" s="69"/>
    </row>
    <row r="28" spans="2:44" ht="15.95" customHeight="1" x14ac:dyDescent="0.25">
      <c r="B28" s="69"/>
      <c r="C28" s="159"/>
      <c r="D28" s="69"/>
      <c r="E28" s="162"/>
      <c r="F28" s="162"/>
      <c r="G28" s="162"/>
      <c r="H28" s="162"/>
      <c r="I28" s="162"/>
      <c r="J28" s="162"/>
      <c r="K28" s="160"/>
      <c r="L28" s="160"/>
      <c r="M28" s="160"/>
      <c r="N28" s="97"/>
      <c r="O28" s="69"/>
      <c r="P28" s="69"/>
      <c r="Q28" s="98"/>
      <c r="S28" s="69"/>
      <c r="T28" s="69"/>
      <c r="U28" s="69"/>
      <c r="V28" s="69"/>
      <c r="W28" s="69"/>
      <c r="X28" s="69"/>
      <c r="Y28" s="69"/>
      <c r="Z28" s="69"/>
      <c r="AA28" s="69"/>
      <c r="AB28" s="69"/>
      <c r="AC28" s="97"/>
      <c r="AD28" s="69"/>
      <c r="AE28" s="69"/>
      <c r="AF28" s="98" t="s">
        <v>439</v>
      </c>
      <c r="AG28" s="1929" t="s">
        <v>435</v>
      </c>
      <c r="AH28" s="1929"/>
      <c r="AI28" s="1929"/>
      <c r="AJ28" s="1929"/>
      <c r="AK28" s="1929"/>
      <c r="AL28" s="1929"/>
      <c r="AM28" s="1929"/>
      <c r="AN28" s="1929"/>
      <c r="AO28" s="1929"/>
      <c r="AP28" s="1929"/>
      <c r="AQ28" s="1930"/>
      <c r="AR28" s="69"/>
    </row>
    <row r="29" spans="2:44" ht="15.95" customHeight="1" x14ac:dyDescent="0.25">
      <c r="B29" s="69"/>
      <c r="C29" s="159"/>
      <c r="D29" s="652" t="str">
        <f>IF(AND(AND(ISNUMBER(INCENSTATUS),INCENSTATUS&gt;=50000),OR(ISNUMBER(SEARCH("PO Box",M02S04F07)),ISNUMBER(SEARCH("P.O. Box",M02S04F07)),ISNUMBER(SEARCH("P.O Box",M02S04F07)))),"Incentive payments greater than $50,000 may not be sent to a PO Box. Please enter a physical site address in the Payment section","")</f>
        <v/>
      </c>
      <c r="E29" s="652"/>
      <c r="F29" s="652"/>
      <c r="G29" s="652"/>
      <c r="H29" s="652"/>
      <c r="I29" s="652"/>
      <c r="J29" s="652"/>
      <c r="K29" s="652"/>
      <c r="L29" s="652"/>
      <c r="M29" s="652"/>
      <c r="N29" s="97"/>
      <c r="O29" s="69"/>
      <c r="P29" s="69"/>
      <c r="Q29" s="98"/>
      <c r="S29" s="69"/>
      <c r="T29" s="69"/>
      <c r="U29" s="69"/>
      <c r="V29" s="69"/>
      <c r="W29" s="69"/>
      <c r="X29" s="69"/>
      <c r="Y29" s="69"/>
      <c r="Z29" s="69"/>
      <c r="AA29" s="69"/>
      <c r="AB29" s="69"/>
      <c r="AC29" s="97"/>
      <c r="AD29" s="69"/>
      <c r="AE29" s="69"/>
      <c r="AF29" s="98"/>
      <c r="AG29" s="1929"/>
      <c r="AH29" s="1929"/>
      <c r="AI29" s="1929"/>
      <c r="AJ29" s="1929"/>
      <c r="AK29" s="1929"/>
      <c r="AL29" s="1929"/>
      <c r="AM29" s="1929"/>
      <c r="AN29" s="1929"/>
      <c r="AO29" s="1929"/>
      <c r="AP29" s="1929"/>
      <c r="AQ29" s="1930"/>
      <c r="AR29" s="69"/>
    </row>
    <row r="30" spans="2:44" ht="15.95" customHeight="1" x14ac:dyDescent="0.25">
      <c r="B30" s="69"/>
      <c r="C30" s="96"/>
      <c r="D30" s="652"/>
      <c r="E30" s="652"/>
      <c r="F30" s="652"/>
      <c r="G30" s="652"/>
      <c r="H30" s="652"/>
      <c r="I30" s="652"/>
      <c r="J30" s="652"/>
      <c r="K30" s="652"/>
      <c r="L30" s="652"/>
      <c r="M30" s="652"/>
      <c r="N30" s="97"/>
      <c r="O30" s="69"/>
      <c r="P30" s="69"/>
      <c r="Q30" s="98"/>
      <c r="S30" s="69"/>
      <c r="T30" s="69"/>
      <c r="U30" s="69"/>
      <c r="V30" s="69"/>
      <c r="W30" s="69"/>
      <c r="X30" s="69"/>
      <c r="Y30" s="69"/>
      <c r="Z30" s="69"/>
      <c r="AA30" s="69"/>
      <c r="AB30" s="69"/>
      <c r="AC30" s="97"/>
      <c r="AD30" s="69"/>
      <c r="AE30" s="69"/>
      <c r="AF30" s="96"/>
      <c r="AG30" s="1929"/>
      <c r="AH30" s="1929"/>
      <c r="AI30" s="1929"/>
      <c r="AJ30" s="1929"/>
      <c r="AK30" s="1929"/>
      <c r="AL30" s="1929"/>
      <c r="AM30" s="1929"/>
      <c r="AN30" s="1929"/>
      <c r="AO30" s="1929"/>
      <c r="AP30" s="1929"/>
      <c r="AQ30" s="1930"/>
      <c r="AR30" s="69"/>
    </row>
    <row r="31" spans="2:44" ht="15.95" customHeight="1" x14ac:dyDescent="0.25">
      <c r="B31" s="69"/>
      <c r="C31" s="96"/>
      <c r="D31" s="652"/>
      <c r="E31" s="652"/>
      <c r="F31" s="652"/>
      <c r="G31" s="652"/>
      <c r="H31" s="652"/>
      <c r="I31" s="652"/>
      <c r="J31" s="652"/>
      <c r="K31" s="652"/>
      <c r="L31" s="652"/>
      <c r="M31" s="652"/>
      <c r="N31" s="97"/>
      <c r="O31" s="69"/>
      <c r="P31" s="69"/>
      <c r="Q31" s="98"/>
      <c r="S31" s="69"/>
      <c r="T31" s="69"/>
      <c r="U31" s="69"/>
      <c r="V31" s="69"/>
      <c r="W31" s="69"/>
      <c r="X31" s="69"/>
      <c r="Y31" s="69"/>
      <c r="Z31" s="69"/>
      <c r="AA31" s="69"/>
      <c r="AB31" s="69"/>
      <c r="AC31" s="97"/>
      <c r="AD31" s="69"/>
      <c r="AE31" s="69"/>
      <c r="AF31" s="98"/>
      <c r="AG31" s="1932" t="s">
        <v>1843</v>
      </c>
      <c r="AH31" s="1932"/>
      <c r="AI31" s="1932"/>
      <c r="AJ31" s="1932"/>
      <c r="AK31" s="1932"/>
      <c r="AL31" s="1932"/>
      <c r="AM31" s="1932"/>
      <c r="AN31" s="1932"/>
      <c r="AO31" s="1932"/>
      <c r="AP31" s="1932"/>
      <c r="AQ31" s="1933"/>
      <c r="AR31" s="69"/>
    </row>
    <row r="32" spans="2:44" ht="15.95" customHeight="1" x14ac:dyDescent="0.25">
      <c r="B32" s="69"/>
      <c r="C32" s="96"/>
      <c r="D32" s="652"/>
      <c r="E32" s="652"/>
      <c r="F32" s="652"/>
      <c r="G32" s="652"/>
      <c r="H32" s="652"/>
      <c r="I32" s="652"/>
      <c r="J32" s="652"/>
      <c r="K32" s="652"/>
      <c r="L32" s="652"/>
      <c r="M32" s="652"/>
      <c r="N32" s="97"/>
      <c r="O32" s="69"/>
      <c r="P32" s="69"/>
      <c r="Q32" s="98"/>
      <c r="S32" s="69"/>
      <c r="T32" s="69"/>
      <c r="U32" s="69"/>
      <c r="V32" s="69"/>
      <c r="W32" s="69"/>
      <c r="X32" s="69"/>
      <c r="Y32" s="69"/>
      <c r="Z32" s="69"/>
      <c r="AA32" s="69"/>
      <c r="AB32" s="69"/>
      <c r="AC32" s="97"/>
      <c r="AD32" s="69"/>
      <c r="AE32" s="69"/>
      <c r="AF32" s="114"/>
      <c r="AG32" s="1934" t="s">
        <v>1079</v>
      </c>
      <c r="AH32" s="1934"/>
      <c r="AI32" s="1934"/>
      <c r="AJ32" s="1934"/>
      <c r="AK32" s="1934"/>
      <c r="AL32" s="1934"/>
      <c r="AM32" s="1934"/>
      <c r="AN32" s="1934"/>
      <c r="AO32" s="1934"/>
      <c r="AP32" s="1934"/>
      <c r="AQ32" s="1935"/>
      <c r="AR32" s="69"/>
    </row>
    <row r="33" spans="3:43" ht="15.95" customHeight="1" x14ac:dyDescent="0.25">
      <c r="C33" s="96"/>
      <c r="D33" s="652"/>
      <c r="E33" s="652"/>
      <c r="F33" s="652"/>
      <c r="G33" s="652"/>
      <c r="H33" s="652"/>
      <c r="I33" s="652"/>
      <c r="J33" s="652"/>
      <c r="K33" s="652"/>
      <c r="L33" s="652"/>
      <c r="M33" s="652"/>
      <c r="N33" s="97"/>
      <c r="O33" s="69"/>
      <c r="P33" s="69"/>
      <c r="Q33" s="98"/>
      <c r="S33" s="69"/>
      <c r="T33" s="69"/>
      <c r="U33" s="69"/>
      <c r="V33" s="69"/>
      <c r="W33" s="69"/>
      <c r="X33" s="69"/>
      <c r="Y33" s="69"/>
      <c r="Z33" s="69"/>
      <c r="AA33" s="69"/>
      <c r="AB33" s="69"/>
      <c r="AC33" s="97"/>
      <c r="AD33" s="69"/>
      <c r="AE33" s="69"/>
      <c r="AF33" s="1923"/>
      <c r="AG33" s="1924"/>
      <c r="AH33" s="1924"/>
      <c r="AI33" s="1924"/>
      <c r="AJ33" s="1924"/>
      <c r="AK33" s="1924"/>
      <c r="AL33" s="1924"/>
      <c r="AM33" s="1924"/>
      <c r="AN33" s="1924"/>
      <c r="AO33" s="1924"/>
      <c r="AP33" s="1924"/>
      <c r="AQ33" s="1925"/>
    </row>
    <row r="34" spans="3:43" ht="15.95" customHeight="1" x14ac:dyDescent="0.25">
      <c r="C34" s="96"/>
      <c r="D34" s="69"/>
      <c r="E34" s="69"/>
      <c r="F34" s="69"/>
      <c r="G34" s="69"/>
      <c r="H34" s="69"/>
      <c r="I34" s="69"/>
      <c r="J34" s="69"/>
      <c r="K34" s="69"/>
      <c r="L34" s="69"/>
      <c r="M34" s="69"/>
      <c r="N34" s="97"/>
      <c r="O34" s="69"/>
      <c r="P34" s="69"/>
      <c r="Q34" s="98"/>
      <c r="S34" s="69"/>
      <c r="T34" s="69"/>
      <c r="U34" s="69"/>
      <c r="V34" s="69"/>
      <c r="W34" s="69"/>
      <c r="X34" s="69"/>
      <c r="Y34" s="69"/>
      <c r="Z34" s="69"/>
      <c r="AA34" s="69"/>
      <c r="AB34" s="69"/>
      <c r="AC34" s="97"/>
      <c r="AD34" s="69"/>
      <c r="AE34" s="69"/>
      <c r="AF34" s="1923"/>
      <c r="AG34" s="1924"/>
      <c r="AH34" s="1924"/>
      <c r="AI34" s="1924"/>
      <c r="AJ34" s="1924"/>
      <c r="AK34" s="1924"/>
      <c r="AL34" s="1924"/>
      <c r="AM34" s="1924"/>
      <c r="AN34" s="1924"/>
      <c r="AO34" s="1924"/>
      <c r="AP34" s="1924"/>
      <c r="AQ34" s="1925"/>
    </row>
    <row r="35" spans="3:43" ht="15.95" customHeight="1" x14ac:dyDescent="0.25">
      <c r="C35" s="96"/>
      <c r="D35" s="1931"/>
      <c r="E35" s="1931"/>
      <c r="F35" s="1931"/>
      <c r="G35" s="1931"/>
      <c r="H35" s="1931"/>
      <c r="I35" s="1931"/>
      <c r="J35" s="1931"/>
      <c r="K35" s="1931"/>
      <c r="L35" s="1931"/>
      <c r="M35" s="1931"/>
      <c r="N35" s="97"/>
      <c r="O35" s="69"/>
      <c r="P35" s="69"/>
      <c r="Q35" s="98"/>
      <c r="S35" s="69"/>
      <c r="T35" s="69"/>
      <c r="U35" s="69"/>
      <c r="V35" s="69"/>
      <c r="W35" s="69"/>
      <c r="X35" s="69"/>
      <c r="Y35" s="69"/>
      <c r="Z35" s="69"/>
      <c r="AA35" s="69"/>
      <c r="AB35" s="69"/>
      <c r="AC35" s="97"/>
      <c r="AD35" s="69"/>
      <c r="AE35" s="69"/>
      <c r="AF35" s="1923"/>
      <c r="AG35" s="1924"/>
      <c r="AH35" s="1924"/>
      <c r="AI35" s="1924"/>
      <c r="AJ35" s="1924"/>
      <c r="AK35" s="1924"/>
      <c r="AL35" s="1924"/>
      <c r="AM35" s="1924"/>
      <c r="AN35" s="1924"/>
      <c r="AO35" s="1924"/>
      <c r="AP35" s="1924"/>
      <c r="AQ35" s="1925"/>
    </row>
    <row r="36" spans="3:43" ht="15.95" customHeight="1" x14ac:dyDescent="0.25">
      <c r="C36" s="96"/>
      <c r="D36" s="1931"/>
      <c r="E36" s="1931"/>
      <c r="F36" s="1931"/>
      <c r="G36" s="1931"/>
      <c r="H36" s="1931"/>
      <c r="I36" s="1931"/>
      <c r="J36" s="1931"/>
      <c r="K36" s="1931"/>
      <c r="L36" s="1931"/>
      <c r="M36" s="1931"/>
      <c r="N36" s="97"/>
      <c r="O36" s="256"/>
      <c r="P36" s="256"/>
      <c r="Q36" s="98"/>
      <c r="S36" s="69"/>
      <c r="T36" s="69"/>
      <c r="U36" s="69"/>
      <c r="V36" s="69"/>
      <c r="W36" s="69"/>
      <c r="X36" s="69"/>
      <c r="Y36" s="69"/>
      <c r="Z36" s="69"/>
      <c r="AA36" s="69"/>
      <c r="AB36" s="69"/>
      <c r="AC36" s="97"/>
      <c r="AD36" s="69"/>
      <c r="AE36" s="69"/>
      <c r="AF36" s="1923"/>
      <c r="AG36" s="1924"/>
      <c r="AH36" s="1924"/>
      <c r="AI36" s="1924"/>
      <c r="AJ36" s="1924"/>
      <c r="AK36" s="1924"/>
      <c r="AL36" s="1924"/>
      <c r="AM36" s="1924"/>
      <c r="AN36" s="1924"/>
      <c r="AO36" s="1924"/>
      <c r="AP36" s="1924"/>
      <c r="AQ36" s="1925"/>
    </row>
    <row r="37" spans="3:43" ht="15.95" customHeight="1" x14ac:dyDescent="0.25">
      <c r="C37" s="96"/>
      <c r="D37" s="69"/>
      <c r="E37" s="69"/>
      <c r="F37" s="69"/>
      <c r="G37" s="69"/>
      <c r="H37" s="69"/>
      <c r="I37" s="69"/>
      <c r="J37" s="69"/>
      <c r="K37" s="69"/>
      <c r="L37" s="69"/>
      <c r="M37" s="69"/>
      <c r="N37" s="97"/>
      <c r="O37" s="256"/>
      <c r="P37" s="256"/>
      <c r="Q37" s="98"/>
      <c r="S37" s="69"/>
      <c r="T37" s="69"/>
      <c r="U37" s="69"/>
      <c r="V37" s="69"/>
      <c r="W37" s="69"/>
      <c r="X37" s="69"/>
      <c r="Y37" s="69"/>
      <c r="Z37" s="69"/>
      <c r="AA37" s="69"/>
      <c r="AB37" s="69"/>
      <c r="AC37" s="97"/>
      <c r="AD37" s="69"/>
      <c r="AE37" s="69"/>
      <c r="AF37" s="1923"/>
      <c r="AG37" s="1924"/>
      <c r="AH37" s="1924"/>
      <c r="AI37" s="1924"/>
      <c r="AJ37" s="1924"/>
      <c r="AK37" s="1924"/>
      <c r="AL37" s="1924"/>
      <c r="AM37" s="1924"/>
      <c r="AN37" s="1924"/>
      <c r="AO37" s="1924"/>
      <c r="AP37" s="1924"/>
      <c r="AQ37" s="1925"/>
    </row>
    <row r="38" spans="3:43" ht="15.95" customHeight="1" x14ac:dyDescent="0.25">
      <c r="C38" s="161"/>
      <c r="D38" s="1922" t="s">
        <v>1307</v>
      </c>
      <c r="E38" s="1922"/>
      <c r="F38" s="1922"/>
      <c r="G38" s="1922"/>
      <c r="H38" s="1922"/>
      <c r="I38" s="1922"/>
      <c r="J38" s="1922"/>
      <c r="K38" s="1922"/>
      <c r="L38" s="1922"/>
      <c r="M38" s="1922"/>
      <c r="N38" s="104"/>
      <c r="O38" s="69"/>
      <c r="P38" s="69"/>
      <c r="Q38" s="102"/>
      <c r="R38" s="103"/>
      <c r="S38" s="103"/>
      <c r="T38" s="103"/>
      <c r="U38" s="103"/>
      <c r="V38" s="103"/>
      <c r="W38" s="103"/>
      <c r="X38" s="103"/>
      <c r="Y38" s="103"/>
      <c r="Z38" s="103"/>
      <c r="AA38" s="103"/>
      <c r="AB38" s="103"/>
      <c r="AC38" s="104"/>
      <c r="AD38" s="69"/>
      <c r="AE38" s="69"/>
      <c r="AF38" s="1926"/>
      <c r="AG38" s="1927"/>
      <c r="AH38" s="1927"/>
      <c r="AI38" s="1927"/>
      <c r="AJ38" s="1927"/>
      <c r="AK38" s="1927"/>
      <c r="AL38" s="1927"/>
      <c r="AM38" s="1927"/>
      <c r="AN38" s="1927"/>
      <c r="AO38" s="1927"/>
      <c r="AP38" s="1927"/>
      <c r="AQ38" s="1928"/>
    </row>
    <row r="39" spans="3:43" ht="15.95" customHeight="1" x14ac:dyDescent="0.25"/>
    <row r="40" spans="3:43" ht="15.95" hidden="1" customHeight="1" x14ac:dyDescent="0.25"/>
    <row r="41" spans="3:43" ht="15.95" hidden="1" customHeight="1" x14ac:dyDescent="0.25"/>
    <row r="42" spans="3:43" ht="15.95" hidden="1" customHeight="1" x14ac:dyDescent="0.25"/>
    <row r="43" spans="3:43" ht="15.95" hidden="1" customHeight="1" x14ac:dyDescent="0.25"/>
    <row r="44" spans="3:43" ht="15.95" hidden="1" customHeight="1" x14ac:dyDescent="0.25"/>
    <row r="45" spans="3:43" ht="15.95" hidden="1" customHeight="1" x14ac:dyDescent="0.25"/>
    <row r="46" spans="3:43" ht="15.95" hidden="1" customHeight="1" x14ac:dyDescent="0.25"/>
    <row r="47" spans="3:43" ht="15.95" hidden="1" customHeight="1" x14ac:dyDescent="0.25"/>
    <row r="48" spans="3:43" ht="15.95" hidden="1" customHeight="1" x14ac:dyDescent="0.25"/>
    <row r="49" customFormat="1" ht="15.95" hidden="1" customHeight="1" x14ac:dyDescent="0.25"/>
    <row r="50" customFormat="1" ht="15.95" hidden="1" customHeight="1" x14ac:dyDescent="0.25"/>
    <row r="51" customFormat="1" ht="15.95" hidden="1" customHeight="1" x14ac:dyDescent="0.25"/>
    <row r="52" customFormat="1" ht="15.95" hidden="1" customHeight="1" x14ac:dyDescent="0.25"/>
    <row r="53" customFormat="1" ht="15.95" hidden="1" customHeight="1" x14ac:dyDescent="0.25"/>
    <row r="54" customFormat="1" ht="15.95" hidden="1" customHeight="1" x14ac:dyDescent="0.25"/>
    <row r="55" customFormat="1" ht="15.95" hidden="1" customHeight="1" x14ac:dyDescent="0.25"/>
    <row r="56" customFormat="1"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customFormat="1"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9pu0oV3/fhpII8cHdBtIO0Tj8R8KOMcXmsrPu6zPdGGJg412ScrZnKZkLZeF3489woPGrlUNCaEl9H9SfmHFMw==" saltValue="Mc55irq39OhcZ4hVO5DpRg==" spinCount="100000" sheet="1" objects="1" scenarios="1" selectLockedCells="1"/>
  <mergeCells count="35">
    <mergeCell ref="AQ1:AR1"/>
    <mergeCell ref="AQ2:AR3"/>
    <mergeCell ref="D22:J22"/>
    <mergeCell ref="K22:M22"/>
    <mergeCell ref="AH1:AK1"/>
    <mergeCell ref="AL1:AP1"/>
    <mergeCell ref="AH2:AK3"/>
    <mergeCell ref="AL2:AP3"/>
    <mergeCell ref="Q1:R1"/>
    <mergeCell ref="U1:V1"/>
    <mergeCell ref="Y1:Z1"/>
    <mergeCell ref="D18:J18"/>
    <mergeCell ref="K18:M18"/>
    <mergeCell ref="AG18:AQ22"/>
    <mergeCell ref="D20:J20"/>
    <mergeCell ref="K20:M20"/>
    <mergeCell ref="AG23:AQ27"/>
    <mergeCell ref="D24:J25"/>
    <mergeCell ref="K24:M25"/>
    <mergeCell ref="R25:AC26"/>
    <mergeCell ref="D27:J27"/>
    <mergeCell ref="K27:M27"/>
    <mergeCell ref="F10:AN10"/>
    <mergeCell ref="F11:AN11"/>
    <mergeCell ref="D15:J16"/>
    <mergeCell ref="K15:M16"/>
    <mergeCell ref="AG15:AQ17"/>
    <mergeCell ref="D38:M38"/>
    <mergeCell ref="AF33:AQ38"/>
    <mergeCell ref="AG28:AQ30"/>
    <mergeCell ref="D35:M36"/>
    <mergeCell ref="M200:AG201"/>
    <mergeCell ref="AG31:AQ31"/>
    <mergeCell ref="AG32:AQ32"/>
    <mergeCell ref="D29:M33"/>
  </mergeCells>
  <conditionalFormatting sqref="K15 K18 K20 K22 K24 K27">
    <cfRule type="expression" dxfId="49" priority="58">
      <formula>K15="Incomplete"</formula>
    </cfRule>
    <cfRule type="expression" dxfId="48" priority="59">
      <formula>K15="Almost!"</formula>
    </cfRule>
    <cfRule type="expression" dxfId="47" priority="60">
      <formula>K15="Completed"</formula>
    </cfRule>
  </conditionalFormatting>
  <conditionalFormatting sqref="AF33 O36:P37">
    <cfRule type="expression" dxfId="46" priority="122">
      <formula>ISNUMBER(SEARCH("Equipment must be installed",$AF$33))</formula>
    </cfRule>
    <cfRule type="expression" dxfId="45" priority="123">
      <formula>ISNUMBER(SEARCH("Ready for submission",$AF$33))</formula>
    </cfRule>
  </conditionalFormatting>
  <conditionalFormatting sqref="AH2 AL2">
    <cfRule type="expression" dxfId="44" priority="1">
      <formula>PROJSTATUS=PROJSTATELI</formula>
    </cfRule>
    <cfRule type="expression" dxfId="43" priority="2">
      <formula>PROJSTATUS=PROJSTATREVIEW</formula>
    </cfRule>
    <cfRule type="expression" dxfId="42" priority="3">
      <formula>PROJSTATUS=PROJSTATPREAPPROVE</formula>
    </cfRule>
    <cfRule type="expression" dxfId="41" priority="4">
      <formula>PROJSTATUS=PROJSTATSTANDARD</formula>
    </cfRule>
    <cfRule type="expression" dxfId="40" priority="5">
      <formula>PROJSTATUS=PROJSTATEXP</formula>
    </cfRule>
  </conditionalFormatting>
  <conditionalFormatting sqref="AQ2:AR3">
    <cfRule type="cellIs" dxfId="39" priority="15" operator="equal">
      <formula>1</formula>
    </cfRule>
    <cfRule type="cellIs" dxfId="38" priority="16" operator="between">
      <formula>0.51</formula>
      <formula>0.99</formula>
    </cfRule>
    <cfRule type="cellIs" dxfId="37" priority="17" operator="lessThanOrEqual">
      <formula>0.5</formula>
    </cfRule>
  </conditionalFormatting>
  <dataValidations disablePrompts="1" count="1">
    <dataValidation type="date" operator="lessThanOrEqual" allowBlank="1" showInputMessage="1" showErrorMessage="1" error="Please purchase and install your equipment first before completing this application." sqref="R32:V32 X32:AB32" xr:uid="{00000000-0002-0000-2800-000000000000}">
      <formula1>TODAY()</formula1>
    </dataValidation>
  </dataValidations>
  <hyperlinks>
    <hyperlink ref="B202" r:id="rId1" display="NIPSCO.Savings@LMCO.com" xr:uid="{00000000-0004-0000-2800-000000000000}"/>
    <hyperlink ref="D18:I18" location="'M02-S02'!A1" display="Company and Site Information" xr:uid="{00000000-0004-0000-2800-000001000000}"/>
    <hyperlink ref="D20:I20" location="'M02-S03'!A1" display="Contractor/Vendor Information" xr:uid="{00000000-0004-0000-2800-000002000000}"/>
    <hyperlink ref="D22:I22" location="'M02-S04'!A1" display="Payment Information" xr:uid="{00000000-0004-0000-2800-000003000000}"/>
    <hyperlink ref="D24:J25" location="'M03-S01'!A1" display="Qualifying Prescriptive or Non-Prescriptive Measure entered" xr:uid="{00000000-0004-0000-2800-000004000000}"/>
    <hyperlink ref="D15:J16" location="'M02-S01'!A1" display="Read and Accept Program Terms and Conditions" xr:uid="{00000000-0004-0000-2800-000005000000}"/>
    <hyperlink ref="AG32" r:id="rId2" xr:uid="{DC1C22BC-3C5F-445B-B0A4-27A9ABFA72A3}"/>
  </hyperlinks>
  <pageMargins left="0.25" right="0.25" top="0.25" bottom="0.25" header="0.25" footer="0.25"/>
  <pageSetup scale="62" fitToHeight="0"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fitToPage="1"/>
  </sheetPr>
  <dimension ref="A1:AS201"/>
  <sheetViews>
    <sheetView showGridLines="0" showRowColHeaders="0" showZeros="0" zoomScale="85" zoomScaleNormal="85" workbookViewId="0">
      <selection activeCell="L51" sqref="L51:U51"/>
    </sheetView>
  </sheetViews>
  <sheetFormatPr defaultColWidth="0" defaultRowHeight="15" customHeight="1" zeroHeight="1" x14ac:dyDescent="0.25"/>
  <cols>
    <col min="1" max="45" width="4.7109375" customWidth="1"/>
    <col min="46" max="16384" width="9.140625" hidden="1"/>
  </cols>
  <sheetData>
    <row r="1" spans="6: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6: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6:44" ht="15.95" customHeight="1" x14ac:dyDescent="0.25">
      <c r="AH3" s="604"/>
      <c r="AI3" s="605"/>
      <c r="AJ3" s="605"/>
      <c r="AK3" s="605"/>
      <c r="AL3" s="614"/>
      <c r="AM3" s="614"/>
      <c r="AN3" s="614"/>
      <c r="AO3" s="614"/>
      <c r="AP3" s="614"/>
      <c r="AQ3" s="610"/>
      <c r="AR3" s="611"/>
    </row>
    <row r="4" spans="6:44" ht="15.95" customHeight="1" x14ac:dyDescent="0.25"/>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617" t="s">
        <v>107</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6:44" ht="15.95" customHeight="1" x14ac:dyDescent="0.25">
      <c r="F11" s="1966" t="s">
        <v>2096</v>
      </c>
      <c r="G11" s="1966"/>
      <c r="H11" s="1966"/>
      <c r="I11" s="1966"/>
      <c r="J11" s="1966"/>
      <c r="K11" s="1966"/>
      <c r="L11" s="1966"/>
      <c r="M11" s="1966"/>
      <c r="N11" s="1966"/>
      <c r="O11" s="1966"/>
      <c r="P11" s="1966"/>
      <c r="Q11" s="1966"/>
      <c r="R11" s="1966"/>
      <c r="S11" s="1966"/>
      <c r="T11" s="1966"/>
      <c r="U11" s="1966"/>
      <c r="V11" s="1966"/>
      <c r="W11" s="1966"/>
      <c r="X11" s="1966"/>
      <c r="Y11" s="1966"/>
      <c r="Z11" s="1966"/>
      <c r="AA11" s="1966"/>
      <c r="AB11" s="1966"/>
      <c r="AC11" s="1966"/>
      <c r="AD11" s="1966"/>
      <c r="AE11" s="1966"/>
      <c r="AF11" s="1966"/>
      <c r="AG11" s="1966"/>
      <c r="AH11" s="1966"/>
      <c r="AI11" s="1966"/>
      <c r="AJ11" s="1966"/>
      <c r="AK11" s="1966"/>
      <c r="AL11" s="1966"/>
      <c r="AM11" s="1966"/>
      <c r="AN11" s="1966"/>
    </row>
    <row r="12" spans="6:44" ht="15.95" customHeight="1" x14ac:dyDescent="0.25">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row>
    <row r="13" spans="6:44" ht="15.95" customHeight="1" x14ac:dyDescent="0.25">
      <c r="F13" s="69"/>
      <c r="G13" s="69"/>
      <c r="H13" s="69"/>
      <c r="I13" s="147"/>
      <c r="J13" s="148"/>
      <c r="K13" s="148"/>
      <c r="L13" s="148"/>
      <c r="M13" s="148"/>
      <c r="N13" s="148"/>
      <c r="O13" s="148"/>
      <c r="P13" s="148"/>
      <c r="Q13" s="148"/>
      <c r="R13" s="148"/>
      <c r="S13" s="148"/>
      <c r="T13" s="148"/>
      <c r="U13" s="148"/>
      <c r="V13" s="148"/>
      <c r="W13" s="148"/>
      <c r="X13" s="148"/>
      <c r="Y13" s="148"/>
      <c r="Z13" s="148"/>
      <c r="AA13" s="148"/>
      <c r="AB13" s="148"/>
      <c r="AC13" s="148"/>
      <c r="AD13" s="148"/>
      <c r="AE13" s="148"/>
      <c r="AF13" s="148"/>
      <c r="AG13" s="148"/>
      <c r="AH13" s="148"/>
      <c r="AI13" s="148"/>
      <c r="AJ13" s="148"/>
      <c r="AK13" s="149"/>
      <c r="AL13" s="69"/>
      <c r="AM13" s="69"/>
      <c r="AN13" s="69"/>
    </row>
    <row r="14" spans="6:44" ht="15.95" customHeight="1" x14ac:dyDescent="0.25">
      <c r="I14" s="213"/>
      <c r="J14" s="1969" t="str">
        <f>IF(INCENSTATUS="---","",IF(INCENSTATUS&gt;15000,"This project may require an inspection. If photos have not been submitted yet, submit photos of existing equipment with the signed offer form",""))</f>
        <v/>
      </c>
      <c r="K14" s="1969"/>
      <c r="L14" s="1969"/>
      <c r="M14" s="1969"/>
      <c r="N14" s="1969"/>
      <c r="O14" s="1969"/>
      <c r="P14" s="1969"/>
      <c r="Q14" s="1969"/>
      <c r="R14" s="1969"/>
      <c r="S14" s="1969"/>
      <c r="T14" s="1969"/>
      <c r="U14" s="1969"/>
      <c r="V14" s="1969"/>
      <c r="W14" s="1969"/>
      <c r="X14" s="1969"/>
      <c r="Y14" s="1969"/>
      <c r="Z14" s="1969"/>
      <c r="AA14" s="1969"/>
      <c r="AB14" s="1969"/>
      <c r="AC14" s="1969"/>
      <c r="AD14" s="1969"/>
      <c r="AE14" s="1969"/>
      <c r="AF14" s="218"/>
      <c r="AG14" s="218"/>
      <c r="AH14" s="218"/>
      <c r="AI14" s="218"/>
      <c r="AJ14" s="218"/>
      <c r="AK14" s="214"/>
    </row>
    <row r="15" spans="6:44" ht="15.95" customHeight="1" x14ac:dyDescent="0.25">
      <c r="I15" s="213"/>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218"/>
      <c r="AG15" s="218"/>
      <c r="AH15" s="218"/>
      <c r="AI15" s="218"/>
      <c r="AJ15" s="218"/>
      <c r="AK15" s="214"/>
    </row>
    <row r="16" spans="6:44" ht="15.95" customHeight="1" x14ac:dyDescent="0.25">
      <c r="I16" s="213"/>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218"/>
      <c r="AG16" s="218"/>
      <c r="AH16" s="218"/>
      <c r="AI16" s="218"/>
      <c r="AJ16" s="218"/>
      <c r="AK16" s="214"/>
    </row>
    <row r="17" spans="9:37" ht="15.95" customHeight="1" x14ac:dyDescent="0.25">
      <c r="I17" s="213"/>
      <c r="J17" s="218"/>
      <c r="K17" s="1967" t="s">
        <v>1243</v>
      </c>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218"/>
      <c r="AK17" s="214"/>
    </row>
    <row r="18" spans="9:37" ht="15.95" customHeight="1" x14ac:dyDescent="0.25">
      <c r="I18" s="213"/>
      <c r="J18" s="218"/>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218"/>
      <c r="AK18" s="214"/>
    </row>
    <row r="19" spans="9:37" ht="15.95" customHeight="1" x14ac:dyDescent="0.25">
      <c r="I19" s="213"/>
      <c r="J19" s="219"/>
      <c r="K19" s="1968" t="str">
        <f>M02S02F47</f>
        <v/>
      </c>
      <c r="L19" s="1968"/>
      <c r="M19" s="1968"/>
      <c r="N19" s="1968"/>
      <c r="O19" s="1968"/>
      <c r="P19" s="1968"/>
      <c r="Q19" s="1968"/>
      <c r="R19" s="1968"/>
      <c r="S19" s="1968"/>
      <c r="T19" s="1968"/>
      <c r="U19" s="1968"/>
      <c r="V19" s="1968"/>
      <c r="W19" s="1968"/>
      <c r="X19" s="1968"/>
      <c r="Y19" s="1968"/>
      <c r="Z19" s="1968"/>
      <c r="AA19" s="1968"/>
      <c r="AB19" s="1968"/>
      <c r="AC19" s="1968"/>
      <c r="AD19" s="1968"/>
      <c r="AE19" s="1968"/>
      <c r="AF19" s="1968"/>
      <c r="AG19" s="1968"/>
      <c r="AH19" s="1968"/>
      <c r="AI19" s="1968"/>
      <c r="AJ19" s="219"/>
      <c r="AK19" s="214"/>
    </row>
    <row r="20" spans="9:37" ht="15.95" customHeight="1" x14ac:dyDescent="0.25">
      <c r="I20" s="213"/>
      <c r="J20" s="219"/>
      <c r="K20" s="1968"/>
      <c r="L20" s="1968"/>
      <c r="M20" s="1968"/>
      <c r="N20" s="1968"/>
      <c r="O20" s="1968"/>
      <c r="P20" s="1968"/>
      <c r="Q20" s="1968"/>
      <c r="R20" s="1968"/>
      <c r="S20" s="1968"/>
      <c r="T20" s="1968"/>
      <c r="U20" s="1968"/>
      <c r="V20" s="1968"/>
      <c r="W20" s="1968"/>
      <c r="X20" s="1968"/>
      <c r="Y20" s="1968"/>
      <c r="Z20" s="1968"/>
      <c r="AA20" s="1968"/>
      <c r="AB20" s="1968"/>
      <c r="AC20" s="1968"/>
      <c r="AD20" s="1968"/>
      <c r="AE20" s="1968"/>
      <c r="AF20" s="1968"/>
      <c r="AG20" s="1968"/>
      <c r="AH20" s="1968"/>
      <c r="AI20" s="1968"/>
      <c r="AJ20" s="219"/>
      <c r="AK20" s="214"/>
    </row>
    <row r="21" spans="9:37" ht="15.95" customHeight="1" x14ac:dyDescent="0.25">
      <c r="I21" s="213"/>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214"/>
    </row>
    <row r="22" spans="9:37" ht="15.95" customHeight="1" x14ac:dyDescent="0.25">
      <c r="I22" s="213"/>
      <c r="J22" s="220"/>
      <c r="K22" s="1970" t="s">
        <v>112</v>
      </c>
      <c r="L22" s="1970"/>
      <c r="M22" s="1970"/>
      <c r="N22" s="1970"/>
      <c r="O22" s="1970"/>
      <c r="P22" s="1971" t="s">
        <v>1244</v>
      </c>
      <c r="Q22" s="1971"/>
      <c r="R22" s="1971"/>
      <c r="S22" s="1971"/>
      <c r="T22" s="1971"/>
      <c r="U22" s="1971"/>
      <c r="V22" s="1971"/>
      <c r="W22" s="1971" t="s">
        <v>218</v>
      </c>
      <c r="X22" s="1971"/>
      <c r="Y22" s="1971"/>
      <c r="Z22" s="1971"/>
      <c r="AA22" s="1971"/>
      <c r="AB22" s="1971"/>
      <c r="AC22" s="1971"/>
      <c r="AD22" s="1971" t="s">
        <v>1247</v>
      </c>
      <c r="AE22" s="1971"/>
      <c r="AF22" s="1971"/>
      <c r="AG22" s="1971"/>
      <c r="AH22" s="1971"/>
      <c r="AI22" s="1971"/>
      <c r="AJ22" s="1971"/>
      <c r="AK22" s="214"/>
    </row>
    <row r="23" spans="9:37" ht="15.95" customHeight="1" x14ac:dyDescent="0.25">
      <c r="I23" s="213"/>
      <c r="J23" s="220"/>
      <c r="K23" s="1970"/>
      <c r="L23" s="1970"/>
      <c r="M23" s="1970"/>
      <c r="N23" s="1970"/>
      <c r="O23" s="1970"/>
      <c r="P23" s="1950">
        <f>PROJID</f>
        <v>0</v>
      </c>
      <c r="Q23" s="1950"/>
      <c r="R23" s="1950"/>
      <c r="S23" s="1950"/>
      <c r="T23" s="1950"/>
      <c r="U23" s="1950"/>
      <c r="V23" s="1950"/>
      <c r="W23" s="1950">
        <f>M02S02F46</f>
        <v>0</v>
      </c>
      <c r="X23" s="1950"/>
      <c r="Y23" s="1950"/>
      <c r="Z23" s="1950"/>
      <c r="AA23" s="1950"/>
      <c r="AB23" s="1950"/>
      <c r="AC23" s="1950"/>
      <c r="AD23" s="1950" t="str">
        <f>M02S02F47</f>
        <v/>
      </c>
      <c r="AE23" s="1950"/>
      <c r="AF23" s="1950"/>
      <c r="AG23" s="1950"/>
      <c r="AH23" s="1950"/>
      <c r="AI23" s="1950"/>
      <c r="AJ23" s="1950"/>
      <c r="AK23" s="214"/>
    </row>
    <row r="24" spans="9:37" ht="15.95" customHeight="1" x14ac:dyDescent="0.25">
      <c r="I24" s="213"/>
      <c r="J24" s="220"/>
      <c r="K24" s="1970"/>
      <c r="L24" s="1970"/>
      <c r="M24" s="1970"/>
      <c r="N24" s="1970"/>
      <c r="O24" s="1970"/>
      <c r="P24" s="1950"/>
      <c r="Q24" s="1950"/>
      <c r="R24" s="1950"/>
      <c r="S24" s="1950"/>
      <c r="T24" s="1950"/>
      <c r="U24" s="1950"/>
      <c r="V24" s="1950"/>
      <c r="W24" s="1950">
        <f>M02S02F08</f>
        <v>0</v>
      </c>
      <c r="X24" s="1950"/>
      <c r="Y24" s="1950"/>
      <c r="Z24" s="1950"/>
      <c r="AA24" s="1950"/>
      <c r="AB24" s="1950"/>
      <c r="AC24" s="1950"/>
      <c r="AD24" s="1950" t="str">
        <f>M02S02F22</f>
        <v/>
      </c>
      <c r="AE24" s="1950"/>
      <c r="AF24" s="1950"/>
      <c r="AG24" s="1950"/>
      <c r="AH24" s="1950"/>
      <c r="AI24" s="1950"/>
      <c r="AJ24" s="1950"/>
      <c r="AK24" s="214"/>
    </row>
    <row r="25" spans="9:37" ht="15.95" customHeight="1" x14ac:dyDescent="0.25">
      <c r="I25" s="213"/>
      <c r="J25" s="220"/>
      <c r="K25" s="1970"/>
      <c r="L25" s="1970"/>
      <c r="M25" s="1970"/>
      <c r="N25" s="1970"/>
      <c r="O25" s="1970"/>
      <c r="P25" s="1950"/>
      <c r="Q25" s="1950"/>
      <c r="R25" s="1950"/>
      <c r="S25" s="1950"/>
      <c r="T25" s="1950"/>
      <c r="U25" s="1950"/>
      <c r="V25" s="1950"/>
      <c r="W25" s="1950" t="str">
        <f>CONCATENATE(M02S02F09,", ",M02S02F10," ",M02S02F11)</f>
        <v xml:space="preserve">,  </v>
      </c>
      <c r="X25" s="1950"/>
      <c r="Y25" s="1950"/>
      <c r="Z25" s="1950"/>
      <c r="AA25" s="1950"/>
      <c r="AB25" s="1950"/>
      <c r="AC25" s="1950"/>
      <c r="AD25" s="1950" t="str">
        <f>CONCATENATE(M02S02F23,", ",M02S02F24," ",M02S02F25)</f>
        <v xml:space="preserve">, MO </v>
      </c>
      <c r="AE25" s="1950"/>
      <c r="AF25" s="1950"/>
      <c r="AG25" s="1950"/>
      <c r="AH25" s="1950"/>
      <c r="AI25" s="1950"/>
      <c r="AJ25" s="1950"/>
      <c r="AK25" s="214"/>
    </row>
    <row r="26" spans="9:37" ht="15.95" customHeight="1" x14ac:dyDescent="0.25">
      <c r="I26" s="213"/>
      <c r="J26" s="220"/>
      <c r="K26" s="1970"/>
      <c r="L26" s="1970"/>
      <c r="M26" s="1970"/>
      <c r="N26" s="1970"/>
      <c r="O26" s="1970"/>
      <c r="P26" s="1950"/>
      <c r="Q26" s="1950"/>
      <c r="R26" s="1950"/>
      <c r="S26" s="1950"/>
      <c r="T26" s="1950"/>
      <c r="U26" s="1950"/>
      <c r="V26" s="1950"/>
      <c r="W26" s="1950"/>
      <c r="X26" s="1950"/>
      <c r="Y26" s="1950"/>
      <c r="Z26" s="1950"/>
      <c r="AA26" s="1950"/>
      <c r="AB26" s="1950"/>
      <c r="AC26" s="1950"/>
      <c r="AD26" s="1950"/>
      <c r="AE26" s="1950"/>
      <c r="AF26" s="1950"/>
      <c r="AG26" s="1950"/>
      <c r="AH26" s="1950"/>
      <c r="AI26" s="1950"/>
      <c r="AJ26" s="1950"/>
      <c r="AK26" s="214"/>
    </row>
    <row r="27" spans="9:37" ht="15.95" customHeight="1" x14ac:dyDescent="0.25">
      <c r="I27" s="213"/>
      <c r="J27" s="220"/>
      <c r="K27" s="1970"/>
      <c r="L27" s="1970"/>
      <c r="M27" s="1970"/>
      <c r="N27" s="1970"/>
      <c r="O27" s="1970"/>
      <c r="P27" s="1971" t="s">
        <v>1245</v>
      </c>
      <c r="Q27" s="1971"/>
      <c r="R27" s="1971"/>
      <c r="S27" s="1971"/>
      <c r="T27" s="1971"/>
      <c r="U27" s="1971"/>
      <c r="V27" s="1971"/>
      <c r="W27" s="1971" t="s">
        <v>1947</v>
      </c>
      <c r="X27" s="1971"/>
      <c r="Y27" s="1971"/>
      <c r="Z27" s="1971"/>
      <c r="AA27" s="1971"/>
      <c r="AB27" s="1971"/>
      <c r="AC27" s="1971"/>
      <c r="AD27" s="1971" t="s">
        <v>1909</v>
      </c>
      <c r="AE27" s="1971"/>
      <c r="AF27" s="1971"/>
      <c r="AG27" s="1971"/>
      <c r="AH27" s="1971"/>
      <c r="AI27" s="1971"/>
      <c r="AJ27" s="1971"/>
      <c r="AK27" s="214"/>
    </row>
    <row r="28" spans="9:37" ht="15.95" customHeight="1" x14ac:dyDescent="0.25">
      <c r="I28" s="213"/>
      <c r="J28" s="220"/>
      <c r="K28" s="1970"/>
      <c r="L28" s="1970"/>
      <c r="M28" s="1970"/>
      <c r="N28" s="1970"/>
      <c r="O28" s="1970"/>
      <c r="P28" s="1950">
        <f>M02S02F13</f>
        <v>0</v>
      </c>
      <c r="Q28" s="1950"/>
      <c r="R28" s="1950"/>
      <c r="S28" s="1950"/>
      <c r="T28" s="1950"/>
      <c r="U28" s="1950"/>
      <c r="V28" s="1950"/>
      <c r="W28" s="1950" t="str">
        <f>CONCATENATE(M02S02F02," ",M02S02F03)</f>
        <v xml:space="preserve"> </v>
      </c>
      <c r="X28" s="1950"/>
      <c r="Y28" s="1950"/>
      <c r="Z28" s="1950"/>
      <c r="AA28" s="1950"/>
      <c r="AB28" s="1950"/>
      <c r="AC28" s="1950"/>
      <c r="AD28" s="1950" t="str">
        <f>CONCATENATE(M02S02F16," ",M02S02F17)</f>
        <v xml:space="preserve"> </v>
      </c>
      <c r="AE28" s="1950"/>
      <c r="AF28" s="1950"/>
      <c r="AG28" s="1950"/>
      <c r="AH28" s="1950"/>
      <c r="AI28" s="1950"/>
      <c r="AJ28" s="1950"/>
      <c r="AK28" s="214"/>
    </row>
    <row r="29" spans="9:37" ht="15.95" customHeight="1" x14ac:dyDescent="0.25">
      <c r="I29" s="213"/>
      <c r="J29" s="220"/>
      <c r="K29" s="1970"/>
      <c r="L29" s="1970"/>
      <c r="M29" s="1970"/>
      <c r="N29" s="1970"/>
      <c r="O29" s="1970"/>
      <c r="P29" s="1950"/>
      <c r="Q29" s="1950"/>
      <c r="R29" s="1950"/>
      <c r="S29" s="1950"/>
      <c r="T29" s="1950"/>
      <c r="U29" s="1950"/>
      <c r="V29" s="1950"/>
      <c r="W29" s="1954" t="str">
        <f>M02S02F05</f>
        <v/>
      </c>
      <c r="X29" s="1954"/>
      <c r="Y29" s="1954"/>
      <c r="Z29" s="1954"/>
      <c r="AA29" s="1954"/>
      <c r="AB29" s="1954"/>
      <c r="AC29" s="1954"/>
      <c r="AD29" s="1954">
        <f>M02S02F19</f>
        <v>0</v>
      </c>
      <c r="AE29" s="1954"/>
      <c r="AF29" s="1954"/>
      <c r="AG29" s="1954"/>
      <c r="AH29" s="1954"/>
      <c r="AI29" s="1954"/>
      <c r="AJ29" s="1954"/>
      <c r="AK29" s="214"/>
    </row>
    <row r="30" spans="9:37" ht="15.95" customHeight="1" x14ac:dyDescent="0.25">
      <c r="I30" s="213"/>
      <c r="J30" s="220"/>
      <c r="K30" s="248"/>
      <c r="L30" s="248"/>
      <c r="M30" s="248"/>
      <c r="N30" s="248"/>
      <c r="O30" s="248"/>
      <c r="P30" s="1950"/>
      <c r="Q30" s="1950"/>
      <c r="R30" s="1950"/>
      <c r="S30" s="1950"/>
      <c r="T30" s="1950"/>
      <c r="U30" s="1950"/>
      <c r="V30" s="1950"/>
      <c r="W30" s="1950" t="str">
        <f>M02S02F07</f>
        <v/>
      </c>
      <c r="X30" s="1950"/>
      <c r="Y30" s="1950"/>
      <c r="Z30" s="1950"/>
      <c r="AA30" s="1950"/>
      <c r="AB30" s="1950"/>
      <c r="AC30" s="1950"/>
      <c r="AD30" s="1950">
        <f>M02S02F21</f>
        <v>0</v>
      </c>
      <c r="AE30" s="1950"/>
      <c r="AF30" s="1950"/>
      <c r="AG30" s="1950"/>
      <c r="AH30" s="1950"/>
      <c r="AI30" s="1950"/>
      <c r="AJ30" s="1950"/>
      <c r="AK30" s="214"/>
    </row>
    <row r="31" spans="9:37" ht="15.95" customHeight="1" x14ac:dyDescent="0.25">
      <c r="I31" s="213"/>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214"/>
    </row>
    <row r="32" spans="9:37" ht="15.95" customHeight="1" x14ac:dyDescent="0.25">
      <c r="I32" s="213"/>
      <c r="J32" s="221"/>
      <c r="K32" s="1941" t="s">
        <v>1269</v>
      </c>
      <c r="L32" s="1941"/>
      <c r="M32" s="1941"/>
      <c r="N32" s="1941"/>
      <c r="O32" s="1941"/>
      <c r="P32" s="1947" t="s">
        <v>117</v>
      </c>
      <c r="Q32" s="1947"/>
      <c r="R32" s="1947"/>
      <c r="S32" s="1947"/>
      <c r="T32" s="1947"/>
      <c r="U32" s="1947"/>
      <c r="V32" s="1947"/>
      <c r="W32" s="1947" t="s">
        <v>113</v>
      </c>
      <c r="X32" s="1947"/>
      <c r="Y32" s="1947"/>
      <c r="Z32" s="1947"/>
      <c r="AA32" s="1947"/>
      <c r="AB32" s="1947"/>
      <c r="AC32" s="1947"/>
      <c r="AD32" s="1947" t="s">
        <v>106</v>
      </c>
      <c r="AE32" s="1947"/>
      <c r="AF32" s="1947"/>
      <c r="AG32" s="1947"/>
      <c r="AH32" s="1947"/>
      <c r="AI32" s="1947"/>
      <c r="AJ32" s="1947"/>
      <c r="AK32" s="214"/>
    </row>
    <row r="33" spans="9:37" ht="15.95" customHeight="1" x14ac:dyDescent="0.25">
      <c r="I33" s="213"/>
      <c r="J33" s="221"/>
      <c r="K33" s="1941"/>
      <c r="L33" s="1941"/>
      <c r="M33" s="1941"/>
      <c r="N33" s="1941"/>
      <c r="O33" s="1941"/>
      <c r="P33" s="1942">
        <f>M02S03F02</f>
        <v>0</v>
      </c>
      <c r="Q33" s="1942"/>
      <c r="R33" s="1942"/>
      <c r="S33" s="1942"/>
      <c r="T33" s="1942"/>
      <c r="U33" s="1942"/>
      <c r="V33" s="1942"/>
      <c r="W33" s="1942" t="str">
        <f>CONCATENATE(M02S03F03," ",M02S03F04)</f>
        <v xml:space="preserve"> </v>
      </c>
      <c r="X33" s="1942"/>
      <c r="Y33" s="1942"/>
      <c r="Z33" s="1942"/>
      <c r="AA33" s="1942"/>
      <c r="AB33" s="1942"/>
      <c r="AC33" s="1942"/>
      <c r="AD33" s="1942">
        <f>M02S03F09</f>
        <v>0</v>
      </c>
      <c r="AE33" s="1942"/>
      <c r="AF33" s="1942"/>
      <c r="AG33" s="1942"/>
      <c r="AH33" s="1942"/>
      <c r="AI33" s="1942"/>
      <c r="AJ33" s="1942"/>
      <c r="AK33" s="214"/>
    </row>
    <row r="34" spans="9:37" ht="15.95" customHeight="1" x14ac:dyDescent="0.25">
      <c r="I34" s="213"/>
      <c r="J34" s="221"/>
      <c r="K34" s="1941"/>
      <c r="L34" s="1941"/>
      <c r="M34" s="1941"/>
      <c r="N34" s="1941"/>
      <c r="O34" s="1941"/>
      <c r="P34" s="1942"/>
      <c r="Q34" s="1942"/>
      <c r="R34" s="1942"/>
      <c r="S34" s="1942"/>
      <c r="T34" s="1942"/>
      <c r="U34" s="1942"/>
      <c r="V34" s="1942"/>
      <c r="W34" s="1951">
        <f>M02S03F06</f>
        <v>0</v>
      </c>
      <c r="X34" s="1951"/>
      <c r="Y34" s="1951"/>
      <c r="Z34" s="1951"/>
      <c r="AA34" s="1951"/>
      <c r="AB34" s="1951"/>
      <c r="AC34" s="1951"/>
      <c r="AD34" s="1942" t="str">
        <f>CONCATENATE(M02S03F10,", ",M02S03F11," ",M02S03F12)</f>
        <v xml:space="preserve">,  </v>
      </c>
      <c r="AE34" s="1942"/>
      <c r="AF34" s="1942"/>
      <c r="AG34" s="1942"/>
      <c r="AH34" s="1942"/>
      <c r="AI34" s="1942"/>
      <c r="AJ34" s="1942"/>
      <c r="AK34" s="214"/>
    </row>
    <row r="35" spans="9:37" ht="15.95" customHeight="1" x14ac:dyDescent="0.25">
      <c r="I35" s="213"/>
      <c r="J35" s="221"/>
      <c r="K35" s="1941"/>
      <c r="L35" s="1941"/>
      <c r="M35" s="1941"/>
      <c r="N35" s="1941"/>
      <c r="O35" s="1941"/>
      <c r="P35" s="1942"/>
      <c r="Q35" s="1942"/>
      <c r="R35" s="1942"/>
      <c r="S35" s="1942"/>
      <c r="T35" s="1942"/>
      <c r="U35" s="1942"/>
      <c r="V35" s="1942"/>
      <c r="W35" s="1942">
        <f>M02S03F08</f>
        <v>0</v>
      </c>
      <c r="X35" s="1942"/>
      <c r="Y35" s="1942"/>
      <c r="Z35" s="1942"/>
      <c r="AA35" s="1942"/>
      <c r="AB35" s="1942"/>
      <c r="AC35" s="1942"/>
      <c r="AD35" s="1942"/>
      <c r="AE35" s="1942"/>
      <c r="AF35" s="1942"/>
      <c r="AG35" s="1942"/>
      <c r="AH35" s="1942"/>
      <c r="AI35" s="1942"/>
      <c r="AJ35" s="1942"/>
      <c r="AK35" s="214"/>
    </row>
    <row r="36" spans="9:37" ht="15.95" customHeight="1" x14ac:dyDescent="0.25">
      <c r="I36" s="213"/>
      <c r="J36" s="221"/>
      <c r="K36" s="1941"/>
      <c r="L36" s="1941"/>
      <c r="M36" s="1941"/>
      <c r="N36" s="1941"/>
      <c r="O36" s="1941"/>
      <c r="P36" s="1942"/>
      <c r="Q36" s="1942"/>
      <c r="R36" s="1942"/>
      <c r="S36" s="1942"/>
      <c r="T36" s="1942"/>
      <c r="U36" s="1942"/>
      <c r="V36" s="1942"/>
      <c r="W36" s="1942"/>
      <c r="X36" s="1942"/>
      <c r="Y36" s="1942"/>
      <c r="Z36" s="1942"/>
      <c r="AA36" s="1942"/>
      <c r="AB36" s="1942"/>
      <c r="AC36" s="1942"/>
      <c r="AD36" s="1942"/>
      <c r="AE36" s="1942"/>
      <c r="AF36" s="1942"/>
      <c r="AG36" s="1942"/>
      <c r="AH36" s="1942"/>
      <c r="AI36" s="1942"/>
      <c r="AJ36" s="1942"/>
      <c r="AK36" s="214"/>
    </row>
    <row r="37" spans="9:37" ht="15.95" customHeight="1" x14ac:dyDescent="0.25">
      <c r="I37" s="213"/>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214"/>
    </row>
    <row r="38" spans="9:37" ht="15.95" customHeight="1" x14ac:dyDescent="0.25">
      <c r="I38" s="213"/>
      <c r="J38" s="222"/>
      <c r="K38" s="1970" t="s">
        <v>1248</v>
      </c>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214"/>
    </row>
    <row r="39" spans="9:37" ht="15.95" customHeight="1" x14ac:dyDescent="0.25">
      <c r="I39" s="213"/>
      <c r="J39" s="222"/>
      <c r="K39" s="1970"/>
      <c r="L39" s="1970"/>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214"/>
    </row>
    <row r="40" spans="9:37" ht="15.95" customHeight="1" x14ac:dyDescent="0.25">
      <c r="I40" s="213"/>
      <c r="J40" s="222"/>
      <c r="K40" s="1943" t="s">
        <v>1250</v>
      </c>
      <c r="L40" s="1943"/>
      <c r="M40" s="1943"/>
      <c r="N40" s="1943"/>
      <c r="O40" s="1943"/>
      <c r="P40" s="1943" t="s">
        <v>1270</v>
      </c>
      <c r="Q40" s="1943"/>
      <c r="R40" s="1943"/>
      <c r="S40" s="1943"/>
      <c r="T40" s="1943"/>
      <c r="U40" s="1943"/>
      <c r="V40" s="1943"/>
      <c r="W40" s="1943" t="s">
        <v>1251</v>
      </c>
      <c r="X40" s="1943"/>
      <c r="Y40" s="1943"/>
      <c r="Z40" s="1943"/>
      <c r="AA40" s="1943"/>
      <c r="AB40" s="1943"/>
      <c r="AC40" s="1943"/>
      <c r="AD40" s="1953" t="s">
        <v>111</v>
      </c>
      <c r="AE40" s="1953"/>
      <c r="AF40" s="1953"/>
      <c r="AG40" s="1953"/>
      <c r="AH40" s="1953"/>
      <c r="AI40" s="1953"/>
      <c r="AJ40" s="223"/>
      <c r="AK40" s="214"/>
    </row>
    <row r="41" spans="9:37" ht="15.95" customHeight="1" x14ac:dyDescent="0.25">
      <c r="I41" s="213"/>
      <c r="J41" s="222"/>
      <c r="K41" s="1944" t="s">
        <v>1096</v>
      </c>
      <c r="L41" s="1944"/>
      <c r="M41" s="1944"/>
      <c r="N41" s="1944"/>
      <c r="O41" s="1944"/>
      <c r="P41" s="1949">
        <f>KWHTOTALPRESE</f>
        <v>0</v>
      </c>
      <c r="Q41" s="1949"/>
      <c r="R41" s="1949"/>
      <c r="S41" s="1949"/>
      <c r="T41" s="1949"/>
      <c r="U41" s="1949"/>
      <c r="V41" s="1949"/>
      <c r="W41" s="1952">
        <f>COSTTOTALALLPRESE</f>
        <v>0</v>
      </c>
      <c r="X41" s="1952"/>
      <c r="Y41" s="1952"/>
      <c r="Z41" s="1952"/>
      <c r="AA41" s="1952"/>
      <c r="AB41" s="1952"/>
      <c r="AC41" s="1952"/>
      <c r="AD41" s="1952">
        <f>INCENTOTALPRESE</f>
        <v>0</v>
      </c>
      <c r="AE41" s="1952"/>
      <c r="AF41" s="1952"/>
      <c r="AG41" s="1952"/>
      <c r="AH41" s="1952"/>
      <c r="AI41" s="1952"/>
      <c r="AJ41" s="224"/>
      <c r="AK41" s="214"/>
    </row>
    <row r="42" spans="9:37" ht="15.95" customHeight="1" x14ac:dyDescent="0.25">
      <c r="I42" s="213"/>
      <c r="J42" s="222"/>
      <c r="K42" s="1944" t="s">
        <v>212</v>
      </c>
      <c r="L42" s="1944"/>
      <c r="M42" s="1944"/>
      <c r="N42" s="1944"/>
      <c r="O42" s="1944"/>
      <c r="P42" s="1949">
        <f ca="1">KWHTOTALCUSE</f>
        <v>0</v>
      </c>
      <c r="Q42" s="1949"/>
      <c r="R42" s="1949"/>
      <c r="S42" s="1949"/>
      <c r="T42" s="1949"/>
      <c r="U42" s="1949"/>
      <c r="V42" s="1949"/>
      <c r="W42" s="1952">
        <f>COSTTOTALALLCUSE</f>
        <v>0</v>
      </c>
      <c r="X42" s="1952"/>
      <c r="Y42" s="1952"/>
      <c r="Z42" s="1952"/>
      <c r="AA42" s="1952"/>
      <c r="AB42" s="1952"/>
      <c r="AC42" s="1952"/>
      <c r="AD42" s="1952">
        <f>INCENTOTALCUSE</f>
        <v>0</v>
      </c>
      <c r="AE42" s="1952"/>
      <c r="AF42" s="1952"/>
      <c r="AG42" s="1952"/>
      <c r="AH42" s="1952"/>
      <c r="AI42" s="1952"/>
      <c r="AJ42" s="224"/>
      <c r="AK42" s="214"/>
    </row>
    <row r="43" spans="9:37" ht="15.95" hidden="1" customHeight="1" x14ac:dyDescent="0.25">
      <c r="I43" s="213"/>
      <c r="J43" s="222"/>
      <c r="K43" s="1943"/>
      <c r="L43" s="1943"/>
      <c r="M43" s="1943"/>
      <c r="N43" s="1943"/>
      <c r="O43" s="1943"/>
      <c r="P43" s="1945"/>
      <c r="Q43" s="1945"/>
      <c r="R43" s="1945"/>
      <c r="S43" s="1945"/>
      <c r="T43" s="1945"/>
      <c r="U43" s="1945"/>
      <c r="V43" s="1945"/>
      <c r="W43" s="1946"/>
      <c r="X43" s="1946"/>
      <c r="Y43" s="1946"/>
      <c r="Z43" s="1946"/>
      <c r="AA43" s="1946"/>
      <c r="AB43" s="1946"/>
      <c r="AC43" s="1946"/>
      <c r="AD43" s="1946"/>
      <c r="AE43" s="1946"/>
      <c r="AF43" s="1946"/>
      <c r="AG43" s="1946"/>
      <c r="AH43" s="1946"/>
      <c r="AI43" s="1946"/>
      <c r="AJ43" s="223"/>
      <c r="AK43" s="214"/>
    </row>
    <row r="44" spans="9:37" ht="15.95" hidden="1" customHeight="1" x14ac:dyDescent="0.25">
      <c r="I44" s="213"/>
      <c r="J44" s="222"/>
      <c r="K44" s="1943"/>
      <c r="L44" s="1943"/>
      <c r="M44" s="1943"/>
      <c r="N44" s="1943"/>
      <c r="O44" s="1943"/>
      <c r="P44" s="1945"/>
      <c r="Q44" s="1945"/>
      <c r="R44" s="1945"/>
      <c r="S44" s="1945"/>
      <c r="T44" s="1945"/>
      <c r="U44" s="1945"/>
      <c r="V44" s="1945"/>
      <c r="W44" s="1946"/>
      <c r="X44" s="1946"/>
      <c r="Y44" s="1946"/>
      <c r="Z44" s="1946"/>
      <c r="AA44" s="1946"/>
      <c r="AB44" s="1946"/>
      <c r="AC44" s="1946"/>
      <c r="AD44" s="1946"/>
      <c r="AE44" s="1946"/>
      <c r="AF44" s="1946"/>
      <c r="AG44" s="1946"/>
      <c r="AH44" s="1946"/>
      <c r="AI44" s="1946"/>
      <c r="AJ44" s="223"/>
      <c r="AK44" s="214"/>
    </row>
    <row r="45" spans="9:37" ht="15.95" customHeight="1" x14ac:dyDescent="0.25">
      <c r="I45" s="213"/>
      <c r="J45" s="222"/>
      <c r="K45" s="1943" t="s">
        <v>119</v>
      </c>
      <c r="L45" s="1943"/>
      <c r="M45" s="1943"/>
      <c r="N45" s="1943"/>
      <c r="O45" s="1943"/>
      <c r="P45" s="1945">
        <f ca="1">SUM(P41:V42)</f>
        <v>0</v>
      </c>
      <c r="Q45" s="1945"/>
      <c r="R45" s="1945"/>
      <c r="S45" s="1945"/>
      <c r="T45" s="1945"/>
      <c r="U45" s="1945"/>
      <c r="V45" s="1945"/>
      <c r="W45" s="1946">
        <f>SUM(W41:AC42)</f>
        <v>0</v>
      </c>
      <c r="X45" s="1946"/>
      <c r="Y45" s="1946"/>
      <c r="Z45" s="1946"/>
      <c r="AA45" s="1946"/>
      <c r="AB45" s="1946"/>
      <c r="AC45" s="1946"/>
      <c r="AD45" s="1946">
        <f>SUM(AD41:AJ42)</f>
        <v>0</v>
      </c>
      <c r="AE45" s="1946"/>
      <c r="AF45" s="1946"/>
      <c r="AG45" s="1946"/>
      <c r="AH45" s="1946"/>
      <c r="AI45" s="1946"/>
      <c r="AJ45" s="225"/>
      <c r="AK45" s="214"/>
    </row>
    <row r="46" spans="9:37" ht="15.95" customHeight="1" x14ac:dyDescent="0.25">
      <c r="I46" s="213"/>
      <c r="J46" s="222"/>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14"/>
    </row>
    <row r="47" spans="9:37" ht="15.95" customHeight="1" x14ac:dyDescent="0.25">
      <c r="I47" s="213"/>
      <c r="AK47" s="214"/>
    </row>
    <row r="48" spans="9:37" ht="15.95" customHeight="1" x14ac:dyDescent="0.25">
      <c r="I48" s="213"/>
      <c r="J48" s="221"/>
      <c r="K48" s="1948" t="s">
        <v>1271</v>
      </c>
      <c r="L48" s="1948"/>
      <c r="M48" s="1948"/>
      <c r="N48" s="1948"/>
      <c r="O48" s="1948"/>
      <c r="P48" s="1948"/>
      <c r="Q48" s="1948"/>
      <c r="R48" s="1948"/>
      <c r="S48" s="1948"/>
      <c r="T48" s="1948"/>
      <c r="U48" s="1948"/>
      <c r="V48" s="1948"/>
      <c r="W48" s="1948"/>
      <c r="X48" s="1948"/>
      <c r="Y48" s="1948"/>
      <c r="Z48" s="1948"/>
      <c r="AA48" s="1948"/>
      <c r="AB48" s="1948"/>
      <c r="AC48" s="1948"/>
      <c r="AD48" s="1948"/>
      <c r="AE48" s="1948"/>
      <c r="AF48" s="1948"/>
      <c r="AG48" s="1948"/>
      <c r="AH48" s="1948"/>
      <c r="AI48" s="1948"/>
      <c r="AJ48" s="1948"/>
      <c r="AK48" s="214"/>
    </row>
    <row r="49" spans="9:37" ht="15.95" customHeight="1" x14ac:dyDescent="0.25">
      <c r="I49" s="213"/>
      <c r="J49" s="221"/>
      <c r="K49" s="1948"/>
      <c r="L49" s="1948"/>
      <c r="M49" s="1948"/>
      <c r="N49" s="1948"/>
      <c r="O49" s="1948"/>
      <c r="P49" s="1948"/>
      <c r="Q49" s="1948"/>
      <c r="R49" s="1948"/>
      <c r="S49" s="1948"/>
      <c r="T49" s="1948"/>
      <c r="U49" s="1948"/>
      <c r="V49" s="1948"/>
      <c r="W49" s="1948"/>
      <c r="X49" s="1948"/>
      <c r="Y49" s="1948"/>
      <c r="Z49" s="1948"/>
      <c r="AA49" s="1948"/>
      <c r="AB49" s="1948"/>
      <c r="AC49" s="1948"/>
      <c r="AD49" s="1948"/>
      <c r="AE49" s="1948"/>
      <c r="AF49" s="1948"/>
      <c r="AG49" s="1948"/>
      <c r="AH49" s="1948"/>
      <c r="AI49" s="1948"/>
      <c r="AJ49" s="1948"/>
      <c r="AK49" s="214"/>
    </row>
    <row r="50" spans="9:37" ht="15.95" customHeight="1" x14ac:dyDescent="0.25">
      <c r="I50" s="213"/>
      <c r="J50" s="221"/>
      <c r="K50" s="221"/>
      <c r="L50" s="226" t="s">
        <v>1249</v>
      </c>
      <c r="M50" s="227"/>
      <c r="N50" s="227"/>
      <c r="O50" s="227"/>
      <c r="P50" s="227"/>
      <c r="Q50" s="227"/>
      <c r="R50" s="227"/>
      <c r="S50" s="227"/>
      <c r="T50" s="227"/>
      <c r="U50" s="227"/>
      <c r="V50" s="226" t="s">
        <v>109</v>
      </c>
      <c r="W50" s="227"/>
      <c r="X50" s="227"/>
      <c r="Y50" s="227"/>
      <c r="Z50" s="227"/>
      <c r="AA50" s="227"/>
      <c r="AB50" s="227"/>
      <c r="AC50" s="227"/>
      <c r="AD50" s="227"/>
      <c r="AE50" s="226" t="s">
        <v>120</v>
      </c>
      <c r="AF50" s="227"/>
      <c r="AG50" s="227"/>
      <c r="AH50" s="227"/>
      <c r="AI50" s="227"/>
      <c r="AJ50" s="227"/>
      <c r="AK50" s="214"/>
    </row>
    <row r="51" spans="9:37" ht="15.95" customHeight="1" x14ac:dyDescent="0.25">
      <c r="I51" s="213"/>
      <c r="J51" s="1956" t="str">
        <f ca="1">IF(CELL("protect",L51)=1,"eSignature Signed","")</f>
        <v/>
      </c>
      <c r="K51" s="1956"/>
      <c r="L51" s="1957" t="s">
        <v>1326</v>
      </c>
      <c r="M51" s="1957"/>
      <c r="N51" s="1957"/>
      <c r="O51" s="1957"/>
      <c r="P51" s="1957"/>
      <c r="Q51" s="1957"/>
      <c r="R51" s="1957"/>
      <c r="S51" s="1957"/>
      <c r="T51" s="1957"/>
      <c r="U51" s="1957"/>
      <c r="V51" s="1958" t="str">
        <f>IF(L51="","",L51)</f>
        <v>Frederick M. Schreiber</v>
      </c>
      <c r="W51" s="1958"/>
      <c r="X51" s="1958"/>
      <c r="Y51" s="1958"/>
      <c r="Z51" s="1958"/>
      <c r="AA51" s="1958"/>
      <c r="AB51" s="1958"/>
      <c r="AC51" s="1958"/>
      <c r="AD51" s="1958"/>
      <c r="AE51" s="1955"/>
      <c r="AF51" s="1955"/>
      <c r="AG51" s="1955"/>
      <c r="AH51" s="1955"/>
      <c r="AI51" s="1955"/>
      <c r="AJ51" s="1955"/>
      <c r="AK51" s="214"/>
    </row>
    <row r="52" spans="9:37" ht="15.95" customHeight="1" x14ac:dyDescent="0.25">
      <c r="I52" s="213"/>
      <c r="J52" s="1956"/>
      <c r="K52" s="1956"/>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14"/>
    </row>
    <row r="53" spans="9:37" ht="15.95" customHeight="1" x14ac:dyDescent="0.25">
      <c r="I53" s="213"/>
      <c r="J53" s="1964" t="s">
        <v>2095</v>
      </c>
      <c r="K53" s="1964"/>
      <c r="L53" s="1964"/>
      <c r="M53" s="1964"/>
      <c r="N53" s="1964"/>
      <c r="O53" s="1964"/>
      <c r="P53" s="1964"/>
      <c r="Q53" s="1964"/>
      <c r="R53" s="1964"/>
      <c r="S53" s="1964"/>
      <c r="T53" s="1964"/>
      <c r="U53" s="1964"/>
      <c r="V53" s="1964"/>
      <c r="W53" s="1964"/>
      <c r="X53" s="1964"/>
      <c r="Y53" s="1964"/>
      <c r="Z53" s="1964"/>
      <c r="AA53" s="1964"/>
      <c r="AB53" s="1964"/>
      <c r="AC53" s="1964"/>
      <c r="AD53" s="1964"/>
      <c r="AE53" s="1964"/>
      <c r="AF53" s="1964"/>
      <c r="AG53" s="1964"/>
      <c r="AH53" s="1964"/>
      <c r="AI53" s="1964"/>
      <c r="AJ53" s="1964"/>
      <c r="AK53" s="214"/>
    </row>
    <row r="54" spans="9:37" ht="15.95" customHeight="1" x14ac:dyDescent="0.25">
      <c r="I54" s="213"/>
      <c r="J54" s="1964"/>
      <c r="K54" s="1964"/>
      <c r="L54" s="1964"/>
      <c r="M54" s="1964"/>
      <c r="N54" s="1964"/>
      <c r="O54" s="1964"/>
      <c r="P54" s="1964"/>
      <c r="Q54" s="1964"/>
      <c r="R54" s="1964"/>
      <c r="S54" s="1964"/>
      <c r="T54" s="1964"/>
      <c r="U54" s="1964"/>
      <c r="V54" s="1964"/>
      <c r="W54" s="1964"/>
      <c r="X54" s="1964"/>
      <c r="Y54" s="1964"/>
      <c r="Z54" s="1964"/>
      <c r="AA54" s="1964"/>
      <c r="AB54" s="1964"/>
      <c r="AC54" s="1964"/>
      <c r="AD54" s="1964"/>
      <c r="AE54" s="1964"/>
      <c r="AF54" s="1964"/>
      <c r="AG54" s="1964"/>
      <c r="AH54" s="1964"/>
      <c r="AI54" s="1964"/>
      <c r="AJ54" s="1964"/>
      <c r="AK54" s="214"/>
    </row>
    <row r="55" spans="9:37" ht="15.95" customHeight="1" x14ac:dyDescent="0.25">
      <c r="I55" s="213"/>
      <c r="T55" s="1962" t="str">
        <f>IF(M02S02F43="","&lt;RECFR Date&gt;",M02S02F43)</f>
        <v>&lt;RECFR Date&gt;</v>
      </c>
      <c r="U55" s="1962"/>
      <c r="V55" s="1962"/>
      <c r="W55" s="1962"/>
      <c r="X55" s="1962"/>
      <c r="Y55" s="1962"/>
      <c r="Z55" s="1962"/>
      <c r="AA55" s="486"/>
      <c r="AB55" s="486"/>
      <c r="AC55" s="486"/>
      <c r="AD55" s="486"/>
      <c r="AE55" s="486"/>
      <c r="AF55" s="486"/>
      <c r="AG55" s="486"/>
      <c r="AH55" s="486"/>
      <c r="AI55" s="486"/>
      <c r="AJ55" s="486"/>
      <c r="AK55" s="214"/>
    </row>
    <row r="56" spans="9:37" ht="15.95" customHeight="1" x14ac:dyDescent="0.25">
      <c r="I56" s="213"/>
      <c r="S56" s="486"/>
      <c r="T56" s="1963"/>
      <c r="U56" s="1963"/>
      <c r="V56" s="1963"/>
      <c r="W56" s="1963"/>
      <c r="X56" s="1963"/>
      <c r="Y56" s="1963"/>
      <c r="Z56" s="1963"/>
      <c r="AA56" s="486"/>
      <c r="AB56" s="486"/>
      <c r="AC56" s="486"/>
      <c r="AD56" s="486"/>
      <c r="AE56" s="486"/>
      <c r="AF56" s="486"/>
      <c r="AG56" s="486"/>
      <c r="AH56" s="486"/>
      <c r="AI56" s="486"/>
      <c r="AJ56" s="486"/>
      <c r="AK56" s="214"/>
    </row>
    <row r="57" spans="9:37" ht="15.95" customHeight="1" x14ac:dyDescent="0.25">
      <c r="I57" s="213"/>
      <c r="S57" s="745" t="s">
        <v>2101</v>
      </c>
      <c r="T57" s="745"/>
      <c r="U57" s="745"/>
      <c r="V57" s="745"/>
      <c r="W57" s="745"/>
      <c r="X57" s="745"/>
      <c r="Y57" s="745"/>
      <c r="Z57" s="745"/>
      <c r="AA57" s="745"/>
      <c r="AB57" s="16"/>
      <c r="AK57" s="214"/>
    </row>
    <row r="58" spans="9:37" ht="15.95" customHeight="1" x14ac:dyDescent="0.25">
      <c r="I58" s="213"/>
      <c r="R58" s="16"/>
      <c r="S58" s="745"/>
      <c r="T58" s="745"/>
      <c r="U58" s="745"/>
      <c r="V58" s="745"/>
      <c r="W58" s="745"/>
      <c r="X58" s="745"/>
      <c r="Y58" s="745"/>
      <c r="Z58" s="745"/>
      <c r="AA58" s="745"/>
      <c r="AB58" s="16"/>
      <c r="AK58" s="214"/>
    </row>
    <row r="59" spans="9:37" ht="15.95" customHeight="1" x14ac:dyDescent="0.25">
      <c r="I59" s="213"/>
      <c r="O59" s="486"/>
      <c r="P59" s="486"/>
      <c r="Q59" s="486"/>
      <c r="R59" s="486"/>
      <c r="S59" s="745"/>
      <c r="T59" s="745"/>
      <c r="U59" s="745"/>
      <c r="V59" s="745"/>
      <c r="W59" s="745"/>
      <c r="X59" s="745"/>
      <c r="Y59" s="745"/>
      <c r="Z59" s="745"/>
      <c r="AA59" s="745"/>
      <c r="AB59" s="486"/>
      <c r="AC59" s="486"/>
      <c r="AD59" s="486"/>
      <c r="AE59" s="486"/>
      <c r="AF59" s="486"/>
      <c r="AG59" s="486"/>
      <c r="AK59" s="214"/>
    </row>
    <row r="60" spans="9:37" ht="15.95" customHeight="1" x14ac:dyDescent="0.25">
      <c r="I60" s="213"/>
      <c r="N60" s="486"/>
      <c r="O60" s="486"/>
      <c r="P60" s="486"/>
      <c r="Q60" s="486"/>
      <c r="R60" s="486"/>
      <c r="S60" s="488"/>
      <c r="T60" s="488"/>
      <c r="U60" s="488"/>
      <c r="V60" s="488"/>
      <c r="W60" s="488"/>
      <c r="X60" s="488"/>
      <c r="Y60" s="488"/>
      <c r="Z60" s="488"/>
      <c r="AA60" s="488"/>
      <c r="AB60" s="486"/>
      <c r="AC60" s="486"/>
      <c r="AD60" s="486"/>
      <c r="AE60" s="486"/>
      <c r="AF60" s="486"/>
      <c r="AG60" s="486"/>
      <c r="AH60" s="485"/>
      <c r="AI60" s="485"/>
      <c r="AJ60" s="485"/>
      <c r="AK60" s="214"/>
    </row>
    <row r="61" spans="9:37" ht="15.95" customHeight="1" x14ac:dyDescent="0.25">
      <c r="I61" s="213"/>
      <c r="J61" s="69"/>
      <c r="O61" s="486"/>
      <c r="P61" s="486"/>
      <c r="Q61" s="486"/>
      <c r="R61" s="486"/>
      <c r="S61" s="486"/>
      <c r="T61" s="1962" t="s">
        <v>2102</v>
      </c>
      <c r="U61" s="1962"/>
      <c r="V61" s="1962"/>
      <c r="W61" s="1962"/>
      <c r="X61" s="1962"/>
      <c r="Y61" s="1962"/>
      <c r="Z61" s="1962"/>
      <c r="AA61" s="486"/>
      <c r="AB61" s="486"/>
      <c r="AC61" s="486"/>
      <c r="AD61" s="486"/>
      <c r="AE61" s="486"/>
      <c r="AF61" s="486"/>
      <c r="AG61" s="486"/>
      <c r="AK61" s="214"/>
    </row>
    <row r="62" spans="9:37" ht="15.95" customHeight="1" x14ac:dyDescent="0.25">
      <c r="I62" s="213"/>
      <c r="N62" s="486"/>
      <c r="O62" s="486"/>
      <c r="P62" s="486"/>
      <c r="Q62" s="486"/>
      <c r="R62" s="486"/>
      <c r="S62" s="486"/>
      <c r="T62" s="1963"/>
      <c r="U62" s="1963"/>
      <c r="V62" s="1963"/>
      <c r="W62" s="1963"/>
      <c r="X62" s="1963"/>
      <c r="Y62" s="1963"/>
      <c r="Z62" s="1963"/>
      <c r="AA62" s="486"/>
      <c r="AB62" s="486"/>
      <c r="AC62" s="486"/>
      <c r="AD62" s="486"/>
      <c r="AE62" s="486"/>
      <c r="AF62" s="486"/>
      <c r="AG62" s="486"/>
      <c r="AK62" s="214"/>
    </row>
    <row r="63" spans="9:37" ht="15.95" customHeight="1" x14ac:dyDescent="0.25">
      <c r="I63" s="213"/>
      <c r="S63" s="1658" t="s">
        <v>2103</v>
      </c>
      <c r="T63" s="1658"/>
      <c r="U63" s="1658"/>
      <c r="V63" s="1658"/>
      <c r="W63" s="1658"/>
      <c r="X63" s="1658"/>
      <c r="Y63" s="1658"/>
      <c r="Z63" s="1658"/>
      <c r="AA63" s="1658"/>
      <c r="AK63" s="214"/>
    </row>
    <row r="64" spans="9:37" ht="15.95" customHeight="1" x14ac:dyDescent="0.25">
      <c r="I64" s="213"/>
      <c r="S64" s="1658"/>
      <c r="T64" s="1658"/>
      <c r="U64" s="1658"/>
      <c r="V64" s="1658"/>
      <c r="W64" s="1658"/>
      <c r="X64" s="1658"/>
      <c r="Y64" s="1658"/>
      <c r="Z64" s="1658"/>
      <c r="AA64" s="1658"/>
      <c r="AK64" s="214"/>
    </row>
    <row r="65" spans="9:37" ht="15.95" customHeight="1" x14ac:dyDescent="0.25">
      <c r="I65" s="213"/>
      <c r="AK65" s="214"/>
    </row>
    <row r="66" spans="9:37" ht="15.95" customHeight="1" x14ac:dyDescent="0.25">
      <c r="I66" s="213"/>
      <c r="AK66" s="214"/>
    </row>
    <row r="67" spans="9:37" ht="15.95" customHeight="1" x14ac:dyDescent="0.25">
      <c r="I67" s="213"/>
      <c r="J67" s="249"/>
      <c r="K67" s="1959" t="s">
        <v>1324</v>
      </c>
      <c r="L67" s="1959"/>
      <c r="M67" s="1959"/>
      <c r="N67" s="1959"/>
      <c r="O67" s="1959"/>
      <c r="P67" s="1959"/>
      <c r="Q67" s="1959"/>
      <c r="R67" s="1959"/>
      <c r="S67" s="1959"/>
      <c r="T67" s="1959"/>
      <c r="U67" s="1959"/>
      <c r="V67" s="1959"/>
      <c r="W67" s="1959"/>
      <c r="X67" s="1959"/>
      <c r="Y67" s="1959"/>
      <c r="Z67" s="1959"/>
      <c r="AA67" s="1959"/>
      <c r="AB67" s="1959"/>
      <c r="AC67" s="1959"/>
      <c r="AD67" s="1959"/>
      <c r="AE67" s="1959"/>
      <c r="AF67" s="1959"/>
      <c r="AG67" s="1959"/>
      <c r="AH67" s="1959"/>
      <c r="AI67" s="1959"/>
      <c r="AJ67" s="1959"/>
      <c r="AK67" s="214"/>
    </row>
    <row r="68" spans="9:37" ht="15.95" customHeight="1" x14ac:dyDescent="0.25">
      <c r="I68" s="213"/>
      <c r="J68" s="249"/>
      <c r="K68" s="1959"/>
      <c r="L68" s="1959"/>
      <c r="M68" s="1959"/>
      <c r="N68" s="1959"/>
      <c r="O68" s="1959"/>
      <c r="P68" s="1959"/>
      <c r="Q68" s="1959"/>
      <c r="R68" s="1959"/>
      <c r="S68" s="1959"/>
      <c r="T68" s="1959"/>
      <c r="U68" s="1959"/>
      <c r="V68" s="1959"/>
      <c r="W68" s="1959"/>
      <c r="X68" s="1959"/>
      <c r="Y68" s="1959"/>
      <c r="Z68" s="1959"/>
      <c r="AA68" s="1959"/>
      <c r="AB68" s="1959"/>
      <c r="AC68" s="1959"/>
      <c r="AD68" s="1959"/>
      <c r="AE68" s="1959"/>
      <c r="AF68" s="1959"/>
      <c r="AG68" s="1959"/>
      <c r="AH68" s="1959"/>
      <c r="AI68" s="1959"/>
      <c r="AJ68" s="1959"/>
      <c r="AK68" s="214"/>
    </row>
    <row r="69" spans="9:37" ht="15.95" customHeight="1" x14ac:dyDescent="0.25">
      <c r="I69" s="213"/>
      <c r="J69" s="249"/>
      <c r="K69" s="1960" t="str">
        <f>IF(OR(M02S02F42="None",M02S02F42=""),"Contact the BizSavers program to discuss how you can save!","Contact your BizSavers representative today to discuss future energy saving opportunities and incentives!")</f>
        <v>Contact the BizSavers program to discuss how you can save!</v>
      </c>
      <c r="L69" s="1960"/>
      <c r="M69" s="1960"/>
      <c r="N69" s="1960"/>
      <c r="O69" s="1960"/>
      <c r="P69" s="1960"/>
      <c r="Q69" s="1960"/>
      <c r="R69" s="1960"/>
      <c r="S69" s="1960"/>
      <c r="T69" s="1960"/>
      <c r="U69" s="1960"/>
      <c r="V69" s="1960"/>
      <c r="W69" s="1960"/>
      <c r="X69" s="1960"/>
      <c r="Y69" s="1960"/>
      <c r="Z69" s="1960"/>
      <c r="AA69" s="1960"/>
      <c r="AB69" s="1960"/>
      <c r="AC69" s="1960"/>
      <c r="AD69" s="1960"/>
      <c r="AE69" s="1960"/>
      <c r="AF69" s="1960"/>
      <c r="AG69" s="1960"/>
      <c r="AH69" s="1960"/>
      <c r="AI69" s="1960"/>
      <c r="AJ69" s="69"/>
      <c r="AK69" s="214"/>
    </row>
    <row r="70" spans="9:37" ht="15.95" customHeight="1" x14ac:dyDescent="0.25">
      <c r="I70" s="213"/>
      <c r="K70" s="1937" t="str">
        <f>IF(OR(M02S02F42="None",M02S02F42=""),"866-941-7299","Name")</f>
        <v>866-941-7299</v>
      </c>
      <c r="L70" s="1937"/>
      <c r="M70" s="1937"/>
      <c r="N70" s="1937"/>
      <c r="O70" s="1937"/>
      <c r="P70" s="1937"/>
      <c r="Q70" s="1937"/>
      <c r="R70" s="249"/>
      <c r="S70" s="249"/>
      <c r="T70" s="1937" t="str">
        <f>IF(OR(M02S02F42="None",M02S02F42=""),"BizSavers@ameren.com","Phone")</f>
        <v>BizSavers@ameren.com</v>
      </c>
      <c r="U70" s="1937"/>
      <c r="V70" s="1937"/>
      <c r="W70" s="1937"/>
      <c r="X70" s="1937"/>
      <c r="Y70" s="1937"/>
      <c r="Z70" s="1937"/>
      <c r="AA70" s="249"/>
      <c r="AB70" s="249"/>
      <c r="AC70" s="1937" t="str">
        <f>IF(OR(M02S02F42="None",M02S02F42=""),"AmerenMissouri.com/BizSavers","Email")</f>
        <v>AmerenMissouri.com/BizSavers</v>
      </c>
      <c r="AD70" s="1937"/>
      <c r="AE70" s="1937"/>
      <c r="AF70" s="1937"/>
      <c r="AG70" s="1937"/>
      <c r="AH70" s="1937"/>
      <c r="AI70" s="1937"/>
      <c r="AJ70" s="250"/>
      <c r="AK70" s="214"/>
    </row>
    <row r="71" spans="9:37" ht="15.95" customHeight="1" x14ac:dyDescent="0.25">
      <c r="I71" s="213"/>
      <c r="J71" s="484"/>
      <c r="K71" s="1961">
        <f>M02S02F42</f>
        <v>0</v>
      </c>
      <c r="L71" s="1961"/>
      <c r="M71" s="1961"/>
      <c r="N71" s="1961"/>
      <c r="O71" s="1961"/>
      <c r="P71" s="1961"/>
      <c r="Q71" s="1961"/>
      <c r="R71" s="162"/>
      <c r="S71" s="162"/>
      <c r="T71" s="1961" t="str">
        <f>IFERROR(INDEX(BUSDEVELPHONE,MATCH(K71,BUSDEVELNAME,0)),"")</f>
        <v/>
      </c>
      <c r="U71" s="1961"/>
      <c r="V71" s="1961"/>
      <c r="W71" s="1961"/>
      <c r="X71" s="1961"/>
      <c r="Y71" s="1961"/>
      <c r="Z71" s="1961"/>
      <c r="AA71" s="162"/>
      <c r="AB71" s="162"/>
      <c r="AC71" s="1965" t="str">
        <f>IFERROR(INDEX(BUSDEVELEMAIL,MATCH(K71,BUSDEVELNAME,0)),"")</f>
        <v/>
      </c>
      <c r="AD71" s="1965"/>
      <c r="AE71" s="1965"/>
      <c r="AF71" s="1965"/>
      <c r="AG71" s="1965"/>
      <c r="AH71" s="1965"/>
      <c r="AI71" s="1965"/>
      <c r="AJ71" s="162"/>
      <c r="AK71" s="214"/>
    </row>
    <row r="72" spans="9:37" ht="15.95" customHeight="1" x14ac:dyDescent="0.25">
      <c r="I72" s="213"/>
      <c r="J72" s="484"/>
      <c r="K72" s="484"/>
      <c r="L72" s="484"/>
      <c r="M72" s="484"/>
      <c r="N72" s="484"/>
      <c r="O72" s="484"/>
      <c r="P72" s="484"/>
      <c r="Q72" s="484"/>
      <c r="R72" s="484"/>
      <c r="S72" s="484"/>
      <c r="T72" s="484"/>
      <c r="U72" s="484"/>
      <c r="V72" s="484"/>
      <c r="W72" s="484"/>
      <c r="X72" s="484"/>
      <c r="Y72" s="484"/>
      <c r="Z72" s="484"/>
      <c r="AA72" s="484"/>
      <c r="AB72" s="484"/>
      <c r="AC72" s="484"/>
      <c r="AD72" s="484"/>
      <c r="AE72" s="484"/>
      <c r="AF72" s="484"/>
      <c r="AG72" s="484"/>
      <c r="AH72" s="484"/>
      <c r="AI72" s="484"/>
      <c r="AJ72" s="484"/>
      <c r="AK72" s="214"/>
    </row>
    <row r="73" spans="9:37" ht="15.95" customHeight="1" x14ac:dyDescent="0.25">
      <c r="I73" s="213"/>
      <c r="J73" s="627" t="s">
        <v>2394</v>
      </c>
      <c r="K73" s="627"/>
      <c r="L73" s="627"/>
      <c r="M73" s="627"/>
      <c r="N73" s="627"/>
      <c r="O73" s="627"/>
      <c r="P73" s="627"/>
      <c r="Q73" s="627"/>
      <c r="R73" s="627"/>
      <c r="S73" s="627"/>
      <c r="T73" s="627"/>
      <c r="U73" s="627"/>
      <c r="V73" s="627"/>
      <c r="W73" s="627"/>
      <c r="X73" s="627"/>
      <c r="Y73" s="627"/>
      <c r="Z73" s="627"/>
      <c r="AA73" s="627"/>
      <c r="AB73" s="627"/>
      <c r="AC73" s="627"/>
      <c r="AD73" s="627"/>
      <c r="AE73" s="627"/>
      <c r="AF73" s="627"/>
      <c r="AG73" s="627"/>
      <c r="AH73" s="627"/>
      <c r="AI73" s="627"/>
      <c r="AJ73" s="627"/>
      <c r="AK73" s="214"/>
    </row>
    <row r="74" spans="9:37" ht="15.95" customHeight="1" x14ac:dyDescent="0.25">
      <c r="I74" s="213"/>
      <c r="J74" s="627"/>
      <c r="K74" s="627"/>
      <c r="L74" s="627"/>
      <c r="M74" s="627"/>
      <c r="N74" s="627"/>
      <c r="O74" s="627"/>
      <c r="P74" s="627"/>
      <c r="Q74" s="627"/>
      <c r="R74" s="627"/>
      <c r="S74" s="627"/>
      <c r="T74" s="627"/>
      <c r="U74" s="627"/>
      <c r="V74" s="627"/>
      <c r="W74" s="627"/>
      <c r="X74" s="627"/>
      <c r="Y74" s="627"/>
      <c r="Z74" s="627"/>
      <c r="AA74" s="627"/>
      <c r="AB74" s="627"/>
      <c r="AC74" s="627"/>
      <c r="AD74" s="627"/>
      <c r="AE74" s="627"/>
      <c r="AF74" s="627"/>
      <c r="AG74" s="627"/>
      <c r="AH74" s="627"/>
      <c r="AI74" s="627"/>
      <c r="AJ74" s="627"/>
      <c r="AK74" s="214"/>
    </row>
    <row r="75" spans="9:37" ht="15.95" customHeight="1" x14ac:dyDescent="0.25">
      <c r="I75" s="213"/>
      <c r="J75" s="627"/>
      <c r="K75" s="627"/>
      <c r="L75" s="627"/>
      <c r="M75" s="627"/>
      <c r="N75" s="627"/>
      <c r="O75" s="627"/>
      <c r="P75" s="627"/>
      <c r="Q75" s="627"/>
      <c r="R75" s="627"/>
      <c r="S75" s="627"/>
      <c r="T75" s="627"/>
      <c r="U75" s="627"/>
      <c r="V75" s="627"/>
      <c r="W75" s="627"/>
      <c r="X75" s="627"/>
      <c r="Y75" s="627"/>
      <c r="Z75" s="627"/>
      <c r="AA75" s="627"/>
      <c r="AB75" s="627"/>
      <c r="AC75" s="627"/>
      <c r="AD75" s="627"/>
      <c r="AE75" s="627"/>
      <c r="AF75" s="627"/>
      <c r="AG75" s="627"/>
      <c r="AH75" s="627"/>
      <c r="AI75" s="627"/>
      <c r="AJ75" s="627"/>
      <c r="AK75" s="214"/>
    </row>
    <row r="76" spans="9:37" ht="15.95" customHeight="1" x14ac:dyDescent="0.25">
      <c r="I76" s="213"/>
      <c r="J76" s="627"/>
      <c r="K76" s="627"/>
      <c r="L76" s="627"/>
      <c r="M76" s="627"/>
      <c r="N76" s="627"/>
      <c r="O76" s="627"/>
      <c r="P76" s="627"/>
      <c r="Q76" s="627"/>
      <c r="R76" s="627"/>
      <c r="S76" s="627"/>
      <c r="T76" s="627"/>
      <c r="U76" s="627"/>
      <c r="V76" s="627"/>
      <c r="W76" s="627"/>
      <c r="X76" s="627"/>
      <c r="Y76" s="627"/>
      <c r="Z76" s="627"/>
      <c r="AA76" s="627"/>
      <c r="AB76" s="627"/>
      <c r="AC76" s="627"/>
      <c r="AD76" s="627"/>
      <c r="AE76" s="627"/>
      <c r="AF76" s="627"/>
      <c r="AG76" s="627"/>
      <c r="AH76" s="627"/>
      <c r="AI76" s="627"/>
      <c r="AJ76" s="627"/>
      <c r="AK76" s="214"/>
    </row>
    <row r="77" spans="9:37" ht="15.95" customHeight="1" x14ac:dyDescent="0.25">
      <c r="I77" s="213"/>
      <c r="J77" s="627"/>
      <c r="K77" s="627"/>
      <c r="L77" s="627"/>
      <c r="M77" s="627"/>
      <c r="N77" s="627"/>
      <c r="O77" s="627"/>
      <c r="P77" s="627"/>
      <c r="Q77" s="627"/>
      <c r="R77" s="627"/>
      <c r="S77" s="627"/>
      <c r="T77" s="627"/>
      <c r="U77" s="627"/>
      <c r="V77" s="627"/>
      <c r="W77" s="627"/>
      <c r="X77" s="627"/>
      <c r="Y77" s="627"/>
      <c r="Z77" s="627"/>
      <c r="AA77" s="627"/>
      <c r="AB77" s="627"/>
      <c r="AC77" s="627"/>
      <c r="AD77" s="627"/>
      <c r="AE77" s="627"/>
      <c r="AF77" s="627"/>
      <c r="AG77" s="627"/>
      <c r="AH77" s="627"/>
      <c r="AI77" s="627"/>
      <c r="AJ77" s="627"/>
      <c r="AK77" s="214"/>
    </row>
    <row r="78" spans="9:37" ht="15.95" customHeight="1" x14ac:dyDescent="0.25">
      <c r="I78" s="213"/>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214"/>
    </row>
    <row r="79" spans="9:37" ht="15.95" customHeight="1" x14ac:dyDescent="0.25">
      <c r="I79" s="213"/>
      <c r="J79" s="627"/>
      <c r="K79" s="627"/>
      <c r="L79" s="627"/>
      <c r="M79" s="627"/>
      <c r="N79" s="627"/>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214"/>
    </row>
    <row r="80" spans="9:37" ht="15.95" customHeight="1" x14ac:dyDescent="0.25">
      <c r="I80" s="213"/>
      <c r="J80" s="1858" t="s">
        <v>1256</v>
      </c>
      <c r="K80" s="1858"/>
      <c r="L80" s="1858"/>
      <c r="M80" s="1858"/>
      <c r="N80" s="1858"/>
      <c r="O80" s="1858"/>
      <c r="P80" s="1858"/>
      <c r="Q80" s="1858"/>
      <c r="R80" s="1858"/>
      <c r="S80" s="1858"/>
      <c r="T80" s="1858"/>
      <c r="U80" s="1858"/>
      <c r="V80" s="1858"/>
      <c r="W80" s="1858"/>
      <c r="X80" s="1858"/>
      <c r="Y80" s="1858"/>
      <c r="Z80" s="1858"/>
      <c r="AA80" s="1858"/>
      <c r="AB80" s="1858"/>
      <c r="AC80" s="1858"/>
      <c r="AD80" s="1858"/>
      <c r="AE80" s="1858"/>
      <c r="AF80" s="1858"/>
      <c r="AG80" s="1858"/>
      <c r="AH80" s="1858"/>
      <c r="AI80" s="1858"/>
      <c r="AJ80" s="1858"/>
      <c r="AK80" s="214"/>
    </row>
    <row r="81" spans="9:37" ht="15.95" customHeight="1" x14ac:dyDescent="0.25">
      <c r="I81" s="213"/>
      <c r="J81" s="1858"/>
      <c r="K81" s="1858"/>
      <c r="L81" s="1858"/>
      <c r="M81" s="1858"/>
      <c r="N81" s="1858"/>
      <c r="O81" s="1858"/>
      <c r="P81" s="1858"/>
      <c r="Q81" s="1858"/>
      <c r="R81" s="1858"/>
      <c r="S81" s="1858"/>
      <c r="T81" s="1858"/>
      <c r="U81" s="1858"/>
      <c r="V81" s="1858"/>
      <c r="W81" s="1858"/>
      <c r="X81" s="1858"/>
      <c r="Y81" s="1858"/>
      <c r="Z81" s="1858"/>
      <c r="AA81" s="1858"/>
      <c r="AB81" s="1858"/>
      <c r="AC81" s="1858"/>
      <c r="AD81" s="1858"/>
      <c r="AE81" s="1858"/>
      <c r="AF81" s="1858"/>
      <c r="AG81" s="1858"/>
      <c r="AH81" s="1858"/>
      <c r="AI81" s="1858"/>
      <c r="AJ81" s="1858"/>
      <c r="AK81" s="214"/>
    </row>
    <row r="82" spans="9:37" ht="15.95" customHeight="1" x14ac:dyDescent="0.25">
      <c r="I82" s="215"/>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7"/>
    </row>
    <row r="83" spans="9:37" ht="15.95" customHeight="1" x14ac:dyDescent="0.25"/>
    <row r="84" spans="9:37" ht="15.95" hidden="1" customHeight="1" x14ac:dyDescent="0.25"/>
    <row r="85" spans="9:37" ht="15.95" hidden="1" customHeight="1" x14ac:dyDescent="0.25"/>
    <row r="86" spans="9:37" ht="15.95" hidden="1" customHeight="1" x14ac:dyDescent="0.25"/>
    <row r="87" spans="9:37" ht="15.95" hidden="1" customHeight="1" x14ac:dyDescent="0.25"/>
    <row r="88" spans="9:37" ht="15.95" hidden="1" customHeight="1" x14ac:dyDescent="0.25"/>
    <row r="89" spans="9:37" ht="15.95" hidden="1" customHeight="1" x14ac:dyDescent="0.25"/>
    <row r="90" spans="9:37" ht="15.95" hidden="1" customHeight="1" x14ac:dyDescent="0.25"/>
    <row r="91" spans="9:37" ht="15.95" hidden="1" customHeight="1" x14ac:dyDescent="0.25"/>
    <row r="92" spans="9:37" ht="15.95" hidden="1" customHeight="1" x14ac:dyDescent="0.25"/>
    <row r="93" spans="9:37" ht="15.95" hidden="1" customHeight="1" x14ac:dyDescent="0.25"/>
    <row r="94" spans="9:37" ht="15.95" hidden="1" customHeight="1" x14ac:dyDescent="0.25"/>
    <row r="95" spans="9:37" ht="15.95" hidden="1" customHeight="1" x14ac:dyDescent="0.25"/>
    <row r="96" spans="9:37"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75" hidden="1" customHeight="1" x14ac:dyDescent="0.25"/>
    <row r="191" ht="15.75" hidden="1" customHeight="1" x14ac:dyDescent="0.25"/>
    <row r="192" ht="15.75" hidden="1" customHeight="1" x14ac:dyDescent="0.25"/>
    <row r="193" spans="2:44" ht="15.75" hidden="1" customHeight="1" x14ac:dyDescent="0.25"/>
    <row r="194" spans="2:44" ht="15.75" hidden="1" customHeight="1" x14ac:dyDescent="0.25"/>
    <row r="195" spans="2:44" ht="15.75" hidden="1" customHeight="1" x14ac:dyDescent="0.25"/>
    <row r="196" spans="2:44" ht="15.75" hidden="1" customHeight="1" x14ac:dyDescent="0.25"/>
    <row r="197" spans="2:44" ht="15.75" hidden="1" customHeight="1" x14ac:dyDescent="0.25"/>
    <row r="198" spans="2:44" ht="15.95" hidden="1" customHeight="1" x14ac:dyDescent="0.25"/>
    <row r="199" spans="2:44" ht="15.95" hidden="1" customHeight="1" x14ac:dyDescent="0.25"/>
    <row r="200" spans="2:44" ht="15.95" customHeight="1" x14ac:dyDescent="0.25">
      <c r="B200" s="70" t="str">
        <f>FOOT2</f>
        <v>Toll-Free 866-941-7299</v>
      </c>
      <c r="C200" s="70"/>
      <c r="D200" s="70"/>
      <c r="E200" s="70"/>
      <c r="F200" s="70"/>
      <c r="G200" s="70"/>
      <c r="H200" s="70"/>
      <c r="I200" s="70"/>
      <c r="J200" s="70"/>
      <c r="K200" s="70"/>
      <c r="L200" s="70"/>
      <c r="M200" s="595"/>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FOOT5</f>
        <v/>
      </c>
    </row>
    <row r="201" spans="2:44" ht="15.95" customHeight="1" x14ac:dyDescent="0.25">
      <c r="B201" s="228" t="str">
        <f>FOOT3</f>
        <v>BizSavers@ameren.com</v>
      </c>
      <c r="C201" s="70"/>
      <c r="D201" s="70"/>
      <c r="E201" s="70"/>
      <c r="F201" s="70"/>
      <c r="G201" s="70"/>
      <c r="H201" s="70"/>
      <c r="I201" s="70"/>
      <c r="J201" s="70"/>
      <c r="K201" s="70"/>
      <c r="L201" s="70"/>
      <c r="M201" s="73"/>
      <c r="N201" s="70"/>
      <c r="O201" s="70"/>
      <c r="P201" s="73"/>
      <c r="Q201" s="73"/>
      <c r="R201" s="73"/>
      <c r="S201" s="73"/>
      <c r="T201" s="73"/>
      <c r="U201" s="73"/>
      <c r="V201" s="73"/>
      <c r="W201" s="74" t="str">
        <f>VERSION</f>
        <v>Custom and Standard v8.1.0</v>
      </c>
      <c r="X201" s="73"/>
      <c r="Y201" s="73"/>
      <c r="Z201" s="73"/>
      <c r="AA201" s="73"/>
      <c r="AB201" s="73"/>
      <c r="AC201" s="73"/>
      <c r="AD201" s="73"/>
      <c r="AE201" s="70"/>
      <c r="AF201" s="70"/>
      <c r="AG201" s="70"/>
      <c r="AH201" s="70"/>
      <c r="AI201" s="70"/>
      <c r="AJ201" s="70"/>
      <c r="AK201" s="70"/>
      <c r="AL201" s="70"/>
      <c r="AM201" s="70"/>
      <c r="AN201" s="70"/>
      <c r="AO201" s="70"/>
      <c r="AP201" s="70"/>
      <c r="AQ201" s="70"/>
      <c r="AR201" s="163" t="str">
        <f>FOOT6</f>
        <v>Product of TRC Companies</v>
      </c>
    </row>
  </sheetData>
  <sheetProtection algorithmName="SHA-512" hashValue="HVQ0xcLZF/jbF8tkmsN4e0Ig5IRtfLi+1SVtP46pm8X+RREMQVrVLiPOYNbMkcQOoTceTwdShER6Q7QlSUkJEA==" saltValue="Q8d59l9aId9nUFYch31nEg==" spinCount="100000" sheet="1" objects="1" scenarios="1" selectLockedCells="1"/>
  <mergeCells count="104">
    <mergeCell ref="AD45:AI45"/>
    <mergeCell ref="K38:AJ39"/>
    <mergeCell ref="W32:AC32"/>
    <mergeCell ref="AD29:AJ29"/>
    <mergeCell ref="W26:AC26"/>
    <mergeCell ref="W27:AC27"/>
    <mergeCell ref="W28:AC28"/>
    <mergeCell ref="AD28:AJ28"/>
    <mergeCell ref="K22:O29"/>
    <mergeCell ref="P22:V22"/>
    <mergeCell ref="AD26:AJ26"/>
    <mergeCell ref="AD27:AJ27"/>
    <mergeCell ref="W24:AC24"/>
    <mergeCell ref="W25:AC25"/>
    <mergeCell ref="W23:AC23"/>
    <mergeCell ref="P28:V28"/>
    <mergeCell ref="P29:V29"/>
    <mergeCell ref="P23:V23"/>
    <mergeCell ref="P25:V25"/>
    <mergeCell ref="P24:V24"/>
    <mergeCell ref="P26:V26"/>
    <mergeCell ref="P27:V27"/>
    <mergeCell ref="W22:AC22"/>
    <mergeCell ref="AD22:AJ22"/>
    <mergeCell ref="AD23:AJ23"/>
    <mergeCell ref="F11:AN11"/>
    <mergeCell ref="AQ1:AR1"/>
    <mergeCell ref="AQ2:AR3"/>
    <mergeCell ref="K17:AI18"/>
    <mergeCell ref="AH1:AK1"/>
    <mergeCell ref="AL1:AP1"/>
    <mergeCell ref="AH2:AK3"/>
    <mergeCell ref="AL2:AP3"/>
    <mergeCell ref="F10:AN10"/>
    <mergeCell ref="Q1:R1"/>
    <mergeCell ref="U1:V1"/>
    <mergeCell ref="Y1:Z1"/>
    <mergeCell ref="K19:AI20"/>
    <mergeCell ref="J14:AE16"/>
    <mergeCell ref="W29:AC29"/>
    <mergeCell ref="AD24:AJ24"/>
    <mergeCell ref="M200:AG200"/>
    <mergeCell ref="AE51:AJ51"/>
    <mergeCell ref="J51:K52"/>
    <mergeCell ref="L51:U51"/>
    <mergeCell ref="V51:AD51"/>
    <mergeCell ref="K67:AJ68"/>
    <mergeCell ref="K69:AI69"/>
    <mergeCell ref="K71:Q71"/>
    <mergeCell ref="J80:AJ81"/>
    <mergeCell ref="T55:Z56"/>
    <mergeCell ref="T61:Z62"/>
    <mergeCell ref="AC70:AI70"/>
    <mergeCell ref="J73:AJ79"/>
    <mergeCell ref="J53:AJ54"/>
    <mergeCell ref="T71:Z71"/>
    <mergeCell ref="AC71:AI71"/>
    <mergeCell ref="K70:Q70"/>
    <mergeCell ref="T70:Z70"/>
    <mergeCell ref="P30:V30"/>
    <mergeCell ref="AD43:AI43"/>
    <mergeCell ref="AD25:AJ25"/>
    <mergeCell ref="W30:AC30"/>
    <mergeCell ref="AD30:AJ30"/>
    <mergeCell ref="W43:AC43"/>
    <mergeCell ref="W33:AC33"/>
    <mergeCell ref="W34:AC34"/>
    <mergeCell ref="W35:AC35"/>
    <mergeCell ref="W36:AC36"/>
    <mergeCell ref="AD32:AJ32"/>
    <mergeCell ref="AD33:AJ33"/>
    <mergeCell ref="AD34:AJ34"/>
    <mergeCell ref="AD35:AJ35"/>
    <mergeCell ref="AD36:AJ36"/>
    <mergeCell ref="W40:AC40"/>
    <mergeCell ref="W41:AC41"/>
    <mergeCell ref="AD41:AI41"/>
    <mergeCell ref="AD42:AI42"/>
    <mergeCell ref="W42:AC42"/>
    <mergeCell ref="AD40:AI40"/>
    <mergeCell ref="S63:AA64"/>
    <mergeCell ref="S57:AA59"/>
    <mergeCell ref="K32:O36"/>
    <mergeCell ref="P34:V34"/>
    <mergeCell ref="K40:O40"/>
    <mergeCell ref="K41:O41"/>
    <mergeCell ref="K42:O42"/>
    <mergeCell ref="K43:O43"/>
    <mergeCell ref="P36:V36"/>
    <mergeCell ref="P35:V35"/>
    <mergeCell ref="K44:O44"/>
    <mergeCell ref="P44:V44"/>
    <mergeCell ref="W44:AC44"/>
    <mergeCell ref="P32:V32"/>
    <mergeCell ref="P33:V33"/>
    <mergeCell ref="W45:AC45"/>
    <mergeCell ref="K48:AJ49"/>
    <mergeCell ref="K45:O45"/>
    <mergeCell ref="P40:V40"/>
    <mergeCell ref="P41:V41"/>
    <mergeCell ref="P42:V42"/>
    <mergeCell ref="P43:V43"/>
    <mergeCell ref="P45:V45"/>
    <mergeCell ref="AD44:AI44"/>
  </mergeCells>
  <conditionalFormatting sqref="K71:AI71">
    <cfRule type="expression" dxfId="36" priority="6">
      <formula>OR(M02S02F42="None",M02S02F42="")</formula>
    </cfRule>
  </conditionalFormatting>
  <conditionalFormatting sqref="L51:U51 AE51:AJ51 T55:Z56 T61:Z62">
    <cfRule type="containsBlanks" dxfId="35" priority="77">
      <formula>LEN(TRIM(L51))=0</formula>
    </cfRule>
  </conditionalFormatting>
  <conditionalFormatting sqref="T55:Z56">
    <cfRule type="expression" dxfId="34" priority="22">
      <formula>T55&lt;&gt;"&lt;RECFR Date&gt;"</formula>
    </cfRule>
  </conditionalFormatting>
  <conditionalFormatting sqref="T61:Z62">
    <cfRule type="expression" dxfId="33" priority="21">
      <formula>T61&lt;&gt;"Enter estimated completion date"</formula>
    </cfRule>
  </conditionalFormatting>
  <conditionalFormatting sqref="AH2 AL2">
    <cfRule type="expression" dxfId="32" priority="1">
      <formula>PROJSTATUS=PROJSTATELI</formula>
    </cfRule>
    <cfRule type="expression" dxfId="31" priority="2">
      <formula>PROJSTATUS=PROJSTATREVIEW</formula>
    </cfRule>
    <cfRule type="expression" dxfId="30" priority="3">
      <formula>PROJSTATUS=PROJSTATPREAPPROVE</formula>
    </cfRule>
    <cfRule type="expression" dxfId="29" priority="4">
      <formula>PROJSTATUS=PROJSTATSTANDARD</formula>
    </cfRule>
    <cfRule type="expression" dxfId="28" priority="5">
      <formula>PROJSTATUS=PROJSTATEXP</formula>
    </cfRule>
  </conditionalFormatting>
  <conditionalFormatting sqref="AQ2:AR3">
    <cfRule type="cellIs" dxfId="27" priority="11" operator="equal">
      <formula>1</formula>
    </cfRule>
    <cfRule type="cellIs" dxfId="26" priority="12" operator="between">
      <formula>0.51</formula>
      <formula>0.99</formula>
    </cfRule>
    <cfRule type="cellIs" dxfId="25" priority="13" operator="lessThanOrEqual">
      <formula>0.5</formula>
    </cfRule>
  </conditionalFormatting>
  <hyperlinks>
    <hyperlink ref="B201" r:id="rId1" display="NIPSCO.Savings@LMCO.com" xr:uid="{00000000-0004-0000-2A00-000000000000}"/>
  </hyperlinks>
  <printOptions horizontalCentered="1" verticalCentered="1"/>
  <pageMargins left="0.3" right="0.3" top="0.3" bottom="0.3" header="0.25" footer="0.25"/>
  <pageSetup scale="74" orientation="portrait"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fitToPage="1"/>
  </sheetPr>
  <dimension ref="A1:CB202"/>
  <sheetViews>
    <sheetView showGridLines="0" showRowColHeaders="0" showZeros="0" zoomScale="85" zoomScaleNormal="85" workbookViewId="0">
      <selection activeCell="Y50" sqref="Y50:AI51"/>
    </sheetView>
  </sheetViews>
  <sheetFormatPr defaultColWidth="0" defaultRowHeight="15" customHeight="1" zeroHeight="1" x14ac:dyDescent="0.25"/>
  <cols>
    <col min="1" max="45" width="4.7109375" customWidth="1"/>
    <col min="46" max="78" width="9.140625" hidden="1" customWidth="1"/>
    <col min="79" max="80" width="0" hidden="1" customWidth="1"/>
    <col min="81" max="16384" width="9.140625" hidden="1"/>
  </cols>
  <sheetData>
    <row r="1" spans="6:80"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6:80"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6:80" ht="15.95" customHeight="1" x14ac:dyDescent="0.25">
      <c r="AH3" s="604"/>
      <c r="AI3" s="605"/>
      <c r="AJ3" s="605"/>
      <c r="AK3" s="605"/>
      <c r="AL3" s="614"/>
      <c r="AM3" s="614"/>
      <c r="AN3" s="614"/>
      <c r="AO3" s="614"/>
      <c r="AP3" s="614"/>
      <c r="AQ3" s="610"/>
      <c r="AR3" s="611"/>
    </row>
    <row r="4" spans="6:80" ht="15.95" customHeight="1" x14ac:dyDescent="0.25"/>
    <row r="5" spans="6:80" ht="15.95" customHeight="1" x14ac:dyDescent="0.25"/>
    <row r="6" spans="6:80" ht="15.95" customHeight="1" x14ac:dyDescent="0.25"/>
    <row r="7" spans="6:80" ht="15.95" customHeight="1" x14ac:dyDescent="0.25"/>
    <row r="8" spans="6:80" ht="15.95" customHeight="1" x14ac:dyDescent="0.25"/>
    <row r="9" spans="6:80" ht="15.95" customHeight="1" x14ac:dyDescent="0.25"/>
    <row r="10" spans="6:80" ht="15.95" customHeight="1" x14ac:dyDescent="0.3">
      <c r="F10" s="617" t="s">
        <v>108</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6:80" ht="15.95" customHeight="1" x14ac:dyDescent="0.25">
      <c r="F11" s="1972" t="s">
        <v>1303</v>
      </c>
      <c r="G11" s="1972"/>
      <c r="H11" s="1972"/>
      <c r="I11" s="1972"/>
      <c r="J11" s="1972"/>
      <c r="K11" s="1972"/>
      <c r="L11" s="1972"/>
      <c r="M11" s="1972"/>
      <c r="N11" s="1972"/>
      <c r="O11" s="1972"/>
      <c r="P11" s="1972"/>
      <c r="Q11" s="1972"/>
      <c r="R11" s="1972"/>
      <c r="S11" s="1972"/>
      <c r="T11" s="1972"/>
      <c r="U11" s="1972"/>
      <c r="V11" s="1972"/>
      <c r="W11" s="1972"/>
      <c r="X11" s="1972"/>
      <c r="Y11" s="1972"/>
      <c r="Z11" s="1972"/>
      <c r="AA11" s="1972"/>
      <c r="AB11" s="1972"/>
      <c r="AC11" s="1972"/>
      <c r="AD11" s="1972"/>
      <c r="AE11" s="1972"/>
      <c r="AF11" s="1972"/>
      <c r="AG11" s="1972"/>
      <c r="AH11" s="1972"/>
      <c r="AI11" s="1972"/>
      <c r="AJ11" s="1972"/>
      <c r="AK11" s="1972"/>
      <c r="AL11" s="1972"/>
      <c r="AM11" s="1972"/>
      <c r="AN11" s="1972"/>
    </row>
    <row r="12" spans="6:80" ht="15.95" customHeight="1" x14ac:dyDescent="0.25">
      <c r="F12" s="1972"/>
      <c r="G12" s="1972"/>
      <c r="H12" s="1972"/>
      <c r="I12" s="1972"/>
      <c r="J12" s="1972"/>
      <c r="K12" s="1972"/>
      <c r="L12" s="1972"/>
      <c r="M12" s="1972"/>
      <c r="N12" s="1972"/>
      <c r="O12" s="1972"/>
      <c r="P12" s="1972"/>
      <c r="Q12" s="1972"/>
      <c r="R12" s="1972"/>
      <c r="S12" s="1972"/>
      <c r="T12" s="1972"/>
      <c r="U12" s="1972"/>
      <c r="V12" s="1972"/>
      <c r="W12" s="1972"/>
      <c r="X12" s="1972"/>
      <c r="Y12" s="1972"/>
      <c r="Z12" s="1972"/>
      <c r="AA12" s="1972"/>
      <c r="AB12" s="1972"/>
      <c r="AC12" s="1972"/>
      <c r="AD12" s="1972"/>
      <c r="AE12" s="1972"/>
      <c r="AF12" s="1972"/>
      <c r="AG12" s="1972"/>
      <c r="AH12" s="1972"/>
      <c r="AI12" s="1972"/>
      <c r="AJ12" s="1972"/>
      <c r="AK12" s="1972"/>
      <c r="AL12" s="1972"/>
      <c r="AM12" s="1972"/>
      <c r="AN12" s="1972"/>
    </row>
    <row r="13" spans="6:80" ht="15.95" customHeight="1" x14ac:dyDescent="0.25">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row>
    <row r="14" spans="6:80" ht="15.95" customHeight="1" x14ac:dyDescent="0.25">
      <c r="F14" s="69"/>
      <c r="G14" s="69"/>
      <c r="H14" s="69"/>
      <c r="I14" s="147"/>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9"/>
      <c r="AL14" s="69"/>
      <c r="AM14" s="69"/>
      <c r="AN14" s="69"/>
    </row>
    <row r="15" spans="6:80" ht="15.95" customHeight="1" x14ac:dyDescent="0.25">
      <c r="I15" s="140"/>
      <c r="J15" s="1973" t="str">
        <f>IF(INCENSTATUS="---","",IF(INCENSTATUS&gt;15000,"This project may require an inspection. If photos have not been submitted yet, submit photos of new efficient equipment with the signed completion form",""))</f>
        <v/>
      </c>
      <c r="K15" s="1973"/>
      <c r="L15" s="1973"/>
      <c r="M15" s="1973"/>
      <c r="N15" s="1973"/>
      <c r="O15" s="1973"/>
      <c r="P15" s="1973"/>
      <c r="Q15" s="1973"/>
      <c r="R15" s="1973"/>
      <c r="S15" s="1973"/>
      <c r="T15" s="1973"/>
      <c r="U15" s="1973"/>
      <c r="V15" s="1973"/>
      <c r="W15" s="1973"/>
      <c r="X15" s="1973"/>
      <c r="Y15" s="1973"/>
      <c r="Z15" s="1973"/>
      <c r="AA15" s="1973"/>
      <c r="AB15" s="1973"/>
      <c r="AC15" s="1973"/>
      <c r="AD15" s="1973"/>
      <c r="AE15" s="218"/>
      <c r="AF15" s="218"/>
      <c r="AG15" s="218"/>
      <c r="AH15" s="218"/>
      <c r="AI15" s="218"/>
      <c r="AJ15" s="218"/>
      <c r="AK15" s="141"/>
    </row>
    <row r="16" spans="6:80" ht="15.95" customHeight="1" x14ac:dyDescent="0.25">
      <c r="I16" s="140"/>
      <c r="J16" s="1973"/>
      <c r="K16" s="1973"/>
      <c r="L16" s="1973"/>
      <c r="M16" s="1973"/>
      <c r="N16" s="1973"/>
      <c r="O16" s="1973"/>
      <c r="P16" s="1973"/>
      <c r="Q16" s="1973"/>
      <c r="R16" s="1973"/>
      <c r="S16" s="1973"/>
      <c r="T16" s="1973"/>
      <c r="U16" s="1973"/>
      <c r="V16" s="1973"/>
      <c r="W16" s="1973"/>
      <c r="X16" s="1973"/>
      <c r="Y16" s="1973"/>
      <c r="Z16" s="1973"/>
      <c r="AA16" s="1973"/>
      <c r="AB16" s="1973"/>
      <c r="AC16" s="1973"/>
      <c r="AD16" s="1973"/>
      <c r="AE16" s="218"/>
      <c r="AF16" s="218"/>
      <c r="AG16" s="218"/>
      <c r="AH16" s="218"/>
      <c r="AI16" s="218"/>
      <c r="AJ16" s="218"/>
      <c r="AK16" s="141"/>
      <c r="CA16" s="18"/>
      <c r="CB16" s="18"/>
    </row>
    <row r="17" spans="9:80" ht="15.95" customHeight="1" x14ac:dyDescent="0.25">
      <c r="I17" s="140"/>
      <c r="J17" s="1973"/>
      <c r="K17" s="1973"/>
      <c r="L17" s="1973"/>
      <c r="M17" s="1973"/>
      <c r="N17" s="1973"/>
      <c r="O17" s="1973"/>
      <c r="P17" s="1973"/>
      <c r="Q17" s="1973"/>
      <c r="R17" s="1973"/>
      <c r="S17" s="1973"/>
      <c r="T17" s="1973"/>
      <c r="U17" s="1973"/>
      <c r="V17" s="1973"/>
      <c r="W17" s="1973"/>
      <c r="X17" s="1973"/>
      <c r="Y17" s="1973"/>
      <c r="Z17" s="1973"/>
      <c r="AA17" s="1973"/>
      <c r="AB17" s="1973"/>
      <c r="AC17" s="1973"/>
      <c r="AD17" s="1973"/>
      <c r="AE17" s="218"/>
      <c r="AF17" s="218"/>
      <c r="AG17" s="218"/>
      <c r="AH17" s="218"/>
      <c r="AI17" s="218"/>
      <c r="AJ17" s="218"/>
      <c r="AK17" s="141"/>
      <c r="CA17" s="19"/>
      <c r="CB17" s="19"/>
    </row>
    <row r="18" spans="9:80" ht="15.95" customHeight="1" x14ac:dyDescent="0.25">
      <c r="I18" s="140"/>
      <c r="J18" s="218"/>
      <c r="K18" s="1967" t="s">
        <v>1267</v>
      </c>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218"/>
      <c r="AK18" s="141"/>
      <c r="CA18" s="19"/>
      <c r="CB18" s="19"/>
    </row>
    <row r="19" spans="9:80" ht="15.95" customHeight="1" x14ac:dyDescent="0.25">
      <c r="I19" s="140"/>
      <c r="J19" s="218"/>
      <c r="K19" s="1967"/>
      <c r="L19" s="1967"/>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218"/>
      <c r="AK19" s="141"/>
      <c r="CA19" s="19"/>
      <c r="CB19" s="19"/>
    </row>
    <row r="20" spans="9:80" ht="15.95" customHeight="1" x14ac:dyDescent="0.25">
      <c r="I20" s="140"/>
      <c r="J20" s="229"/>
      <c r="K20" s="1982" t="str">
        <f>M02S02F47</f>
        <v/>
      </c>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229"/>
      <c r="AK20" s="141"/>
      <c r="CA20" s="47"/>
      <c r="CB20" s="47"/>
    </row>
    <row r="21" spans="9:80" ht="15.95" customHeight="1" x14ac:dyDescent="0.25">
      <c r="I21" s="140"/>
      <c r="J21" s="229"/>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229"/>
      <c r="AK21" s="141"/>
      <c r="CA21" s="47"/>
      <c r="CB21" s="47"/>
    </row>
    <row r="22" spans="9:80" ht="15.95" customHeight="1" x14ac:dyDescent="0.25">
      <c r="I22" s="140"/>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141"/>
      <c r="CA22" s="56"/>
      <c r="CB22" s="56"/>
    </row>
    <row r="23" spans="9:80" ht="15.95" customHeight="1" x14ac:dyDescent="0.25">
      <c r="I23" s="140"/>
      <c r="J23" s="220"/>
      <c r="K23" s="1970" t="s">
        <v>112</v>
      </c>
      <c r="L23" s="1970"/>
      <c r="M23" s="1970"/>
      <c r="N23" s="1970"/>
      <c r="O23" s="1970"/>
      <c r="P23" s="1971" t="s">
        <v>1244</v>
      </c>
      <c r="Q23" s="1971"/>
      <c r="R23" s="1971"/>
      <c r="S23" s="1971"/>
      <c r="T23" s="1971"/>
      <c r="U23" s="1971"/>
      <c r="V23" s="1971"/>
      <c r="W23" s="1971" t="s">
        <v>218</v>
      </c>
      <c r="X23" s="1971"/>
      <c r="Y23" s="1971"/>
      <c r="Z23" s="1971"/>
      <c r="AA23" s="1971"/>
      <c r="AB23" s="1971"/>
      <c r="AC23" s="1971"/>
      <c r="AD23" s="1971" t="s">
        <v>1247</v>
      </c>
      <c r="AE23" s="1971"/>
      <c r="AF23" s="1971"/>
      <c r="AG23" s="1971"/>
      <c r="AH23" s="1971"/>
      <c r="AI23" s="1971"/>
      <c r="AJ23" s="1971"/>
      <c r="AK23" s="141"/>
      <c r="CA23" s="230"/>
      <c r="CB23" s="230"/>
    </row>
    <row r="24" spans="9:80" ht="15.95" customHeight="1" x14ac:dyDescent="0.25">
      <c r="I24" s="140"/>
      <c r="J24" s="220"/>
      <c r="K24" s="1970"/>
      <c r="L24" s="1970"/>
      <c r="M24" s="1970"/>
      <c r="N24" s="1970"/>
      <c r="O24" s="1970"/>
      <c r="P24" s="1950">
        <f>PROJID</f>
        <v>0</v>
      </c>
      <c r="Q24" s="1950"/>
      <c r="R24" s="1950"/>
      <c r="S24" s="1950"/>
      <c r="T24" s="1950"/>
      <c r="U24" s="1950"/>
      <c r="V24" s="1950"/>
      <c r="W24" s="1950">
        <f>M02S02F46</f>
        <v>0</v>
      </c>
      <c r="X24" s="1950"/>
      <c r="Y24" s="1950"/>
      <c r="Z24" s="1950"/>
      <c r="AA24" s="1950"/>
      <c r="AB24" s="1950"/>
      <c r="AC24" s="1950"/>
      <c r="AD24" s="1950" t="str">
        <f>M02S02F47</f>
        <v/>
      </c>
      <c r="AE24" s="1950"/>
      <c r="AF24" s="1950"/>
      <c r="AG24" s="1950"/>
      <c r="AH24" s="1950"/>
      <c r="AI24" s="1950"/>
      <c r="AJ24" s="1950"/>
      <c r="AK24" s="141"/>
      <c r="CA24" s="44"/>
      <c r="CB24" s="44"/>
    </row>
    <row r="25" spans="9:80" ht="15.95" customHeight="1" x14ac:dyDescent="0.25">
      <c r="I25" s="140"/>
      <c r="J25" s="220"/>
      <c r="K25" s="1970"/>
      <c r="L25" s="1970"/>
      <c r="M25" s="1970"/>
      <c r="N25" s="1970"/>
      <c r="O25" s="1970"/>
      <c r="P25" s="1950"/>
      <c r="Q25" s="1950"/>
      <c r="R25" s="1950"/>
      <c r="S25" s="1950"/>
      <c r="T25" s="1950"/>
      <c r="U25" s="1950"/>
      <c r="V25" s="1950"/>
      <c r="W25" s="1950">
        <f>M02S02F08</f>
        <v>0</v>
      </c>
      <c r="X25" s="1950"/>
      <c r="Y25" s="1950"/>
      <c r="Z25" s="1950"/>
      <c r="AA25" s="1950"/>
      <c r="AB25" s="1950"/>
      <c r="AC25" s="1950"/>
      <c r="AD25" s="1950" t="str">
        <f>M02S02F22</f>
        <v/>
      </c>
      <c r="AE25" s="1950"/>
      <c r="AF25" s="1950"/>
      <c r="AG25" s="1950"/>
      <c r="AH25" s="1950"/>
      <c r="AI25" s="1950"/>
      <c r="AJ25" s="1950"/>
      <c r="AK25" s="141"/>
      <c r="CA25" s="230"/>
      <c r="CB25" s="230"/>
    </row>
    <row r="26" spans="9:80" ht="15.95" customHeight="1" x14ac:dyDescent="0.25">
      <c r="I26" s="140"/>
      <c r="J26" s="220"/>
      <c r="K26" s="1970"/>
      <c r="L26" s="1970"/>
      <c r="M26" s="1970"/>
      <c r="N26" s="1970"/>
      <c r="O26" s="1970"/>
      <c r="P26" s="1950"/>
      <c r="Q26" s="1950"/>
      <c r="R26" s="1950"/>
      <c r="S26" s="1950"/>
      <c r="T26" s="1950"/>
      <c r="U26" s="1950"/>
      <c r="V26" s="1950"/>
      <c r="W26" s="1950" t="str">
        <f>CONCATENATE(M02S02F09,", ",M02S02F10," ",M02S02F11)</f>
        <v xml:space="preserve">,  </v>
      </c>
      <c r="X26" s="1950"/>
      <c r="Y26" s="1950"/>
      <c r="Z26" s="1950"/>
      <c r="AA26" s="1950"/>
      <c r="AB26" s="1950"/>
      <c r="AC26" s="1950"/>
      <c r="AD26" s="1950" t="str">
        <f>CONCATENATE(M02S02F23,", ",M02S02F24," ",M02S02F25)</f>
        <v xml:space="preserve">, MO </v>
      </c>
      <c r="AE26" s="1950"/>
      <c r="AF26" s="1950"/>
      <c r="AG26" s="1950"/>
      <c r="AH26" s="1950"/>
      <c r="AI26" s="1950"/>
      <c r="AJ26" s="1950"/>
      <c r="AK26" s="141"/>
      <c r="CA26" s="48"/>
      <c r="CB26" s="48"/>
    </row>
    <row r="27" spans="9:80" ht="15.95" customHeight="1" x14ac:dyDescent="0.25">
      <c r="I27" s="140"/>
      <c r="J27" s="220"/>
      <c r="K27" s="1970"/>
      <c r="L27" s="1970"/>
      <c r="M27" s="1970"/>
      <c r="N27" s="1970"/>
      <c r="O27" s="1970"/>
      <c r="P27" s="1950"/>
      <c r="Q27" s="1950"/>
      <c r="R27" s="1950"/>
      <c r="S27" s="1950"/>
      <c r="T27" s="1950"/>
      <c r="U27" s="1950"/>
      <c r="V27" s="1950"/>
      <c r="W27" s="1950"/>
      <c r="X27" s="1950"/>
      <c r="Y27" s="1950"/>
      <c r="Z27" s="1950"/>
      <c r="AA27" s="1950"/>
      <c r="AB27" s="1950"/>
      <c r="AC27" s="1950"/>
      <c r="AD27" s="1950"/>
      <c r="AE27" s="1950"/>
      <c r="AF27" s="1950"/>
      <c r="AG27" s="1950"/>
      <c r="AH27" s="1950"/>
      <c r="AI27" s="1950"/>
      <c r="AJ27" s="1950"/>
      <c r="AK27" s="141"/>
      <c r="CA27" s="231"/>
      <c r="CB27" s="231"/>
    </row>
    <row r="28" spans="9:80" ht="15.95" customHeight="1" x14ac:dyDescent="0.25">
      <c r="I28" s="140"/>
      <c r="J28" s="220"/>
      <c r="K28" s="1970"/>
      <c r="L28" s="1970"/>
      <c r="M28" s="1970"/>
      <c r="N28" s="1970"/>
      <c r="O28" s="1970"/>
      <c r="P28" s="1971" t="s">
        <v>1245</v>
      </c>
      <c r="Q28" s="1971"/>
      <c r="R28" s="1971"/>
      <c r="S28" s="1971"/>
      <c r="T28" s="1971"/>
      <c r="U28" s="1971"/>
      <c r="V28" s="1971"/>
      <c r="W28" s="1971" t="s">
        <v>1246</v>
      </c>
      <c r="X28" s="1971"/>
      <c r="Y28" s="1971"/>
      <c r="Z28" s="1971"/>
      <c r="AA28" s="1971"/>
      <c r="AB28" s="1971"/>
      <c r="AC28" s="1971"/>
      <c r="AD28" s="1971" t="s">
        <v>1909</v>
      </c>
      <c r="AE28" s="1971"/>
      <c r="AF28" s="1971"/>
      <c r="AG28" s="1971"/>
      <c r="AH28" s="1971"/>
      <c r="AI28" s="1971"/>
      <c r="AJ28" s="1971"/>
      <c r="AK28" s="141"/>
      <c r="CA28" s="49"/>
      <c r="CB28" s="49"/>
    </row>
    <row r="29" spans="9:80" ht="15.95" customHeight="1" x14ac:dyDescent="0.25">
      <c r="I29" s="140"/>
      <c r="J29" s="220"/>
      <c r="K29" s="1970"/>
      <c r="L29" s="1970"/>
      <c r="M29" s="1970"/>
      <c r="N29" s="1970"/>
      <c r="O29" s="1970"/>
      <c r="P29" s="1950">
        <f>M02S02F13</f>
        <v>0</v>
      </c>
      <c r="Q29" s="1950"/>
      <c r="R29" s="1950"/>
      <c r="S29" s="1950"/>
      <c r="T29" s="1950"/>
      <c r="U29" s="1950"/>
      <c r="V29" s="1950"/>
      <c r="W29" s="1950" t="str">
        <f>CONCATENATE(M02S02F02," ",M02S02F03)</f>
        <v xml:space="preserve"> </v>
      </c>
      <c r="X29" s="1950"/>
      <c r="Y29" s="1950"/>
      <c r="Z29" s="1950"/>
      <c r="AA29" s="1950"/>
      <c r="AB29" s="1950"/>
      <c r="AC29" s="1950"/>
      <c r="AD29" s="1950" t="str">
        <f>CONCATENATE(M02S02F16," ",M02S02F17)</f>
        <v xml:space="preserve"> </v>
      </c>
      <c r="AE29" s="1950"/>
      <c r="AF29" s="1950"/>
      <c r="AG29" s="1950"/>
      <c r="AH29" s="1950"/>
      <c r="AI29" s="1950"/>
      <c r="AJ29" s="1950"/>
      <c r="AK29" s="141"/>
      <c r="CA29" s="230"/>
      <c r="CB29" s="230"/>
    </row>
    <row r="30" spans="9:80" ht="15.95" customHeight="1" x14ac:dyDescent="0.25">
      <c r="I30" s="140"/>
      <c r="J30" s="220"/>
      <c r="K30" s="1970"/>
      <c r="L30" s="1970"/>
      <c r="M30" s="1970"/>
      <c r="N30" s="1970"/>
      <c r="O30" s="1970"/>
      <c r="P30" s="1950"/>
      <c r="Q30" s="1950"/>
      <c r="R30" s="1950"/>
      <c r="S30" s="1950"/>
      <c r="T30" s="1950"/>
      <c r="U30" s="1950"/>
      <c r="V30" s="1950"/>
      <c r="W30" s="1954" t="str">
        <f>M02S02F05</f>
        <v/>
      </c>
      <c r="X30" s="1954"/>
      <c r="Y30" s="1954"/>
      <c r="Z30" s="1954"/>
      <c r="AA30" s="1954"/>
      <c r="AB30" s="1954"/>
      <c r="AC30" s="1954"/>
      <c r="AD30" s="1954">
        <f>M02S02F19</f>
        <v>0</v>
      </c>
      <c r="AE30" s="1954"/>
      <c r="AF30" s="1954"/>
      <c r="AG30" s="1954"/>
      <c r="AH30" s="1954"/>
      <c r="AI30" s="1954"/>
      <c r="AJ30" s="1954"/>
      <c r="AK30" s="141"/>
      <c r="CA30" s="45"/>
      <c r="CB30" s="45"/>
    </row>
    <row r="31" spans="9:80" ht="15.95" customHeight="1" x14ac:dyDescent="0.25">
      <c r="I31" s="140"/>
      <c r="J31" s="220"/>
      <c r="K31" s="1970"/>
      <c r="L31" s="1970"/>
      <c r="M31" s="1970"/>
      <c r="N31" s="1970"/>
      <c r="O31" s="1970"/>
      <c r="P31" s="1950"/>
      <c r="Q31" s="1950"/>
      <c r="R31" s="1950"/>
      <c r="S31" s="1950"/>
      <c r="T31" s="1950"/>
      <c r="U31" s="1950"/>
      <c r="V31" s="1950"/>
      <c r="W31" s="1950" t="str">
        <f>M02S02F07</f>
        <v/>
      </c>
      <c r="X31" s="1950"/>
      <c r="Y31" s="1950"/>
      <c r="Z31" s="1950"/>
      <c r="AA31" s="1950"/>
      <c r="AB31" s="1950"/>
      <c r="AC31" s="1950"/>
      <c r="AD31" s="1950">
        <f>M02S02F21</f>
        <v>0</v>
      </c>
      <c r="AE31" s="1950"/>
      <c r="AF31" s="1950"/>
      <c r="AG31" s="1950"/>
      <c r="AH31" s="1950"/>
      <c r="AI31" s="1950"/>
      <c r="AJ31" s="1950"/>
      <c r="AK31" s="141"/>
      <c r="CA31" s="47"/>
      <c r="CB31" s="47"/>
    </row>
    <row r="32" spans="9:80" ht="15.95" customHeight="1" x14ac:dyDescent="0.25">
      <c r="I32" s="140"/>
      <c r="J32" s="69"/>
      <c r="K32" s="69"/>
      <c r="L32" s="69"/>
      <c r="M32" s="69"/>
      <c r="N32" s="69"/>
      <c r="O32" s="69"/>
      <c r="P32" s="162"/>
      <c r="Q32" s="162"/>
      <c r="R32" s="162"/>
      <c r="S32" s="162"/>
      <c r="T32" s="162"/>
      <c r="U32" s="162"/>
      <c r="V32" s="162"/>
      <c r="W32" s="162"/>
      <c r="X32" s="162"/>
      <c r="Y32" s="162"/>
      <c r="Z32" s="162"/>
      <c r="AA32" s="162"/>
      <c r="AB32" s="162"/>
      <c r="AC32" s="162"/>
      <c r="AD32" s="162"/>
      <c r="AE32" s="162"/>
      <c r="AF32" s="162"/>
      <c r="AG32" s="162"/>
      <c r="AH32" s="162"/>
      <c r="AI32" s="162"/>
      <c r="AJ32" s="162"/>
      <c r="AK32" s="141"/>
      <c r="CA32" s="232"/>
      <c r="CB32" s="232"/>
    </row>
    <row r="33" spans="9:80" ht="15.95" customHeight="1" x14ac:dyDescent="0.25">
      <c r="I33" s="140"/>
      <c r="J33" s="221"/>
      <c r="K33" s="1941" t="s">
        <v>1077</v>
      </c>
      <c r="L33" s="1941"/>
      <c r="M33" s="1941"/>
      <c r="N33" s="1941"/>
      <c r="O33" s="1941"/>
      <c r="P33" s="1947" t="s">
        <v>117</v>
      </c>
      <c r="Q33" s="1947"/>
      <c r="R33" s="1947"/>
      <c r="S33" s="1947"/>
      <c r="T33" s="1947"/>
      <c r="U33" s="1947"/>
      <c r="V33" s="1947"/>
      <c r="W33" s="1947" t="s">
        <v>113</v>
      </c>
      <c r="X33" s="1947"/>
      <c r="Y33" s="1947"/>
      <c r="Z33" s="1947"/>
      <c r="AA33" s="1947"/>
      <c r="AB33" s="1947"/>
      <c r="AC33" s="1947"/>
      <c r="AD33" s="1947" t="s">
        <v>106</v>
      </c>
      <c r="AE33" s="1947"/>
      <c r="AF33" s="1947"/>
      <c r="AG33" s="1947"/>
      <c r="AH33" s="1947"/>
      <c r="AI33" s="1947"/>
      <c r="AJ33" s="1947"/>
      <c r="AK33" s="141"/>
      <c r="CA33" s="56"/>
      <c r="CB33" s="56"/>
    </row>
    <row r="34" spans="9:80" ht="15.95" customHeight="1" x14ac:dyDescent="0.25">
      <c r="I34" s="140"/>
      <c r="J34" s="221"/>
      <c r="K34" s="1941"/>
      <c r="L34" s="1941"/>
      <c r="M34" s="1941"/>
      <c r="N34" s="1941"/>
      <c r="O34" s="1941"/>
      <c r="P34" s="1942">
        <f>M02S03F02</f>
        <v>0</v>
      </c>
      <c r="Q34" s="1942"/>
      <c r="R34" s="1942"/>
      <c r="S34" s="1942"/>
      <c r="T34" s="1942"/>
      <c r="U34" s="1942"/>
      <c r="V34" s="1942"/>
      <c r="W34" s="1942" t="str">
        <f>CONCATENATE(M02S03F03," ",M02S03F04)</f>
        <v xml:space="preserve"> </v>
      </c>
      <c r="X34" s="1942"/>
      <c r="Y34" s="1942"/>
      <c r="Z34" s="1942"/>
      <c r="AA34" s="1942"/>
      <c r="AB34" s="1942"/>
      <c r="AC34" s="1942"/>
      <c r="AD34" s="1942">
        <f>M02S03F09</f>
        <v>0</v>
      </c>
      <c r="AE34" s="1942"/>
      <c r="AF34" s="1942"/>
      <c r="AG34" s="1942"/>
      <c r="AH34" s="1942"/>
      <c r="AI34" s="1942"/>
      <c r="AJ34" s="1942"/>
      <c r="AK34" s="141"/>
      <c r="CA34" s="53"/>
      <c r="CB34" s="53"/>
    </row>
    <row r="35" spans="9:80" ht="15.95" customHeight="1" x14ac:dyDescent="0.25">
      <c r="I35" s="140"/>
      <c r="J35" s="221"/>
      <c r="K35" s="1941"/>
      <c r="L35" s="1941"/>
      <c r="M35" s="1941"/>
      <c r="N35" s="1941"/>
      <c r="O35" s="1941"/>
      <c r="P35" s="1942"/>
      <c r="Q35" s="1942"/>
      <c r="R35" s="1942"/>
      <c r="S35" s="1942"/>
      <c r="T35" s="1942"/>
      <c r="U35" s="1942"/>
      <c r="V35" s="1942"/>
      <c r="W35" s="1951">
        <f>M02S03F06</f>
        <v>0</v>
      </c>
      <c r="X35" s="1951"/>
      <c r="Y35" s="1951"/>
      <c r="Z35" s="1951"/>
      <c r="AA35" s="1951"/>
      <c r="AB35" s="1951"/>
      <c r="AC35" s="1951"/>
      <c r="AD35" s="1942" t="str">
        <f>CONCATENATE(M02S03F10,", ",M02S03F11," ",M02S03F12)</f>
        <v xml:space="preserve">,  </v>
      </c>
      <c r="AE35" s="1942"/>
      <c r="AF35" s="1942"/>
      <c r="AG35" s="1942"/>
      <c r="AH35" s="1942"/>
      <c r="AI35" s="1942"/>
      <c r="AJ35" s="1942"/>
      <c r="AK35" s="141"/>
      <c r="CA35" s="50"/>
      <c r="CB35" s="50"/>
    </row>
    <row r="36" spans="9:80" ht="15.95" customHeight="1" x14ac:dyDescent="0.25">
      <c r="I36" s="140"/>
      <c r="J36" s="221"/>
      <c r="K36" s="1941"/>
      <c r="L36" s="1941"/>
      <c r="M36" s="1941"/>
      <c r="N36" s="1941"/>
      <c r="O36" s="1941"/>
      <c r="P36" s="1942"/>
      <c r="Q36" s="1942"/>
      <c r="R36" s="1942"/>
      <c r="S36" s="1942"/>
      <c r="T36" s="1942"/>
      <c r="U36" s="1942"/>
      <c r="V36" s="1942"/>
      <c r="W36" s="1942">
        <f>M02S03F08</f>
        <v>0</v>
      </c>
      <c r="X36" s="1942"/>
      <c r="Y36" s="1942"/>
      <c r="Z36" s="1942"/>
      <c r="AA36" s="1942"/>
      <c r="AB36" s="1942"/>
      <c r="AC36" s="1942"/>
      <c r="AD36" s="1942"/>
      <c r="AE36" s="1942"/>
      <c r="AF36" s="1942"/>
      <c r="AG36" s="1942"/>
      <c r="AH36" s="1942"/>
      <c r="AI36" s="1942"/>
      <c r="AJ36" s="1942"/>
      <c r="AK36" s="141"/>
      <c r="CA36" s="51"/>
      <c r="CB36" s="51"/>
    </row>
    <row r="37" spans="9:80" ht="15.95" customHeight="1" x14ac:dyDescent="0.25">
      <c r="I37" s="140"/>
      <c r="J37" s="221"/>
      <c r="K37" s="1941"/>
      <c r="L37" s="1941"/>
      <c r="M37" s="1941"/>
      <c r="N37" s="1941"/>
      <c r="O37" s="1941"/>
      <c r="P37" s="1942"/>
      <c r="Q37" s="1942"/>
      <c r="R37" s="1942"/>
      <c r="S37" s="1942"/>
      <c r="T37" s="1942"/>
      <c r="U37" s="1942"/>
      <c r="V37" s="1942"/>
      <c r="W37" s="1942"/>
      <c r="X37" s="1942"/>
      <c r="Y37" s="1942"/>
      <c r="Z37" s="1942"/>
      <c r="AA37" s="1942"/>
      <c r="AB37" s="1942"/>
      <c r="AC37" s="1942"/>
      <c r="AD37" s="1942"/>
      <c r="AE37" s="1942"/>
      <c r="AF37" s="1942"/>
      <c r="AG37" s="1942"/>
      <c r="AH37" s="1942"/>
      <c r="AI37" s="1942"/>
      <c r="AJ37" s="1942"/>
      <c r="AK37" s="141"/>
      <c r="CA37" s="233"/>
      <c r="CB37" s="233"/>
    </row>
    <row r="38" spans="9:80" ht="15.95" customHeight="1" x14ac:dyDescent="0.25">
      <c r="I38" s="140"/>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141"/>
      <c r="CA38" s="233"/>
      <c r="CB38" s="233"/>
    </row>
    <row r="39" spans="9:80" ht="15.95" customHeight="1" x14ac:dyDescent="0.25">
      <c r="I39" s="140"/>
      <c r="J39" s="222"/>
      <c r="K39" s="1970" t="s">
        <v>1316</v>
      </c>
      <c r="L39" s="1970"/>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41"/>
      <c r="CA39" s="233"/>
      <c r="CB39" s="233"/>
    </row>
    <row r="40" spans="9:80" ht="15.95" customHeight="1" x14ac:dyDescent="0.25">
      <c r="I40" s="140"/>
      <c r="J40" s="222"/>
      <c r="K40" s="1970"/>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41"/>
      <c r="CA40" s="233"/>
      <c r="CB40" s="233"/>
    </row>
    <row r="41" spans="9:80" ht="15.95" customHeight="1" x14ac:dyDescent="0.25">
      <c r="I41" s="140"/>
      <c r="J41" s="222"/>
      <c r="K41" s="1943" t="s">
        <v>1250</v>
      </c>
      <c r="L41" s="1943"/>
      <c r="M41" s="1943"/>
      <c r="N41" s="1943"/>
      <c r="O41" s="1943"/>
      <c r="P41" s="1943" t="s">
        <v>1317</v>
      </c>
      <c r="Q41" s="1943"/>
      <c r="R41" s="1943"/>
      <c r="S41" s="1943"/>
      <c r="T41" s="1943"/>
      <c r="U41" s="1943"/>
      <c r="V41" s="1943"/>
      <c r="W41" s="1943" t="s">
        <v>1251</v>
      </c>
      <c r="X41" s="1943"/>
      <c r="Y41" s="1943"/>
      <c r="Z41" s="1943"/>
      <c r="AA41" s="1943"/>
      <c r="AB41" s="1943"/>
      <c r="AC41" s="1943"/>
      <c r="AD41" s="1953" t="s">
        <v>111</v>
      </c>
      <c r="AE41" s="1953"/>
      <c r="AF41" s="1953"/>
      <c r="AG41" s="1953"/>
      <c r="AH41" s="1953"/>
      <c r="AI41" s="1953"/>
      <c r="AJ41" s="223"/>
      <c r="AK41" s="141"/>
      <c r="CA41" s="52"/>
      <c r="CB41" s="52"/>
    </row>
    <row r="42" spans="9:80" ht="15.95" customHeight="1" x14ac:dyDescent="0.25">
      <c r="I42" s="140"/>
      <c r="J42" s="222"/>
      <c r="K42" s="1944" t="s">
        <v>1096</v>
      </c>
      <c r="L42" s="1944"/>
      <c r="M42" s="1944"/>
      <c r="N42" s="1944"/>
      <c r="O42" s="1944"/>
      <c r="P42" s="1949">
        <f>KWHTOTALPRESE</f>
        <v>0</v>
      </c>
      <c r="Q42" s="1949"/>
      <c r="R42" s="1949"/>
      <c r="S42" s="1949"/>
      <c r="T42" s="1949"/>
      <c r="U42" s="1949"/>
      <c r="V42" s="1949"/>
      <c r="W42" s="1952">
        <f>COSTTOTALALLPRESE</f>
        <v>0</v>
      </c>
      <c r="X42" s="1952"/>
      <c r="Y42" s="1952"/>
      <c r="Z42" s="1952"/>
      <c r="AA42" s="1952"/>
      <c r="AB42" s="1952"/>
      <c r="AC42" s="1952"/>
      <c r="AD42" s="1946">
        <f>INCENTOTALPRESE</f>
        <v>0</v>
      </c>
      <c r="AE42" s="1946"/>
      <c r="AF42" s="1946"/>
      <c r="AG42" s="1946"/>
      <c r="AH42" s="1946"/>
      <c r="AI42" s="1946"/>
      <c r="AJ42" s="224"/>
      <c r="AK42" s="141"/>
      <c r="CA42" s="46"/>
      <c r="CB42" s="46"/>
    </row>
    <row r="43" spans="9:80" ht="15.95" customHeight="1" x14ac:dyDescent="0.25">
      <c r="I43" s="140"/>
      <c r="J43" s="222"/>
      <c r="K43" s="1944" t="s">
        <v>212</v>
      </c>
      <c r="L43" s="1944"/>
      <c r="M43" s="1944"/>
      <c r="N43" s="1944"/>
      <c r="O43" s="1944"/>
      <c r="P43" s="1949">
        <f ca="1">KWHTOTALCUSE</f>
        <v>0</v>
      </c>
      <c r="Q43" s="1949"/>
      <c r="R43" s="1949"/>
      <c r="S43" s="1949"/>
      <c r="T43" s="1949"/>
      <c r="U43" s="1949"/>
      <c r="V43" s="1949"/>
      <c r="W43" s="1952">
        <f>COSTTOTALALLCUSE</f>
        <v>0</v>
      </c>
      <c r="X43" s="1952"/>
      <c r="Y43" s="1952"/>
      <c r="Z43" s="1952"/>
      <c r="AA43" s="1952"/>
      <c r="AB43" s="1952"/>
      <c r="AC43" s="1952"/>
      <c r="AD43" s="1952">
        <f>INCENTOTALCUSE</f>
        <v>0</v>
      </c>
      <c r="AE43" s="1952"/>
      <c r="AF43" s="1952"/>
      <c r="AG43" s="1952"/>
      <c r="AH43" s="1952"/>
      <c r="AI43" s="1952"/>
      <c r="AJ43" s="224"/>
      <c r="AK43" s="141"/>
      <c r="CA43" s="234"/>
      <c r="CB43" s="19"/>
    </row>
    <row r="44" spans="9:80" ht="15.95" hidden="1" customHeight="1" x14ac:dyDescent="0.25">
      <c r="I44" s="140"/>
      <c r="J44" s="222"/>
      <c r="K44" s="1943"/>
      <c r="L44" s="1943"/>
      <c r="M44" s="1943"/>
      <c r="N44" s="1943"/>
      <c r="O44" s="1943"/>
      <c r="P44" s="1945"/>
      <c r="Q44" s="1945"/>
      <c r="R44" s="1945"/>
      <c r="S44" s="1945"/>
      <c r="T44" s="1945"/>
      <c r="U44" s="1945"/>
      <c r="V44" s="1945"/>
      <c r="W44" s="1946"/>
      <c r="X44" s="1946"/>
      <c r="Y44" s="1946"/>
      <c r="Z44" s="1946"/>
      <c r="AA44" s="1946"/>
      <c r="AB44" s="1946"/>
      <c r="AC44" s="1946"/>
      <c r="AD44" s="1946"/>
      <c r="AE44" s="1946"/>
      <c r="AF44" s="1946"/>
      <c r="AG44" s="1946"/>
      <c r="AH44" s="1946"/>
      <c r="AI44" s="1946"/>
      <c r="AJ44" s="223"/>
      <c r="AK44" s="141"/>
      <c r="CA44" s="54"/>
      <c r="CB44" s="54"/>
    </row>
    <row r="45" spans="9:80" ht="15.95" hidden="1" customHeight="1" x14ac:dyDescent="0.25">
      <c r="I45" s="140"/>
      <c r="J45" s="222"/>
      <c r="K45" s="1943"/>
      <c r="L45" s="1943"/>
      <c r="M45" s="1943"/>
      <c r="N45" s="1943"/>
      <c r="O45" s="1943"/>
      <c r="P45" s="1945"/>
      <c r="Q45" s="1945"/>
      <c r="R45" s="1945"/>
      <c r="S45" s="1945"/>
      <c r="T45" s="1945"/>
      <c r="U45" s="1945"/>
      <c r="V45" s="1945"/>
      <c r="W45" s="1946"/>
      <c r="X45" s="1946"/>
      <c r="Y45" s="1946"/>
      <c r="Z45" s="1946"/>
      <c r="AA45" s="1946"/>
      <c r="AB45" s="1946"/>
      <c r="AC45" s="1946"/>
      <c r="AD45" s="1946"/>
      <c r="AE45" s="1946"/>
      <c r="AF45" s="1946"/>
      <c r="AG45" s="1946"/>
      <c r="AH45" s="1946"/>
      <c r="AI45" s="1946"/>
      <c r="AJ45" s="223"/>
      <c r="AK45" s="141"/>
      <c r="CA45" s="54"/>
      <c r="CB45" s="54"/>
    </row>
    <row r="46" spans="9:80" ht="15.95" customHeight="1" x14ac:dyDescent="0.25">
      <c r="I46" s="140"/>
      <c r="J46" s="222"/>
      <c r="K46" s="1943" t="s">
        <v>119</v>
      </c>
      <c r="L46" s="1943"/>
      <c r="M46" s="1943"/>
      <c r="N46" s="1943"/>
      <c r="O46" s="1943"/>
      <c r="P46" s="1945">
        <f ca="1">SUM(P42:V43)</f>
        <v>0</v>
      </c>
      <c r="Q46" s="1945"/>
      <c r="R46" s="1945"/>
      <c r="S46" s="1945"/>
      <c r="T46" s="1945"/>
      <c r="U46" s="1945"/>
      <c r="V46" s="1945"/>
      <c r="W46" s="1946">
        <f>SUM(W42:AC43)</f>
        <v>0</v>
      </c>
      <c r="X46" s="1946"/>
      <c r="Y46" s="1946"/>
      <c r="Z46" s="1946"/>
      <c r="AA46" s="1946"/>
      <c r="AB46" s="1946"/>
      <c r="AC46" s="1946"/>
      <c r="AD46" s="1946">
        <f>SUM(AD42:AJ43)</f>
        <v>0</v>
      </c>
      <c r="AE46" s="1946"/>
      <c r="AF46" s="1946"/>
      <c r="AG46" s="1946"/>
      <c r="AH46" s="1946"/>
      <c r="AI46" s="1946"/>
      <c r="AJ46" s="225"/>
      <c r="AK46" s="141"/>
      <c r="CA46" s="19"/>
      <c r="CB46" s="19"/>
    </row>
    <row r="47" spans="9:80" ht="15.95" customHeight="1" x14ac:dyDescent="0.25">
      <c r="I47" s="140"/>
      <c r="J47" s="222"/>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141"/>
      <c r="CA47" s="19"/>
      <c r="CB47" s="19"/>
    </row>
    <row r="48" spans="9:80" ht="15.95" customHeight="1" x14ac:dyDescent="0.25">
      <c r="I48" s="140"/>
      <c r="K48" s="1964" t="s">
        <v>1257</v>
      </c>
      <c r="L48" s="1964"/>
      <c r="M48" s="1964"/>
      <c r="N48" s="1964"/>
      <c r="O48" s="1964"/>
      <c r="P48" s="1964"/>
      <c r="Q48" s="1964"/>
      <c r="R48" s="1964"/>
      <c r="S48" s="1964"/>
      <c r="T48" s="1964"/>
      <c r="U48" s="1964"/>
      <c r="V48" s="235"/>
      <c r="W48" s="69"/>
      <c r="Y48" s="1964" t="s">
        <v>1252</v>
      </c>
      <c r="Z48" s="1964"/>
      <c r="AA48" s="1964"/>
      <c r="AB48" s="1964"/>
      <c r="AC48" s="1964"/>
      <c r="AD48" s="1964"/>
      <c r="AE48" s="1964"/>
      <c r="AF48" s="1964"/>
      <c r="AG48" s="1964"/>
      <c r="AH48" s="1964"/>
      <c r="AI48" s="1964"/>
      <c r="AJ48" s="78"/>
      <c r="AK48" s="141"/>
      <c r="CA48" s="19"/>
      <c r="CB48" s="19"/>
    </row>
    <row r="49" spans="9:80" ht="15.95" customHeight="1" x14ac:dyDescent="0.25">
      <c r="I49" s="140"/>
      <c r="J49" s="235"/>
      <c r="K49" s="1964"/>
      <c r="L49" s="1964"/>
      <c r="M49" s="1964"/>
      <c r="N49" s="1964"/>
      <c r="O49" s="1964"/>
      <c r="P49" s="1964"/>
      <c r="Q49" s="1964"/>
      <c r="R49" s="1964"/>
      <c r="S49" s="1964"/>
      <c r="T49" s="1964"/>
      <c r="U49" s="1964"/>
      <c r="V49" s="235"/>
      <c r="W49" s="69"/>
      <c r="X49" s="235"/>
      <c r="Y49" s="1964"/>
      <c r="Z49" s="1964"/>
      <c r="AA49" s="1964"/>
      <c r="AB49" s="1964"/>
      <c r="AC49" s="1964"/>
      <c r="AD49" s="1964"/>
      <c r="AE49" s="1964"/>
      <c r="AF49" s="1964"/>
      <c r="AG49" s="1964"/>
      <c r="AH49" s="1964"/>
      <c r="AI49" s="1964"/>
      <c r="AJ49" s="235"/>
      <c r="AK49" s="141"/>
      <c r="CA49" s="236"/>
      <c r="CB49" s="236"/>
    </row>
    <row r="50" spans="9:80" ht="15.95" customHeight="1" x14ac:dyDescent="0.25">
      <c r="I50" s="140"/>
      <c r="J50" s="1929" t="s">
        <v>1264</v>
      </c>
      <c r="K50" s="1929"/>
      <c r="L50" s="1929"/>
      <c r="M50" s="1929"/>
      <c r="N50" s="1929"/>
      <c r="O50" s="1929"/>
      <c r="P50" s="1929"/>
      <c r="Q50" s="1929"/>
      <c r="R50" s="1929"/>
      <c r="S50" s="1929"/>
      <c r="T50" s="1929"/>
      <c r="U50" s="1929"/>
      <c r="V50" s="1929"/>
      <c r="Y50" s="1977" t="s">
        <v>1253</v>
      </c>
      <c r="Z50" s="1977"/>
      <c r="AA50" s="1977"/>
      <c r="AB50" s="1977"/>
      <c r="AC50" s="1977"/>
      <c r="AD50" s="1977"/>
      <c r="AE50" s="1977"/>
      <c r="AF50" s="1977"/>
      <c r="AG50" s="1977"/>
      <c r="AH50" s="1977"/>
      <c r="AI50" s="1977"/>
      <c r="AJ50" s="235"/>
      <c r="AK50" s="141"/>
      <c r="AM50" s="160"/>
      <c r="CA50" s="236"/>
      <c r="CB50" s="236"/>
    </row>
    <row r="51" spans="9:80" ht="15.95" customHeight="1" x14ac:dyDescent="0.25">
      <c r="I51" s="140"/>
      <c r="J51" s="1929"/>
      <c r="K51" s="1929"/>
      <c r="L51" s="1929"/>
      <c r="M51" s="1929"/>
      <c r="N51" s="1929"/>
      <c r="O51" s="1929"/>
      <c r="P51" s="1929"/>
      <c r="Q51" s="1929"/>
      <c r="R51" s="1929"/>
      <c r="S51" s="1929"/>
      <c r="T51" s="1929"/>
      <c r="U51" s="1929"/>
      <c r="V51" s="1929"/>
      <c r="Y51" s="1978"/>
      <c r="Z51" s="1978"/>
      <c r="AA51" s="1978"/>
      <c r="AB51" s="1978"/>
      <c r="AC51" s="1978"/>
      <c r="AD51" s="1978"/>
      <c r="AE51" s="1978"/>
      <c r="AF51" s="1978"/>
      <c r="AG51" s="1978"/>
      <c r="AH51" s="1978"/>
      <c r="AI51" s="1978"/>
      <c r="AK51" s="141"/>
      <c r="AM51" s="160"/>
      <c r="CA51" s="237"/>
      <c r="CB51" s="237"/>
    </row>
    <row r="52" spans="9:80" ht="15.95" customHeight="1" x14ac:dyDescent="0.25">
      <c r="I52" s="140"/>
      <c r="J52" s="1929"/>
      <c r="K52" s="1929"/>
      <c r="L52" s="1929"/>
      <c r="M52" s="1929"/>
      <c r="N52" s="1929"/>
      <c r="O52" s="1929"/>
      <c r="P52" s="1929"/>
      <c r="Q52" s="1929"/>
      <c r="R52" s="1929"/>
      <c r="S52" s="1929"/>
      <c r="T52" s="1929"/>
      <c r="U52" s="1929"/>
      <c r="V52" s="1929"/>
      <c r="Y52" s="1962" t="s">
        <v>1254</v>
      </c>
      <c r="Z52" s="1962"/>
      <c r="AA52" s="1962"/>
      <c r="AB52" s="1962"/>
      <c r="AC52" s="1962"/>
      <c r="AD52" s="1962"/>
      <c r="AE52" s="1962"/>
      <c r="AF52" s="1962"/>
      <c r="AG52" s="1962"/>
      <c r="AH52" s="1962"/>
      <c r="AI52" s="1962"/>
      <c r="AK52" s="141"/>
      <c r="CA52" s="237"/>
      <c r="CB52" s="237"/>
    </row>
    <row r="53" spans="9:80" ht="15.95" customHeight="1" x14ac:dyDescent="0.25">
      <c r="I53" s="140"/>
      <c r="J53" s="1929"/>
      <c r="K53" s="1929"/>
      <c r="L53" s="1929"/>
      <c r="M53" s="1929"/>
      <c r="N53" s="1929"/>
      <c r="O53" s="1929"/>
      <c r="P53" s="1929"/>
      <c r="Q53" s="1929"/>
      <c r="R53" s="1929"/>
      <c r="S53" s="1929"/>
      <c r="T53" s="1929"/>
      <c r="U53" s="1929"/>
      <c r="V53" s="1929"/>
      <c r="Y53" s="1963"/>
      <c r="Z53" s="1963"/>
      <c r="AA53" s="1963"/>
      <c r="AB53" s="1963"/>
      <c r="AC53" s="1963"/>
      <c r="AD53" s="1963"/>
      <c r="AE53" s="1963"/>
      <c r="AF53" s="1963"/>
      <c r="AG53" s="1963"/>
      <c r="AH53" s="1963"/>
      <c r="AI53" s="1963"/>
      <c r="AK53" s="141"/>
      <c r="CA53" s="237"/>
      <c r="CB53" s="237"/>
    </row>
    <row r="54" spans="9:80" ht="15.95" customHeight="1" x14ac:dyDescent="0.25">
      <c r="I54" s="140"/>
      <c r="J54" s="1929"/>
      <c r="K54" s="1929"/>
      <c r="L54" s="1929"/>
      <c r="M54" s="1929"/>
      <c r="N54" s="1929"/>
      <c r="O54" s="1929"/>
      <c r="P54" s="1929"/>
      <c r="Q54" s="1929"/>
      <c r="R54" s="1929"/>
      <c r="S54" s="1929"/>
      <c r="T54" s="1929"/>
      <c r="U54" s="1929"/>
      <c r="V54" s="1929"/>
      <c r="AK54" s="141"/>
      <c r="CA54" s="237"/>
      <c r="CB54" s="237"/>
    </row>
    <row r="55" spans="9:80" ht="15.95" customHeight="1" x14ac:dyDescent="0.25">
      <c r="I55" s="140"/>
      <c r="J55" s="1929"/>
      <c r="K55" s="1929"/>
      <c r="L55" s="1929"/>
      <c r="M55" s="1929"/>
      <c r="N55" s="1929"/>
      <c r="O55" s="1929"/>
      <c r="P55" s="1929"/>
      <c r="Q55" s="1929"/>
      <c r="R55" s="1929"/>
      <c r="S55" s="1929"/>
      <c r="T55" s="1929"/>
      <c r="U55" s="1929"/>
      <c r="V55" s="1929"/>
      <c r="X55" s="1979" t="s">
        <v>1255</v>
      </c>
      <c r="Y55" s="1979"/>
      <c r="Z55" s="1979"/>
      <c r="AA55" s="1979"/>
      <c r="AB55" s="1979"/>
      <c r="AC55" s="1979"/>
      <c r="AD55" s="1979"/>
      <c r="AE55" s="1979"/>
      <c r="AF55" s="1979"/>
      <c r="AG55" s="1979"/>
      <c r="AH55" s="1979"/>
      <c r="AI55" s="1979"/>
      <c r="AJ55" s="1979"/>
      <c r="AK55" s="141"/>
      <c r="CA55" s="238"/>
      <c r="CB55" s="238"/>
    </row>
    <row r="56" spans="9:80" ht="15.95" customHeight="1" x14ac:dyDescent="0.25">
      <c r="I56" s="140"/>
      <c r="K56" s="1964" t="s">
        <v>1260</v>
      </c>
      <c r="L56" s="1964"/>
      <c r="M56" s="1964"/>
      <c r="N56" s="1964"/>
      <c r="O56" s="1964"/>
      <c r="P56" s="1964"/>
      <c r="Q56" s="1964"/>
      <c r="R56" s="1964"/>
      <c r="S56" s="1964"/>
      <c r="T56" s="1964"/>
      <c r="U56" s="1964"/>
      <c r="V56" s="235"/>
      <c r="X56" s="1979"/>
      <c r="Y56" s="1979"/>
      <c r="Z56" s="1979"/>
      <c r="AA56" s="1979"/>
      <c r="AB56" s="1979"/>
      <c r="AC56" s="1979"/>
      <c r="AD56" s="1979"/>
      <c r="AE56" s="1979"/>
      <c r="AF56" s="1979"/>
      <c r="AG56" s="1979"/>
      <c r="AH56" s="1979"/>
      <c r="AI56" s="1979"/>
      <c r="AJ56" s="1979"/>
      <c r="AK56" s="141"/>
      <c r="CA56" s="239"/>
      <c r="CB56" s="239"/>
    </row>
    <row r="57" spans="9:80" ht="15.95" customHeight="1" x14ac:dyDescent="0.25">
      <c r="I57" s="140"/>
      <c r="J57" s="235"/>
      <c r="K57" s="1964"/>
      <c r="L57" s="1964"/>
      <c r="M57" s="1964"/>
      <c r="N57" s="1964"/>
      <c r="O57" s="1964"/>
      <c r="P57" s="1964"/>
      <c r="Q57" s="1964"/>
      <c r="R57" s="1964"/>
      <c r="S57" s="1964"/>
      <c r="T57" s="1964"/>
      <c r="U57" s="1964"/>
      <c r="V57" s="235"/>
      <c r="X57" s="1979"/>
      <c r="Y57" s="1979"/>
      <c r="Z57" s="1979"/>
      <c r="AA57" s="1979"/>
      <c r="AB57" s="1979"/>
      <c r="AC57" s="1979"/>
      <c r="AD57" s="1979"/>
      <c r="AE57" s="1979"/>
      <c r="AF57" s="1979"/>
      <c r="AG57" s="1979"/>
      <c r="AH57" s="1979"/>
      <c r="AI57" s="1979"/>
      <c r="AJ57" s="1979"/>
      <c r="AK57" s="141"/>
      <c r="CA57" s="240"/>
      <c r="CB57" s="240"/>
    </row>
    <row r="58" spans="9:80" ht="15.95" customHeight="1" x14ac:dyDescent="0.25">
      <c r="I58" s="140"/>
      <c r="J58" s="1929" t="s">
        <v>1265</v>
      </c>
      <c r="K58" s="1929"/>
      <c r="L58" s="1929"/>
      <c r="M58" s="1929"/>
      <c r="N58" s="1929"/>
      <c r="O58" s="1929"/>
      <c r="P58" s="1929"/>
      <c r="Q58" s="1929"/>
      <c r="R58" s="1929"/>
      <c r="S58" s="1929"/>
      <c r="T58" s="1929"/>
      <c r="U58" s="1929"/>
      <c r="V58" s="1929"/>
      <c r="AK58" s="141"/>
      <c r="CA58" s="240"/>
      <c r="CB58" s="240"/>
    </row>
    <row r="59" spans="9:80" ht="15.95" customHeight="1" x14ac:dyDescent="0.25">
      <c r="I59" s="140"/>
      <c r="J59" s="1929"/>
      <c r="K59" s="1929"/>
      <c r="L59" s="1929"/>
      <c r="M59" s="1929"/>
      <c r="N59" s="1929"/>
      <c r="O59" s="1929"/>
      <c r="P59" s="1929"/>
      <c r="Q59" s="1929"/>
      <c r="R59" s="1929"/>
      <c r="S59" s="1929"/>
      <c r="T59" s="1929"/>
      <c r="U59" s="1929"/>
      <c r="V59" s="1929"/>
      <c r="X59" s="160"/>
      <c r="Y59" s="1976" t="s">
        <v>1258</v>
      </c>
      <c r="Z59" s="1976"/>
      <c r="AA59" s="1976"/>
      <c r="AB59" s="1976"/>
      <c r="AC59" s="1976"/>
      <c r="AD59" s="1976"/>
      <c r="AE59" s="1976"/>
      <c r="AF59" s="1976"/>
      <c r="AG59" s="1976"/>
      <c r="AH59" s="1976"/>
      <c r="AI59" s="1976"/>
      <c r="AJ59" s="160"/>
      <c r="AK59" s="141"/>
      <c r="CA59" s="240"/>
      <c r="CB59" s="240"/>
    </row>
    <row r="60" spans="9:80" ht="15.95" customHeight="1" x14ac:dyDescent="0.25">
      <c r="I60" s="140"/>
      <c r="J60" s="160"/>
      <c r="K60" s="1981" t="s">
        <v>1261</v>
      </c>
      <c r="L60" s="1981"/>
      <c r="M60" s="1981"/>
      <c r="N60" s="1980">
        <f>M02S04F01</f>
        <v>0</v>
      </c>
      <c r="O60" s="1980"/>
      <c r="P60" s="1980"/>
      <c r="Q60" s="1980"/>
      <c r="R60" s="1980" t="str">
        <f>IF(ISNUMBER(SEARCH("Bill Credit",N60)), CONCATENATE("Account ",M02S04F06.1), " ")</f>
        <v xml:space="preserve"> </v>
      </c>
      <c r="S60" s="1980"/>
      <c r="T60" s="1980"/>
      <c r="U60" s="1980"/>
      <c r="V60" s="1980"/>
      <c r="W60" s="1980"/>
      <c r="Y60" s="1976"/>
      <c r="Z60" s="1976"/>
      <c r="AA60" s="1976"/>
      <c r="AB60" s="1976"/>
      <c r="AC60" s="1976"/>
      <c r="AD60" s="1976"/>
      <c r="AE60" s="1976"/>
      <c r="AF60" s="1976"/>
      <c r="AG60" s="1976"/>
      <c r="AH60" s="1976"/>
      <c r="AI60" s="1976"/>
      <c r="AJ60" s="235"/>
      <c r="AK60" s="141"/>
      <c r="CA60" s="241"/>
      <c r="CB60" s="241"/>
    </row>
    <row r="61" spans="9:80" ht="15.95" customHeight="1" x14ac:dyDescent="0.25">
      <c r="I61" s="140"/>
      <c r="J61" s="160"/>
      <c r="K61" s="1981" t="s">
        <v>1262</v>
      </c>
      <c r="L61" s="1981"/>
      <c r="M61" s="1981"/>
      <c r="N61" s="1980" t="str">
        <f>M02S04F02</f>
        <v/>
      </c>
      <c r="O61" s="1980"/>
      <c r="P61" s="1980"/>
      <c r="Q61" s="1980"/>
      <c r="R61" s="1980"/>
      <c r="S61" s="1980"/>
      <c r="T61" s="1980"/>
      <c r="U61" s="1980"/>
      <c r="V61" s="160"/>
      <c r="X61" s="235"/>
      <c r="Y61" s="1976"/>
      <c r="Z61" s="1976"/>
      <c r="AA61" s="1976"/>
      <c r="AB61" s="1976"/>
      <c r="AC61" s="1976"/>
      <c r="AD61" s="1976"/>
      <c r="AE61" s="1976"/>
      <c r="AF61" s="1976"/>
      <c r="AG61" s="1976"/>
      <c r="AH61" s="1976"/>
      <c r="AI61" s="1976"/>
      <c r="AJ61" s="235"/>
      <c r="AK61" s="141"/>
      <c r="CA61" s="239"/>
      <c r="CB61" s="239"/>
    </row>
    <row r="62" spans="9:80" ht="15.95" customHeight="1" x14ac:dyDescent="0.25">
      <c r="I62" s="140"/>
      <c r="J62" s="160"/>
      <c r="K62" s="1981"/>
      <c r="L62" s="1981"/>
      <c r="M62" s="1981"/>
      <c r="N62" s="1980" t="str">
        <f>CONCATENATE(M02S04F03," ",M02S04F04)</f>
        <v xml:space="preserve"> </v>
      </c>
      <c r="O62" s="1980"/>
      <c r="P62" s="1980"/>
      <c r="Q62" s="1980"/>
      <c r="R62" s="1980"/>
      <c r="S62" s="1980"/>
      <c r="T62" s="1980"/>
      <c r="U62" s="1980"/>
      <c r="V62" s="160"/>
      <c r="W62" s="75"/>
      <c r="X62" s="1929" t="s">
        <v>1266</v>
      </c>
      <c r="Y62" s="1929"/>
      <c r="Z62" s="1929"/>
      <c r="AA62" s="1929"/>
      <c r="AB62" s="1929"/>
      <c r="AC62" s="1929"/>
      <c r="AD62" s="1929"/>
      <c r="AE62" s="1929"/>
      <c r="AF62" s="1929"/>
      <c r="AG62" s="1929"/>
      <c r="AH62" s="1929"/>
      <c r="AI62" s="1929"/>
      <c r="AJ62" s="1929"/>
      <c r="AK62" s="141"/>
      <c r="CA62" s="46"/>
      <c r="CB62" s="46"/>
    </row>
    <row r="63" spans="9:80" ht="15.95" customHeight="1" x14ac:dyDescent="0.25">
      <c r="I63" s="140"/>
      <c r="J63" s="160"/>
      <c r="K63" s="1981"/>
      <c r="L63" s="1981"/>
      <c r="M63" s="1981"/>
      <c r="N63" s="1980" t="str">
        <f>M02S04F07</f>
        <v/>
      </c>
      <c r="O63" s="1980"/>
      <c r="P63" s="1980"/>
      <c r="Q63" s="1980"/>
      <c r="R63" s="1980"/>
      <c r="S63" s="1980"/>
      <c r="T63" s="1980"/>
      <c r="U63" s="1980"/>
      <c r="V63" s="160"/>
      <c r="X63" s="1929"/>
      <c r="Y63" s="1929"/>
      <c r="Z63" s="1929"/>
      <c r="AA63" s="1929"/>
      <c r="AB63" s="1929"/>
      <c r="AC63" s="1929"/>
      <c r="AD63" s="1929"/>
      <c r="AE63" s="1929"/>
      <c r="AF63" s="1929"/>
      <c r="AG63" s="1929"/>
      <c r="AH63" s="1929"/>
      <c r="AI63" s="1929"/>
      <c r="AJ63" s="1929"/>
      <c r="AK63" s="141"/>
      <c r="CA63" s="54"/>
      <c r="CB63" s="54"/>
    </row>
    <row r="64" spans="9:80" ht="15.95" customHeight="1" x14ac:dyDescent="0.25">
      <c r="I64" s="140"/>
      <c r="J64" s="69"/>
      <c r="K64" s="1981"/>
      <c r="L64" s="1981"/>
      <c r="M64" s="1981"/>
      <c r="N64" s="1980" t="str">
        <f>CONCATENATE(M02S04F08,", ",M02S04F09," ",M02S04F10)</f>
        <v xml:space="preserve">,  </v>
      </c>
      <c r="O64" s="1980"/>
      <c r="P64" s="1980"/>
      <c r="Q64" s="1980"/>
      <c r="R64" s="1980"/>
      <c r="S64" s="1980"/>
      <c r="T64" s="1980"/>
      <c r="U64" s="1980"/>
      <c r="V64" s="69"/>
      <c r="X64" s="1929"/>
      <c r="Y64" s="1929"/>
      <c r="Z64" s="1929"/>
      <c r="AA64" s="1929"/>
      <c r="AB64" s="1929"/>
      <c r="AC64" s="1929"/>
      <c r="AD64" s="1929"/>
      <c r="AE64" s="1929"/>
      <c r="AF64" s="1929"/>
      <c r="AG64" s="1929"/>
      <c r="AH64" s="1929"/>
      <c r="AI64" s="1929"/>
      <c r="AJ64" s="1929"/>
      <c r="AK64" s="141"/>
      <c r="CA64" s="54"/>
      <c r="CB64" s="54"/>
    </row>
    <row r="65" spans="9:80" ht="15.95" customHeight="1" x14ac:dyDescent="0.25">
      <c r="I65" s="140"/>
      <c r="J65" s="69"/>
      <c r="K65" s="1981" t="s">
        <v>492</v>
      </c>
      <c r="L65" s="1981"/>
      <c r="M65" s="1981"/>
      <c r="N65" s="1980" t="str">
        <f>CONCATENATE(M02S04F12,"-",M02S04F12.1)</f>
        <v>-</v>
      </c>
      <c r="O65" s="1980"/>
      <c r="P65" s="1980"/>
      <c r="Q65" s="1980"/>
      <c r="R65" s="1980"/>
      <c r="S65" s="1980"/>
      <c r="T65" s="1980"/>
      <c r="U65" s="1980"/>
      <c r="V65" s="69"/>
      <c r="X65" s="78"/>
      <c r="Y65" s="57"/>
      <c r="Z65" s="139" t="s">
        <v>1268</v>
      </c>
      <c r="AA65" s="78"/>
      <c r="AB65" s="78"/>
      <c r="AC65" s="78"/>
      <c r="AD65" s="78"/>
      <c r="AE65" s="78"/>
      <c r="AF65" s="78"/>
      <c r="AG65" s="78"/>
      <c r="AH65" s="78"/>
      <c r="AI65" s="78"/>
      <c r="AJ65" s="78"/>
      <c r="AK65" s="141"/>
      <c r="CA65" s="54"/>
      <c r="CB65" s="54"/>
    </row>
    <row r="66" spans="9:80" ht="15.95" customHeight="1" x14ac:dyDescent="0.25">
      <c r="I66" s="140"/>
      <c r="J66" s="69"/>
      <c r="K66" s="1981" t="s">
        <v>1259</v>
      </c>
      <c r="L66" s="1981"/>
      <c r="M66" s="1981"/>
      <c r="N66" s="1980">
        <f>M02S04F11</f>
        <v>0</v>
      </c>
      <c r="O66" s="1980"/>
      <c r="P66" s="1980"/>
      <c r="Q66" s="1980"/>
      <c r="R66" s="1980"/>
      <c r="S66" s="1980"/>
      <c r="T66" s="1980"/>
      <c r="U66" s="1980"/>
      <c r="V66" s="69"/>
      <c r="Y66" s="57"/>
      <c r="Z66" s="139" t="s">
        <v>122</v>
      </c>
      <c r="AA66" s="78"/>
      <c r="AB66" s="78"/>
      <c r="AC66" s="78"/>
      <c r="AD66" s="78"/>
      <c r="AE66" s="78"/>
      <c r="AF66" s="78"/>
      <c r="AG66" s="78"/>
      <c r="AH66" s="78"/>
      <c r="AI66" s="78"/>
      <c r="AJ66" s="78"/>
      <c r="AK66" s="141"/>
      <c r="CA66" s="54"/>
      <c r="CB66" s="54"/>
    </row>
    <row r="67" spans="9:80" ht="15.95" customHeight="1" x14ac:dyDescent="0.25">
      <c r="I67" s="140"/>
      <c r="AK67" s="141"/>
      <c r="CA67" s="54"/>
      <c r="CB67" s="54"/>
    </row>
    <row r="68" spans="9:80" ht="15.95" customHeight="1" x14ac:dyDescent="0.25">
      <c r="I68" s="140"/>
      <c r="K68" s="1885" t="str">
        <f>IF(INCENSTATUS&gt;=10000,"Are you interested in a check presentation?","")</f>
        <v>Are you interested in a check presentation?</v>
      </c>
      <c r="L68" s="1885"/>
      <c r="M68" s="1885"/>
      <c r="N68" s="1885"/>
      <c r="O68" s="1885"/>
      <c r="P68" s="1885"/>
      <c r="Q68" s="1885"/>
      <c r="R68" s="1885"/>
      <c r="S68" s="1885"/>
      <c r="T68" s="1885"/>
      <c r="U68" s="1885"/>
      <c r="V68" s="1885"/>
      <c r="W68" s="1885"/>
      <c r="X68" s="1885"/>
      <c r="Y68" s="1885"/>
      <c r="Z68" s="1885"/>
      <c r="AA68" s="1885"/>
      <c r="AB68" s="1885"/>
      <c r="AC68" s="1885"/>
      <c r="AD68" s="1885"/>
      <c r="AE68" s="1885"/>
      <c r="AF68" s="1885"/>
      <c r="AG68" s="1885"/>
      <c r="AH68" s="1885"/>
      <c r="AI68" s="1885"/>
      <c r="AJ68" s="1885"/>
      <c r="AK68" s="141"/>
      <c r="CA68" s="54"/>
      <c r="CB68" s="54"/>
    </row>
    <row r="69" spans="9:80" ht="15.95" customHeight="1" x14ac:dyDescent="0.25">
      <c r="I69" s="140"/>
      <c r="K69" s="1885"/>
      <c r="L69" s="1885"/>
      <c r="M69" s="1885"/>
      <c r="N69" s="1885"/>
      <c r="O69" s="1885"/>
      <c r="P69" s="1885"/>
      <c r="Q69" s="1885"/>
      <c r="R69" s="1885"/>
      <c r="S69" s="1885"/>
      <c r="T69" s="1885"/>
      <c r="U69" s="1885"/>
      <c r="V69" s="1885"/>
      <c r="W69" s="1885"/>
      <c r="X69" s="1885"/>
      <c r="Y69" s="1885"/>
      <c r="Z69" s="1885"/>
      <c r="AA69" s="1885"/>
      <c r="AB69" s="1885"/>
      <c r="AC69" s="1885"/>
      <c r="AD69" s="1885"/>
      <c r="AE69" s="1885"/>
      <c r="AF69" s="1885"/>
      <c r="AG69" s="1885"/>
      <c r="AH69" s="1885"/>
      <c r="AI69" s="1885"/>
      <c r="AJ69" s="1885"/>
      <c r="AK69" s="141"/>
      <c r="CA69" s="54"/>
      <c r="CB69" s="54"/>
    </row>
    <row r="70" spans="9:80" ht="15.95" customHeight="1" x14ac:dyDescent="0.25">
      <c r="I70" s="140"/>
      <c r="K70" s="1983" t="s">
        <v>1941</v>
      </c>
      <c r="L70" s="1983"/>
      <c r="M70" s="1983"/>
      <c r="N70" s="1983"/>
      <c r="O70" s="1983"/>
      <c r="P70" s="1983"/>
      <c r="Q70" s="1983"/>
      <c r="R70" s="1983"/>
      <c r="S70" s="1983"/>
      <c r="T70" s="1983"/>
      <c r="U70" s="1983"/>
      <c r="V70" s="1983"/>
      <c r="W70" s="1983"/>
      <c r="X70" s="1983"/>
      <c r="Y70" s="1983"/>
      <c r="Z70" s="1983"/>
      <c r="AA70" s="1983"/>
      <c r="AB70" s="1983"/>
      <c r="AC70" s="1983"/>
      <c r="AD70" s="1983"/>
      <c r="AE70" s="1983"/>
      <c r="AF70" s="1983"/>
      <c r="AG70" s="1983"/>
      <c r="AH70" s="1983"/>
      <c r="AI70" s="1983"/>
      <c r="AJ70" s="1983"/>
      <c r="AK70" s="141"/>
      <c r="CA70" s="54"/>
      <c r="CB70" s="54"/>
    </row>
    <row r="71" spans="9:80" ht="15.95" customHeight="1" x14ac:dyDescent="0.25">
      <c r="I71" s="140"/>
      <c r="K71" s="1983"/>
      <c r="L71" s="1983"/>
      <c r="M71" s="1983"/>
      <c r="N71" s="1983"/>
      <c r="O71" s="1983"/>
      <c r="P71" s="1983"/>
      <c r="Q71" s="1983"/>
      <c r="R71" s="1983"/>
      <c r="S71" s="1983"/>
      <c r="T71" s="1983"/>
      <c r="U71" s="1983"/>
      <c r="V71" s="1983"/>
      <c r="W71" s="1983"/>
      <c r="X71" s="1983"/>
      <c r="Y71" s="1983"/>
      <c r="Z71" s="1983"/>
      <c r="AA71" s="1983"/>
      <c r="AB71" s="1983"/>
      <c r="AC71" s="1983"/>
      <c r="AD71" s="1983"/>
      <c r="AE71" s="1983"/>
      <c r="AF71" s="1983"/>
      <c r="AG71" s="1983"/>
      <c r="AH71" s="1983"/>
      <c r="AI71" s="1983"/>
      <c r="AJ71" s="1983"/>
      <c r="AK71" s="141"/>
      <c r="CA71" s="54"/>
      <c r="CB71" s="54"/>
    </row>
    <row r="72" spans="9:80" ht="15.95" customHeight="1" x14ac:dyDescent="0.25">
      <c r="I72" s="140"/>
      <c r="L72" t="s">
        <v>1940</v>
      </c>
      <c r="AA72" t="s">
        <v>1929</v>
      </c>
      <c r="AK72" s="141"/>
      <c r="CA72" s="54"/>
      <c r="CB72" s="54"/>
    </row>
    <row r="73" spans="9:80" ht="15.95" customHeight="1" x14ac:dyDescent="0.25">
      <c r="I73" s="140"/>
      <c r="AK73" s="141"/>
      <c r="CA73" s="54"/>
      <c r="CB73" s="54"/>
    </row>
    <row r="74" spans="9:80" ht="15.95" customHeight="1" x14ac:dyDescent="0.25">
      <c r="I74" s="140"/>
      <c r="J74" s="69"/>
      <c r="K74" s="1959" t="s">
        <v>1324</v>
      </c>
      <c r="L74" s="1959"/>
      <c r="M74" s="1959"/>
      <c r="N74" s="1959"/>
      <c r="O74" s="1959"/>
      <c r="P74" s="1959"/>
      <c r="Q74" s="1959"/>
      <c r="R74" s="1959"/>
      <c r="S74" s="1959"/>
      <c r="T74" s="1959"/>
      <c r="U74" s="1959"/>
      <c r="V74" s="1959"/>
      <c r="W74" s="1959"/>
      <c r="X74" s="1959"/>
      <c r="Y74" s="1959"/>
      <c r="Z74" s="1959"/>
      <c r="AA74" s="1959"/>
      <c r="AB74" s="1959"/>
      <c r="AC74" s="1959"/>
      <c r="AD74" s="1959"/>
      <c r="AE74" s="1959"/>
      <c r="AF74" s="1959"/>
      <c r="AG74" s="1959"/>
      <c r="AH74" s="1959"/>
      <c r="AI74" s="1959"/>
      <c r="AJ74" s="1959"/>
      <c r="AK74" s="141"/>
      <c r="CA74" s="54"/>
      <c r="CB74" s="54"/>
    </row>
    <row r="75" spans="9:80" ht="15.95" customHeight="1" x14ac:dyDescent="0.25">
      <c r="I75" s="140"/>
      <c r="J75" s="69"/>
      <c r="K75" s="1959"/>
      <c r="L75" s="1959"/>
      <c r="M75" s="1959"/>
      <c r="N75" s="1959"/>
      <c r="O75" s="1959"/>
      <c r="P75" s="1959"/>
      <c r="Q75" s="1959"/>
      <c r="R75" s="1959"/>
      <c r="S75" s="1959"/>
      <c r="T75" s="1959"/>
      <c r="U75" s="1959"/>
      <c r="V75" s="1959"/>
      <c r="W75" s="1959"/>
      <c r="X75" s="1959"/>
      <c r="Y75" s="1959"/>
      <c r="Z75" s="1959"/>
      <c r="AA75" s="1959"/>
      <c r="AB75" s="1959"/>
      <c r="AC75" s="1959"/>
      <c r="AD75" s="1959"/>
      <c r="AE75" s="1959"/>
      <c r="AF75" s="1959"/>
      <c r="AG75" s="1959"/>
      <c r="AH75" s="1959"/>
      <c r="AI75" s="1959"/>
      <c r="AJ75" s="1959"/>
      <c r="AK75" s="141"/>
      <c r="CA75" s="54"/>
      <c r="CB75" s="54"/>
    </row>
    <row r="76" spans="9:80" ht="15.95" customHeight="1" x14ac:dyDescent="0.25">
      <c r="I76" s="140"/>
      <c r="J76" s="69"/>
      <c r="K76" s="1974" t="str">
        <f>IF(OR(M02S02F42="None",M02S02F42=""),"Contact the BizSavers program to discuss how you can save!","Contact your BizSavers representative today to discuss future energy saving opportunities and incentives!")</f>
        <v>Contact the BizSavers program to discuss how you can save!</v>
      </c>
      <c r="L76" s="1974"/>
      <c r="M76" s="1974"/>
      <c r="N76" s="1974"/>
      <c r="O76" s="1974"/>
      <c r="P76" s="1974"/>
      <c r="Q76" s="1974"/>
      <c r="R76" s="1974"/>
      <c r="S76" s="1974"/>
      <c r="T76" s="1974"/>
      <c r="U76" s="1974"/>
      <c r="V76" s="1974"/>
      <c r="W76" s="1974"/>
      <c r="X76" s="1974"/>
      <c r="Y76" s="1974"/>
      <c r="Z76" s="1974"/>
      <c r="AA76" s="1974"/>
      <c r="AB76" s="1974"/>
      <c r="AC76" s="1974"/>
      <c r="AD76" s="1974"/>
      <c r="AE76" s="1974"/>
      <c r="AF76" s="1974"/>
      <c r="AG76" s="1974"/>
      <c r="AH76" s="1974"/>
      <c r="AI76" s="1974"/>
      <c r="AJ76" s="69"/>
      <c r="AK76" s="141"/>
      <c r="CA76" s="54"/>
      <c r="CB76" s="54"/>
    </row>
    <row r="77" spans="9:80" ht="15.95" customHeight="1" x14ac:dyDescent="0.25">
      <c r="I77" s="140"/>
      <c r="J77" s="249"/>
      <c r="K77" s="1937" t="str">
        <f>IF(OR(M02S02F42="None",M02S02F42=""),"866-941-7299","Name")</f>
        <v>866-941-7299</v>
      </c>
      <c r="L77" s="1937"/>
      <c r="M77" s="1937"/>
      <c r="N77" s="1937"/>
      <c r="O77" s="1937"/>
      <c r="P77" s="1937"/>
      <c r="Q77" s="1937"/>
      <c r="R77" s="249"/>
      <c r="S77" s="249"/>
      <c r="T77" s="1937" t="str">
        <f>IF(OR(M02S02F42="None",M02S02F42=""),"BizSavers@ameren.com","Phone")</f>
        <v>BizSavers@ameren.com</v>
      </c>
      <c r="U77" s="1937"/>
      <c r="V77" s="1937"/>
      <c r="W77" s="1937"/>
      <c r="X77" s="1937"/>
      <c r="Y77" s="1937"/>
      <c r="Z77" s="1937"/>
      <c r="AA77" s="249"/>
      <c r="AB77" s="249"/>
      <c r="AC77" s="1937" t="str">
        <f>IF(OR(M02S02F42="None",M02S02F42=""),"AmerenMissouri.com/BizSavers","Email")</f>
        <v>AmerenMissouri.com/BizSavers</v>
      </c>
      <c r="AD77" s="1937"/>
      <c r="AE77" s="1937"/>
      <c r="AF77" s="1937"/>
      <c r="AG77" s="1937"/>
      <c r="AH77" s="1937"/>
      <c r="AI77" s="1937"/>
      <c r="AJ77" s="250"/>
      <c r="AK77" s="141"/>
      <c r="CA77" s="54"/>
      <c r="CB77" s="54"/>
    </row>
    <row r="78" spans="9:80" ht="15.95" customHeight="1" x14ac:dyDescent="0.25">
      <c r="I78" s="140"/>
      <c r="J78" s="249"/>
      <c r="K78" s="1961">
        <f>M02S02F42</f>
        <v>0</v>
      </c>
      <c r="L78" s="1961"/>
      <c r="M78" s="1961"/>
      <c r="N78" s="1961"/>
      <c r="O78" s="1961"/>
      <c r="P78" s="1961"/>
      <c r="Q78" s="1961"/>
      <c r="R78" s="162"/>
      <c r="S78" s="162"/>
      <c r="T78" s="1961" t="str">
        <f>IFERROR(INDEX(BUSDEVELPHONE,MATCH(K78,BUSDEVELNAME,0)),"")</f>
        <v/>
      </c>
      <c r="U78" s="1961"/>
      <c r="V78" s="1961"/>
      <c r="W78" s="1961"/>
      <c r="X78" s="1961"/>
      <c r="Y78" s="1961"/>
      <c r="Z78" s="1961"/>
      <c r="AA78" s="162"/>
      <c r="AB78" s="162"/>
      <c r="AC78" s="1965" t="str">
        <f>IFERROR(INDEX(BUSDEVELEMAIL,MATCH(K78,BUSDEVELNAME,0)),"")</f>
        <v/>
      </c>
      <c r="AD78" s="1965"/>
      <c r="AE78" s="1965"/>
      <c r="AF78" s="1965"/>
      <c r="AG78" s="1965"/>
      <c r="AH78" s="1965"/>
      <c r="AI78" s="1965"/>
      <c r="AJ78" s="162"/>
      <c r="AK78" s="141"/>
      <c r="CA78" s="54"/>
      <c r="CB78" s="54"/>
    </row>
    <row r="79" spans="9:80" ht="15.95" customHeight="1" x14ac:dyDescent="0.25">
      <c r="I79" s="140"/>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141"/>
      <c r="CA79" s="54"/>
      <c r="CB79" s="54"/>
    </row>
    <row r="80" spans="9:80" ht="15.95" customHeight="1" x14ac:dyDescent="0.25">
      <c r="I80" s="140"/>
      <c r="J80" s="1975" t="s">
        <v>1263</v>
      </c>
      <c r="K80" s="1975"/>
      <c r="L80" s="1975"/>
      <c r="M80" s="1975"/>
      <c r="N80" s="1975"/>
      <c r="O80" s="1975"/>
      <c r="P80" s="1975"/>
      <c r="Q80" s="1975"/>
      <c r="R80" s="1975"/>
      <c r="S80" s="1975"/>
      <c r="T80" s="1975"/>
      <c r="U80" s="1975"/>
      <c r="V80" s="1975"/>
      <c r="W80" s="1975"/>
      <c r="X80" s="1975"/>
      <c r="Y80" s="1975"/>
      <c r="Z80" s="1975"/>
      <c r="AA80" s="1975"/>
      <c r="AB80" s="1975"/>
      <c r="AC80" s="1975"/>
      <c r="AD80" s="1975"/>
      <c r="AE80" s="1975"/>
      <c r="AF80" s="1975"/>
      <c r="AG80" s="1975"/>
      <c r="AH80" s="1975"/>
      <c r="AI80" s="1975"/>
      <c r="AJ80" s="1975"/>
      <c r="AK80" s="141"/>
      <c r="CA80" s="242"/>
      <c r="CB80" s="242"/>
    </row>
    <row r="81" spans="9:80" ht="15.95" customHeight="1" x14ac:dyDescent="0.25">
      <c r="I81" s="140"/>
      <c r="J81" s="1975"/>
      <c r="K81" s="1975"/>
      <c r="L81" s="1975"/>
      <c r="M81" s="1975"/>
      <c r="N81" s="1975"/>
      <c r="O81" s="1975"/>
      <c r="P81" s="1975"/>
      <c r="Q81" s="1975"/>
      <c r="R81" s="1975"/>
      <c r="S81" s="1975"/>
      <c r="T81" s="1975"/>
      <c r="U81" s="1975"/>
      <c r="V81" s="1975"/>
      <c r="W81" s="1975"/>
      <c r="X81" s="1975"/>
      <c r="Y81" s="1975"/>
      <c r="Z81" s="1975"/>
      <c r="AA81" s="1975"/>
      <c r="AB81" s="1975"/>
      <c r="AC81" s="1975"/>
      <c r="AD81" s="1975"/>
      <c r="AE81" s="1975"/>
      <c r="AF81" s="1975"/>
      <c r="AG81" s="1975"/>
      <c r="AH81" s="1975"/>
      <c r="AI81" s="1975"/>
      <c r="AJ81" s="1975"/>
      <c r="AK81" s="141"/>
      <c r="CA81" s="91"/>
      <c r="CB81" s="91"/>
    </row>
    <row r="82" spans="9:80" ht="15.95" customHeight="1" x14ac:dyDescent="0.25">
      <c r="I82" s="140"/>
      <c r="J82" s="1975"/>
      <c r="K82" s="1975"/>
      <c r="L82" s="1975"/>
      <c r="M82" s="1975"/>
      <c r="N82" s="1975"/>
      <c r="O82" s="1975"/>
      <c r="P82" s="1975"/>
      <c r="Q82" s="1975"/>
      <c r="R82" s="1975"/>
      <c r="S82" s="1975"/>
      <c r="T82" s="1975"/>
      <c r="U82" s="1975"/>
      <c r="V82" s="1975"/>
      <c r="W82" s="1975"/>
      <c r="X82" s="1975"/>
      <c r="Y82" s="1975"/>
      <c r="Z82" s="1975"/>
      <c r="AA82" s="1975"/>
      <c r="AB82" s="1975"/>
      <c r="AC82" s="1975"/>
      <c r="AD82" s="1975"/>
      <c r="AE82" s="1975"/>
      <c r="AF82" s="1975"/>
      <c r="AG82" s="1975"/>
      <c r="AH82" s="1975"/>
      <c r="AI82" s="1975"/>
      <c r="AJ82" s="1975"/>
      <c r="AK82" s="141"/>
      <c r="CA82" s="48"/>
      <c r="CB82" s="48"/>
    </row>
    <row r="83" spans="9:80" ht="15.95" customHeight="1" x14ac:dyDescent="0.25">
      <c r="I83" s="140"/>
      <c r="J83" s="1975"/>
      <c r="K83" s="1975"/>
      <c r="L83" s="1975"/>
      <c r="M83" s="1975"/>
      <c r="N83" s="1975"/>
      <c r="O83" s="1975"/>
      <c r="P83" s="1975"/>
      <c r="Q83" s="1975"/>
      <c r="R83" s="1975"/>
      <c r="S83" s="1975"/>
      <c r="T83" s="1975"/>
      <c r="U83" s="1975"/>
      <c r="V83" s="1975"/>
      <c r="W83" s="1975"/>
      <c r="X83" s="1975"/>
      <c r="Y83" s="1975"/>
      <c r="Z83" s="1975"/>
      <c r="AA83" s="1975"/>
      <c r="AB83" s="1975"/>
      <c r="AC83" s="1975"/>
      <c r="AD83" s="1975"/>
      <c r="AE83" s="1975"/>
      <c r="AF83" s="1975"/>
      <c r="AG83" s="1975"/>
      <c r="AH83" s="1975"/>
      <c r="AI83" s="1975"/>
      <c r="AJ83" s="1975"/>
      <c r="AK83" s="141"/>
      <c r="CA83" s="243"/>
      <c r="CB83" s="243"/>
    </row>
    <row r="84" spans="9:80" ht="15.95" customHeight="1" x14ac:dyDescent="0.25">
      <c r="I84" s="140"/>
      <c r="J84" s="1975"/>
      <c r="K84" s="1975"/>
      <c r="L84" s="1975"/>
      <c r="M84" s="1975"/>
      <c r="N84" s="1975"/>
      <c r="O84" s="1975"/>
      <c r="P84" s="1975"/>
      <c r="Q84" s="1975"/>
      <c r="R84" s="1975"/>
      <c r="S84" s="1975"/>
      <c r="T84" s="1975"/>
      <c r="U84" s="1975"/>
      <c r="V84" s="1975"/>
      <c r="W84" s="1975"/>
      <c r="X84" s="1975"/>
      <c r="Y84" s="1975"/>
      <c r="Z84" s="1975"/>
      <c r="AA84" s="1975"/>
      <c r="AB84" s="1975"/>
      <c r="AC84" s="1975"/>
      <c r="AD84" s="1975"/>
      <c r="AE84" s="1975"/>
      <c r="AF84" s="1975"/>
      <c r="AG84" s="1975"/>
      <c r="AH84" s="1975"/>
      <c r="AI84" s="1975"/>
      <c r="AJ84" s="1975"/>
      <c r="AK84" s="141"/>
      <c r="CA84" s="244"/>
      <c r="CB84" s="244"/>
    </row>
    <row r="85" spans="9:80" ht="15.95" customHeight="1" x14ac:dyDescent="0.25">
      <c r="I85" s="140"/>
      <c r="J85" s="1975"/>
      <c r="K85" s="1975"/>
      <c r="L85" s="1975"/>
      <c r="M85" s="1975"/>
      <c r="N85" s="1975"/>
      <c r="O85" s="1975"/>
      <c r="P85" s="1975"/>
      <c r="Q85" s="1975"/>
      <c r="R85" s="1975"/>
      <c r="S85" s="1975"/>
      <c r="T85" s="1975"/>
      <c r="U85" s="1975"/>
      <c r="V85" s="1975"/>
      <c r="W85" s="1975"/>
      <c r="X85" s="1975"/>
      <c r="Y85" s="1975"/>
      <c r="Z85" s="1975"/>
      <c r="AA85" s="1975"/>
      <c r="AB85" s="1975"/>
      <c r="AC85" s="1975"/>
      <c r="AD85" s="1975"/>
      <c r="AE85" s="1975"/>
      <c r="AF85" s="1975"/>
      <c r="AG85" s="1975"/>
      <c r="AH85" s="1975"/>
      <c r="AI85" s="1975"/>
      <c r="AJ85" s="1975"/>
      <c r="AK85" s="141"/>
      <c r="CA85" s="244"/>
      <c r="CB85" s="244"/>
    </row>
    <row r="86" spans="9:80" ht="15.95" customHeight="1" x14ac:dyDescent="0.25">
      <c r="I86" s="140"/>
      <c r="J86" s="1975"/>
      <c r="K86" s="1975"/>
      <c r="L86" s="1975"/>
      <c r="M86" s="1975"/>
      <c r="N86" s="1975"/>
      <c r="O86" s="1975"/>
      <c r="P86" s="1975"/>
      <c r="Q86" s="1975"/>
      <c r="R86" s="1975"/>
      <c r="S86" s="1975"/>
      <c r="T86" s="1975"/>
      <c r="U86" s="1975"/>
      <c r="V86" s="1975"/>
      <c r="W86" s="1975"/>
      <c r="X86" s="1975"/>
      <c r="Y86" s="1975"/>
      <c r="Z86" s="1975"/>
      <c r="AA86" s="1975"/>
      <c r="AB86" s="1975"/>
      <c r="AC86" s="1975"/>
      <c r="AD86" s="1975"/>
      <c r="AE86" s="1975"/>
      <c r="AF86" s="1975"/>
      <c r="AG86" s="1975"/>
      <c r="AH86" s="1975"/>
      <c r="AI86" s="1975"/>
      <c r="AJ86" s="1975"/>
      <c r="AK86" s="141"/>
      <c r="CA86" s="244"/>
      <c r="CB86" s="244"/>
    </row>
    <row r="87" spans="9:80" ht="15.95" customHeight="1" x14ac:dyDescent="0.25">
      <c r="I87" s="140"/>
      <c r="J87" s="1975"/>
      <c r="K87" s="1975"/>
      <c r="L87" s="1975"/>
      <c r="M87" s="1975"/>
      <c r="N87" s="1975"/>
      <c r="O87" s="1975"/>
      <c r="P87" s="1975"/>
      <c r="Q87" s="1975"/>
      <c r="R87" s="1975"/>
      <c r="S87" s="1975"/>
      <c r="T87" s="1975"/>
      <c r="U87" s="1975"/>
      <c r="V87" s="1975"/>
      <c r="W87" s="1975"/>
      <c r="X87" s="1975"/>
      <c r="Y87" s="1975"/>
      <c r="Z87" s="1975"/>
      <c r="AA87" s="1975"/>
      <c r="AB87" s="1975"/>
      <c r="AC87" s="1975"/>
      <c r="AD87" s="1975"/>
      <c r="AE87" s="1975"/>
      <c r="AF87" s="1975"/>
      <c r="AG87" s="1975"/>
      <c r="AH87" s="1975"/>
      <c r="AI87" s="1975"/>
      <c r="AJ87" s="1975"/>
      <c r="AK87" s="141"/>
      <c r="CA87" s="49"/>
      <c r="CB87" s="49"/>
    </row>
    <row r="88" spans="9:80" ht="15.95" customHeight="1" x14ac:dyDescent="0.25">
      <c r="I88" s="140"/>
      <c r="J88" s="1858" t="s">
        <v>1256</v>
      </c>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41"/>
      <c r="CA88" s="245"/>
      <c r="CB88" s="245"/>
    </row>
    <row r="89" spans="9:80" ht="15.95" customHeight="1" x14ac:dyDescent="0.25">
      <c r="I89" s="140"/>
      <c r="J89" s="1858"/>
      <c r="K89" s="1858"/>
      <c r="L89" s="1858"/>
      <c r="M89" s="1858"/>
      <c r="N89" s="1858"/>
      <c r="O89" s="1858"/>
      <c r="P89" s="1858"/>
      <c r="Q89" s="1858"/>
      <c r="R89" s="1858"/>
      <c r="S89" s="1858"/>
      <c r="T89" s="1858"/>
      <c r="U89" s="1858"/>
      <c r="V89" s="1858"/>
      <c r="W89" s="1858"/>
      <c r="X89" s="1858"/>
      <c r="Y89" s="1858"/>
      <c r="Z89" s="1858"/>
      <c r="AA89" s="1858"/>
      <c r="AB89" s="1858"/>
      <c r="AC89" s="1858"/>
      <c r="AD89" s="1858"/>
      <c r="AE89" s="1858"/>
      <c r="AF89" s="1858"/>
      <c r="AG89" s="1858"/>
      <c r="AH89" s="1858"/>
      <c r="AI89" s="1858"/>
      <c r="AJ89" s="1858"/>
      <c r="AK89" s="141"/>
      <c r="CA89" s="246"/>
      <c r="CB89" s="246"/>
    </row>
    <row r="90" spans="9:80" ht="15.95" customHeight="1" x14ac:dyDescent="0.25">
      <c r="I90" s="142"/>
      <c r="J90" s="143"/>
      <c r="K90" s="144"/>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6"/>
      <c r="CA90" s="246"/>
      <c r="CB90" s="20" t="s">
        <v>121</v>
      </c>
    </row>
    <row r="91" spans="9:80" ht="15.95" customHeight="1" x14ac:dyDescent="0.25">
      <c r="J91" s="35"/>
      <c r="K91" s="36"/>
      <c r="CA91" s="246"/>
      <c r="CB91" s="20"/>
    </row>
    <row r="92" spans="9:80" ht="15.95" hidden="1" customHeight="1" x14ac:dyDescent="0.25">
      <c r="CA92" s="246"/>
      <c r="CB92" s="20"/>
    </row>
    <row r="93" spans="9:80" ht="15.95" hidden="1" customHeight="1" x14ac:dyDescent="0.25">
      <c r="CA93" s="246"/>
      <c r="CB93" s="20"/>
    </row>
    <row r="94" spans="9:80" ht="15.95" hidden="1" customHeight="1" x14ac:dyDescent="0.25">
      <c r="CA94" s="246"/>
      <c r="CB94" s="20"/>
    </row>
    <row r="95" spans="9:80" ht="15.95" hidden="1" customHeight="1" x14ac:dyDescent="0.25">
      <c r="CA95" s="246"/>
      <c r="CB95" s="20"/>
    </row>
    <row r="96" spans="9:80" ht="15.95" hidden="1" customHeight="1" x14ac:dyDescent="0.25">
      <c r="CA96" s="246"/>
      <c r="CB96" s="20"/>
    </row>
    <row r="97" spans="79:80" ht="15.95" hidden="1" customHeight="1" x14ac:dyDescent="0.25">
      <c r="CA97" s="246"/>
      <c r="CB97" s="20"/>
    </row>
    <row r="98" spans="79:80" ht="15.95" hidden="1" customHeight="1" x14ac:dyDescent="0.25">
      <c r="CA98" s="246"/>
      <c r="CB98" s="20"/>
    </row>
    <row r="99" spans="79:80" ht="15.95" hidden="1" customHeight="1" x14ac:dyDescent="0.25">
      <c r="CA99" s="246"/>
      <c r="CB99" s="20"/>
    </row>
    <row r="100" spans="79:80" ht="15.95" hidden="1" customHeight="1" x14ac:dyDescent="0.25">
      <c r="CA100" s="246"/>
      <c r="CB100" s="20"/>
    </row>
    <row r="101" spans="79:80" ht="15.95" hidden="1" customHeight="1" x14ac:dyDescent="0.25">
      <c r="CA101" s="246"/>
      <c r="CB101" s="20"/>
    </row>
    <row r="102" spans="79:80" ht="15.95" hidden="1" customHeight="1" x14ac:dyDescent="0.25">
      <c r="CA102" s="246"/>
      <c r="CB102" s="20"/>
    </row>
    <row r="103" spans="79:80" ht="15.95" hidden="1" customHeight="1" x14ac:dyDescent="0.25">
      <c r="CA103" s="246"/>
      <c r="CB103" s="20"/>
    </row>
    <row r="104" spans="79:80" ht="15.95" hidden="1" customHeight="1" x14ac:dyDescent="0.25">
      <c r="CA104" s="246"/>
      <c r="CB104" s="20"/>
    </row>
    <row r="105" spans="79:80" ht="15.95" hidden="1" customHeight="1" x14ac:dyDescent="0.25">
      <c r="CA105" s="246"/>
      <c r="CB105" s="20"/>
    </row>
    <row r="106" spans="79:80" ht="15.95" hidden="1" customHeight="1" x14ac:dyDescent="0.25">
      <c r="CA106" s="246"/>
      <c r="CB106" s="20"/>
    </row>
    <row r="107" spans="79:80" ht="15.95" hidden="1" customHeight="1" x14ac:dyDescent="0.25">
      <c r="CA107" s="246"/>
      <c r="CB107" s="20"/>
    </row>
    <row r="108" spans="79:80" ht="15.95" hidden="1" customHeight="1" x14ac:dyDescent="0.25">
      <c r="CA108" s="246"/>
      <c r="CB108" s="20"/>
    </row>
    <row r="109" spans="79:80" ht="15.95" hidden="1" customHeight="1" x14ac:dyDescent="0.25">
      <c r="CA109" s="246"/>
      <c r="CB109" s="20"/>
    </row>
    <row r="110" spans="79:80" ht="15.95" hidden="1" customHeight="1" x14ac:dyDescent="0.25">
      <c r="CA110" s="246"/>
      <c r="CB110" s="20"/>
    </row>
    <row r="111" spans="79:80" ht="15.95" hidden="1" customHeight="1" x14ac:dyDescent="0.25">
      <c r="CA111" s="246"/>
      <c r="CB111" s="20"/>
    </row>
    <row r="112" spans="79:80" ht="15.95" hidden="1" customHeight="1" x14ac:dyDescent="0.25">
      <c r="CA112" s="246"/>
      <c r="CB112" s="20"/>
    </row>
    <row r="113" spans="79:80" ht="15.95" hidden="1" customHeight="1" x14ac:dyDescent="0.25">
      <c r="CA113" s="246"/>
      <c r="CB113" s="20"/>
    </row>
    <row r="114" spans="79:80" ht="15.95" hidden="1" customHeight="1" x14ac:dyDescent="0.25">
      <c r="CA114" s="246"/>
      <c r="CB114" s="20"/>
    </row>
    <row r="115" spans="79:80" ht="15.95" hidden="1" customHeight="1" x14ac:dyDescent="0.25">
      <c r="CA115" s="246"/>
      <c r="CB115" s="20"/>
    </row>
    <row r="116" spans="79:80" ht="15.95" hidden="1" customHeight="1" x14ac:dyDescent="0.25">
      <c r="CA116" s="246"/>
      <c r="CB116" s="20"/>
    </row>
    <row r="117" spans="79:80" ht="15.95" hidden="1" customHeight="1" x14ac:dyDescent="0.25">
      <c r="CA117" s="246"/>
      <c r="CB117" s="20"/>
    </row>
    <row r="118" spans="79:80" ht="15.95" hidden="1" customHeight="1" x14ac:dyDescent="0.25">
      <c r="CA118" s="246"/>
      <c r="CB118" s="20"/>
    </row>
    <row r="119" spans="79:80" ht="15.95" hidden="1" customHeight="1" x14ac:dyDescent="0.25">
      <c r="CA119" s="246"/>
      <c r="CB119" s="20"/>
    </row>
    <row r="120" spans="79:80" ht="15.95" hidden="1" customHeight="1" x14ac:dyDescent="0.25">
      <c r="CA120" s="246"/>
      <c r="CB120" s="20"/>
    </row>
    <row r="121" spans="79:80" ht="15.95" hidden="1" customHeight="1" x14ac:dyDescent="0.25">
      <c r="CA121" s="246"/>
      <c r="CB121" s="20"/>
    </row>
    <row r="122" spans="79:80" ht="15.95" hidden="1" customHeight="1" x14ac:dyDescent="0.25">
      <c r="CA122" s="246"/>
      <c r="CB122" s="20"/>
    </row>
    <row r="123" spans="79:80" ht="15.95" hidden="1" customHeight="1" x14ac:dyDescent="0.25">
      <c r="CA123" s="246"/>
      <c r="CB123" s="20"/>
    </row>
    <row r="124" spans="79:80" ht="15.95" hidden="1" customHeight="1" x14ac:dyDescent="0.25">
      <c r="CA124" s="246"/>
      <c r="CB124" s="20"/>
    </row>
    <row r="125" spans="79:80" ht="15.95" hidden="1" customHeight="1" x14ac:dyDescent="0.25">
      <c r="CA125" s="246"/>
      <c r="CB125" s="20"/>
    </row>
    <row r="126" spans="79:80" ht="15.95" hidden="1" customHeight="1" x14ac:dyDescent="0.25">
      <c r="CA126" s="246"/>
      <c r="CB126" s="20"/>
    </row>
    <row r="127" spans="79:80" ht="15.95" hidden="1" customHeight="1" x14ac:dyDescent="0.25">
      <c r="CA127" s="246"/>
      <c r="CB127" s="20"/>
    </row>
    <row r="128" spans="79:80" ht="15.95" hidden="1" customHeight="1" x14ac:dyDescent="0.25">
      <c r="CA128" s="246"/>
      <c r="CB128" s="20"/>
    </row>
    <row r="129" spans="79:80" ht="15.95" hidden="1" customHeight="1" x14ac:dyDescent="0.25">
      <c r="CA129" s="246"/>
      <c r="CB129" s="20"/>
    </row>
    <row r="130" spans="79:80" ht="15.95" hidden="1" customHeight="1" x14ac:dyDescent="0.25">
      <c r="CA130" s="246"/>
      <c r="CB130" s="20"/>
    </row>
    <row r="131" spans="79:80" ht="15.95" hidden="1" customHeight="1" x14ac:dyDescent="0.25">
      <c r="CA131" s="246"/>
      <c r="CB131" s="20"/>
    </row>
    <row r="132" spans="79:80" ht="15.95" hidden="1" customHeight="1" x14ac:dyDescent="0.25">
      <c r="CA132" s="246"/>
      <c r="CB132" s="20"/>
    </row>
    <row r="133" spans="79:80" ht="15.95" hidden="1" customHeight="1" x14ac:dyDescent="0.25">
      <c r="CA133" s="246"/>
      <c r="CB133" s="20"/>
    </row>
    <row r="134" spans="79:80" ht="15.95" hidden="1" customHeight="1" x14ac:dyDescent="0.25">
      <c r="CA134" s="246"/>
      <c r="CB134" s="20"/>
    </row>
    <row r="135" spans="79:80" ht="15.95" hidden="1" customHeight="1" x14ac:dyDescent="0.25">
      <c r="CA135" s="246"/>
      <c r="CB135" s="20"/>
    </row>
    <row r="136" spans="79:80" ht="15.95" hidden="1" customHeight="1" x14ac:dyDescent="0.25">
      <c r="CA136" s="246"/>
      <c r="CB136" s="20"/>
    </row>
    <row r="137" spans="79:80" ht="15.95" hidden="1" customHeight="1" x14ac:dyDescent="0.25">
      <c r="CA137" s="246"/>
      <c r="CB137" s="20"/>
    </row>
    <row r="138" spans="79:80" ht="15.95" hidden="1" customHeight="1" x14ac:dyDescent="0.25">
      <c r="CA138" s="246"/>
      <c r="CB138" s="20"/>
    </row>
    <row r="139" spans="79:80" ht="15.95" hidden="1" customHeight="1" x14ac:dyDescent="0.25">
      <c r="CA139" s="246"/>
      <c r="CB139" s="20"/>
    </row>
    <row r="140" spans="79:80" ht="15.95" hidden="1" customHeight="1" x14ac:dyDescent="0.25">
      <c r="CA140" s="246"/>
      <c r="CB140" s="20"/>
    </row>
    <row r="141" spans="79:80" ht="15.95" hidden="1" customHeight="1" x14ac:dyDescent="0.25">
      <c r="CA141" s="246"/>
      <c r="CB141" s="20"/>
    </row>
    <row r="142" spans="79:80" ht="15.95" hidden="1" customHeight="1" x14ac:dyDescent="0.25">
      <c r="CA142" s="246"/>
      <c r="CB142" s="20"/>
    </row>
    <row r="143" spans="79:80" ht="15.95" hidden="1" customHeight="1" x14ac:dyDescent="0.25">
      <c r="CA143" s="246"/>
      <c r="CB143" s="20"/>
    </row>
    <row r="144" spans="79:80" ht="15.95" hidden="1" customHeight="1" x14ac:dyDescent="0.25">
      <c r="CA144" s="246"/>
      <c r="CB144" s="20"/>
    </row>
    <row r="145" spans="79:80" ht="15.95" hidden="1" customHeight="1" x14ac:dyDescent="0.25">
      <c r="CA145" s="246"/>
      <c r="CB145" s="20"/>
    </row>
    <row r="146" spans="79:80" ht="15.95" hidden="1" customHeight="1" x14ac:dyDescent="0.25">
      <c r="CA146" s="246"/>
      <c r="CB146" s="20"/>
    </row>
    <row r="147" spans="79:80" ht="15.95" hidden="1" customHeight="1" x14ac:dyDescent="0.25">
      <c r="CA147" s="246"/>
      <c r="CB147" s="20"/>
    </row>
    <row r="148" spans="79:80" ht="15.95" hidden="1" customHeight="1" x14ac:dyDescent="0.25">
      <c r="CA148" s="246"/>
      <c r="CB148" s="20"/>
    </row>
    <row r="149" spans="79:80" ht="15.95" hidden="1" customHeight="1" x14ac:dyDescent="0.25">
      <c r="CA149" s="246"/>
      <c r="CB149" s="20"/>
    </row>
    <row r="150" spans="79:80" ht="15.95" hidden="1" customHeight="1" x14ac:dyDescent="0.25">
      <c r="CA150" s="246"/>
      <c r="CB150" s="20"/>
    </row>
    <row r="151" spans="79:80" ht="15.95" hidden="1" customHeight="1" x14ac:dyDescent="0.25">
      <c r="CA151" s="246"/>
      <c r="CB151" s="20"/>
    </row>
    <row r="152" spans="79:80" ht="15.95" hidden="1" customHeight="1" x14ac:dyDescent="0.25">
      <c r="CA152" s="246"/>
      <c r="CB152" s="20"/>
    </row>
    <row r="153" spans="79:80" ht="15.95" hidden="1" customHeight="1" x14ac:dyDescent="0.25">
      <c r="CA153" s="246"/>
      <c r="CB153" s="20"/>
    </row>
    <row r="154" spans="79:80" ht="15.95" hidden="1" customHeight="1" x14ac:dyDescent="0.25">
      <c r="CA154" s="246"/>
      <c r="CB154" s="20"/>
    </row>
    <row r="155" spans="79:80" ht="15.95" hidden="1" customHeight="1" x14ac:dyDescent="0.25">
      <c r="CA155" s="246"/>
      <c r="CB155" s="20"/>
    </row>
    <row r="156" spans="79:80" ht="15.95" hidden="1" customHeight="1" x14ac:dyDescent="0.25">
      <c r="CA156" s="246"/>
      <c r="CB156" s="20"/>
    </row>
    <row r="157" spans="79:80" ht="15.95" hidden="1" customHeight="1" x14ac:dyDescent="0.25">
      <c r="CA157" s="246"/>
      <c r="CB157" s="20"/>
    </row>
    <row r="158" spans="79:80" ht="15.95" hidden="1" customHeight="1" x14ac:dyDescent="0.25">
      <c r="CA158" s="246"/>
      <c r="CB158" s="20"/>
    </row>
    <row r="159" spans="79:80" ht="15.95" hidden="1" customHeight="1" x14ac:dyDescent="0.25">
      <c r="CA159" s="246"/>
      <c r="CB159" s="20"/>
    </row>
    <row r="160" spans="79:80" ht="15.95" hidden="1" customHeight="1" x14ac:dyDescent="0.25">
      <c r="CA160" s="246"/>
      <c r="CB160" s="20"/>
    </row>
    <row r="161" spans="79:80" ht="15.95" hidden="1" customHeight="1" x14ac:dyDescent="0.25">
      <c r="CA161" s="246"/>
      <c r="CB161" s="20"/>
    </row>
    <row r="162" spans="79:80" ht="15.95" hidden="1" customHeight="1" x14ac:dyDescent="0.25">
      <c r="CA162" s="246"/>
      <c r="CB162" s="20"/>
    </row>
    <row r="163" spans="79:80" ht="15.95" hidden="1" customHeight="1" x14ac:dyDescent="0.25">
      <c r="CA163" s="246"/>
      <c r="CB163" s="20"/>
    </row>
    <row r="164" spans="79:80" ht="15.95" hidden="1" customHeight="1" x14ac:dyDescent="0.25">
      <c r="CA164" s="246"/>
      <c r="CB164" s="20"/>
    </row>
    <row r="165" spans="79:80" ht="15.95" hidden="1" customHeight="1" x14ac:dyDescent="0.25">
      <c r="CA165" s="246"/>
      <c r="CB165" s="20"/>
    </row>
    <row r="166" spans="79:80" ht="15.95" hidden="1" customHeight="1" x14ac:dyDescent="0.25">
      <c r="CA166" s="246"/>
      <c r="CB166" s="20"/>
    </row>
    <row r="167" spans="79:80" ht="15.95" hidden="1" customHeight="1" x14ac:dyDescent="0.25">
      <c r="CA167" s="246"/>
      <c r="CB167" s="20"/>
    </row>
    <row r="168" spans="79:80" ht="15.95" hidden="1" customHeight="1" x14ac:dyDescent="0.25">
      <c r="CA168" s="246"/>
      <c r="CB168" s="20"/>
    </row>
    <row r="169" spans="79:80" ht="15.95" hidden="1" customHeight="1" x14ac:dyDescent="0.25">
      <c r="CA169" s="246"/>
      <c r="CB169" s="20"/>
    </row>
    <row r="170" spans="79:80" ht="15.95" hidden="1" customHeight="1" x14ac:dyDescent="0.25">
      <c r="CA170" s="246"/>
      <c r="CB170" s="20"/>
    </row>
    <row r="171" spans="79:80" ht="15.95" hidden="1" customHeight="1" x14ac:dyDescent="0.25">
      <c r="CA171" s="246"/>
      <c r="CB171" s="20"/>
    </row>
    <row r="172" spans="79:80" ht="15.95" hidden="1" customHeight="1" x14ac:dyDescent="0.25">
      <c r="CA172" s="246"/>
      <c r="CB172" s="20"/>
    </row>
    <row r="173" spans="79:80" ht="15.95" hidden="1" customHeight="1" x14ac:dyDescent="0.25">
      <c r="CA173" s="246"/>
      <c r="CB173" s="20"/>
    </row>
    <row r="174" spans="79:80" ht="15.95" hidden="1" customHeight="1" x14ac:dyDescent="0.25">
      <c r="CA174" s="246"/>
      <c r="CB174" s="20"/>
    </row>
    <row r="175" spans="79:80" ht="15.95" hidden="1" customHeight="1" x14ac:dyDescent="0.25">
      <c r="CA175" s="246"/>
      <c r="CB175" s="20"/>
    </row>
    <row r="176" spans="79:80" ht="15.95" hidden="1" customHeight="1" x14ac:dyDescent="0.25">
      <c r="CA176" s="246"/>
      <c r="CB176" s="20"/>
    </row>
    <row r="177" spans="79:80" ht="15.95" hidden="1" customHeight="1" x14ac:dyDescent="0.25">
      <c r="CA177" s="246"/>
      <c r="CB177" s="20"/>
    </row>
    <row r="178" spans="79:80" ht="15.95" hidden="1" customHeight="1" x14ac:dyDescent="0.25">
      <c r="CA178" s="246"/>
      <c r="CB178" s="20"/>
    </row>
    <row r="179" spans="79:80" ht="15.95" hidden="1" customHeight="1" x14ac:dyDescent="0.25">
      <c r="CA179" s="246"/>
      <c r="CB179" s="20"/>
    </row>
    <row r="180" spans="79:80" ht="15.95" hidden="1" customHeight="1" x14ac:dyDescent="0.25">
      <c r="CA180" s="246"/>
      <c r="CB180" s="20"/>
    </row>
    <row r="181" spans="79:80" ht="15.95" hidden="1" customHeight="1" x14ac:dyDescent="0.25">
      <c r="CA181" s="246"/>
      <c r="CB181" s="20"/>
    </row>
    <row r="182" spans="79:80" ht="15.95" hidden="1" customHeight="1" x14ac:dyDescent="0.25">
      <c r="CA182" s="246"/>
      <c r="CB182" s="20"/>
    </row>
    <row r="183" spans="79:80" ht="15.95" hidden="1" customHeight="1" x14ac:dyDescent="0.25">
      <c r="CA183" s="246"/>
      <c r="CB183" s="20"/>
    </row>
    <row r="184" spans="79:80" ht="15.95" hidden="1" customHeight="1" x14ac:dyDescent="0.25">
      <c r="CA184" s="246"/>
      <c r="CB184" s="20"/>
    </row>
    <row r="185" spans="79:80" ht="15.95" hidden="1" customHeight="1" x14ac:dyDescent="0.25">
      <c r="CA185" s="246"/>
      <c r="CB185" s="20"/>
    </row>
    <row r="186" spans="79:80" ht="15.95" hidden="1" customHeight="1" x14ac:dyDescent="0.25">
      <c r="CA186" s="246"/>
      <c r="CB186" s="20"/>
    </row>
    <row r="187" spans="79:80" ht="15.95" hidden="1" customHeight="1" x14ac:dyDescent="0.25">
      <c r="CA187" s="246"/>
      <c r="CB187" s="20"/>
    </row>
    <row r="188" spans="79:80" ht="15.95" hidden="1" customHeight="1" x14ac:dyDescent="0.25">
      <c r="CA188" s="246"/>
      <c r="CB188" s="20"/>
    </row>
    <row r="189" spans="79:80" ht="15.75" hidden="1" customHeight="1" x14ac:dyDescent="0.25">
      <c r="CA189" s="246"/>
      <c r="CB189" s="20"/>
    </row>
    <row r="190" spans="79:80" ht="15.95" hidden="1" customHeight="1" x14ac:dyDescent="0.25">
      <c r="CA190" s="246"/>
      <c r="CB190" s="20"/>
    </row>
    <row r="191" spans="79:80" ht="15.75" hidden="1" customHeight="1" x14ac:dyDescent="0.25">
      <c r="CA191" s="246"/>
      <c r="CB191" s="20"/>
    </row>
    <row r="192" spans="79:80" ht="15.95" hidden="1" customHeight="1" x14ac:dyDescent="0.25">
      <c r="CA192" s="246"/>
      <c r="CB192" s="20"/>
    </row>
    <row r="193" spans="2:80" ht="15.95" hidden="1" customHeight="1" x14ac:dyDescent="0.25">
      <c r="CA193" s="246"/>
      <c r="CB193" s="20"/>
    </row>
    <row r="194" spans="2:80" ht="15.95" hidden="1" customHeight="1" x14ac:dyDescent="0.25">
      <c r="CA194" s="246"/>
      <c r="CB194" s="20"/>
    </row>
    <row r="195" spans="2:80" ht="15.95" hidden="1" customHeight="1" x14ac:dyDescent="0.25">
      <c r="CA195" s="246"/>
      <c r="CB195" s="20"/>
    </row>
    <row r="196" spans="2:80" ht="15.75" hidden="1" customHeight="1" x14ac:dyDescent="0.25">
      <c r="CA196" s="246"/>
      <c r="CB196" s="20"/>
    </row>
    <row r="197" spans="2:80" ht="15.95" hidden="1" customHeight="1" x14ac:dyDescent="0.25">
      <c r="CA197" s="246"/>
      <c r="CB197" s="20"/>
    </row>
    <row r="198" spans="2:80" ht="15.95" hidden="1" customHeight="1" x14ac:dyDescent="0.25">
      <c r="CA198" s="246"/>
      <c r="CB198" s="20"/>
    </row>
    <row r="199" spans="2:80" ht="15.95" hidden="1" customHeight="1" x14ac:dyDescent="0.25">
      <c r="CA199" s="246"/>
      <c r="CB199" s="20"/>
    </row>
    <row r="200" spans="2:80"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80"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80" ht="15.95" customHeight="1" x14ac:dyDescent="0.25">
      <c r="B202" s="228"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gr8nKlelJGhpLwNZESXsu0PCh/kW3kMvAQT2XECEn/aojfXg7kC5v4jCBXAWlGK5x0UTL5oHRB1rFRR8tAM/HA==" saltValue="hDm343Wgjbr8GXpiFe1jRw==" spinCount="100000" sheet="1" objects="1" scenarios="1" selectLockedCells="1"/>
  <mergeCells count="121">
    <mergeCell ref="N62:U62"/>
    <mergeCell ref="N63:U63"/>
    <mergeCell ref="N60:Q60"/>
    <mergeCell ref="R60:W60"/>
    <mergeCell ref="W35:AC35"/>
    <mergeCell ref="P45:V45"/>
    <mergeCell ref="P36:V36"/>
    <mergeCell ref="AD45:AI45"/>
    <mergeCell ref="K62:M62"/>
    <mergeCell ref="AD46:AI46"/>
    <mergeCell ref="P37:V37"/>
    <mergeCell ref="P35:V35"/>
    <mergeCell ref="AD37:AJ37"/>
    <mergeCell ref="AD36:AJ36"/>
    <mergeCell ref="AD35:AJ35"/>
    <mergeCell ref="T77:Z77"/>
    <mergeCell ref="AC77:AI77"/>
    <mergeCell ref="P42:V42"/>
    <mergeCell ref="W42:AC42"/>
    <mergeCell ref="AD42:AI42"/>
    <mergeCell ref="K60:M60"/>
    <mergeCell ref="W37:AC37"/>
    <mergeCell ref="N66:U66"/>
    <mergeCell ref="K20:AI21"/>
    <mergeCell ref="P46:V46"/>
    <mergeCell ref="K70:AJ71"/>
    <mergeCell ref="K64:M64"/>
    <mergeCell ref="X62:AJ64"/>
    <mergeCell ref="K61:M61"/>
    <mergeCell ref="K68:AJ69"/>
    <mergeCell ref="K65:M65"/>
    <mergeCell ref="K66:M66"/>
    <mergeCell ref="N64:U64"/>
    <mergeCell ref="W46:AC46"/>
    <mergeCell ref="P34:V34"/>
    <mergeCell ref="W34:AC34"/>
    <mergeCell ref="AD34:AJ34"/>
    <mergeCell ref="K63:M63"/>
    <mergeCell ref="N61:U61"/>
    <mergeCell ref="P33:V33"/>
    <mergeCell ref="W36:AC36"/>
    <mergeCell ref="AD33:AJ33"/>
    <mergeCell ref="K45:O45"/>
    <mergeCell ref="P24:V24"/>
    <mergeCell ref="P41:V41"/>
    <mergeCell ref="AD41:AI41"/>
    <mergeCell ref="W33:AC33"/>
    <mergeCell ref="K33:O37"/>
    <mergeCell ref="AD24:AJ24"/>
    <mergeCell ref="W25:AC25"/>
    <mergeCell ref="P26:V26"/>
    <mergeCell ref="J88:AJ89"/>
    <mergeCell ref="K43:O43"/>
    <mergeCell ref="P43:V43"/>
    <mergeCell ref="W43:AC43"/>
    <mergeCell ref="AD43:AI43"/>
    <mergeCell ref="K44:O44"/>
    <mergeCell ref="P44:V44"/>
    <mergeCell ref="W44:AC44"/>
    <mergeCell ref="AD44:AI44"/>
    <mergeCell ref="J80:AJ87"/>
    <mergeCell ref="J58:V59"/>
    <mergeCell ref="K48:U49"/>
    <mergeCell ref="K56:U57"/>
    <mergeCell ref="Y48:AI49"/>
    <mergeCell ref="Y59:AI61"/>
    <mergeCell ref="Y50:AI51"/>
    <mergeCell ref="Y52:AI53"/>
    <mergeCell ref="J50:V55"/>
    <mergeCell ref="W45:AC45"/>
    <mergeCell ref="X55:AJ57"/>
    <mergeCell ref="K46:O46"/>
    <mergeCell ref="AC78:AI78"/>
    <mergeCell ref="N65:U65"/>
    <mergeCell ref="K77:Q77"/>
    <mergeCell ref="M200:AG201"/>
    <mergeCell ref="AH1:AK1"/>
    <mergeCell ref="AL1:AP1"/>
    <mergeCell ref="AH2:AK3"/>
    <mergeCell ref="AL2:AP3"/>
    <mergeCell ref="P29:V29"/>
    <mergeCell ref="W29:AC29"/>
    <mergeCell ref="AD29:AJ29"/>
    <mergeCell ref="P30:V30"/>
    <mergeCell ref="W30:AC30"/>
    <mergeCell ref="AD30:AJ30"/>
    <mergeCell ref="P31:V31"/>
    <mergeCell ref="W31:AC31"/>
    <mergeCell ref="AD31:AJ31"/>
    <mergeCell ref="K74:AJ75"/>
    <mergeCell ref="K76:AI76"/>
    <mergeCell ref="K78:Q78"/>
    <mergeCell ref="T78:Z78"/>
    <mergeCell ref="K41:O41"/>
    <mergeCell ref="P25:V25"/>
    <mergeCell ref="W41:AC41"/>
    <mergeCell ref="AD25:AJ25"/>
    <mergeCell ref="K42:O42"/>
    <mergeCell ref="K39:AJ40"/>
    <mergeCell ref="AQ1:AR1"/>
    <mergeCell ref="AQ2:AR3"/>
    <mergeCell ref="W26:AC26"/>
    <mergeCell ref="AD26:AJ26"/>
    <mergeCell ref="P27:V27"/>
    <mergeCell ref="W27:AC27"/>
    <mergeCell ref="AD27:AJ27"/>
    <mergeCell ref="P28:V28"/>
    <mergeCell ref="W28:AC28"/>
    <mergeCell ref="AD28:AJ28"/>
    <mergeCell ref="F10:AN10"/>
    <mergeCell ref="F11:AN12"/>
    <mergeCell ref="K18:AI19"/>
    <mergeCell ref="K23:O31"/>
    <mergeCell ref="P23:V23"/>
    <mergeCell ref="W23:AC23"/>
    <mergeCell ref="AD23:AJ23"/>
    <mergeCell ref="J15:AD17"/>
    <mergeCell ref="W24:AC24"/>
    <mergeCell ref="Q1:R1"/>
    <mergeCell ref="U1:V1"/>
    <mergeCell ref="Y1:Z1"/>
  </mergeCells>
  <conditionalFormatting sqref="K78:AI78">
    <cfRule type="expression" dxfId="24" priority="6">
      <formula>OR(M02S02F42="",M02S02F42="None")</formula>
    </cfRule>
  </conditionalFormatting>
  <conditionalFormatting sqref="Y50">
    <cfRule type="containsBlanks" dxfId="23" priority="20">
      <formula>LEN(TRIM(Y50))=0</formula>
    </cfRule>
    <cfRule type="expression" dxfId="22" priority="21">
      <formula>Y50&lt;&gt;"sign here"</formula>
    </cfRule>
  </conditionalFormatting>
  <conditionalFormatting sqref="Y52">
    <cfRule type="containsBlanks" dxfId="21" priority="18">
      <formula>LEN(TRIM(Y52))=0</formula>
    </cfRule>
    <cfRule type="expression" dxfId="20" priority="19">
      <formula>Y52&lt;&gt;"date here"</formula>
    </cfRule>
  </conditionalFormatting>
  <conditionalFormatting sqref="AH2 AL2">
    <cfRule type="expression" dxfId="19" priority="1">
      <formula>PROJSTATUS=PROJSTATELI</formula>
    </cfRule>
    <cfRule type="expression" dxfId="18" priority="2">
      <formula>PROJSTATUS=PROJSTATREVIEW</formula>
    </cfRule>
    <cfRule type="expression" dxfId="17" priority="3">
      <formula>PROJSTATUS=PROJSTATPREAPPROVE</formula>
    </cfRule>
    <cfRule type="expression" dxfId="16" priority="4">
      <formula>PROJSTATUS=PROJSTATSTANDARD</formula>
    </cfRule>
    <cfRule type="expression" dxfId="15" priority="5">
      <formula>PROJSTATUS=PROJSTATEXP</formula>
    </cfRule>
  </conditionalFormatting>
  <conditionalFormatting sqref="AQ2:AR3">
    <cfRule type="cellIs" dxfId="14" priority="11" operator="equal">
      <formula>1</formula>
    </cfRule>
    <cfRule type="cellIs" dxfId="13" priority="12" operator="between">
      <formula>0.51</formula>
      <formula>0.99</formula>
    </cfRule>
    <cfRule type="cellIs" dxfId="12" priority="13" operator="lessThanOrEqual">
      <formula>0.5</formula>
    </cfRule>
  </conditionalFormatting>
  <conditionalFormatting sqref="CA37:CB40">
    <cfRule type="cellIs" dxfId="11" priority="85" operator="equal">
      <formula>""</formula>
    </cfRule>
  </conditionalFormatting>
  <conditionalFormatting sqref="CA55:CB55">
    <cfRule type="cellIs" dxfId="10" priority="87" operator="equal">
      <formula>""</formula>
    </cfRule>
  </conditionalFormatting>
  <hyperlinks>
    <hyperlink ref="B202" r:id="rId1" display="NIPSCO.Savings@LMCO.com" xr:uid="{00000000-0004-0000-2B00-000000000000}"/>
  </hyperlinks>
  <printOptions horizontalCentered="1" verticalCentered="1"/>
  <pageMargins left="0.3" right="0.3" top="0.3" bottom="0.3" header="0.25" footer="0.25"/>
  <pageSetup scale="6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63</xdr:row>
                    <xdr:rowOff>171450</xdr:rowOff>
                  </from>
                  <to>
                    <xdr:col>25</xdr:col>
                    <xdr:colOff>0</xdr:colOff>
                    <xdr:row>64</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mc:AlternateContent xmlns:mc="http://schemas.openxmlformats.org/markup-compatibility/2006">
          <mc:Choice Requires="x14">
            <control shapeId="40965" r:id="rId7" name="M06S05C01">
              <controlPr defaultSize="0" autoFill="0" autoLine="0" autoPict="0">
                <anchor moveWithCells="1">
                  <from>
                    <xdr:col>10</xdr:col>
                    <xdr:colOff>19050</xdr:colOff>
                    <xdr:row>70</xdr:row>
                    <xdr:rowOff>200025</xdr:rowOff>
                  </from>
                  <to>
                    <xdr:col>11</xdr:col>
                    <xdr:colOff>28575</xdr:colOff>
                    <xdr:row>71</xdr:row>
                    <xdr:rowOff>200025</xdr:rowOff>
                  </to>
                </anchor>
              </controlPr>
            </control>
          </mc:Choice>
        </mc:AlternateContent>
        <mc:AlternateContent xmlns:mc="http://schemas.openxmlformats.org/markup-compatibility/2006">
          <mc:Choice Requires="x14">
            <control shapeId="40966" r:id="rId8" name="M06S05C02">
              <controlPr defaultSize="0" autoFill="0" autoLine="0" autoPict="0">
                <anchor moveWithCells="1">
                  <from>
                    <xdr:col>25</xdr:col>
                    <xdr:colOff>0</xdr:colOff>
                    <xdr:row>70</xdr:row>
                    <xdr:rowOff>200025</xdr:rowOff>
                  </from>
                  <to>
                    <xdr:col>26</xdr:col>
                    <xdr:colOff>0</xdr:colOff>
                    <xdr:row>72</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fitToPage="1"/>
  </sheetPr>
  <dimension ref="A1:AS202"/>
  <sheetViews>
    <sheetView showGridLines="0" showRowColHeaders="0" zoomScale="85" zoomScaleNormal="85" workbookViewId="0">
      <selection activeCell="G14" sqref="G14:O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2: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2:44" ht="15.95" customHeight="1" x14ac:dyDescent="0.25">
      <c r="AH3" s="604"/>
      <c r="AI3" s="605"/>
      <c r="AJ3" s="605"/>
      <c r="AK3" s="605"/>
      <c r="AL3" s="614"/>
      <c r="AM3" s="614"/>
      <c r="AN3" s="614"/>
      <c r="AO3" s="614"/>
      <c r="AP3" s="614"/>
      <c r="AQ3" s="610"/>
      <c r="AR3" s="611"/>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row>
    <row r="10" spans="2:44" ht="15.95" customHeight="1" x14ac:dyDescent="0.3">
      <c r="B10" s="69"/>
      <c r="C10" s="69"/>
      <c r="D10" s="69"/>
      <c r="E10" s="69"/>
      <c r="F10" s="617" t="s">
        <v>1131</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9"/>
      <c r="AP10" s="69"/>
      <c r="AQ10" s="69"/>
      <c r="AR10" s="69"/>
    </row>
    <row r="11" spans="2:44" ht="15.95" customHeight="1" x14ac:dyDescent="0.25">
      <c r="B11" s="69"/>
      <c r="C11" s="69"/>
      <c r="D11" s="69"/>
      <c r="E11" s="69"/>
      <c r="F11" s="2023"/>
      <c r="G11" s="2023"/>
      <c r="H11" s="2023"/>
      <c r="I11" s="2023"/>
      <c r="J11" s="2023"/>
      <c r="K11" s="2023"/>
      <c r="L11" s="2023"/>
      <c r="M11" s="2023"/>
      <c r="N11" s="2023"/>
      <c r="O11" s="2023"/>
      <c r="P11" s="2023"/>
      <c r="Q11" s="2023"/>
      <c r="R11" s="2023"/>
      <c r="S11" s="2023"/>
      <c r="T11" s="2023"/>
      <c r="U11" s="2023"/>
      <c r="V11" s="2023"/>
      <c r="W11" s="2023"/>
      <c r="X11" s="2023"/>
      <c r="Y11" s="2023"/>
      <c r="Z11" s="2023"/>
      <c r="AA11" s="2023"/>
      <c r="AB11" s="2023"/>
      <c r="AC11" s="2023"/>
      <c r="AD11" s="2023"/>
      <c r="AE11" s="2023"/>
      <c r="AF11" s="2023"/>
      <c r="AG11" s="2023"/>
      <c r="AH11" s="2023"/>
      <c r="AI11" s="2023"/>
      <c r="AJ11" s="2023"/>
      <c r="AK11" s="2023"/>
      <c r="AL11" s="2023"/>
      <c r="AM11" s="2023"/>
      <c r="AN11" s="2023"/>
      <c r="AO11" s="69"/>
      <c r="AP11" s="69"/>
      <c r="AQ11" s="69"/>
      <c r="AR11" s="69"/>
    </row>
    <row r="12" spans="2:44" ht="15.95" customHeight="1" thickBot="1" x14ac:dyDescent="0.3">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row>
    <row r="13" spans="2:44" ht="15.95" customHeight="1" thickBot="1" x14ac:dyDescent="0.3">
      <c r="B13" s="69"/>
      <c r="C13" s="2015" t="s">
        <v>74</v>
      </c>
      <c r="D13" s="2015"/>
      <c r="E13" s="2015"/>
      <c r="F13" s="2015"/>
      <c r="G13" s="2015"/>
      <c r="H13" s="2015"/>
      <c r="I13" s="2015"/>
      <c r="J13" s="2015"/>
      <c r="K13" s="2015"/>
      <c r="L13" s="2015"/>
      <c r="M13" s="2015"/>
      <c r="N13" s="2015"/>
      <c r="O13" s="2015"/>
      <c r="P13" s="69"/>
      <c r="Q13" s="2015" t="s">
        <v>1138</v>
      </c>
      <c r="R13" s="2015"/>
      <c r="S13" s="2015"/>
      <c r="T13" s="2015"/>
      <c r="U13" s="2015"/>
      <c r="V13" s="2015"/>
      <c r="W13" s="2015"/>
      <c r="X13" s="2015"/>
      <c r="Y13" s="2015"/>
      <c r="Z13" s="2015"/>
      <c r="AA13" s="2015"/>
      <c r="AB13" s="2015"/>
      <c r="AC13" s="2015"/>
      <c r="AD13" s="69"/>
      <c r="AE13" s="2015" t="s">
        <v>477</v>
      </c>
      <c r="AF13" s="2015"/>
      <c r="AG13" s="2015"/>
      <c r="AH13" s="2015"/>
      <c r="AI13" s="2015"/>
      <c r="AJ13" s="2015"/>
      <c r="AK13" s="2015"/>
      <c r="AL13" s="2015"/>
      <c r="AM13" s="2015"/>
      <c r="AN13" s="2015"/>
      <c r="AO13" s="2015"/>
      <c r="AP13" s="2015"/>
      <c r="AQ13" s="2015"/>
      <c r="AR13" s="69"/>
    </row>
    <row r="14" spans="2:44" ht="15.95" customHeight="1" thickBot="1" x14ac:dyDescent="0.3">
      <c r="B14" s="69"/>
      <c r="C14" s="2026" t="s">
        <v>493</v>
      </c>
      <c r="D14" s="2026"/>
      <c r="E14" s="2026"/>
      <c r="F14" s="2026"/>
      <c r="G14" s="2024">
        <f>M02S02F34</f>
        <v>0</v>
      </c>
      <c r="H14" s="2024"/>
      <c r="I14" s="2024"/>
      <c r="J14" s="2024"/>
      <c r="K14" s="2024"/>
      <c r="L14" s="2024"/>
      <c r="M14" s="2024"/>
      <c r="N14" s="2024"/>
      <c r="O14" s="2024"/>
      <c r="P14" s="69"/>
      <c r="Q14" s="2042" t="s">
        <v>1286</v>
      </c>
      <c r="R14" s="2042"/>
      <c r="S14" s="2042"/>
      <c r="T14" s="2042"/>
      <c r="U14" s="2034" t="str">
        <f ca="1">IF(TEMPLATE!A72/TEMPLATE!D72=1,"Completed",IF(TEMPLATE!A72/TEMPLATE!D72&gt;0.7,"Almost!","Incomplete"))</f>
        <v>Incomplete</v>
      </c>
      <c r="V14" s="2035"/>
      <c r="W14" s="2035"/>
      <c r="X14" s="2035"/>
      <c r="Y14" s="2036"/>
      <c r="Z14" s="2034" t="str">
        <f>IF(ISTEXT(M02S01F01),M02S01F01," ")</f>
        <v xml:space="preserve"> </v>
      </c>
      <c r="AA14" s="2035"/>
      <c r="AB14" s="2035"/>
      <c r="AC14" s="2036"/>
      <c r="AD14" s="69"/>
      <c r="AE14" s="2040" t="s">
        <v>2221</v>
      </c>
      <c r="AF14" s="2026"/>
      <c r="AG14" s="2026"/>
      <c r="AH14" s="2026"/>
      <c r="AI14" s="2059"/>
      <c r="AJ14" s="2060"/>
      <c r="AK14" s="2060"/>
      <c r="AL14" s="2060"/>
      <c r="AM14" s="2060"/>
      <c r="AN14" s="2061"/>
      <c r="AO14" s="2062"/>
      <c r="AP14" s="2063"/>
      <c r="AQ14" s="2064"/>
      <c r="AR14" s="69"/>
    </row>
    <row r="15" spans="2:44" ht="15.95" customHeight="1" thickBot="1" x14ac:dyDescent="0.3">
      <c r="B15" s="69"/>
      <c r="C15" s="2026" t="s">
        <v>511</v>
      </c>
      <c r="D15" s="2026"/>
      <c r="E15" s="2026"/>
      <c r="F15" s="2026"/>
      <c r="G15" s="2024">
        <f>M02S02F37</f>
        <v>0</v>
      </c>
      <c r="H15" s="2024"/>
      <c r="I15" s="2024"/>
      <c r="J15" s="2024"/>
      <c r="K15" s="2024"/>
      <c r="L15" s="2024">
        <f>M02S02F38</f>
        <v>0</v>
      </c>
      <c r="M15" s="2024"/>
      <c r="N15" s="2024"/>
      <c r="O15" s="2024"/>
      <c r="P15" s="69"/>
      <c r="Q15" s="2042" t="s">
        <v>1139</v>
      </c>
      <c r="R15" s="2042"/>
      <c r="S15" s="2042"/>
      <c r="T15" s="2042"/>
      <c r="U15" s="2038" t="str">
        <f ca="1">IF(TEMPLATE!A83/TEMPLATE!D83=1,"Completed",IF(TEMPLATE!A83/TEMPLATE!D83&gt;0.7,"Almost!","Incomplete"))</f>
        <v>Incomplete</v>
      </c>
      <c r="V15" s="2038"/>
      <c r="W15" s="2038"/>
      <c r="X15" s="2038"/>
      <c r="Y15" s="2038"/>
      <c r="Z15" s="2038"/>
      <c r="AA15" s="2038"/>
      <c r="AB15" s="2038"/>
      <c r="AC15" s="2038"/>
      <c r="AD15" s="69"/>
      <c r="AE15" s="2026" t="s">
        <v>1178</v>
      </c>
      <c r="AF15" s="2026"/>
      <c r="AG15" s="2026"/>
      <c r="AH15" s="2026"/>
      <c r="AI15" s="2037"/>
      <c r="AJ15" s="2037"/>
      <c r="AK15" s="2037"/>
      <c r="AL15" s="2037"/>
      <c r="AM15" s="2037"/>
      <c r="AN15" s="2037"/>
      <c r="AO15" s="2037"/>
      <c r="AP15" s="2037"/>
      <c r="AQ15" s="2037"/>
      <c r="AR15" s="69"/>
    </row>
    <row r="16" spans="2:44" ht="15.95" customHeight="1" thickBot="1" x14ac:dyDescent="0.3">
      <c r="B16" s="69"/>
      <c r="C16" s="2026"/>
      <c r="D16" s="2026"/>
      <c r="E16" s="2026"/>
      <c r="F16" s="2026"/>
      <c r="G16" s="2024">
        <f>M02S02F39</f>
        <v>0</v>
      </c>
      <c r="H16" s="2024"/>
      <c r="I16" s="2024"/>
      <c r="J16" s="2024"/>
      <c r="K16" s="2024"/>
      <c r="L16" s="2024">
        <f>M02S02F40</f>
        <v>0</v>
      </c>
      <c r="M16" s="2024"/>
      <c r="N16" s="2024"/>
      <c r="O16" s="2024"/>
      <c r="P16" s="69"/>
      <c r="Q16" s="2042" t="s">
        <v>1140</v>
      </c>
      <c r="R16" s="2042"/>
      <c r="S16" s="2042"/>
      <c r="T16" s="2042"/>
      <c r="U16" s="2039" t="str">
        <f ca="1">IF(TEMPLATE!A140/TEMPLATE!D140=1,"Completed",IF(TEMPLATE!A140/TEMPLATE!D140&gt;0.7,"Almost!","Incomplete"))</f>
        <v>Incomplete</v>
      </c>
      <c r="V16" s="2039"/>
      <c r="W16" s="2039"/>
      <c r="X16" s="2039"/>
      <c r="Y16" s="2039"/>
      <c r="Z16" s="2039"/>
      <c r="AA16" s="2039"/>
      <c r="AB16" s="2039"/>
      <c r="AC16" s="2039"/>
      <c r="AD16" s="69"/>
      <c r="AE16" s="2026" t="s">
        <v>472</v>
      </c>
      <c r="AF16" s="2026"/>
      <c r="AG16" s="2026"/>
      <c r="AH16" s="2026"/>
      <c r="AI16" s="2037"/>
      <c r="AJ16" s="2037"/>
      <c r="AK16" s="2037"/>
      <c r="AL16" s="2037"/>
      <c r="AM16" s="2037"/>
      <c r="AN16" s="2037"/>
      <c r="AO16" s="2037"/>
      <c r="AP16" s="2037"/>
      <c r="AQ16" s="2037"/>
      <c r="AR16" s="69"/>
    </row>
    <row r="17" spans="2:44" ht="15.95" customHeight="1" thickBot="1" x14ac:dyDescent="0.3">
      <c r="B17" s="69"/>
      <c r="C17" s="2026" t="s">
        <v>422</v>
      </c>
      <c r="D17" s="2026"/>
      <c r="E17" s="2026"/>
      <c r="F17" s="2026"/>
      <c r="G17" s="2024">
        <f>M02S03F01</f>
        <v>0</v>
      </c>
      <c r="H17" s="2024"/>
      <c r="I17" s="2024"/>
      <c r="J17" s="2024"/>
      <c r="K17" s="2024"/>
      <c r="L17" s="2024"/>
      <c r="M17" s="2024"/>
      <c r="N17" s="2024"/>
      <c r="O17" s="2024"/>
      <c r="P17" s="69"/>
      <c r="Q17" s="2042" t="s">
        <v>1141</v>
      </c>
      <c r="R17" s="2042"/>
      <c r="S17" s="2042"/>
      <c r="T17" s="2042"/>
      <c r="U17" s="2044" t="str">
        <f ca="1">IF(TEMPLATE!A182/TEMPLATE!D182=1,"Completed",IF(TEMPLATE!A182/TEMPLATE!D182&gt;0.7,"Almost!","Incomplete"))</f>
        <v>Incomplete</v>
      </c>
      <c r="V17" s="2044"/>
      <c r="W17" s="2044"/>
      <c r="X17" s="2044"/>
      <c r="Y17" s="2044"/>
      <c r="Z17" s="2044"/>
      <c r="AA17" s="2044"/>
      <c r="AB17" s="2044"/>
      <c r="AC17" s="2044"/>
      <c r="AD17" s="69"/>
      <c r="AE17" s="2040" t="s">
        <v>2227</v>
      </c>
      <c r="AF17" s="2026"/>
      <c r="AG17" s="2026"/>
      <c r="AH17" s="2026"/>
      <c r="AI17" s="2065"/>
      <c r="AJ17" s="2066"/>
      <c r="AK17" s="2066"/>
      <c r="AL17" s="2066"/>
      <c r="AM17" s="2066"/>
      <c r="AN17" s="2067"/>
      <c r="AO17" s="2068"/>
      <c r="AP17" s="2066"/>
      <c r="AQ17" s="2067"/>
      <c r="AR17" s="69"/>
    </row>
    <row r="18" spans="2:44" ht="15.95" customHeight="1" thickBot="1" x14ac:dyDescent="0.3">
      <c r="B18" s="69"/>
      <c r="C18" s="2026" t="s">
        <v>0</v>
      </c>
      <c r="D18" s="2026"/>
      <c r="E18" s="2026"/>
      <c r="F18" s="2026"/>
      <c r="G18" s="2024" t="str">
        <f>M02S02F12</f>
        <v>Custom/Standard</v>
      </c>
      <c r="H18" s="2024"/>
      <c r="I18" s="2024"/>
      <c r="J18" s="2024"/>
      <c r="K18" s="2024"/>
      <c r="L18" s="2024"/>
      <c r="M18" s="2024"/>
      <c r="N18" s="2024"/>
      <c r="O18" s="2024"/>
      <c r="P18" s="69"/>
      <c r="Q18" s="2042" t="s">
        <v>226</v>
      </c>
      <c r="R18" s="2042"/>
      <c r="S18" s="2042"/>
      <c r="T18" s="2042"/>
      <c r="U18" s="2045" t="str">
        <f>IF(TEMPLATE!A208/TEMPLATE!D208=1,"Completed",IF(TEMPLATE!A208/TEMPLATE!D208&gt;0.7,"Almost!","Incomplete"))</f>
        <v>Incomplete</v>
      </c>
      <c r="V18" s="2045"/>
      <c r="W18" s="2045"/>
      <c r="X18" s="2045"/>
      <c r="Y18" s="2045"/>
      <c r="Z18" s="2045"/>
      <c r="AA18" s="2045"/>
      <c r="AB18" s="2045"/>
      <c r="AC18" s="2045"/>
      <c r="AD18" s="69"/>
      <c r="AE18" s="2026" t="s">
        <v>474</v>
      </c>
      <c r="AF18" s="2026"/>
      <c r="AG18" s="2026"/>
      <c r="AH18" s="2026"/>
      <c r="AI18" s="2043"/>
      <c r="AJ18" s="2043"/>
      <c r="AK18" s="2043"/>
      <c r="AL18" s="2043"/>
      <c r="AM18" s="2043"/>
      <c r="AN18" s="2043"/>
      <c r="AO18" s="2043"/>
      <c r="AP18" s="2043"/>
      <c r="AQ18" s="2043"/>
      <c r="AR18" s="69"/>
    </row>
    <row r="19" spans="2:44" ht="15.95" customHeight="1" thickBot="1" x14ac:dyDescent="0.3">
      <c r="B19" s="69"/>
      <c r="C19" s="2026" t="s">
        <v>470</v>
      </c>
      <c r="D19" s="2026"/>
      <c r="E19" s="2026"/>
      <c r="F19" s="2026"/>
      <c r="G19" s="2024" t="str">
        <f>VERSION</f>
        <v>Custom and Standard v8.1.0</v>
      </c>
      <c r="H19" s="2024"/>
      <c r="I19" s="2024"/>
      <c r="J19" s="2024"/>
      <c r="K19" s="2024"/>
      <c r="L19" s="2024"/>
      <c r="M19" s="2024"/>
      <c r="N19" s="2024"/>
      <c r="O19" s="2024"/>
      <c r="P19" s="69"/>
      <c r="Q19" s="2042" t="s">
        <v>2180</v>
      </c>
      <c r="R19" s="2042"/>
      <c r="S19" s="2042"/>
      <c r="T19" s="2042"/>
      <c r="U19" s="2034" t="str">
        <f>IFERROR(IF(TEMPLATE!A216/TEMPLATE!D216=1,"Completed",IF(TEMPLATE!A216/TEMPLATE!D216&gt;0.7,"Almost!","Incomplete")),"")</f>
        <v/>
      </c>
      <c r="V19" s="2035"/>
      <c r="W19" s="2035"/>
      <c r="X19" s="2035"/>
      <c r="Y19" s="2036"/>
      <c r="Z19" s="2056">
        <f>M02S02F43</f>
        <v>0</v>
      </c>
      <c r="AA19" s="2057"/>
      <c r="AB19" s="2057"/>
      <c r="AC19" s="2058"/>
      <c r="AD19" s="69"/>
      <c r="AE19" s="2026" t="s">
        <v>1280</v>
      </c>
      <c r="AF19" s="2026"/>
      <c r="AG19" s="2026"/>
      <c r="AH19" s="2026"/>
      <c r="AI19" s="2037" t="str">
        <f>IF(ISTEXT(M02S02F42), M02S02F42, " ")</f>
        <v xml:space="preserve"> </v>
      </c>
      <c r="AJ19" s="2037"/>
      <c r="AK19" s="2037"/>
      <c r="AL19" s="2037"/>
      <c r="AM19" s="2037"/>
      <c r="AN19" s="2037"/>
      <c r="AO19" s="2037"/>
      <c r="AP19" s="2037"/>
      <c r="AQ19" s="2037"/>
      <c r="AR19" s="69"/>
    </row>
    <row r="20" spans="2:44" ht="15.95" customHeight="1" thickBot="1" x14ac:dyDescent="0.3">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row>
    <row r="21" spans="2:44" ht="15.95" customHeight="1" thickBot="1" x14ac:dyDescent="0.3">
      <c r="B21" s="69"/>
      <c r="C21" s="2015" t="s">
        <v>903</v>
      </c>
      <c r="D21" s="2015"/>
      <c r="E21" s="2015"/>
      <c r="F21" s="2015"/>
      <c r="G21" s="2015"/>
      <c r="H21" s="2015"/>
      <c r="I21" s="2015"/>
      <c r="J21" s="2015"/>
      <c r="K21" s="2015"/>
      <c r="L21" s="2015"/>
      <c r="M21" s="2015"/>
      <c r="N21" s="2015"/>
      <c r="O21" s="2015"/>
      <c r="P21" s="456"/>
      <c r="Q21" s="2015" t="s">
        <v>1953</v>
      </c>
      <c r="R21" s="2015"/>
      <c r="S21" s="2015"/>
      <c r="T21" s="2015"/>
      <c r="U21" s="2015"/>
      <c r="V21" s="2015"/>
      <c r="W21" s="2015"/>
      <c r="X21" s="2015"/>
      <c r="Y21" s="2015"/>
      <c r="Z21" s="2015"/>
      <c r="AA21" s="2015"/>
      <c r="AB21" s="2015"/>
      <c r="AC21" s="2015"/>
      <c r="AD21" s="69"/>
      <c r="AE21" s="2015" t="s">
        <v>476</v>
      </c>
      <c r="AF21" s="2015"/>
      <c r="AG21" s="2015"/>
      <c r="AH21" s="2015"/>
      <c r="AI21" s="2015"/>
      <c r="AJ21" s="2015"/>
      <c r="AK21" s="2015"/>
      <c r="AL21" s="2015"/>
      <c r="AM21" s="2015"/>
      <c r="AN21" s="2015"/>
      <c r="AO21" s="2015"/>
      <c r="AP21" s="2015"/>
      <c r="AQ21" s="2015"/>
      <c r="AR21" s="69"/>
    </row>
    <row r="22" spans="2:44" ht="15.95" customHeight="1" thickBot="1" x14ac:dyDescent="0.3">
      <c r="B22" s="69"/>
      <c r="C22" s="2049" t="s">
        <v>105</v>
      </c>
      <c r="D22" s="2049"/>
      <c r="E22" s="2049"/>
      <c r="F22" s="2049"/>
      <c r="G22" s="2031" t="str">
        <f>PROPER(M02S02F46)</f>
        <v/>
      </c>
      <c r="H22" s="2031"/>
      <c r="I22" s="2031"/>
      <c r="J22" s="2031"/>
      <c r="K22" s="2031"/>
      <c r="L22" s="2031"/>
      <c r="M22" s="2031"/>
      <c r="N22" s="2031"/>
      <c r="O22" s="2031"/>
      <c r="P22" s="69"/>
      <c r="Q22" s="2053" t="s">
        <v>1909</v>
      </c>
      <c r="R22" s="2054"/>
      <c r="S22" s="2054"/>
      <c r="T22" s="2054"/>
      <c r="U22" s="2016" t="str">
        <f>PROPER(M02S02F16)</f>
        <v/>
      </c>
      <c r="V22" s="2016"/>
      <c r="W22" s="2016"/>
      <c r="X22" s="2016"/>
      <c r="Y22" s="2016"/>
      <c r="Z22" s="2016" t="str">
        <f>PROPER(M02S02F17)</f>
        <v/>
      </c>
      <c r="AA22" s="2016"/>
      <c r="AB22" s="2016"/>
      <c r="AC22" s="2016"/>
      <c r="AD22" s="69"/>
      <c r="AE22" s="1997" t="s">
        <v>105</v>
      </c>
      <c r="AF22" s="1997"/>
      <c r="AG22" s="1997"/>
      <c r="AH22" s="1997"/>
      <c r="AI22" s="1998" t="str">
        <f>PROPER(M02S03F02)</f>
        <v/>
      </c>
      <c r="AJ22" s="1998"/>
      <c r="AK22" s="1998"/>
      <c r="AL22" s="1998"/>
      <c r="AM22" s="1998"/>
      <c r="AN22" s="1998"/>
      <c r="AO22" s="1998"/>
      <c r="AP22" s="1998"/>
      <c r="AQ22" s="1998"/>
      <c r="AR22" s="69"/>
    </row>
    <row r="23" spans="2:44" ht="15.95" customHeight="1" thickBot="1" x14ac:dyDescent="0.3">
      <c r="B23" s="69"/>
      <c r="C23" s="461" t="s">
        <v>218</v>
      </c>
      <c r="D23" s="461"/>
      <c r="E23" s="461"/>
      <c r="F23" s="461"/>
      <c r="G23" s="1999" t="str">
        <f>PROPER(M02S02F08)</f>
        <v/>
      </c>
      <c r="H23" s="2001"/>
      <c r="I23" s="2001"/>
      <c r="J23" s="2001"/>
      <c r="K23" s="2001"/>
      <c r="L23" s="2001"/>
      <c r="M23" s="2001"/>
      <c r="N23" s="2001"/>
      <c r="O23" s="2000"/>
      <c r="P23" s="69"/>
      <c r="Q23" s="2054" t="s">
        <v>77</v>
      </c>
      <c r="R23" s="2054"/>
      <c r="S23" s="2054"/>
      <c r="T23" s="2054"/>
      <c r="U23" s="2016" t="str">
        <f>PROPER(M02S02F18)</f>
        <v/>
      </c>
      <c r="V23" s="2016"/>
      <c r="W23" s="2016"/>
      <c r="X23" s="2016"/>
      <c r="Y23" s="2016"/>
      <c r="Z23" s="2016"/>
      <c r="AA23" s="2016"/>
      <c r="AB23" s="2016"/>
      <c r="AC23" s="2016"/>
      <c r="AD23" s="69"/>
      <c r="AE23" s="1997" t="s">
        <v>487</v>
      </c>
      <c r="AF23" s="1997"/>
      <c r="AG23" s="1997"/>
      <c r="AH23" s="1997"/>
      <c r="AI23" s="1998" t="str">
        <f>PROPER(M02S03F03)</f>
        <v/>
      </c>
      <c r="AJ23" s="1998"/>
      <c r="AK23" s="1998"/>
      <c r="AL23" s="1998"/>
      <c r="AM23" s="1998"/>
      <c r="AN23" s="1998" t="str">
        <f>PROPER(M02S03F04)</f>
        <v/>
      </c>
      <c r="AO23" s="1998"/>
      <c r="AP23" s="1998"/>
      <c r="AQ23" s="1998"/>
      <c r="AR23" s="69"/>
    </row>
    <row r="24" spans="2:44" ht="15.95" customHeight="1" thickBot="1" x14ac:dyDescent="0.3">
      <c r="B24" s="69"/>
      <c r="C24" s="2008" t="s">
        <v>479</v>
      </c>
      <c r="D24" s="2009"/>
      <c r="E24" s="2009"/>
      <c r="F24" s="2010"/>
      <c r="G24" s="1999" t="str">
        <f>PROPER(M02S02F09)</f>
        <v/>
      </c>
      <c r="H24" s="2001"/>
      <c r="I24" s="2001"/>
      <c r="J24" s="2001"/>
      <c r="K24" s="2000"/>
      <c r="L24" s="1999" t="str">
        <f>UPPER(M02S02F10)</f>
        <v/>
      </c>
      <c r="M24" s="2000"/>
      <c r="N24" s="2032">
        <f>M02S02F11</f>
        <v>0</v>
      </c>
      <c r="O24" s="2033"/>
      <c r="P24" s="69"/>
      <c r="Q24" s="2053" t="s">
        <v>423</v>
      </c>
      <c r="R24" s="2054"/>
      <c r="S24" s="2054"/>
      <c r="T24" s="2054"/>
      <c r="U24" s="2079">
        <f>M02S02F19</f>
        <v>0</v>
      </c>
      <c r="V24" s="2080"/>
      <c r="W24" s="2080"/>
      <c r="X24" s="2080"/>
      <c r="Y24" s="2080"/>
      <c r="Z24" s="2080"/>
      <c r="AA24" s="2080"/>
      <c r="AB24" s="2080"/>
      <c r="AC24" s="2081"/>
      <c r="AD24" s="69"/>
      <c r="AE24" s="1997" t="s">
        <v>77</v>
      </c>
      <c r="AF24" s="1997"/>
      <c r="AG24" s="1997"/>
      <c r="AH24" s="1997"/>
      <c r="AI24" s="1998" t="str">
        <f>PROPER(M02S03F05)</f>
        <v/>
      </c>
      <c r="AJ24" s="1998"/>
      <c r="AK24" s="1998"/>
      <c r="AL24" s="1998"/>
      <c r="AM24" s="1998"/>
      <c r="AN24" s="1998"/>
      <c r="AO24" s="1998"/>
      <c r="AP24" s="1998"/>
      <c r="AQ24" s="1998"/>
      <c r="AR24" s="69"/>
    </row>
    <row r="25" spans="2:44" ht="15.95" customHeight="1" thickBot="1" x14ac:dyDescent="0.3">
      <c r="B25" s="69"/>
      <c r="C25" s="2046" t="s">
        <v>423</v>
      </c>
      <c r="D25" s="2047"/>
      <c r="E25" s="2047"/>
      <c r="F25" s="2048"/>
      <c r="G25" s="2002">
        <f>M02S02F48</f>
        <v>0</v>
      </c>
      <c r="H25" s="2003"/>
      <c r="I25" s="2003"/>
      <c r="J25" s="2003"/>
      <c r="K25" s="2003"/>
      <c r="L25" s="2003"/>
      <c r="M25" s="2003"/>
      <c r="N25" s="2003"/>
      <c r="O25" s="2004"/>
      <c r="P25" s="69"/>
      <c r="Q25" s="2054" t="s">
        <v>217</v>
      </c>
      <c r="R25" s="2054"/>
      <c r="S25" s="2054"/>
      <c r="T25" s="2054"/>
      <c r="U25" s="2016">
        <f>M02S02F21</f>
        <v>0</v>
      </c>
      <c r="V25" s="2016"/>
      <c r="W25" s="2016"/>
      <c r="X25" s="2016"/>
      <c r="Y25" s="2016"/>
      <c r="Z25" s="2016"/>
      <c r="AA25" s="2016"/>
      <c r="AB25" s="2016"/>
      <c r="AC25" s="2016"/>
      <c r="AD25" s="69"/>
      <c r="AE25" s="1997" t="s">
        <v>480</v>
      </c>
      <c r="AF25" s="1997"/>
      <c r="AG25" s="1997"/>
      <c r="AH25" s="1997"/>
      <c r="AI25" s="2041">
        <f>M02S03F06</f>
        <v>0</v>
      </c>
      <c r="AJ25" s="2041"/>
      <c r="AK25" s="2041"/>
      <c r="AL25" s="2041"/>
      <c r="AM25" s="2041"/>
      <c r="AN25" s="2041">
        <f>M02S03F07</f>
        <v>0</v>
      </c>
      <c r="AO25" s="2041"/>
      <c r="AP25" s="2041"/>
      <c r="AQ25" s="2041"/>
      <c r="AR25" s="69"/>
    </row>
    <row r="26" spans="2:44" ht="15.95" customHeight="1" thickBot="1" x14ac:dyDescent="0.3">
      <c r="B26" s="69"/>
      <c r="C26" s="2008" t="s">
        <v>1169</v>
      </c>
      <c r="D26" s="2009"/>
      <c r="E26" s="2009"/>
      <c r="F26" s="2010"/>
      <c r="G26" s="1999">
        <f>M02S02F11.1</f>
        <v>0</v>
      </c>
      <c r="H26" s="2001"/>
      <c r="I26" s="2001"/>
      <c r="J26" s="2001"/>
      <c r="K26" s="2001"/>
      <c r="L26" s="2001"/>
      <c r="M26" s="2001"/>
      <c r="N26" s="2001"/>
      <c r="O26" s="2000"/>
      <c r="P26" s="69"/>
      <c r="Q26" s="2050"/>
      <c r="R26" s="2051"/>
      <c r="S26" s="2051"/>
      <c r="T26" s="2052"/>
      <c r="U26" s="2020"/>
      <c r="V26" s="2021"/>
      <c r="W26" s="2021"/>
      <c r="X26" s="2021"/>
      <c r="Y26" s="2021"/>
      <c r="Z26" s="2021"/>
      <c r="AA26" s="2021"/>
      <c r="AB26" s="2021"/>
      <c r="AC26" s="2022"/>
      <c r="AD26" s="69"/>
      <c r="AE26" s="1997" t="s">
        <v>217</v>
      </c>
      <c r="AF26" s="1997"/>
      <c r="AG26" s="1997"/>
      <c r="AH26" s="1997"/>
      <c r="AI26" s="1998">
        <f>M02S03F08</f>
        <v>0</v>
      </c>
      <c r="AJ26" s="1998"/>
      <c r="AK26" s="1998"/>
      <c r="AL26" s="1998"/>
      <c r="AM26" s="1998"/>
      <c r="AN26" s="1998"/>
      <c r="AO26" s="1998"/>
      <c r="AP26" s="1998"/>
      <c r="AQ26" s="1998"/>
      <c r="AR26" s="69"/>
    </row>
    <row r="27" spans="2:44" ht="15.95" customHeight="1" thickBot="1" x14ac:dyDescent="0.3">
      <c r="B27" s="69"/>
      <c r="C27" s="2008" t="s">
        <v>1170</v>
      </c>
      <c r="D27" s="2009"/>
      <c r="E27" s="2009"/>
      <c r="F27" s="2010"/>
      <c r="G27" s="1999">
        <f>M02S02F11.2</f>
        <v>0</v>
      </c>
      <c r="H27" s="2001"/>
      <c r="I27" s="2001"/>
      <c r="J27" s="2001"/>
      <c r="K27" s="2001"/>
      <c r="L27" s="2001"/>
      <c r="M27" s="2001"/>
      <c r="N27" s="2001"/>
      <c r="O27" s="2000"/>
      <c r="P27" s="69"/>
      <c r="Q27" s="2085" t="s">
        <v>1947</v>
      </c>
      <c r="R27" s="2086"/>
      <c r="S27" s="2086"/>
      <c r="T27" s="2087"/>
      <c r="U27" s="2017" t="str">
        <f>PROPER(M02S02F02)</f>
        <v/>
      </c>
      <c r="V27" s="2018"/>
      <c r="W27" s="2018"/>
      <c r="X27" s="2018"/>
      <c r="Y27" s="2019"/>
      <c r="Z27" s="2017" t="str">
        <f>PROPER(M02S02F03)</f>
        <v/>
      </c>
      <c r="AA27" s="2018"/>
      <c r="AB27" s="2018"/>
      <c r="AC27" s="2019"/>
      <c r="AD27" s="69"/>
      <c r="AE27" s="1997" t="s">
        <v>218</v>
      </c>
      <c r="AF27" s="1997"/>
      <c r="AG27" s="1997"/>
      <c r="AH27" s="1997"/>
      <c r="AI27" s="1998" t="str">
        <f>PROPER(M02S03F09)</f>
        <v/>
      </c>
      <c r="AJ27" s="1998"/>
      <c r="AK27" s="1998"/>
      <c r="AL27" s="1998"/>
      <c r="AM27" s="1998"/>
      <c r="AN27" s="1998"/>
      <c r="AO27" s="1998"/>
      <c r="AP27" s="1998"/>
      <c r="AQ27" s="1998"/>
      <c r="AR27" s="69"/>
    </row>
    <row r="28" spans="2:44" ht="15.95" customHeight="1" thickBot="1" x14ac:dyDescent="0.3">
      <c r="B28" s="69"/>
      <c r="C28" s="2008" t="s">
        <v>1171</v>
      </c>
      <c r="D28" s="2009"/>
      <c r="E28" s="2009"/>
      <c r="F28" s="2010"/>
      <c r="G28" s="1999">
        <f>M02S02F11.3</f>
        <v>0</v>
      </c>
      <c r="H28" s="2001"/>
      <c r="I28" s="2001"/>
      <c r="J28" s="2001"/>
      <c r="K28" s="2001"/>
      <c r="L28" s="2001"/>
      <c r="M28" s="2001"/>
      <c r="N28" s="2001"/>
      <c r="O28" s="2000"/>
      <c r="P28" s="69"/>
      <c r="Q28" s="2069" t="s">
        <v>77</v>
      </c>
      <c r="R28" s="2070"/>
      <c r="S28" s="2070"/>
      <c r="T28" s="2071"/>
      <c r="U28" s="2017" t="str">
        <f>PROPER(M02S02F04)</f>
        <v/>
      </c>
      <c r="V28" s="2018"/>
      <c r="W28" s="2018"/>
      <c r="X28" s="2018"/>
      <c r="Y28" s="2018"/>
      <c r="Z28" s="2018"/>
      <c r="AA28" s="2018"/>
      <c r="AB28" s="2018"/>
      <c r="AC28" s="2019"/>
      <c r="AD28" s="69"/>
      <c r="AE28" s="1997" t="s">
        <v>479</v>
      </c>
      <c r="AF28" s="1997"/>
      <c r="AG28" s="1997"/>
      <c r="AH28" s="1997"/>
      <c r="AI28" s="1998" t="str">
        <f>PROPER(M02S03F10)</f>
        <v/>
      </c>
      <c r="AJ28" s="1998"/>
      <c r="AK28" s="1998"/>
      <c r="AL28" s="1998"/>
      <c r="AM28" s="1998"/>
      <c r="AN28" s="1998" t="str">
        <f>UPPER(M02S03F11)</f>
        <v/>
      </c>
      <c r="AO28" s="1998"/>
      <c r="AP28" s="2025">
        <f>M02S03F12</f>
        <v>0</v>
      </c>
      <c r="AQ28" s="2025"/>
      <c r="AR28" s="69"/>
    </row>
    <row r="29" spans="2:44" ht="15.95" customHeight="1" thickBot="1" x14ac:dyDescent="0.3">
      <c r="B29" s="69"/>
      <c r="C29" s="2008" t="s">
        <v>1172</v>
      </c>
      <c r="D29" s="2009"/>
      <c r="E29" s="2009"/>
      <c r="F29" s="2010"/>
      <c r="G29" s="2005">
        <f>M02S02F11.4</f>
        <v>0</v>
      </c>
      <c r="H29" s="2006"/>
      <c r="I29" s="2006"/>
      <c r="J29" s="2006"/>
      <c r="K29" s="2007"/>
      <c r="L29" s="2005">
        <f>M02S02F11.5</f>
        <v>0</v>
      </c>
      <c r="M29" s="2006"/>
      <c r="N29" s="2006"/>
      <c r="O29" s="2007"/>
      <c r="P29" s="69"/>
      <c r="Q29" s="2085" t="s">
        <v>423</v>
      </c>
      <c r="R29" s="2086"/>
      <c r="S29" s="2086"/>
      <c r="T29" s="2087"/>
      <c r="U29" s="2088" t="str">
        <f>M02S02F05</f>
        <v/>
      </c>
      <c r="V29" s="2089"/>
      <c r="W29" s="2089"/>
      <c r="X29" s="2089"/>
      <c r="Y29" s="2089"/>
      <c r="Z29" s="2089"/>
      <c r="AA29" s="2089"/>
      <c r="AB29" s="2089"/>
      <c r="AC29" s="2090"/>
      <c r="AD29" s="69"/>
      <c r="AE29" s="1997" t="s">
        <v>1169</v>
      </c>
      <c r="AF29" s="1997"/>
      <c r="AG29" s="1997"/>
      <c r="AH29" s="1997"/>
      <c r="AI29" s="1998">
        <f>M02S03F13</f>
        <v>0</v>
      </c>
      <c r="AJ29" s="1998"/>
      <c r="AK29" s="1998"/>
      <c r="AL29" s="1998"/>
      <c r="AM29" s="1998"/>
      <c r="AN29" s="1998"/>
      <c r="AO29" s="1998"/>
      <c r="AP29" s="1998"/>
      <c r="AQ29" s="1998"/>
      <c r="AR29" s="69"/>
    </row>
    <row r="30" spans="2:44" ht="15.95" customHeight="1" thickBot="1" x14ac:dyDescent="0.3">
      <c r="B30" s="69"/>
      <c r="C30" s="2008"/>
      <c r="D30" s="2009"/>
      <c r="E30" s="2009"/>
      <c r="F30" s="2010"/>
      <c r="G30" s="1999"/>
      <c r="H30" s="2001"/>
      <c r="I30" s="2001"/>
      <c r="J30" s="2001"/>
      <c r="K30" s="2001"/>
      <c r="L30" s="2001"/>
      <c r="M30" s="2001"/>
      <c r="N30" s="2001"/>
      <c r="O30" s="2000"/>
      <c r="P30" s="69"/>
      <c r="Q30" s="2069" t="s">
        <v>217</v>
      </c>
      <c r="R30" s="2070"/>
      <c r="S30" s="2070"/>
      <c r="T30" s="2071"/>
      <c r="U30" s="2017" t="str">
        <f>M02S02F07</f>
        <v/>
      </c>
      <c r="V30" s="2018"/>
      <c r="W30" s="2018"/>
      <c r="X30" s="2018"/>
      <c r="Y30" s="2018"/>
      <c r="Z30" s="2018"/>
      <c r="AA30" s="2018"/>
      <c r="AB30" s="2018"/>
      <c r="AC30" s="2019"/>
      <c r="AD30" s="69"/>
      <c r="AE30" s="1997" t="s">
        <v>1170</v>
      </c>
      <c r="AF30" s="1997"/>
      <c r="AG30" s="1997"/>
      <c r="AH30" s="1997"/>
      <c r="AI30" s="1998">
        <f>M02S03F14</f>
        <v>0</v>
      </c>
      <c r="AJ30" s="1998"/>
      <c r="AK30" s="1998"/>
      <c r="AL30" s="1998"/>
      <c r="AM30" s="1998"/>
      <c r="AN30" s="1998"/>
      <c r="AO30" s="1998"/>
      <c r="AP30" s="1998"/>
      <c r="AQ30" s="1998"/>
      <c r="AR30" s="69"/>
    </row>
    <row r="31" spans="2:44" ht="15.95" customHeight="1" thickBot="1" x14ac:dyDescent="0.3">
      <c r="B31" s="69"/>
      <c r="C31" s="2008"/>
      <c r="D31" s="2009"/>
      <c r="E31" s="2009"/>
      <c r="F31" s="2010"/>
      <c r="G31" s="1999"/>
      <c r="H31" s="2001"/>
      <c r="I31" s="2001"/>
      <c r="J31" s="2001"/>
      <c r="K31" s="2001"/>
      <c r="L31" s="2001"/>
      <c r="M31" s="2001"/>
      <c r="N31" s="2001"/>
      <c r="O31" s="2000"/>
      <c r="P31" s="69"/>
      <c r="Q31" s="2050"/>
      <c r="R31" s="2051"/>
      <c r="S31" s="2051"/>
      <c r="T31" s="2052"/>
      <c r="U31" s="2020"/>
      <c r="V31" s="2021"/>
      <c r="W31" s="2021"/>
      <c r="X31" s="2021"/>
      <c r="Y31" s="2021"/>
      <c r="Z31" s="2021"/>
      <c r="AA31" s="2021"/>
      <c r="AB31" s="2021"/>
      <c r="AC31" s="2022"/>
      <c r="AD31" s="69"/>
      <c r="AE31" s="1997" t="s">
        <v>1171</v>
      </c>
      <c r="AF31" s="1997"/>
      <c r="AG31" s="1997"/>
      <c r="AH31" s="1997"/>
      <c r="AI31" s="1998">
        <f>M02S03F15</f>
        <v>0</v>
      </c>
      <c r="AJ31" s="1998"/>
      <c r="AK31" s="1998"/>
      <c r="AL31" s="1998"/>
      <c r="AM31" s="1998"/>
      <c r="AN31" s="1998"/>
      <c r="AO31" s="1998"/>
      <c r="AP31" s="1998"/>
      <c r="AQ31" s="1998"/>
      <c r="AR31" s="69"/>
    </row>
    <row r="32" spans="2:44" ht="15.95" customHeight="1" thickBot="1" x14ac:dyDescent="0.3">
      <c r="B32" s="69"/>
      <c r="C32" s="2008" t="s">
        <v>1287</v>
      </c>
      <c r="D32" s="2009"/>
      <c r="E32" s="2009"/>
      <c r="F32" s="2010"/>
      <c r="G32" s="1999">
        <f>M02S02F36</f>
        <v>0</v>
      </c>
      <c r="H32" s="2001"/>
      <c r="I32" s="2001"/>
      <c r="J32" s="2001"/>
      <c r="K32" s="2001"/>
      <c r="L32" s="2000"/>
      <c r="M32" s="2082" t="str">
        <f>M02S02F35</f>
        <v/>
      </c>
      <c r="N32" s="2083"/>
      <c r="O32" s="2084"/>
      <c r="P32" s="69"/>
      <c r="Q32" s="2050"/>
      <c r="R32" s="2051"/>
      <c r="S32" s="2051"/>
      <c r="T32" s="2052"/>
      <c r="U32" s="2020"/>
      <c r="V32" s="2021"/>
      <c r="W32" s="2021"/>
      <c r="X32" s="2021"/>
      <c r="Y32" s="2021"/>
      <c r="Z32" s="2021"/>
      <c r="AA32" s="2021"/>
      <c r="AB32" s="2021"/>
      <c r="AC32" s="2022"/>
      <c r="AD32" s="69"/>
      <c r="AE32" s="1997" t="s">
        <v>1172</v>
      </c>
      <c r="AF32" s="1997"/>
      <c r="AG32" s="1997"/>
      <c r="AH32" s="1997"/>
      <c r="AI32" s="1996">
        <f>M02S03F16</f>
        <v>0</v>
      </c>
      <c r="AJ32" s="1996"/>
      <c r="AK32" s="1996"/>
      <c r="AL32" s="1996"/>
      <c r="AM32" s="1996"/>
      <c r="AN32" s="1996">
        <f>M02S03F17</f>
        <v>0</v>
      </c>
      <c r="AO32" s="1996"/>
      <c r="AP32" s="1996"/>
      <c r="AQ32" s="1996"/>
      <c r="AR32" s="69"/>
    </row>
    <row r="33" spans="2:44" ht="15.95" customHeight="1" thickBot="1" x14ac:dyDescent="0.3">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row>
    <row r="34" spans="2:44" ht="15.95" customHeight="1" thickBot="1" x14ac:dyDescent="0.3">
      <c r="B34" s="456"/>
      <c r="C34" s="2015" t="s">
        <v>115</v>
      </c>
      <c r="D34" s="2015"/>
      <c r="E34" s="2015"/>
      <c r="F34" s="2015"/>
      <c r="G34" s="2015"/>
      <c r="H34" s="2015"/>
      <c r="I34" s="2015"/>
      <c r="J34" s="2015"/>
      <c r="K34" s="2015"/>
      <c r="L34" s="2015"/>
      <c r="M34" s="2015"/>
      <c r="N34" s="2015"/>
      <c r="O34" s="2015"/>
      <c r="Q34" s="2015" t="s">
        <v>489</v>
      </c>
      <c r="R34" s="2015"/>
      <c r="S34" s="2015"/>
      <c r="T34" s="2015"/>
      <c r="U34" s="2015"/>
      <c r="V34" s="2015"/>
      <c r="W34" s="2015"/>
      <c r="X34" s="2015"/>
      <c r="Y34" s="2015"/>
      <c r="Z34" s="2015"/>
      <c r="AA34" s="2015"/>
      <c r="AB34" s="2015"/>
      <c r="AC34" s="2015"/>
      <c r="AD34" s="69"/>
      <c r="AE34" s="2015" t="s">
        <v>495</v>
      </c>
      <c r="AF34" s="2015"/>
      <c r="AG34" s="2015"/>
      <c r="AH34" s="2015"/>
      <c r="AI34" s="2015"/>
      <c r="AJ34" s="2015"/>
      <c r="AK34" s="2015"/>
      <c r="AL34" s="2015"/>
      <c r="AM34" s="2015"/>
      <c r="AN34" s="2015"/>
      <c r="AO34" s="2015"/>
      <c r="AP34" s="2015"/>
      <c r="AQ34" s="2015"/>
      <c r="AR34" s="69"/>
    </row>
    <row r="35" spans="2:44" ht="15.95" customHeight="1" thickBot="1" x14ac:dyDescent="0.3">
      <c r="B35" s="69"/>
      <c r="C35" s="1984" t="s">
        <v>1148</v>
      </c>
      <c r="D35" s="1984"/>
      <c r="E35" s="1984"/>
      <c r="F35" s="1984"/>
      <c r="G35" s="2028">
        <f>M02S02F13</f>
        <v>0</v>
      </c>
      <c r="H35" s="2029"/>
      <c r="I35" s="2029"/>
      <c r="J35" s="2029"/>
      <c r="K35" s="2030"/>
      <c r="L35" s="2028" t="str">
        <f>M02S02F47</f>
        <v/>
      </c>
      <c r="M35" s="2029"/>
      <c r="N35" s="2029"/>
      <c r="O35" s="2030"/>
      <c r="Q35" s="1995" t="s">
        <v>84</v>
      </c>
      <c r="R35" s="1995"/>
      <c r="S35" s="1995"/>
      <c r="T35" s="1995"/>
      <c r="U35" s="2012" t="str">
        <f>PROPER(M02S04F02)</f>
        <v/>
      </c>
      <c r="V35" s="2012"/>
      <c r="W35" s="2012"/>
      <c r="X35" s="2012"/>
      <c r="Y35" s="2012"/>
      <c r="Z35" s="2012"/>
      <c r="AA35" s="2012"/>
      <c r="AB35" s="2012"/>
      <c r="AC35" s="2012"/>
      <c r="AD35" s="69"/>
      <c r="AE35" s="2042" t="s">
        <v>471</v>
      </c>
      <c r="AF35" s="2042"/>
      <c r="AG35" s="2042"/>
      <c r="AH35" s="2042"/>
      <c r="AI35" s="2045">
        <f>INCENTOTAL</f>
        <v>0</v>
      </c>
      <c r="AJ35" s="2045"/>
      <c r="AK35" s="2045"/>
      <c r="AL35" s="2045"/>
      <c r="AM35" s="2045"/>
      <c r="AN35" s="2045"/>
      <c r="AO35" s="2045"/>
      <c r="AP35" s="2045"/>
      <c r="AQ35" s="2045"/>
      <c r="AR35" s="69"/>
    </row>
    <row r="36" spans="2:44" ht="15.95" customHeight="1" thickBot="1" x14ac:dyDescent="0.3">
      <c r="B36" s="69"/>
      <c r="C36" s="1984" t="s">
        <v>478</v>
      </c>
      <c r="D36" s="1984"/>
      <c r="E36" s="1984"/>
      <c r="F36" s="1984"/>
      <c r="G36" s="2011" t="str">
        <f>PROPER(M02S02F22)</f>
        <v/>
      </c>
      <c r="H36" s="2011"/>
      <c r="I36" s="2011"/>
      <c r="J36" s="2011"/>
      <c r="K36" s="2011"/>
      <c r="L36" s="2011"/>
      <c r="M36" s="2011"/>
      <c r="N36" s="2011"/>
      <c r="O36" s="2011"/>
      <c r="Q36" s="1995" t="s">
        <v>490</v>
      </c>
      <c r="R36" s="1995"/>
      <c r="S36" s="1995"/>
      <c r="T36" s="1995"/>
      <c r="U36" s="2012" t="str">
        <f>PROPER(M02S04F03)</f>
        <v/>
      </c>
      <c r="V36" s="2012"/>
      <c r="W36" s="2012"/>
      <c r="X36" s="2012"/>
      <c r="Y36" s="2012"/>
      <c r="Z36" s="2012" t="str">
        <f>PROPER(M02S04F04)</f>
        <v/>
      </c>
      <c r="AA36" s="2012"/>
      <c r="AB36" s="2012"/>
      <c r="AC36" s="2012"/>
      <c r="AD36" s="69"/>
      <c r="AE36" s="2042" t="s">
        <v>475</v>
      </c>
      <c r="AF36" s="2042"/>
      <c r="AG36" s="2042"/>
      <c r="AH36" s="2042"/>
      <c r="AI36" s="2038">
        <f>SUM(EXPORT!M3:M375)-EXPORT!M139</f>
        <v>0</v>
      </c>
      <c r="AJ36" s="2038"/>
      <c r="AK36" s="2038"/>
      <c r="AL36" s="2038"/>
      <c r="AM36" s="2038"/>
      <c r="AN36" s="2038"/>
      <c r="AO36" s="2038"/>
      <c r="AP36" s="2038"/>
      <c r="AQ36" s="2038"/>
      <c r="AR36" s="69"/>
    </row>
    <row r="37" spans="2:44" ht="15.95" customHeight="1" thickBot="1" x14ac:dyDescent="0.3">
      <c r="B37" s="69"/>
      <c r="C37" s="1984" t="s">
        <v>479</v>
      </c>
      <c r="D37" s="1984"/>
      <c r="E37" s="1984"/>
      <c r="F37" s="1984"/>
      <c r="G37" s="2011" t="str">
        <f>PROPER(M02S02F23)</f>
        <v/>
      </c>
      <c r="H37" s="2011"/>
      <c r="I37" s="2011"/>
      <c r="J37" s="2011"/>
      <c r="K37" s="2011"/>
      <c r="L37" s="2011" t="str">
        <f>M02S02F24</f>
        <v>MO</v>
      </c>
      <c r="M37" s="2011"/>
      <c r="N37" s="2027" t="str">
        <f>M02S02F25</f>
        <v/>
      </c>
      <c r="O37" s="2027"/>
      <c r="Q37" s="1995" t="s">
        <v>491</v>
      </c>
      <c r="R37" s="1995"/>
      <c r="S37" s="1995"/>
      <c r="T37" s="1995"/>
      <c r="U37" s="2012" t="str">
        <f>PROPER(M02S04F07)</f>
        <v/>
      </c>
      <c r="V37" s="2012"/>
      <c r="W37" s="2012"/>
      <c r="X37" s="2012"/>
      <c r="Y37" s="2012"/>
      <c r="Z37" s="2012"/>
      <c r="AA37" s="2012"/>
      <c r="AB37" s="2012"/>
      <c r="AC37" s="2012"/>
      <c r="AD37" s="69"/>
      <c r="AE37" s="2042" t="s">
        <v>494</v>
      </c>
      <c r="AF37" s="2042"/>
      <c r="AG37" s="2042"/>
      <c r="AH37" s="2042"/>
      <c r="AI37" s="2055">
        <f>SUM(EXPORT!N3:N375)-EXPORT!N139</f>
        <v>0</v>
      </c>
      <c r="AJ37" s="2055"/>
      <c r="AK37" s="2055"/>
      <c r="AL37" s="2055"/>
      <c r="AM37" s="2055"/>
      <c r="AN37" s="2055"/>
      <c r="AO37" s="2055"/>
      <c r="AP37" s="2055"/>
      <c r="AQ37" s="2055"/>
      <c r="AR37" s="69"/>
    </row>
    <row r="38" spans="2:44" ht="15.95" customHeight="1" thickBot="1" x14ac:dyDescent="0.3">
      <c r="B38" s="69"/>
      <c r="C38" s="1984" t="s">
        <v>295</v>
      </c>
      <c r="D38" s="1984"/>
      <c r="E38" s="1984"/>
      <c r="F38" s="1984"/>
      <c r="G38" s="2011">
        <f>M02S02F26</f>
        <v>0</v>
      </c>
      <c r="H38" s="2011"/>
      <c r="I38" s="2011"/>
      <c r="J38" s="2011"/>
      <c r="K38" s="2011"/>
      <c r="L38" s="2011"/>
      <c r="M38" s="2011"/>
      <c r="N38" s="2011"/>
      <c r="O38" s="2011"/>
      <c r="Q38" s="1995" t="s">
        <v>479</v>
      </c>
      <c r="R38" s="1995"/>
      <c r="S38" s="1995"/>
      <c r="T38" s="1995"/>
      <c r="U38" s="2012" t="str">
        <f>PROPER(M02S04F08)</f>
        <v/>
      </c>
      <c r="V38" s="2012"/>
      <c r="W38" s="2012"/>
      <c r="X38" s="2012"/>
      <c r="Y38" s="2012"/>
      <c r="Z38" s="2012" t="str">
        <f>UPPER(M02S04F09)</f>
        <v/>
      </c>
      <c r="AA38" s="2012"/>
      <c r="AB38" s="2014" t="str">
        <f>M02S04F10</f>
        <v/>
      </c>
      <c r="AC38" s="2014"/>
      <c r="AD38" s="69"/>
      <c r="AE38" s="2042" t="s">
        <v>717</v>
      </c>
      <c r="AF38" s="2042"/>
      <c r="AG38" s="2042"/>
      <c r="AH38" s="2042"/>
      <c r="AI38" s="2072">
        <f>SUM(EXPORT!L3:L375)-EXPORT!L139</f>
        <v>0</v>
      </c>
      <c r="AJ38" s="2044"/>
      <c r="AK38" s="2044"/>
      <c r="AL38" s="2044"/>
      <c r="AM38" s="2044"/>
      <c r="AN38" s="2044"/>
      <c r="AO38" s="2044"/>
      <c r="AP38" s="2044"/>
      <c r="AQ38" s="2044"/>
      <c r="AR38" s="69"/>
    </row>
    <row r="39" spans="2:44" ht="15.95" customHeight="1" thickBot="1" x14ac:dyDescent="0.3">
      <c r="B39" s="69"/>
      <c r="C39" s="1984" t="s">
        <v>154</v>
      </c>
      <c r="D39" s="1984"/>
      <c r="E39" s="1984"/>
      <c r="F39" s="1984"/>
      <c r="G39" s="2011">
        <f>M02S02F30</f>
        <v>0</v>
      </c>
      <c r="H39" s="2011"/>
      <c r="I39" s="2011"/>
      <c r="J39" s="2011"/>
      <c r="K39" s="2011"/>
      <c r="L39" s="2011"/>
      <c r="M39" s="2011"/>
      <c r="N39" s="2011"/>
      <c r="O39" s="2011"/>
      <c r="Q39" s="1995" t="s">
        <v>124</v>
      </c>
      <c r="R39" s="1995"/>
      <c r="S39" s="1995"/>
      <c r="T39" s="1995"/>
      <c r="U39" s="2013">
        <f>M02S04F05</f>
        <v>0</v>
      </c>
      <c r="V39" s="2013"/>
      <c r="W39" s="2013"/>
      <c r="X39" s="2013"/>
      <c r="Y39" s="2013"/>
      <c r="Z39" s="2013"/>
      <c r="AA39" s="2013"/>
      <c r="AB39" s="2013"/>
      <c r="AC39" s="2013"/>
      <c r="AD39" s="69"/>
      <c r="AE39" s="2042" t="s">
        <v>1142</v>
      </c>
      <c r="AF39" s="2042"/>
      <c r="AG39" s="2042"/>
      <c r="AH39" s="2042"/>
      <c r="AI39" s="2038">
        <f>SUM(EXPORT!P3:P375)</f>
        <v>0</v>
      </c>
      <c r="AJ39" s="2038"/>
      <c r="AK39" s="2038"/>
      <c r="AL39" s="2038"/>
      <c r="AM39" s="2038"/>
      <c r="AN39" s="2038"/>
      <c r="AO39" s="2038"/>
      <c r="AP39" s="2038"/>
      <c r="AQ39" s="2038"/>
      <c r="AR39" s="69"/>
    </row>
    <row r="40" spans="2:44" ht="15.95" customHeight="1" thickBot="1" x14ac:dyDescent="0.3">
      <c r="B40" s="69"/>
      <c r="C40" s="1984" t="s">
        <v>485</v>
      </c>
      <c r="D40" s="1984"/>
      <c r="E40" s="1984"/>
      <c r="F40" s="1984"/>
      <c r="G40" s="2011">
        <f>M02S02F27</f>
        <v>0</v>
      </c>
      <c r="H40" s="2011"/>
      <c r="I40" s="2011"/>
      <c r="J40" s="2011"/>
      <c r="K40" s="2011"/>
      <c r="L40" s="2011"/>
      <c r="M40" s="2011"/>
      <c r="N40" s="2011"/>
      <c r="O40" s="2011"/>
      <c r="Q40" s="1995" t="s">
        <v>123</v>
      </c>
      <c r="R40" s="1995"/>
      <c r="S40" s="1995"/>
      <c r="T40" s="1995"/>
      <c r="U40" s="2012">
        <f>M02S04F06</f>
        <v>0</v>
      </c>
      <c r="V40" s="2012"/>
      <c r="W40" s="2012"/>
      <c r="X40" s="2012"/>
      <c r="Y40" s="2012"/>
      <c r="Z40" s="2012"/>
      <c r="AA40" s="2012"/>
      <c r="AB40" s="2012"/>
      <c r="AC40" s="2012"/>
      <c r="AD40" s="69"/>
      <c r="AE40" s="2042" t="s">
        <v>1143</v>
      </c>
      <c r="AF40" s="2042"/>
      <c r="AG40" s="2042"/>
      <c r="AH40" s="2042"/>
      <c r="AI40" s="2055">
        <f>SUM(EXPORT!Q3:Q375)</f>
        <v>0</v>
      </c>
      <c r="AJ40" s="2055"/>
      <c r="AK40" s="2055"/>
      <c r="AL40" s="2055"/>
      <c r="AM40" s="2055"/>
      <c r="AN40" s="2055"/>
      <c r="AO40" s="2055"/>
      <c r="AP40" s="2055"/>
      <c r="AQ40" s="2055"/>
      <c r="AR40" s="69"/>
    </row>
    <row r="41" spans="2:44" ht="15.95" customHeight="1" thickBot="1" x14ac:dyDescent="0.3">
      <c r="B41" s="69"/>
      <c r="C41" s="1984" t="s">
        <v>486</v>
      </c>
      <c r="D41" s="1984"/>
      <c r="E41" s="1984"/>
      <c r="F41" s="1984"/>
      <c r="G41" s="2011">
        <f>M02S02F28</f>
        <v>0</v>
      </c>
      <c r="H41" s="2011"/>
      <c r="I41" s="2011"/>
      <c r="J41" s="2011"/>
      <c r="K41" s="2011"/>
      <c r="L41" s="2011"/>
      <c r="M41" s="2011"/>
      <c r="N41" s="2011"/>
      <c r="O41" s="2011"/>
      <c r="Q41" s="1995" t="s">
        <v>429</v>
      </c>
      <c r="R41" s="1995"/>
      <c r="S41" s="1995"/>
      <c r="T41" s="1995"/>
      <c r="U41" s="2012">
        <f>M02S04F11</f>
        <v>0</v>
      </c>
      <c r="V41" s="2012"/>
      <c r="W41" s="2012"/>
      <c r="X41" s="2012"/>
      <c r="Y41" s="2012"/>
      <c r="Z41" s="2012"/>
      <c r="AA41" s="2012"/>
      <c r="AB41" s="2012"/>
      <c r="AC41" s="2012"/>
      <c r="AD41" s="69"/>
      <c r="AE41" s="2042" t="s">
        <v>1144</v>
      </c>
      <c r="AF41" s="2042"/>
      <c r="AG41" s="2042"/>
      <c r="AH41" s="2042"/>
      <c r="AI41" s="2045">
        <f>SUM(EXPORT!H3:H375)</f>
        <v>0</v>
      </c>
      <c r="AJ41" s="2045"/>
      <c r="AK41" s="2045"/>
      <c r="AL41" s="2045"/>
      <c r="AM41" s="2045"/>
      <c r="AN41" s="2045"/>
      <c r="AO41" s="2045"/>
      <c r="AP41" s="2045"/>
      <c r="AQ41" s="2045"/>
      <c r="AR41" s="69"/>
    </row>
    <row r="42" spans="2:44" ht="15.95" customHeight="1" thickBot="1" x14ac:dyDescent="0.3">
      <c r="B42" s="69"/>
      <c r="C42" s="1984" t="s">
        <v>81</v>
      </c>
      <c r="D42" s="1984"/>
      <c r="E42" s="1984"/>
      <c r="F42" s="1984"/>
      <c r="G42" s="2011">
        <f>M02S02F29</f>
        <v>0</v>
      </c>
      <c r="H42" s="2011"/>
      <c r="I42" s="2011"/>
      <c r="J42" s="2011"/>
      <c r="K42" s="2011"/>
      <c r="L42" s="2011"/>
      <c r="M42" s="2011"/>
      <c r="N42" s="2011"/>
      <c r="O42" s="2011"/>
      <c r="Q42" s="1995" t="s">
        <v>492</v>
      </c>
      <c r="R42" s="1995"/>
      <c r="S42" s="1995"/>
      <c r="T42" s="1995"/>
      <c r="U42" s="2012" t="str">
        <f>CONCATENATE(M02S04F12,"-",M02S04F12.1)</f>
        <v>-</v>
      </c>
      <c r="V42" s="2012"/>
      <c r="W42" s="2012"/>
      <c r="X42" s="2012"/>
      <c r="Y42" s="2012"/>
      <c r="Z42" s="2012"/>
      <c r="AA42" s="2012"/>
      <c r="AB42" s="2012"/>
      <c r="AC42" s="2012"/>
      <c r="AD42" s="69"/>
      <c r="AE42" s="2042" t="s">
        <v>1145</v>
      </c>
      <c r="AF42" s="2042"/>
      <c r="AG42" s="2042"/>
      <c r="AH42" s="2042"/>
      <c r="AI42" s="2045">
        <f>SUM(EXPORT!I3:I375)</f>
        <v>0</v>
      </c>
      <c r="AJ42" s="2045"/>
      <c r="AK42" s="2045"/>
      <c r="AL42" s="2045"/>
      <c r="AM42" s="2045"/>
      <c r="AN42" s="2045"/>
      <c r="AO42" s="2045"/>
      <c r="AP42" s="2045"/>
      <c r="AQ42" s="2045"/>
      <c r="AR42" s="69"/>
    </row>
    <row r="43" spans="2:44" ht="15.95" customHeight="1" thickBot="1" x14ac:dyDescent="0.3">
      <c r="B43" s="69"/>
      <c r="C43" s="1984" t="s">
        <v>83</v>
      </c>
      <c r="D43" s="1984"/>
      <c r="E43" s="1984"/>
      <c r="F43" s="1984"/>
      <c r="G43" s="2011">
        <f>M02S02F31</f>
        <v>0</v>
      </c>
      <c r="H43" s="2011"/>
      <c r="I43" s="2011"/>
      <c r="J43" s="2011"/>
      <c r="K43" s="2011"/>
      <c r="L43" s="2011"/>
      <c r="M43" s="2011"/>
      <c r="N43" s="2011"/>
      <c r="O43" s="2011"/>
      <c r="Q43" s="1995" t="s">
        <v>1168</v>
      </c>
      <c r="R43" s="1995"/>
      <c r="S43" s="1995"/>
      <c r="T43" s="1995"/>
      <c r="U43" s="2012" t="str">
        <f>M02S04F06.1</f>
        <v/>
      </c>
      <c r="V43" s="2012"/>
      <c r="W43" s="2012"/>
      <c r="X43" s="2012"/>
      <c r="Y43" s="2012"/>
      <c r="Z43" s="2012"/>
      <c r="AA43" s="2012"/>
      <c r="AB43" s="2012"/>
      <c r="AC43" s="2012"/>
      <c r="AD43" s="69"/>
      <c r="AE43" s="2042" t="s">
        <v>496</v>
      </c>
      <c r="AF43" s="2042"/>
      <c r="AG43" s="2042"/>
      <c r="AH43" s="2042"/>
      <c r="AI43" s="2045">
        <f>SUM(EXPORT!J3:J375)</f>
        <v>0</v>
      </c>
      <c r="AJ43" s="2045"/>
      <c r="AK43" s="2045"/>
      <c r="AL43" s="2045"/>
      <c r="AM43" s="2045"/>
      <c r="AN43" s="2045"/>
      <c r="AO43" s="2045"/>
      <c r="AP43" s="2045"/>
      <c r="AQ43" s="2045"/>
      <c r="AR43" s="69"/>
    </row>
    <row r="44" spans="2:44" ht="15.95" customHeight="1" thickBot="1" x14ac:dyDescent="0.3">
      <c r="B44" s="69"/>
      <c r="C44" s="1984" t="s">
        <v>483</v>
      </c>
      <c r="D44" s="1984"/>
      <c r="E44" s="1984"/>
      <c r="F44" s="1984"/>
      <c r="G44" s="2011">
        <f>M02S02F32</f>
        <v>0</v>
      </c>
      <c r="H44" s="2011"/>
      <c r="I44" s="2011"/>
      <c r="J44" s="2011"/>
      <c r="K44" s="2011"/>
      <c r="L44" s="2011"/>
      <c r="M44" s="2011"/>
      <c r="N44" s="2011"/>
      <c r="O44" s="2011"/>
      <c r="Q44" s="1995" t="s">
        <v>1205</v>
      </c>
      <c r="R44" s="1995"/>
      <c r="S44" s="1995"/>
      <c r="T44" s="1995"/>
      <c r="U44" s="2012">
        <f>M02S04F01</f>
        <v>0</v>
      </c>
      <c r="V44" s="2012"/>
      <c r="W44" s="2012"/>
      <c r="X44" s="2012"/>
      <c r="Y44" s="2012"/>
      <c r="Z44" s="2012"/>
      <c r="AA44" s="2012"/>
      <c r="AB44" s="2012"/>
      <c r="AC44" s="2012"/>
      <c r="AD44" s="69"/>
      <c r="AE44" s="2042" t="s">
        <v>1419</v>
      </c>
      <c r="AF44" s="2042"/>
      <c r="AG44" s="2042"/>
      <c r="AH44" s="2042"/>
      <c r="AI44" s="2038">
        <f>SUM(EXPORT!AF4:AF335)</f>
        <v>0</v>
      </c>
      <c r="AJ44" s="2038"/>
      <c r="AK44" s="2038"/>
      <c r="AL44" s="2038"/>
      <c r="AM44" s="2038"/>
      <c r="AN44" s="2038"/>
      <c r="AO44" s="2038"/>
      <c r="AP44" s="2038"/>
      <c r="AQ44" s="2038"/>
      <c r="AR44" s="69"/>
    </row>
    <row r="45" spans="2:44" ht="15.95" customHeight="1" thickBot="1" x14ac:dyDescent="0.3">
      <c r="B45" s="69"/>
      <c r="C45" s="1984" t="s">
        <v>484</v>
      </c>
      <c r="D45" s="1984"/>
      <c r="E45" s="1984"/>
      <c r="F45" s="1984"/>
      <c r="G45" s="2011">
        <f>M02S02F33</f>
        <v>0</v>
      </c>
      <c r="H45" s="2011"/>
      <c r="I45" s="2011"/>
      <c r="J45" s="2011"/>
      <c r="K45" s="2011"/>
      <c r="L45" s="2011"/>
      <c r="M45" s="2011"/>
      <c r="N45" s="2011"/>
      <c r="O45" s="2011"/>
      <c r="Q45" s="1994" t="s">
        <v>1908</v>
      </c>
      <c r="R45" s="1995"/>
      <c r="S45" s="1995"/>
      <c r="T45" s="1995"/>
      <c r="U45" s="2012" t="str">
        <f>IF(TEMPLATE!C197=TRUE, "Yes", IF(TEMPLATE!C198=TRUE,"No",""))</f>
        <v/>
      </c>
      <c r="V45" s="2012"/>
      <c r="W45" s="2012"/>
      <c r="X45" s="2012"/>
      <c r="Y45" s="2012"/>
      <c r="Z45" s="2012"/>
      <c r="AA45" s="2012"/>
      <c r="AB45" s="2012"/>
      <c r="AC45" s="2012"/>
      <c r="AD45" s="69"/>
      <c r="AE45" s="2076" t="s">
        <v>2365</v>
      </c>
      <c r="AF45" s="2077"/>
      <c r="AG45" s="2077"/>
      <c r="AH45" s="2078"/>
      <c r="AI45" s="2073"/>
      <c r="AJ45" s="2074"/>
      <c r="AK45" s="2074"/>
      <c r="AL45" s="2074"/>
      <c r="AM45" s="2074"/>
      <c r="AN45" s="2074"/>
      <c r="AO45" s="2074"/>
      <c r="AP45" s="2074"/>
      <c r="AQ45" s="2075"/>
      <c r="AR45" s="69"/>
    </row>
    <row r="46" spans="2:44" ht="15.95" customHeight="1" thickBot="1" x14ac:dyDescent="0.3">
      <c r="B46" s="69"/>
      <c r="C46" s="1984"/>
      <c r="D46" s="1984"/>
      <c r="E46" s="1984"/>
      <c r="F46" s="1984"/>
      <c r="G46" s="2011"/>
      <c r="H46" s="2011"/>
      <c r="I46" s="2011"/>
      <c r="J46" s="2011"/>
      <c r="K46" s="2011"/>
      <c r="L46" s="2011"/>
      <c r="M46" s="2011"/>
      <c r="N46" s="2011"/>
      <c r="O46" s="2011"/>
      <c r="Q46" s="1994"/>
      <c r="R46" s="1995"/>
      <c r="S46" s="1995"/>
      <c r="T46" s="1995"/>
      <c r="U46" s="2012"/>
      <c r="V46" s="2012"/>
      <c r="W46" s="2012"/>
      <c r="X46" s="2012"/>
      <c r="Y46" s="2012"/>
      <c r="Z46" s="2012"/>
      <c r="AA46" s="2012"/>
      <c r="AB46" s="2012"/>
      <c r="AC46" s="2012"/>
      <c r="AE46" s="2042" t="s">
        <v>2363</v>
      </c>
      <c r="AF46" s="2042"/>
      <c r="AG46" s="2042"/>
      <c r="AH46" s="2042"/>
      <c r="AI46" s="2038">
        <f>EXPORT!M139</f>
        <v>0</v>
      </c>
      <c r="AJ46" s="2038"/>
      <c r="AK46" s="2038"/>
      <c r="AL46" s="2038"/>
      <c r="AM46" s="2038"/>
      <c r="AN46" s="2038"/>
      <c r="AO46" s="2038"/>
      <c r="AP46" s="2038"/>
      <c r="AQ46" s="2038"/>
      <c r="AR46" s="69"/>
    </row>
    <row r="47" spans="2:44" ht="15.95" customHeight="1" thickBot="1" x14ac:dyDescent="0.3">
      <c r="B47" s="69"/>
      <c r="C47" s="1984"/>
      <c r="D47" s="1984"/>
      <c r="E47" s="1984"/>
      <c r="F47" s="1984"/>
      <c r="G47" s="2011"/>
      <c r="H47" s="2011"/>
      <c r="I47" s="2011"/>
      <c r="J47" s="2011"/>
      <c r="K47" s="2011"/>
      <c r="L47" s="2011"/>
      <c r="M47" s="2011"/>
      <c r="N47" s="2011"/>
      <c r="O47" s="2011"/>
      <c r="Q47" s="1994"/>
      <c r="R47" s="1995"/>
      <c r="S47" s="1995"/>
      <c r="T47" s="1995"/>
      <c r="U47" s="2012"/>
      <c r="V47" s="2012"/>
      <c r="W47" s="2012"/>
      <c r="X47" s="2012"/>
      <c r="Y47" s="2012"/>
      <c r="Z47" s="2012"/>
      <c r="AA47" s="2012"/>
      <c r="AB47" s="2012"/>
      <c r="AC47" s="2012"/>
      <c r="AE47" s="2042" t="s">
        <v>2362</v>
      </c>
      <c r="AF47" s="2042"/>
      <c r="AG47" s="2042"/>
      <c r="AH47" s="2042"/>
      <c r="AI47" s="2055">
        <f>EXPORT!N139</f>
        <v>0</v>
      </c>
      <c r="AJ47" s="2055"/>
      <c r="AK47" s="2055"/>
      <c r="AL47" s="2055"/>
      <c r="AM47" s="2055"/>
      <c r="AN47" s="2055"/>
      <c r="AO47" s="2055"/>
      <c r="AP47" s="2055"/>
      <c r="AQ47" s="2055"/>
      <c r="AR47" s="69"/>
    </row>
    <row r="48" spans="2:44" ht="15.95" customHeight="1" thickBot="1" x14ac:dyDescent="0.3">
      <c r="B48" s="69"/>
      <c r="C48" s="1984"/>
      <c r="D48" s="1984"/>
      <c r="E48" s="1984"/>
      <c r="F48" s="1984"/>
      <c r="G48" s="2011"/>
      <c r="H48" s="2011"/>
      <c r="I48" s="2011"/>
      <c r="J48" s="2011"/>
      <c r="K48" s="2011"/>
      <c r="L48" s="2011"/>
      <c r="M48" s="2011"/>
      <c r="N48" s="2011"/>
      <c r="O48" s="2011"/>
      <c r="Q48" s="1994"/>
      <c r="R48" s="1995"/>
      <c r="S48" s="1995"/>
      <c r="T48" s="1995"/>
      <c r="U48" s="2012"/>
      <c r="V48" s="2012"/>
      <c r="W48" s="2012"/>
      <c r="X48" s="2012"/>
      <c r="Y48" s="2012"/>
      <c r="Z48" s="2012"/>
      <c r="AA48" s="2012"/>
      <c r="AB48" s="2012"/>
      <c r="AC48" s="2012"/>
      <c r="AE48" s="2042" t="s">
        <v>2361</v>
      </c>
      <c r="AF48" s="2042"/>
      <c r="AG48" s="2042"/>
      <c r="AH48" s="2042"/>
      <c r="AI48" s="2045">
        <f>EXPORT!O139</f>
        <v>0</v>
      </c>
      <c r="AJ48" s="2045"/>
      <c r="AK48" s="2045"/>
      <c r="AL48" s="2045"/>
      <c r="AM48" s="2045"/>
      <c r="AN48" s="2045"/>
      <c r="AO48" s="2045"/>
      <c r="AP48" s="2045"/>
      <c r="AQ48" s="2045"/>
      <c r="AR48" s="69"/>
    </row>
    <row r="49" spans="2:44" ht="15.95" customHeight="1" thickBot="1" x14ac:dyDescent="0.3">
      <c r="B49" s="69"/>
      <c r="AR49" s="69"/>
    </row>
    <row r="50" spans="2:44" ht="15.95" customHeight="1" thickBot="1" x14ac:dyDescent="0.3">
      <c r="B50" s="69"/>
      <c r="C50" s="1985" t="s">
        <v>488</v>
      </c>
      <c r="D50" s="1986"/>
      <c r="E50" s="1986"/>
      <c r="F50" s="1986"/>
      <c r="G50" s="1986"/>
      <c r="H50" s="1986"/>
      <c r="I50" s="1986"/>
      <c r="J50" s="1986"/>
      <c r="K50" s="1986"/>
      <c r="L50" s="1986"/>
      <c r="M50" s="1986"/>
      <c r="N50" s="1986"/>
      <c r="O50" s="1986"/>
      <c r="P50" s="1986"/>
      <c r="Q50" s="1986"/>
      <c r="R50" s="1986"/>
      <c r="S50" s="1986"/>
      <c r="T50" s="1986"/>
      <c r="U50" s="1986"/>
      <c r="V50" s="1986"/>
      <c r="W50" s="1986"/>
      <c r="X50" s="1986"/>
      <c r="Y50" s="1986"/>
      <c r="Z50" s="1986"/>
      <c r="AA50" s="1986"/>
      <c r="AB50" s="1986"/>
      <c r="AC50" s="1986"/>
      <c r="AE50" s="2015" t="s">
        <v>1914</v>
      </c>
      <c r="AF50" s="2015"/>
      <c r="AG50" s="2015"/>
      <c r="AH50" s="2015"/>
      <c r="AI50" s="2015"/>
      <c r="AJ50" s="2015"/>
      <c r="AK50" s="2015"/>
      <c r="AL50" s="2015"/>
      <c r="AM50" s="2015"/>
      <c r="AN50" s="2015"/>
      <c r="AO50" s="2015"/>
      <c r="AP50" s="2015"/>
      <c r="AQ50" s="2015"/>
      <c r="AR50" s="69"/>
    </row>
    <row r="51" spans="2:44" ht="15.95" customHeight="1" thickBot="1" x14ac:dyDescent="0.3">
      <c r="B51" s="69"/>
      <c r="C51" s="1992">
        <f>M02S02F45</f>
        <v>0</v>
      </c>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c r="AB51" s="1992"/>
      <c r="AC51" s="1992"/>
      <c r="AE51" s="1991" t="s">
        <v>1913</v>
      </c>
      <c r="AF51" s="1989"/>
      <c r="AG51" s="1989"/>
      <c r="AH51" s="1989"/>
      <c r="AI51" s="1988" t="str">
        <f>PROPER(M02S03F18)</f>
        <v/>
      </c>
      <c r="AJ51" s="1988"/>
      <c r="AK51" s="1988"/>
      <c r="AL51" s="1988"/>
      <c r="AM51" s="1988"/>
      <c r="AN51" s="1988"/>
      <c r="AO51" s="1988"/>
      <c r="AP51" s="1988"/>
      <c r="AQ51" s="1988"/>
      <c r="AR51" s="69"/>
    </row>
    <row r="52" spans="2:44" ht="15.95" customHeight="1" thickBot="1" x14ac:dyDescent="0.3">
      <c r="B52" s="69"/>
      <c r="C52" s="1993"/>
      <c r="D52" s="1993"/>
      <c r="E52" s="1993"/>
      <c r="F52" s="1993"/>
      <c r="G52" s="1993"/>
      <c r="H52" s="1993"/>
      <c r="I52" s="1993"/>
      <c r="J52" s="1993"/>
      <c r="K52" s="1993"/>
      <c r="L52" s="1993"/>
      <c r="M52" s="1993"/>
      <c r="N52" s="1993"/>
      <c r="O52" s="1993"/>
      <c r="P52" s="1993"/>
      <c r="Q52" s="1993"/>
      <c r="R52" s="1993"/>
      <c r="S52" s="1993"/>
      <c r="T52" s="1993"/>
      <c r="U52" s="1993"/>
      <c r="V52" s="1993"/>
      <c r="W52" s="1993"/>
      <c r="X52" s="1993"/>
      <c r="Y52" s="1993"/>
      <c r="Z52" s="1993"/>
      <c r="AA52" s="1993"/>
      <c r="AB52" s="1993"/>
      <c r="AC52" s="1993"/>
      <c r="AE52" s="1991" t="s">
        <v>1911</v>
      </c>
      <c r="AF52" s="1989"/>
      <c r="AG52" s="1989"/>
      <c r="AH52" s="1989"/>
      <c r="AI52" s="1988" t="str">
        <f>PROPER(M02S03F19)</f>
        <v/>
      </c>
      <c r="AJ52" s="1988"/>
      <c r="AK52" s="1988"/>
      <c r="AL52" s="1988"/>
      <c r="AM52" s="1988"/>
      <c r="AN52" s="1988" t="str">
        <f>PROPER(M02S03F20)</f>
        <v/>
      </c>
      <c r="AO52" s="1988"/>
      <c r="AP52" s="1988"/>
      <c r="AQ52" s="1988"/>
      <c r="AR52" s="69"/>
    </row>
    <row r="53" spans="2:44" ht="15.95" customHeight="1" thickBot="1" x14ac:dyDescent="0.3">
      <c r="B53" s="69"/>
      <c r="C53" s="1993"/>
      <c r="D53" s="1993"/>
      <c r="E53" s="1993"/>
      <c r="F53" s="1993"/>
      <c r="G53" s="1993"/>
      <c r="H53" s="1993"/>
      <c r="I53" s="1993"/>
      <c r="J53" s="1993"/>
      <c r="K53" s="1993"/>
      <c r="L53" s="1993"/>
      <c r="M53" s="1993"/>
      <c r="N53" s="1993"/>
      <c r="O53" s="1993"/>
      <c r="P53" s="1993"/>
      <c r="Q53" s="1993"/>
      <c r="R53" s="1993"/>
      <c r="S53" s="1993"/>
      <c r="T53" s="1993"/>
      <c r="U53" s="1993"/>
      <c r="V53" s="1993"/>
      <c r="W53" s="1993"/>
      <c r="X53" s="1993"/>
      <c r="Y53" s="1993"/>
      <c r="Z53" s="1993"/>
      <c r="AA53" s="1993"/>
      <c r="AB53" s="1993"/>
      <c r="AC53" s="1993"/>
      <c r="AE53" s="1989" t="s">
        <v>77</v>
      </c>
      <c r="AF53" s="1989"/>
      <c r="AG53" s="1989"/>
      <c r="AH53" s="1989"/>
      <c r="AI53" s="1988" t="str">
        <f>PROPER(M02S03F21)</f>
        <v/>
      </c>
      <c r="AJ53" s="1988"/>
      <c r="AK53" s="1988"/>
      <c r="AL53" s="1988"/>
      <c r="AM53" s="1988"/>
      <c r="AN53" s="1988"/>
      <c r="AO53" s="1988"/>
      <c r="AP53" s="1988"/>
      <c r="AQ53" s="1988"/>
      <c r="AR53" s="69"/>
    </row>
    <row r="54" spans="2:44" ht="15.95" customHeight="1" thickBot="1" x14ac:dyDescent="0.3">
      <c r="B54" s="69"/>
      <c r="C54" s="1993"/>
      <c r="D54" s="1993"/>
      <c r="E54" s="1993"/>
      <c r="F54" s="1993"/>
      <c r="G54" s="1993"/>
      <c r="H54" s="1993"/>
      <c r="I54" s="1993"/>
      <c r="J54" s="1993"/>
      <c r="K54" s="1993"/>
      <c r="L54" s="1993"/>
      <c r="M54" s="1993"/>
      <c r="N54" s="1993"/>
      <c r="O54" s="1993"/>
      <c r="P54" s="1993"/>
      <c r="Q54" s="1993"/>
      <c r="R54" s="1993"/>
      <c r="S54" s="1993"/>
      <c r="T54" s="1993"/>
      <c r="U54" s="1993"/>
      <c r="V54" s="1993"/>
      <c r="W54" s="1993"/>
      <c r="X54" s="1993"/>
      <c r="Y54" s="1993"/>
      <c r="Z54" s="1993"/>
      <c r="AA54" s="1993"/>
      <c r="AB54" s="1993"/>
      <c r="AC54" s="1993"/>
      <c r="AE54" s="1989" t="s">
        <v>480</v>
      </c>
      <c r="AF54" s="1989"/>
      <c r="AG54" s="1989"/>
      <c r="AH54" s="1989"/>
      <c r="AI54" s="1987" t="str">
        <f>PROPER(M02S03F22)</f>
        <v/>
      </c>
      <c r="AJ54" s="1987"/>
      <c r="AK54" s="1987"/>
      <c r="AL54" s="1987"/>
      <c r="AM54" s="1987"/>
      <c r="AN54" s="1987" t="str">
        <f>PROPER(M02S03F23)</f>
        <v/>
      </c>
      <c r="AO54" s="1987"/>
      <c r="AP54" s="1987"/>
      <c r="AQ54" s="1987"/>
      <c r="AR54" s="69"/>
    </row>
    <row r="55" spans="2:44" ht="15.95" customHeight="1" thickBot="1" x14ac:dyDescent="0.3">
      <c r="B55" s="69"/>
      <c r="C55" s="1993"/>
      <c r="D55" s="1993"/>
      <c r="E55" s="1993"/>
      <c r="F55" s="1993"/>
      <c r="G55" s="1993"/>
      <c r="H55" s="1993"/>
      <c r="I55" s="1993"/>
      <c r="J55" s="1993"/>
      <c r="K55" s="1993"/>
      <c r="L55" s="1993"/>
      <c r="M55" s="1993"/>
      <c r="N55" s="1993"/>
      <c r="O55" s="1993"/>
      <c r="P55" s="1993"/>
      <c r="Q55" s="1993"/>
      <c r="R55" s="1993"/>
      <c r="S55" s="1993"/>
      <c r="T55" s="1993"/>
      <c r="U55" s="1993"/>
      <c r="V55" s="1993"/>
      <c r="W55" s="1993"/>
      <c r="X55" s="1993"/>
      <c r="Y55" s="1993"/>
      <c r="Z55" s="1993"/>
      <c r="AA55" s="1993"/>
      <c r="AB55" s="1993"/>
      <c r="AC55" s="1993"/>
      <c r="AE55" s="1989" t="s">
        <v>217</v>
      </c>
      <c r="AF55" s="1989"/>
      <c r="AG55" s="1989"/>
      <c r="AH55" s="1989"/>
      <c r="AI55" s="1988" t="str">
        <f>PROPER(M02S03F24)</f>
        <v/>
      </c>
      <c r="AJ55" s="1988"/>
      <c r="AK55" s="1988"/>
      <c r="AL55" s="1988"/>
      <c r="AM55" s="1988"/>
      <c r="AN55" s="1988"/>
      <c r="AO55" s="1988"/>
      <c r="AP55" s="1988"/>
      <c r="AQ55" s="1988"/>
      <c r="AR55" s="69"/>
    </row>
    <row r="56" spans="2:44" ht="15.95" customHeight="1" thickBot="1" x14ac:dyDescent="0.3">
      <c r="B56" s="69"/>
      <c r="C56" s="1993"/>
      <c r="D56" s="1993"/>
      <c r="E56" s="1993"/>
      <c r="F56" s="1993"/>
      <c r="G56" s="1993"/>
      <c r="H56" s="1993"/>
      <c r="I56" s="1993"/>
      <c r="J56" s="1993"/>
      <c r="K56" s="1993"/>
      <c r="L56" s="1993"/>
      <c r="M56" s="1993"/>
      <c r="N56" s="1993"/>
      <c r="O56" s="1993"/>
      <c r="P56" s="1993"/>
      <c r="Q56" s="1993"/>
      <c r="R56" s="1993"/>
      <c r="S56" s="1993"/>
      <c r="T56" s="1993"/>
      <c r="U56" s="1993"/>
      <c r="V56" s="1993"/>
      <c r="W56" s="1993"/>
      <c r="X56" s="1993"/>
      <c r="Y56" s="1993"/>
      <c r="Z56" s="1993"/>
      <c r="AA56" s="1993"/>
      <c r="AB56" s="1993"/>
      <c r="AC56" s="1993"/>
      <c r="AE56" s="1989" t="s">
        <v>106</v>
      </c>
      <c r="AF56" s="1989"/>
      <c r="AG56" s="1989"/>
      <c r="AH56" s="1989"/>
      <c r="AI56" s="1988" t="str">
        <f>PROPER(M02S03F25)</f>
        <v/>
      </c>
      <c r="AJ56" s="1988"/>
      <c r="AK56" s="1988"/>
      <c r="AL56" s="1988"/>
      <c r="AM56" s="1988"/>
      <c r="AN56" s="1988"/>
      <c r="AO56" s="1988"/>
      <c r="AP56" s="1988"/>
      <c r="AQ56" s="1988"/>
      <c r="AR56" s="69"/>
    </row>
    <row r="57" spans="2:44" ht="15.95" customHeight="1" thickBot="1" x14ac:dyDescent="0.3">
      <c r="B57" s="69"/>
      <c r="C57" s="1993"/>
      <c r="D57" s="1993"/>
      <c r="E57" s="1993"/>
      <c r="F57" s="1993"/>
      <c r="G57" s="1993"/>
      <c r="H57" s="1993"/>
      <c r="I57" s="1993"/>
      <c r="J57" s="1993"/>
      <c r="K57" s="1993"/>
      <c r="L57" s="1993"/>
      <c r="M57" s="1993"/>
      <c r="N57" s="1993"/>
      <c r="O57" s="1993"/>
      <c r="P57" s="1993"/>
      <c r="Q57" s="1993"/>
      <c r="R57" s="1993"/>
      <c r="S57" s="1993"/>
      <c r="T57" s="1993"/>
      <c r="U57" s="1993"/>
      <c r="V57" s="1993"/>
      <c r="W57" s="1993"/>
      <c r="X57" s="1993"/>
      <c r="Y57" s="1993"/>
      <c r="Z57" s="1993"/>
      <c r="AA57" s="1993"/>
      <c r="AB57" s="1993"/>
      <c r="AC57" s="1993"/>
      <c r="AD57" s="69"/>
      <c r="AE57" s="1989" t="s">
        <v>479</v>
      </c>
      <c r="AF57" s="1989"/>
      <c r="AG57" s="1989"/>
      <c r="AH57" s="1989"/>
      <c r="AI57" s="1988" t="str">
        <f>PROPER(M02S03F26)</f>
        <v/>
      </c>
      <c r="AJ57" s="1988"/>
      <c r="AK57" s="1988"/>
      <c r="AL57" s="1988"/>
      <c r="AM57" s="1988"/>
      <c r="AN57" s="1988" t="str">
        <f>PROPER(M02S03F27)</f>
        <v/>
      </c>
      <c r="AO57" s="1988"/>
      <c r="AP57" s="1990" t="str">
        <f>PROPER(M02S03F28)</f>
        <v/>
      </c>
      <c r="AQ57" s="1990"/>
      <c r="AR57" s="69"/>
    </row>
    <row r="58" spans="2:44" ht="15.95" customHeight="1" thickBot="1" x14ac:dyDescent="0.3">
      <c r="B58" s="69"/>
      <c r="C58" s="1993"/>
      <c r="D58" s="1993"/>
      <c r="E58" s="1993"/>
      <c r="F58" s="1993"/>
      <c r="G58" s="1993"/>
      <c r="H58" s="1993"/>
      <c r="I58" s="1993"/>
      <c r="J58" s="1993"/>
      <c r="K58" s="1993"/>
      <c r="L58" s="1993"/>
      <c r="M58" s="1993"/>
      <c r="N58" s="1993"/>
      <c r="O58" s="1993"/>
      <c r="P58" s="1993"/>
      <c r="Q58" s="1993"/>
      <c r="R58" s="1993"/>
      <c r="S58" s="1993"/>
      <c r="T58" s="1993"/>
      <c r="U58" s="1993"/>
      <c r="V58" s="1993"/>
      <c r="W58" s="1993"/>
      <c r="X58" s="1993"/>
      <c r="Y58" s="1993"/>
      <c r="Z58" s="1993"/>
      <c r="AA58" s="1993"/>
      <c r="AB58" s="1993"/>
      <c r="AC58" s="1993"/>
      <c r="AD58" s="69"/>
      <c r="AE58" s="1991" t="s">
        <v>1910</v>
      </c>
      <c r="AF58" s="1989"/>
      <c r="AG58" s="1989"/>
      <c r="AH58" s="1989"/>
      <c r="AI58" s="1988" t="str">
        <f>PROPER(M02S03F30)</f>
        <v/>
      </c>
      <c r="AJ58" s="1988"/>
      <c r="AK58" s="1988"/>
      <c r="AL58" s="1988"/>
      <c r="AM58" s="1988"/>
      <c r="AN58" s="1988" t="str">
        <f>PROPER(M02S03F31)</f>
        <v/>
      </c>
      <c r="AO58" s="1988"/>
      <c r="AP58" s="1988"/>
      <c r="AQ58" s="1988"/>
      <c r="AR58" s="69"/>
    </row>
    <row r="59" spans="2:44" ht="15.95" customHeight="1" thickBot="1" x14ac:dyDescent="0.3">
      <c r="B59" s="69"/>
      <c r="C59" s="1993"/>
      <c r="D59" s="1993"/>
      <c r="E59" s="1993"/>
      <c r="F59" s="1993"/>
      <c r="G59" s="1993"/>
      <c r="H59" s="1993"/>
      <c r="I59" s="1993"/>
      <c r="J59" s="1993"/>
      <c r="K59" s="1993"/>
      <c r="L59" s="1993"/>
      <c r="M59" s="1993"/>
      <c r="N59" s="1993"/>
      <c r="O59" s="1993"/>
      <c r="P59" s="1993"/>
      <c r="Q59" s="1993"/>
      <c r="R59" s="1993"/>
      <c r="S59" s="1993"/>
      <c r="T59" s="1993"/>
      <c r="U59" s="1993"/>
      <c r="V59" s="1993"/>
      <c r="W59" s="1993"/>
      <c r="X59" s="1993"/>
      <c r="Y59" s="1993"/>
      <c r="Z59" s="1993"/>
      <c r="AA59" s="1993"/>
      <c r="AB59" s="1993"/>
      <c r="AC59" s="1993"/>
      <c r="AD59" s="69"/>
      <c r="AE59" s="1991" t="s">
        <v>1912</v>
      </c>
      <c r="AF59" s="1989"/>
      <c r="AG59" s="1989"/>
      <c r="AH59" s="1989"/>
      <c r="AI59" s="1988" t="str">
        <f>PROPER(M02S03F32)</f>
        <v/>
      </c>
      <c r="AJ59" s="1988"/>
      <c r="AK59" s="1988"/>
      <c r="AL59" s="1988"/>
      <c r="AM59" s="1988"/>
      <c r="AN59" s="1988"/>
      <c r="AO59" s="1988"/>
      <c r="AP59" s="1988"/>
      <c r="AQ59" s="1988"/>
      <c r="AR59" s="69"/>
    </row>
    <row r="60" spans="2:44" ht="15.95" customHeight="1" thickBot="1" x14ac:dyDescent="0.3">
      <c r="B60" s="69"/>
      <c r="C60" s="1993"/>
      <c r="D60" s="1993"/>
      <c r="E60" s="1993"/>
      <c r="F60" s="1993"/>
      <c r="G60" s="1993"/>
      <c r="H60" s="1993"/>
      <c r="I60" s="1993"/>
      <c r="J60" s="1993"/>
      <c r="K60" s="1993"/>
      <c r="L60" s="1993"/>
      <c r="M60" s="1993"/>
      <c r="N60" s="1993"/>
      <c r="O60" s="1993"/>
      <c r="P60" s="1993"/>
      <c r="Q60" s="1993"/>
      <c r="R60" s="1993"/>
      <c r="S60" s="1993"/>
      <c r="T60" s="1993"/>
      <c r="U60" s="1993"/>
      <c r="V60" s="1993"/>
      <c r="W60" s="1993"/>
      <c r="X60" s="1993"/>
      <c r="Y60" s="1993"/>
      <c r="Z60" s="1993"/>
      <c r="AA60" s="1993"/>
      <c r="AB60" s="1993"/>
      <c r="AC60" s="1993"/>
      <c r="AD60" s="69"/>
      <c r="AE60" s="1991" t="s">
        <v>480</v>
      </c>
      <c r="AF60" s="1989"/>
      <c r="AG60" s="1989"/>
      <c r="AH60" s="1989"/>
      <c r="AI60" s="1987" t="str">
        <f>PROPER(M02S03F33)</f>
        <v/>
      </c>
      <c r="AJ60" s="1987"/>
      <c r="AK60" s="1987"/>
      <c r="AL60" s="1987"/>
      <c r="AM60" s="1987"/>
      <c r="AN60" s="1987" t="str">
        <f>PROPER(M02S03F34)</f>
        <v/>
      </c>
      <c r="AO60" s="1987"/>
      <c r="AP60" s="1987"/>
      <c r="AQ60" s="1987"/>
      <c r="AR60" s="69"/>
    </row>
    <row r="61" spans="2:44" ht="15.95" customHeight="1" thickBot="1" x14ac:dyDescent="0.3">
      <c r="B61" s="69"/>
      <c r="C61" s="1993"/>
      <c r="D61" s="1993"/>
      <c r="E61" s="1993"/>
      <c r="F61" s="1993"/>
      <c r="G61" s="1993"/>
      <c r="H61" s="1993"/>
      <c r="I61" s="1993"/>
      <c r="J61" s="1993"/>
      <c r="K61" s="1993"/>
      <c r="L61" s="1993"/>
      <c r="M61" s="1993"/>
      <c r="N61" s="1993"/>
      <c r="O61" s="1993"/>
      <c r="P61" s="1993"/>
      <c r="Q61" s="1993"/>
      <c r="R61" s="1993"/>
      <c r="S61" s="1993"/>
      <c r="T61" s="1993"/>
      <c r="U61" s="1993"/>
      <c r="V61" s="1993"/>
      <c r="W61" s="1993"/>
      <c r="X61" s="1993"/>
      <c r="Y61" s="1993"/>
      <c r="Z61" s="1993"/>
      <c r="AA61" s="1993"/>
      <c r="AB61" s="1993"/>
      <c r="AC61" s="1993"/>
      <c r="AD61" s="69"/>
      <c r="AE61" s="1991" t="s">
        <v>217</v>
      </c>
      <c r="AF61" s="1989"/>
      <c r="AG61" s="1989"/>
      <c r="AH61" s="1989"/>
      <c r="AI61" s="1988" t="str">
        <f>PROPER(M02S03F35)</f>
        <v/>
      </c>
      <c r="AJ61" s="1988"/>
      <c r="AK61" s="1988"/>
      <c r="AL61" s="1988"/>
      <c r="AM61" s="1988"/>
      <c r="AN61" s="1988"/>
      <c r="AO61" s="1988"/>
      <c r="AP61" s="1988"/>
      <c r="AQ61" s="1988"/>
      <c r="AR61" s="69"/>
    </row>
    <row r="62" spans="2:44" ht="15.95" customHeight="1" x14ac:dyDescent="0.25">
      <c r="B62" s="69"/>
      <c r="AR62" s="69"/>
    </row>
    <row r="63" spans="2:44" ht="15.95" hidden="1" customHeight="1" x14ac:dyDescent="0.25">
      <c r="B63" s="69"/>
      <c r="AR63" s="69"/>
    </row>
    <row r="64" spans="2:44" ht="15.95" hidden="1" customHeight="1" x14ac:dyDescent="0.25">
      <c r="B64" s="69"/>
      <c r="AR64" s="69"/>
    </row>
    <row r="65" spans="2:44" ht="15.95" hidden="1" customHeight="1" x14ac:dyDescent="0.25">
      <c r="B65" s="69"/>
      <c r="AR65" s="69"/>
    </row>
    <row r="66" spans="2:44" ht="15.95" hidden="1" customHeight="1" x14ac:dyDescent="0.25"/>
    <row r="67" spans="2:44" ht="15.95" hidden="1" customHeight="1" x14ac:dyDescent="0.25"/>
    <row r="68" spans="2:44" ht="15.95" hidden="1" customHeight="1" x14ac:dyDescent="0.25"/>
    <row r="69" spans="2:44" ht="15.95" hidden="1" customHeight="1" x14ac:dyDescent="0.25"/>
    <row r="70" spans="2:44" ht="15.95" hidden="1" customHeight="1" x14ac:dyDescent="0.25"/>
    <row r="71" spans="2:44" ht="15.95" hidden="1" customHeight="1" x14ac:dyDescent="0.25"/>
    <row r="72" spans="2:44" ht="15.95" hidden="1" customHeight="1" x14ac:dyDescent="0.25">
      <c r="AD72" s="69"/>
    </row>
    <row r="73" spans="2:44" ht="15.95" hidden="1" customHeight="1" x14ac:dyDescent="0.25">
      <c r="AD73" s="69"/>
    </row>
    <row r="74" spans="2:44" ht="15.95" hidden="1" customHeight="1" x14ac:dyDescent="0.25">
      <c r="AD74" s="69"/>
    </row>
    <row r="75" spans="2:44" ht="15.95" hidden="1" customHeight="1" x14ac:dyDescent="0.25">
      <c r="AD75" s="69"/>
    </row>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7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FqNUm7P/1LIgPQmBrEOZuqVzhOuFjdmltvp6VXRl7b1KEx74gY/XtwXqvC6ezaqRUuzzBDNCY/fS2x3uFnrDvg==" saltValue="xhEa6KkM2ROBBFwsUPAMYg==" spinCount="100000" sheet="1" objects="1" scenarios="1"/>
  <mergeCells count="260">
    <mergeCell ref="C46:F46"/>
    <mergeCell ref="G46:O46"/>
    <mergeCell ref="Q46:T46"/>
    <mergeCell ref="U46:AC46"/>
    <mergeCell ref="C47:F47"/>
    <mergeCell ref="G47:O47"/>
    <mergeCell ref="Q47:T47"/>
    <mergeCell ref="U47:AC47"/>
    <mergeCell ref="C48:F48"/>
    <mergeCell ref="G48:O48"/>
    <mergeCell ref="Q48:T48"/>
    <mergeCell ref="U48:AC48"/>
    <mergeCell ref="AI47:AQ47"/>
    <mergeCell ref="AE48:AH48"/>
    <mergeCell ref="AI48:AQ48"/>
    <mergeCell ref="AI45:AQ45"/>
    <mergeCell ref="AE45:AH45"/>
    <mergeCell ref="G44:O44"/>
    <mergeCell ref="G45:O45"/>
    <mergeCell ref="U24:AC24"/>
    <mergeCell ref="U28:AC28"/>
    <mergeCell ref="G32:L32"/>
    <mergeCell ref="M32:O32"/>
    <mergeCell ref="U32:AC32"/>
    <mergeCell ref="Q27:T27"/>
    <mergeCell ref="Q28:T28"/>
    <mergeCell ref="Q29:T29"/>
    <mergeCell ref="U27:Y27"/>
    <mergeCell ref="Z27:AC27"/>
    <mergeCell ref="U29:AC29"/>
    <mergeCell ref="Q32:T32"/>
    <mergeCell ref="U26:AC26"/>
    <mergeCell ref="AE42:AH42"/>
    <mergeCell ref="AI42:AQ42"/>
    <mergeCell ref="AE43:AH43"/>
    <mergeCell ref="AI43:AQ43"/>
    <mergeCell ref="AE44:AH44"/>
    <mergeCell ref="AI44:AQ44"/>
    <mergeCell ref="AE37:AH37"/>
    <mergeCell ref="AE61:AH61"/>
    <mergeCell ref="Q43:T43"/>
    <mergeCell ref="Q44:T44"/>
    <mergeCell ref="AE50:AQ50"/>
    <mergeCell ref="AE51:AH51"/>
    <mergeCell ref="AI51:AQ51"/>
    <mergeCell ref="AE52:AH52"/>
    <mergeCell ref="AI52:AM52"/>
    <mergeCell ref="AN52:AQ52"/>
    <mergeCell ref="AE53:AH53"/>
    <mergeCell ref="AI53:AQ53"/>
    <mergeCell ref="U44:AC44"/>
    <mergeCell ref="U45:AC45"/>
    <mergeCell ref="AE59:AH59"/>
    <mergeCell ref="AE46:AH46"/>
    <mergeCell ref="AI46:AQ46"/>
    <mergeCell ref="AE47:AH47"/>
    <mergeCell ref="AI37:AQ37"/>
    <mergeCell ref="AE38:AH38"/>
    <mergeCell ref="AI38:AQ38"/>
    <mergeCell ref="AE39:AH39"/>
    <mergeCell ref="AI39:AQ39"/>
    <mergeCell ref="AE40:AH40"/>
    <mergeCell ref="AI40:AQ40"/>
    <mergeCell ref="AE41:AH41"/>
    <mergeCell ref="AI41:AQ41"/>
    <mergeCell ref="AE17:AH17"/>
    <mergeCell ref="AE18:AH18"/>
    <mergeCell ref="U1:V1"/>
    <mergeCell ref="Y1:Z1"/>
    <mergeCell ref="AI19:AQ19"/>
    <mergeCell ref="U19:Y19"/>
    <mergeCell ref="Z19:AC19"/>
    <mergeCell ref="AI14:AN14"/>
    <mergeCell ref="AO14:AQ14"/>
    <mergeCell ref="AI17:AN17"/>
    <mergeCell ref="AO17:AQ17"/>
    <mergeCell ref="Q21:AC21"/>
    <mergeCell ref="AE35:AH35"/>
    <mergeCell ref="AI35:AQ35"/>
    <mergeCell ref="AE36:AH36"/>
    <mergeCell ref="AI36:AQ36"/>
    <mergeCell ref="Q30:T30"/>
    <mergeCell ref="Q31:T31"/>
    <mergeCell ref="AE23:AH23"/>
    <mergeCell ref="C24:F24"/>
    <mergeCell ref="C25:F25"/>
    <mergeCell ref="C26:F26"/>
    <mergeCell ref="C22:F22"/>
    <mergeCell ref="Q26:T26"/>
    <mergeCell ref="Q22:T22"/>
    <mergeCell ref="Q23:T23"/>
    <mergeCell ref="Q24:T24"/>
    <mergeCell ref="Q25:T25"/>
    <mergeCell ref="G26:O26"/>
    <mergeCell ref="AI22:AQ22"/>
    <mergeCell ref="AI24:AQ24"/>
    <mergeCell ref="AI26:AQ26"/>
    <mergeCell ref="AN25:AQ25"/>
    <mergeCell ref="Q14:T14"/>
    <mergeCell ref="Q15:T15"/>
    <mergeCell ref="Q16:T16"/>
    <mergeCell ref="Q17:T17"/>
    <mergeCell ref="Q18:T18"/>
    <mergeCell ref="AI18:AQ18"/>
    <mergeCell ref="U17:AC17"/>
    <mergeCell ref="U18:AC18"/>
    <mergeCell ref="Q19:T19"/>
    <mergeCell ref="AN23:AQ23"/>
    <mergeCell ref="AI25:AM25"/>
    <mergeCell ref="AH1:AK1"/>
    <mergeCell ref="AL1:AP1"/>
    <mergeCell ref="AH2:AK3"/>
    <mergeCell ref="AL2:AP3"/>
    <mergeCell ref="U14:Y14"/>
    <mergeCell ref="Z14:AC14"/>
    <mergeCell ref="Q1:R1"/>
    <mergeCell ref="AI15:AQ15"/>
    <mergeCell ref="AI16:AQ16"/>
    <mergeCell ref="AQ1:AR1"/>
    <mergeCell ref="AQ2:AR3"/>
    <mergeCell ref="U15:AC15"/>
    <mergeCell ref="U16:AC16"/>
    <mergeCell ref="AE14:AH14"/>
    <mergeCell ref="AE15:AH15"/>
    <mergeCell ref="AE16:AH16"/>
    <mergeCell ref="C18:F18"/>
    <mergeCell ref="G37:K37"/>
    <mergeCell ref="L37:M37"/>
    <mergeCell ref="N37:O37"/>
    <mergeCell ref="C38:F38"/>
    <mergeCell ref="C14:F14"/>
    <mergeCell ref="C16:F16"/>
    <mergeCell ref="G27:O27"/>
    <mergeCell ref="G15:K15"/>
    <mergeCell ref="G16:K16"/>
    <mergeCell ref="L15:O15"/>
    <mergeCell ref="L16:O16"/>
    <mergeCell ref="G17:O17"/>
    <mergeCell ref="C15:F15"/>
    <mergeCell ref="C19:F19"/>
    <mergeCell ref="L35:O35"/>
    <mergeCell ref="G35:K35"/>
    <mergeCell ref="G22:O22"/>
    <mergeCell ref="C29:F29"/>
    <mergeCell ref="C37:F37"/>
    <mergeCell ref="C35:F35"/>
    <mergeCell ref="C36:F36"/>
    <mergeCell ref="G23:O23"/>
    <mergeCell ref="N24:O24"/>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30:AC30"/>
    <mergeCell ref="U31:AC31"/>
    <mergeCell ref="G41:O41"/>
    <mergeCell ref="Q36:T36"/>
    <mergeCell ref="C34:O34"/>
    <mergeCell ref="G36:O36"/>
    <mergeCell ref="G38:O38"/>
    <mergeCell ref="G39:O39"/>
    <mergeCell ref="AI23:AM23"/>
    <mergeCell ref="AE24:AH24"/>
    <mergeCell ref="C43:F43"/>
    <mergeCell ref="G43:O43"/>
    <mergeCell ref="U35:AC35"/>
    <mergeCell ref="U37:AC37"/>
    <mergeCell ref="U39:AC39"/>
    <mergeCell ref="U40:AC40"/>
    <mergeCell ref="U41:AC41"/>
    <mergeCell ref="U42:AC42"/>
    <mergeCell ref="U43:AC43"/>
    <mergeCell ref="U38:Y38"/>
    <mergeCell ref="Z38:AA38"/>
    <mergeCell ref="AB38:AC38"/>
    <mergeCell ref="U36:Y36"/>
    <mergeCell ref="Z36:AC36"/>
    <mergeCell ref="G40:O40"/>
    <mergeCell ref="G42:O42"/>
    <mergeCell ref="Q42:T42"/>
    <mergeCell ref="C30:F30"/>
    <mergeCell ref="C31:F31"/>
    <mergeCell ref="C32:F32"/>
    <mergeCell ref="G30:O30"/>
    <mergeCell ref="G31:O31"/>
    <mergeCell ref="AE29:AH29"/>
    <mergeCell ref="AE30:AH30"/>
    <mergeCell ref="AE31:AH31"/>
    <mergeCell ref="AE32:AH32"/>
    <mergeCell ref="AI32:AM32"/>
    <mergeCell ref="AN32:AQ32"/>
    <mergeCell ref="AE26:AH26"/>
    <mergeCell ref="AI29:AQ29"/>
    <mergeCell ref="AI30:AQ30"/>
    <mergeCell ref="AI31:AQ31"/>
    <mergeCell ref="L24:M24"/>
    <mergeCell ref="G24:K24"/>
    <mergeCell ref="G25:O25"/>
    <mergeCell ref="G28:O28"/>
    <mergeCell ref="G29:K29"/>
    <mergeCell ref="L29:O29"/>
    <mergeCell ref="AE25:AH25"/>
    <mergeCell ref="C44:F44"/>
    <mergeCell ref="C45:F45"/>
    <mergeCell ref="C50:AC50"/>
    <mergeCell ref="AI60:AM60"/>
    <mergeCell ref="AN60:AQ60"/>
    <mergeCell ref="AI61:AQ61"/>
    <mergeCell ref="AI58:AM58"/>
    <mergeCell ref="AE55:AH55"/>
    <mergeCell ref="AI55:AQ55"/>
    <mergeCell ref="AE56:AH56"/>
    <mergeCell ref="AI56:AQ56"/>
    <mergeCell ref="AE57:AH57"/>
    <mergeCell ref="AI57:AM57"/>
    <mergeCell ref="AN57:AO57"/>
    <mergeCell ref="AP57:AQ57"/>
    <mergeCell ref="AE58:AH58"/>
    <mergeCell ref="C51:AC61"/>
    <mergeCell ref="AN58:AQ58"/>
    <mergeCell ref="Q45:T45"/>
    <mergeCell ref="AE54:AH54"/>
    <mergeCell ref="AI54:AM54"/>
    <mergeCell ref="AN54:AQ54"/>
    <mergeCell ref="AI59:AQ59"/>
    <mergeCell ref="AE60:AH60"/>
  </mergeCells>
  <conditionalFormatting sqref="AH2 AL2">
    <cfRule type="expression" dxfId="9" priority="1">
      <formula>PROJSTATUS=PROJSTATELI</formula>
    </cfRule>
    <cfRule type="expression" dxfId="8" priority="2">
      <formula>PROJSTATUS=PROJSTATREVIEW</formula>
    </cfRule>
    <cfRule type="expression" dxfId="7" priority="3">
      <formula>PROJSTATUS=PROJSTATPREAPPROVE</formula>
    </cfRule>
    <cfRule type="expression" dxfId="6" priority="4">
      <formula>PROJSTATUS=PROJSTATSTANDARD</formula>
    </cfRule>
    <cfRule type="expression" dxfId="5" priority="5">
      <formula>PROJSTATUS=PROJSTATEXP</formula>
    </cfRule>
  </conditionalFormatting>
  <conditionalFormatting sqref="AI14 AO14 AI15:AQ16 AI17 AO17">
    <cfRule type="containsBlanks" dxfId="4" priority="77">
      <formula>LEN(TRIM(AI14))=0</formula>
    </cfRule>
  </conditionalFormatting>
  <conditionalFormatting sqref="AI18:AQ19">
    <cfRule type="containsBlanks" dxfId="3" priority="14">
      <formula>LEN(TRIM(AI18))=0</formula>
    </cfRule>
  </conditionalFormatting>
  <conditionalFormatting sqref="AQ2:AR3">
    <cfRule type="cellIs" dxfId="2" priority="8" operator="equal">
      <formula>1</formula>
    </cfRule>
    <cfRule type="cellIs" dxfId="1" priority="9" operator="between">
      <formula>0.51</formula>
      <formula>0.99</formula>
    </cfRule>
    <cfRule type="cellIs" dxfId="0" priority="10" operator="lessThanOrEqual">
      <formula>0.5</formula>
    </cfRule>
  </conditionalFormatting>
  <dataValidations count="7">
    <dataValidation type="list" allowBlank="1" showInputMessage="1" sqref="AI15:AQ15" xr:uid="{00000000-0002-0000-2D00-000000000000}">
      <formula1>IMPLSPECNAME</formula1>
    </dataValidation>
    <dataValidation type="list" allowBlank="1" showInputMessage="1" sqref="AI16:AQ16" xr:uid="{00000000-0002-0000-2D00-000001000000}">
      <formula1>ENGNRSNAMES</formula1>
    </dataValidation>
    <dataValidation type="list" allowBlank="1" showInputMessage="1" showErrorMessage="1" sqref="AI17" xr:uid="{00000000-0002-0000-2D00-000002000000}">
      <formula1>"SUBMITTED,REVIEWED,FINAL"</formula1>
    </dataValidation>
    <dataValidation type="list" allowBlank="1" showInputMessage="1" showErrorMessage="1" sqref="AO14:AQ14" xr:uid="{55C23310-9F8D-4BD7-A0FA-E023693885ED}">
      <formula1>"Yes"</formula1>
    </dataValidation>
    <dataValidation type="list" allowBlank="1" showInputMessage="1" showErrorMessage="1" sqref="AO17:AQ17" xr:uid="{26EEBF57-40D2-4806-B99C-E151BAF994B4}">
      <formula1>"120%"</formula1>
    </dataValidation>
    <dataValidation type="list" allowBlank="1" showInputMessage="1" showErrorMessage="1" sqref="AI45:AQ45" xr:uid="{FC88659E-5A5E-404C-9CF9-A14921A6373C}">
      <formula1>"No"</formula1>
    </dataValidation>
    <dataValidation type="list" allowBlank="1" showInputMessage="1" showErrorMessage="1" sqref="AI19:AQ19" xr:uid="{D6C51DE9-2BEB-4195-99B1-7075A7CA33AF}">
      <formula1>BUSDEVELNAME</formula1>
    </dataValidation>
  </dataValidations>
  <hyperlinks>
    <hyperlink ref="B202" r:id="rId1" display="NIPSCO.Savings@LMCO.com" xr:uid="{00000000-0004-0000-2D00-000000000000}"/>
  </hyperlinks>
  <printOptions horizontalCentered="1" verticalCentered="1"/>
  <pageMargins left="0.3" right="0.3" top="0.3" bottom="0.3" header="0.25" footer="0.25"/>
  <pageSetup scale="68" fitToHeight="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4:AB116"/>
  <sheetViews>
    <sheetView topLeftCell="A67" zoomScaleNormal="100" workbookViewId="0">
      <selection activeCell="A106" sqref="A106"/>
    </sheetView>
  </sheetViews>
  <sheetFormatPr defaultColWidth="0" defaultRowHeight="15" x14ac:dyDescent="0.25"/>
  <cols>
    <col min="1" max="1" width="28" customWidth="1"/>
    <col min="2" max="4" width="9.140625" customWidth="1"/>
    <col min="5" max="5" width="21" customWidth="1"/>
    <col min="6" max="6" width="16.85546875" customWidth="1"/>
    <col min="7" max="9" width="9.140625" customWidth="1"/>
    <col min="10" max="10" width="17.28515625" customWidth="1"/>
    <col min="11" max="11" width="16" customWidth="1"/>
    <col min="12" max="12" width="11.85546875" customWidth="1"/>
    <col min="13" max="14" width="9.140625" customWidth="1"/>
    <col min="15" max="15" width="25.85546875" customWidth="1"/>
    <col min="16" max="16" width="26.42578125" customWidth="1"/>
    <col min="17" max="17" width="18.5703125" customWidth="1"/>
    <col min="18" max="18" width="11.42578125" customWidth="1"/>
    <col min="19" max="19" width="18.5703125" customWidth="1"/>
    <col min="20" max="20" width="11.42578125" customWidth="1"/>
    <col min="21" max="21" width="10.28515625" customWidth="1"/>
    <col min="22" max="27" width="9.140625" customWidth="1"/>
    <col min="28" max="16384" width="9.140625" hidden="1"/>
  </cols>
  <sheetData>
    <row r="4" spans="1:26" x14ac:dyDescent="0.25">
      <c r="A4" t="s">
        <v>295</v>
      </c>
      <c r="B4" t="s">
        <v>1333</v>
      </c>
      <c r="E4" t="s">
        <v>311</v>
      </c>
      <c r="F4" t="s">
        <v>412</v>
      </c>
      <c r="J4" t="s">
        <v>413</v>
      </c>
      <c r="K4" t="s">
        <v>1333</v>
      </c>
      <c r="O4" t="s">
        <v>428</v>
      </c>
      <c r="P4" t="s">
        <v>117</v>
      </c>
      <c r="Q4" t="s">
        <v>424</v>
      </c>
      <c r="R4" t="s">
        <v>425</v>
      </c>
      <c r="S4" t="s">
        <v>423</v>
      </c>
      <c r="T4" t="s">
        <v>217</v>
      </c>
      <c r="U4" t="s">
        <v>106</v>
      </c>
      <c r="V4" t="s">
        <v>79</v>
      </c>
      <c r="W4" t="s">
        <v>80</v>
      </c>
      <c r="X4" t="s">
        <v>114</v>
      </c>
      <c r="Y4" t="s">
        <v>427</v>
      </c>
      <c r="Z4" t="s">
        <v>1174</v>
      </c>
    </row>
    <row r="5" spans="1:26" x14ac:dyDescent="0.25">
      <c r="A5" t="s">
        <v>296</v>
      </c>
      <c r="B5">
        <v>1.07</v>
      </c>
      <c r="E5" t="s">
        <v>312</v>
      </c>
      <c r="F5" t="s">
        <v>313</v>
      </c>
      <c r="J5" t="s">
        <v>416</v>
      </c>
      <c r="K5">
        <v>1.07</v>
      </c>
      <c r="O5" t="s">
        <v>1152</v>
      </c>
      <c r="P5">
        <f>M02S02F46</f>
        <v>0</v>
      </c>
      <c r="U5">
        <f>M02S02F08</f>
        <v>0</v>
      </c>
      <c r="V5">
        <f>M02S02F09</f>
        <v>0</v>
      </c>
      <c r="W5">
        <f>M02S02F10</f>
        <v>0</v>
      </c>
      <c r="X5">
        <f>M02S02F11</f>
        <v>0</v>
      </c>
      <c r="Y5" t="s">
        <v>555</v>
      </c>
      <c r="Z5" t="s">
        <v>426</v>
      </c>
    </row>
    <row r="6" spans="1:26" x14ac:dyDescent="0.25">
      <c r="A6" t="s">
        <v>297</v>
      </c>
      <c r="B6">
        <v>1.07</v>
      </c>
      <c r="E6" t="s">
        <v>316</v>
      </c>
      <c r="F6" t="s">
        <v>317</v>
      </c>
      <c r="J6" t="s">
        <v>417</v>
      </c>
      <c r="K6">
        <v>1.07</v>
      </c>
      <c r="O6" t="s">
        <v>1153</v>
      </c>
      <c r="P6" t="str">
        <f>""</f>
        <v/>
      </c>
      <c r="U6" t="str">
        <f>""</f>
        <v/>
      </c>
      <c r="V6" t="str">
        <f>""</f>
        <v/>
      </c>
      <c r="W6" t="str">
        <f>""</f>
        <v/>
      </c>
      <c r="X6" t="str">
        <f>""</f>
        <v/>
      </c>
      <c r="Y6" t="s">
        <v>555</v>
      </c>
      <c r="Z6" t="s">
        <v>147</v>
      </c>
    </row>
    <row r="7" spans="1:26" x14ac:dyDescent="0.25">
      <c r="A7" t="s">
        <v>1274</v>
      </c>
      <c r="B7">
        <v>1.07</v>
      </c>
      <c r="E7" t="s">
        <v>320</v>
      </c>
      <c r="F7" t="s">
        <v>321</v>
      </c>
      <c r="J7" t="s">
        <v>145</v>
      </c>
      <c r="K7">
        <v>1.07</v>
      </c>
      <c r="O7" t="s">
        <v>1155</v>
      </c>
      <c r="P7" t="str">
        <f>M02S02F47</f>
        <v/>
      </c>
      <c r="U7" t="str">
        <f>M02S02F22</f>
        <v/>
      </c>
      <c r="V7" t="str">
        <f>M02S02F23</f>
        <v/>
      </c>
      <c r="W7" t="str">
        <f>M02S02F24</f>
        <v>MO</v>
      </c>
      <c r="X7" t="str">
        <f>M02S02F25</f>
        <v/>
      </c>
      <c r="Y7" t="s">
        <v>1157</v>
      </c>
      <c r="Z7" t="s">
        <v>147</v>
      </c>
    </row>
    <row r="8" spans="1:26" x14ac:dyDescent="0.25">
      <c r="A8" t="s">
        <v>298</v>
      </c>
      <c r="B8">
        <v>1.07</v>
      </c>
      <c r="E8" t="s">
        <v>324</v>
      </c>
      <c r="F8" t="s">
        <v>325</v>
      </c>
      <c r="J8" t="s">
        <v>418</v>
      </c>
      <c r="K8">
        <v>1</v>
      </c>
      <c r="O8" t="s">
        <v>1154</v>
      </c>
      <c r="P8" t="str">
        <f>M02S02F47</f>
        <v/>
      </c>
      <c r="U8" t="str">
        <f>M02S02F22</f>
        <v/>
      </c>
      <c r="V8" t="str">
        <f>M02S02F23</f>
        <v/>
      </c>
      <c r="W8" t="str">
        <f>M02S02F24</f>
        <v>MO</v>
      </c>
      <c r="X8" t="str">
        <f>M02S02F25</f>
        <v/>
      </c>
      <c r="Y8" t="s">
        <v>555</v>
      </c>
      <c r="Z8" t="s">
        <v>426</v>
      </c>
    </row>
    <row r="9" spans="1:26" x14ac:dyDescent="0.25">
      <c r="A9" t="s">
        <v>299</v>
      </c>
      <c r="B9">
        <v>1.07</v>
      </c>
      <c r="E9" t="s">
        <v>328</v>
      </c>
      <c r="F9" t="s">
        <v>329</v>
      </c>
      <c r="J9" t="s">
        <v>419</v>
      </c>
      <c r="K9">
        <v>1</v>
      </c>
      <c r="O9" t="s">
        <v>1158</v>
      </c>
      <c r="P9">
        <f>M02S03F02</f>
        <v>0</v>
      </c>
      <c r="Q9">
        <f>M02S03F03</f>
        <v>0</v>
      </c>
      <c r="R9">
        <f>M02S03F04</f>
        <v>0</v>
      </c>
      <c r="S9">
        <f>M02S03F06</f>
        <v>0</v>
      </c>
      <c r="T9">
        <f>M02S03F08</f>
        <v>0</v>
      </c>
      <c r="U9">
        <f>M02S03F09</f>
        <v>0</v>
      </c>
      <c r="V9">
        <f>M02S03F10</f>
        <v>0</v>
      </c>
      <c r="W9">
        <f>M02S03F11</f>
        <v>0</v>
      </c>
      <c r="X9">
        <f>M02S03F12</f>
        <v>0</v>
      </c>
      <c r="Y9" t="s">
        <v>556</v>
      </c>
      <c r="Z9" t="s">
        <v>1159</v>
      </c>
    </row>
    <row r="10" spans="1:26" x14ac:dyDescent="0.25">
      <c r="A10" t="s">
        <v>300</v>
      </c>
      <c r="B10">
        <v>1.07</v>
      </c>
      <c r="E10" t="s">
        <v>332</v>
      </c>
      <c r="F10" t="s">
        <v>333</v>
      </c>
      <c r="J10" t="s">
        <v>1334</v>
      </c>
      <c r="K10">
        <v>1</v>
      </c>
    </row>
    <row r="11" spans="1:26" x14ac:dyDescent="0.25">
      <c r="A11" t="s">
        <v>301</v>
      </c>
      <c r="B11">
        <v>1.07</v>
      </c>
      <c r="E11" t="s">
        <v>336</v>
      </c>
      <c r="F11" t="s">
        <v>337</v>
      </c>
    </row>
    <row r="12" spans="1:26" x14ac:dyDescent="0.25">
      <c r="A12" t="s">
        <v>302</v>
      </c>
      <c r="B12">
        <v>1.07</v>
      </c>
      <c r="E12" t="s">
        <v>340</v>
      </c>
      <c r="F12" t="s">
        <v>341</v>
      </c>
      <c r="J12" t="s">
        <v>557</v>
      </c>
      <c r="K12" t="s">
        <v>558</v>
      </c>
      <c r="L12" t="s">
        <v>996</v>
      </c>
      <c r="M12" t="s">
        <v>939</v>
      </c>
      <c r="O12" t="s">
        <v>1547</v>
      </c>
      <c r="P12" t="s">
        <v>1548</v>
      </c>
      <c r="Q12" t="s">
        <v>1549</v>
      </c>
    </row>
    <row r="13" spans="1:26" x14ac:dyDescent="0.25">
      <c r="A13" t="s">
        <v>303</v>
      </c>
      <c r="B13">
        <v>1.07</v>
      </c>
      <c r="E13" t="s">
        <v>2190</v>
      </c>
      <c r="F13" t="s">
        <v>2191</v>
      </c>
      <c r="J13" t="s">
        <v>515</v>
      </c>
      <c r="K13" s="120">
        <v>9.1068400000000004E-4</v>
      </c>
      <c r="L13">
        <v>9.1068395835808389E-4</v>
      </c>
      <c r="M13">
        <v>0.26</v>
      </c>
      <c r="O13" t="s">
        <v>1152</v>
      </c>
      <c r="P13" t="s">
        <v>1152</v>
      </c>
      <c r="Q13" t="s">
        <v>1152</v>
      </c>
    </row>
    <row r="14" spans="1:26" x14ac:dyDescent="0.25">
      <c r="A14" t="s">
        <v>304</v>
      </c>
      <c r="B14">
        <v>1.07</v>
      </c>
      <c r="E14" t="s">
        <v>344</v>
      </c>
      <c r="F14" t="s">
        <v>345</v>
      </c>
      <c r="J14" t="s">
        <v>513</v>
      </c>
      <c r="K14" s="120">
        <v>4.4398300000000001E-4</v>
      </c>
      <c r="L14">
        <v>4.4398300085072174E-4</v>
      </c>
      <c r="M14">
        <v>0.18</v>
      </c>
      <c r="O14" t="s">
        <v>1154</v>
      </c>
      <c r="P14" t="s">
        <v>1154</v>
      </c>
      <c r="Q14" t="s">
        <v>1154</v>
      </c>
    </row>
    <row r="15" spans="1:26" x14ac:dyDescent="0.25">
      <c r="A15" t="s">
        <v>305</v>
      </c>
      <c r="B15">
        <v>1.07</v>
      </c>
      <c r="E15" t="s">
        <v>348</v>
      </c>
      <c r="F15" t="s">
        <v>349</v>
      </c>
      <c r="J15" t="s">
        <v>144</v>
      </c>
      <c r="K15" s="120">
        <v>4.4398300000000001E-4</v>
      </c>
      <c r="L15">
        <v>4.4398300085072174E-4</v>
      </c>
      <c r="M15">
        <v>0.22</v>
      </c>
      <c r="O15" t="s">
        <v>1155</v>
      </c>
      <c r="P15" t="s">
        <v>1155</v>
      </c>
      <c r="Q15" t="s">
        <v>1155</v>
      </c>
    </row>
    <row r="16" spans="1:26" x14ac:dyDescent="0.25">
      <c r="A16" t="s">
        <v>306</v>
      </c>
      <c r="B16">
        <v>1.07</v>
      </c>
      <c r="E16" t="s">
        <v>352</v>
      </c>
      <c r="F16" t="s">
        <v>353</v>
      </c>
      <c r="J16" t="s">
        <v>514</v>
      </c>
      <c r="K16" s="120">
        <v>1.998949E-4</v>
      </c>
      <c r="L16">
        <v>1.9989494536010611E-4</v>
      </c>
      <c r="M16">
        <v>0.11</v>
      </c>
      <c r="O16" t="s">
        <v>1158</v>
      </c>
    </row>
    <row r="17" spans="1:28" x14ac:dyDescent="0.25">
      <c r="A17" t="s">
        <v>307</v>
      </c>
      <c r="B17">
        <v>1.07</v>
      </c>
      <c r="E17" t="s">
        <v>356</v>
      </c>
      <c r="F17" t="s">
        <v>357</v>
      </c>
      <c r="J17" t="s">
        <v>213</v>
      </c>
      <c r="K17" s="120">
        <v>1.811545E-4</v>
      </c>
      <c r="L17">
        <v>1.8115452432794247E-4</v>
      </c>
      <c r="M17">
        <v>0.11</v>
      </c>
    </row>
    <row r="18" spans="1:28" x14ac:dyDescent="0.25">
      <c r="A18" t="s">
        <v>308</v>
      </c>
      <c r="B18">
        <v>1.07</v>
      </c>
      <c r="E18" t="s">
        <v>360</v>
      </c>
      <c r="F18" t="s">
        <v>361</v>
      </c>
      <c r="J18" t="s">
        <v>512</v>
      </c>
      <c r="K18" s="120">
        <v>1.379439E-4</v>
      </c>
      <c r="L18">
        <v>1.3794386832966736E-4</v>
      </c>
      <c r="M18">
        <v>0.1</v>
      </c>
    </row>
    <row r="19" spans="1:28" x14ac:dyDescent="0.25">
      <c r="A19" t="s">
        <v>309</v>
      </c>
      <c r="B19">
        <v>1.07</v>
      </c>
      <c r="E19" t="s">
        <v>364</v>
      </c>
      <c r="F19" t="s">
        <v>365</v>
      </c>
      <c r="J19" t="s">
        <v>138</v>
      </c>
      <c r="K19" s="120">
        <v>1.899635E-4</v>
      </c>
      <c r="L19">
        <v>1.89963546210424E-4</v>
      </c>
      <c r="M19">
        <v>0.1</v>
      </c>
    </row>
    <row r="20" spans="1:28" x14ac:dyDescent="0.25">
      <c r="A20" t="s">
        <v>310</v>
      </c>
      <c r="B20">
        <v>1.07</v>
      </c>
      <c r="E20" t="s">
        <v>368</v>
      </c>
      <c r="F20" t="s">
        <v>369</v>
      </c>
      <c r="J20" t="s">
        <v>518</v>
      </c>
      <c r="K20" s="120">
        <v>1.379439E-4</v>
      </c>
      <c r="L20">
        <v>1.3794386832966736E-4</v>
      </c>
      <c r="M20">
        <v>0.09</v>
      </c>
    </row>
    <row r="21" spans="1:28" x14ac:dyDescent="0.25">
      <c r="E21" t="s">
        <v>372</v>
      </c>
      <c r="F21" t="s">
        <v>373</v>
      </c>
      <c r="J21" t="s">
        <v>519</v>
      </c>
      <c r="K21" s="120">
        <v>1.379439E-4</v>
      </c>
      <c r="L21">
        <v>1.3794386832966736E-4</v>
      </c>
      <c r="M21">
        <v>0.09</v>
      </c>
    </row>
    <row r="22" spans="1:28" x14ac:dyDescent="0.25">
      <c r="E22" t="s">
        <v>376</v>
      </c>
      <c r="F22" t="s">
        <v>377</v>
      </c>
      <c r="J22" t="s">
        <v>211</v>
      </c>
      <c r="K22" s="120">
        <v>1.379439E-4</v>
      </c>
      <c r="L22">
        <v>1.3794386832966736E-4</v>
      </c>
      <c r="M22">
        <v>0.09</v>
      </c>
    </row>
    <row r="23" spans="1:28" x14ac:dyDescent="0.25">
      <c r="A23" t="s">
        <v>213</v>
      </c>
      <c r="E23" t="s">
        <v>380</v>
      </c>
      <c r="F23" t="s">
        <v>381</v>
      </c>
      <c r="J23" t="s">
        <v>146</v>
      </c>
      <c r="K23" s="120">
        <v>1.3573829999999999E-4</v>
      </c>
      <c r="L23">
        <v>1.3573833328104119E-4</v>
      </c>
      <c r="M23">
        <v>0.09</v>
      </c>
    </row>
    <row r="24" spans="1:28" x14ac:dyDescent="0.25">
      <c r="A24" t="s">
        <v>414</v>
      </c>
      <c r="E24" t="s">
        <v>384</v>
      </c>
      <c r="F24" t="s">
        <v>385</v>
      </c>
      <c r="J24" t="s">
        <v>516</v>
      </c>
      <c r="K24" s="120">
        <v>5.6160000000000001E-6</v>
      </c>
      <c r="L24">
        <v>5.6159599577408315E-6</v>
      </c>
      <c r="M24">
        <v>0</v>
      </c>
    </row>
    <row r="25" spans="1:28" x14ac:dyDescent="0.25">
      <c r="A25" t="s">
        <v>137</v>
      </c>
      <c r="E25" t="s">
        <v>388</v>
      </c>
      <c r="F25" t="s">
        <v>389</v>
      </c>
      <c r="J25" t="s">
        <v>517</v>
      </c>
      <c r="K25" s="120">
        <v>0</v>
      </c>
      <c r="L25">
        <v>0</v>
      </c>
      <c r="M25">
        <v>0</v>
      </c>
    </row>
    <row r="26" spans="1:28" x14ac:dyDescent="0.25">
      <c r="A26" t="s">
        <v>415</v>
      </c>
      <c r="E26" t="s">
        <v>392</v>
      </c>
      <c r="F26" t="s">
        <v>393</v>
      </c>
      <c r="J26" t="s">
        <v>2396</v>
      </c>
      <c r="K26" s="120">
        <v>1.379439E-4</v>
      </c>
      <c r="L26">
        <v>1.3794386832966736E-4</v>
      </c>
      <c r="M26">
        <v>0.12</v>
      </c>
    </row>
    <row r="27" spans="1:28" x14ac:dyDescent="0.25">
      <c r="A27" t="s">
        <v>147</v>
      </c>
      <c r="E27" t="s">
        <v>396</v>
      </c>
      <c r="F27" t="s">
        <v>397</v>
      </c>
    </row>
    <row r="28" spans="1:28" x14ac:dyDescent="0.25">
      <c r="A28" t="s">
        <v>481</v>
      </c>
      <c r="E28" t="s">
        <v>400</v>
      </c>
      <c r="F28" t="s">
        <v>401</v>
      </c>
      <c r="J28" t="s">
        <v>1005</v>
      </c>
      <c r="K28" t="s">
        <v>1006</v>
      </c>
    </row>
    <row r="29" spans="1:28" x14ac:dyDescent="0.25">
      <c r="A29" t="s">
        <v>482</v>
      </c>
      <c r="E29" t="s">
        <v>404</v>
      </c>
      <c r="F29" t="s">
        <v>405</v>
      </c>
      <c r="J29" t="s">
        <v>1019</v>
      </c>
      <c r="K29" t="s">
        <v>1022</v>
      </c>
      <c r="M29" t="s">
        <v>1233</v>
      </c>
    </row>
    <row r="30" spans="1:28" x14ac:dyDescent="0.25">
      <c r="A30" t="s">
        <v>894</v>
      </c>
      <c r="E30" t="s">
        <v>408</v>
      </c>
      <c r="F30" t="s">
        <v>409</v>
      </c>
      <c r="J30" t="s">
        <v>1008</v>
      </c>
      <c r="K30" t="s">
        <v>1022</v>
      </c>
    </row>
    <row r="31" spans="1:28" x14ac:dyDescent="0.25">
      <c r="E31" t="s">
        <v>314</v>
      </c>
      <c r="F31" t="s">
        <v>315</v>
      </c>
      <c r="J31" t="s">
        <v>2353</v>
      </c>
      <c r="K31" t="s">
        <v>1021</v>
      </c>
      <c r="O31" t="s">
        <v>2261</v>
      </c>
      <c r="P31" t="s">
        <v>2469</v>
      </c>
      <c r="Q31" t="s">
        <v>2262</v>
      </c>
      <c r="R31" t="s">
        <v>2263</v>
      </c>
      <c r="S31" t="s">
        <v>2264</v>
      </c>
      <c r="T31" t="s">
        <v>2265</v>
      </c>
      <c r="U31" t="s">
        <v>2266</v>
      </c>
      <c r="V31" t="s">
        <v>2267</v>
      </c>
      <c r="W31" t="s">
        <v>2268</v>
      </c>
      <c r="X31" t="s">
        <v>2269</v>
      </c>
      <c r="Y31" t="s">
        <v>2270</v>
      </c>
      <c r="Z31" t="s">
        <v>2271</v>
      </c>
      <c r="AA31" t="s">
        <v>2272</v>
      </c>
      <c r="AB31" t="s">
        <v>2360</v>
      </c>
    </row>
    <row r="32" spans="1:28" x14ac:dyDescent="0.25">
      <c r="A32" t="s">
        <v>0</v>
      </c>
      <c r="E32" t="s">
        <v>318</v>
      </c>
      <c r="F32" t="s">
        <v>319</v>
      </c>
      <c r="J32" t="s">
        <v>1020</v>
      </c>
      <c r="K32" t="s">
        <v>1020</v>
      </c>
      <c r="O32" t="s">
        <v>2273</v>
      </c>
      <c r="P32">
        <v>0.75</v>
      </c>
      <c r="Q32">
        <v>0.71</v>
      </c>
      <c r="R32">
        <v>0.71</v>
      </c>
      <c r="S32">
        <v>0.8</v>
      </c>
      <c r="T32" s="61">
        <v>0.8</v>
      </c>
      <c r="U32" s="61">
        <v>0.9</v>
      </c>
      <c r="V32">
        <v>0.82</v>
      </c>
      <c r="W32">
        <v>0.9</v>
      </c>
      <c r="X32">
        <v>0.9</v>
      </c>
      <c r="Y32" t="s">
        <v>2274</v>
      </c>
      <c r="Z32" t="s">
        <v>2274</v>
      </c>
      <c r="AA32" t="s">
        <v>2274</v>
      </c>
      <c r="AB32">
        <v>0.5</v>
      </c>
    </row>
    <row r="33" spans="1:28" x14ac:dyDescent="0.25">
      <c r="A33" t="s">
        <v>1125</v>
      </c>
      <c r="E33" t="s">
        <v>322</v>
      </c>
      <c r="F33" t="s">
        <v>323</v>
      </c>
      <c r="J33" t="s">
        <v>1009</v>
      </c>
      <c r="K33" t="s">
        <v>1022</v>
      </c>
      <c r="O33" t="s">
        <v>2275</v>
      </c>
      <c r="P33">
        <v>0.64</v>
      </c>
      <c r="Q33">
        <v>0.76</v>
      </c>
      <c r="R33">
        <v>0.76</v>
      </c>
      <c r="S33">
        <v>1.01</v>
      </c>
      <c r="T33" s="61">
        <v>1.01</v>
      </c>
      <c r="U33" s="61">
        <v>1.2</v>
      </c>
      <c r="V33">
        <v>1.08</v>
      </c>
      <c r="W33">
        <v>1.2</v>
      </c>
      <c r="X33">
        <v>1.2</v>
      </c>
      <c r="Y33" t="s">
        <v>2274</v>
      </c>
      <c r="Z33" t="s">
        <v>2274</v>
      </c>
      <c r="AA33" t="s">
        <v>2274</v>
      </c>
      <c r="AB33">
        <v>0.5</v>
      </c>
    </row>
    <row r="34" spans="1:28" x14ac:dyDescent="0.25">
      <c r="A34" t="s">
        <v>210</v>
      </c>
      <c r="E34" t="s">
        <v>326</v>
      </c>
      <c r="F34" t="s">
        <v>327</v>
      </c>
      <c r="J34" t="s">
        <v>2336</v>
      </c>
      <c r="K34" t="s">
        <v>1022</v>
      </c>
      <c r="O34" t="s">
        <v>2276</v>
      </c>
      <c r="P34">
        <v>0.79</v>
      </c>
      <c r="Q34">
        <v>0.9</v>
      </c>
      <c r="R34">
        <v>0.9</v>
      </c>
      <c r="S34">
        <v>1.01</v>
      </c>
      <c r="T34" s="61">
        <v>1.01</v>
      </c>
      <c r="U34" s="61">
        <v>1.2</v>
      </c>
      <c r="V34">
        <v>1.05</v>
      </c>
      <c r="W34">
        <v>1.2</v>
      </c>
      <c r="X34">
        <v>1.2</v>
      </c>
      <c r="Y34" t="s">
        <v>2274</v>
      </c>
      <c r="Z34" t="s">
        <v>2274</v>
      </c>
      <c r="AA34" t="s">
        <v>2274</v>
      </c>
      <c r="AB34">
        <v>0.5</v>
      </c>
    </row>
    <row r="35" spans="1:28" x14ac:dyDescent="0.25">
      <c r="A35" t="s">
        <v>190</v>
      </c>
      <c r="E35" t="s">
        <v>330</v>
      </c>
      <c r="F35" t="s">
        <v>331</v>
      </c>
      <c r="J35" t="s">
        <v>1234</v>
      </c>
      <c r="K35" t="s">
        <v>1022</v>
      </c>
      <c r="O35" t="s">
        <v>2277</v>
      </c>
      <c r="P35">
        <v>0.8</v>
      </c>
      <c r="Q35">
        <v>0.9</v>
      </c>
      <c r="R35">
        <v>0.9</v>
      </c>
      <c r="S35">
        <v>1.01</v>
      </c>
      <c r="T35" s="61">
        <v>1.01</v>
      </c>
      <c r="U35" s="61">
        <v>1.3</v>
      </c>
      <c r="V35">
        <v>0.99</v>
      </c>
      <c r="W35">
        <v>1.3</v>
      </c>
      <c r="X35">
        <v>1.3</v>
      </c>
      <c r="Y35" t="s">
        <v>2274</v>
      </c>
      <c r="Z35" t="s">
        <v>2274</v>
      </c>
      <c r="AA35" t="s">
        <v>2274</v>
      </c>
      <c r="AB35">
        <v>0.5</v>
      </c>
    </row>
    <row r="36" spans="1:28" x14ac:dyDescent="0.25">
      <c r="E36" t="s">
        <v>334</v>
      </c>
      <c r="F36" t="s">
        <v>335</v>
      </c>
      <c r="J36" t="s">
        <v>1235</v>
      </c>
      <c r="K36" t="s">
        <v>1022</v>
      </c>
      <c r="O36" t="s">
        <v>2278</v>
      </c>
      <c r="P36">
        <v>0.76</v>
      </c>
      <c r="Q36">
        <v>0.79</v>
      </c>
      <c r="R36">
        <v>0.79</v>
      </c>
      <c r="S36">
        <v>0.9</v>
      </c>
      <c r="T36" s="61">
        <v>0.9</v>
      </c>
      <c r="U36" s="61">
        <v>1.4</v>
      </c>
      <c r="V36">
        <v>0.9</v>
      </c>
      <c r="W36">
        <v>1.4</v>
      </c>
      <c r="X36">
        <v>1.4</v>
      </c>
      <c r="Y36" t="s">
        <v>2274</v>
      </c>
      <c r="Z36" t="s">
        <v>2274</v>
      </c>
      <c r="AA36" t="s">
        <v>2274</v>
      </c>
      <c r="AB36">
        <v>0.5</v>
      </c>
    </row>
    <row r="37" spans="1:28" x14ac:dyDescent="0.25">
      <c r="E37" t="s">
        <v>338</v>
      </c>
      <c r="F37" t="s">
        <v>339</v>
      </c>
      <c r="J37" t="s">
        <v>1236</v>
      </c>
      <c r="K37" t="s">
        <v>1022</v>
      </c>
      <c r="O37" t="s">
        <v>2279</v>
      </c>
      <c r="P37">
        <v>0.71</v>
      </c>
      <c r="Q37">
        <v>0.78</v>
      </c>
      <c r="R37">
        <v>0.78</v>
      </c>
      <c r="S37">
        <v>0.95</v>
      </c>
      <c r="T37" s="61">
        <v>0.95</v>
      </c>
      <c r="U37" s="61">
        <v>1.6</v>
      </c>
      <c r="V37">
        <v>0.89</v>
      </c>
      <c r="W37">
        <v>1.6</v>
      </c>
      <c r="X37">
        <v>1.6</v>
      </c>
      <c r="Y37" t="s">
        <v>2274</v>
      </c>
      <c r="Z37" t="s">
        <v>2274</v>
      </c>
      <c r="AA37" t="s">
        <v>2274</v>
      </c>
      <c r="AB37">
        <v>0.5</v>
      </c>
    </row>
    <row r="38" spans="1:28" x14ac:dyDescent="0.25">
      <c r="A38" t="s">
        <v>422</v>
      </c>
      <c r="E38" t="s">
        <v>342</v>
      </c>
      <c r="F38" t="s">
        <v>343</v>
      </c>
      <c r="O38" t="s">
        <v>2280</v>
      </c>
      <c r="P38">
        <v>0.53</v>
      </c>
      <c r="Q38">
        <v>0.61</v>
      </c>
      <c r="R38">
        <v>0.61</v>
      </c>
      <c r="S38">
        <v>0.56999999999999995</v>
      </c>
      <c r="T38" s="61">
        <v>0.56999999999999995</v>
      </c>
      <c r="U38" s="61">
        <v>1</v>
      </c>
      <c r="V38">
        <v>0.61</v>
      </c>
      <c r="W38">
        <v>1</v>
      </c>
      <c r="X38">
        <v>1</v>
      </c>
      <c r="Y38" t="s">
        <v>2274</v>
      </c>
      <c r="Z38" t="s">
        <v>2274</v>
      </c>
      <c r="AA38" t="s">
        <v>2274</v>
      </c>
      <c r="AB38">
        <v>0.4</v>
      </c>
    </row>
    <row r="39" spans="1:28" x14ac:dyDescent="0.25">
      <c r="A39" t="s">
        <v>420</v>
      </c>
      <c r="E39" t="s">
        <v>346</v>
      </c>
      <c r="F39" t="s">
        <v>347</v>
      </c>
      <c r="J39" t="s">
        <v>1010</v>
      </c>
      <c r="K39" t="s">
        <v>1011</v>
      </c>
      <c r="O39" t="s">
        <v>2281</v>
      </c>
      <c r="P39">
        <v>0.72</v>
      </c>
      <c r="Q39">
        <v>0.65</v>
      </c>
      <c r="R39">
        <v>0.65</v>
      </c>
      <c r="S39">
        <v>0.84</v>
      </c>
      <c r="T39" s="61">
        <v>0.84</v>
      </c>
      <c r="U39" s="61">
        <v>1</v>
      </c>
      <c r="V39">
        <v>0.88</v>
      </c>
      <c r="W39">
        <v>1</v>
      </c>
      <c r="X39">
        <v>1</v>
      </c>
      <c r="Y39" t="s">
        <v>2274</v>
      </c>
      <c r="Z39" t="s">
        <v>2274</v>
      </c>
      <c r="AA39" t="s">
        <v>2274</v>
      </c>
      <c r="AB39">
        <v>0.4</v>
      </c>
    </row>
    <row r="40" spans="1:28" x14ac:dyDescent="0.25">
      <c r="A40" t="s">
        <v>421</v>
      </c>
      <c r="E40" t="s">
        <v>350</v>
      </c>
      <c r="F40" t="s">
        <v>351</v>
      </c>
      <c r="J40" t="s">
        <v>1012</v>
      </c>
      <c r="K40">
        <v>0.10392999999999999</v>
      </c>
      <c r="O40" t="s">
        <v>2282</v>
      </c>
      <c r="P40">
        <v>0.56000000000000005</v>
      </c>
      <c r="Q40">
        <v>0.53</v>
      </c>
      <c r="R40">
        <v>0.53</v>
      </c>
      <c r="S40">
        <v>0.67</v>
      </c>
      <c r="T40" s="61">
        <v>0.67100000000000004</v>
      </c>
      <c r="U40" s="61">
        <v>0.8</v>
      </c>
      <c r="V40">
        <v>0.71</v>
      </c>
      <c r="W40" t="s">
        <v>2283</v>
      </c>
      <c r="X40" t="s">
        <v>2283</v>
      </c>
      <c r="Y40" t="s">
        <v>2274</v>
      </c>
      <c r="Z40" t="s">
        <v>2274</v>
      </c>
      <c r="AA40" t="s">
        <v>2274</v>
      </c>
      <c r="AB40">
        <v>0.4</v>
      </c>
    </row>
    <row r="41" spans="1:28" x14ac:dyDescent="0.25">
      <c r="E41" t="s">
        <v>354</v>
      </c>
      <c r="F41" t="s">
        <v>355</v>
      </c>
      <c r="J41" t="s">
        <v>1013</v>
      </c>
      <c r="K41">
        <v>9.2289999999999997E-2</v>
      </c>
      <c r="O41" t="s">
        <v>2284</v>
      </c>
      <c r="P41">
        <v>0.76</v>
      </c>
      <c r="Q41">
        <v>0.68</v>
      </c>
      <c r="R41">
        <v>0.68</v>
      </c>
      <c r="S41">
        <v>0.94</v>
      </c>
      <c r="T41" s="61">
        <v>0.94</v>
      </c>
      <c r="U41" s="61">
        <v>1.1000000000000001</v>
      </c>
      <c r="V41">
        <v>1</v>
      </c>
      <c r="W41">
        <v>1.1000000000000001</v>
      </c>
      <c r="X41">
        <v>1.1000000000000001</v>
      </c>
      <c r="Y41" t="s">
        <v>2274</v>
      </c>
      <c r="Z41" t="s">
        <v>2274</v>
      </c>
      <c r="AA41" t="s">
        <v>2274</v>
      </c>
      <c r="AB41">
        <v>0.4</v>
      </c>
    </row>
    <row r="42" spans="1:28" x14ac:dyDescent="0.25">
      <c r="E42" t="s">
        <v>358</v>
      </c>
      <c r="F42" t="s">
        <v>359</v>
      </c>
      <c r="J42" t="s">
        <v>1014</v>
      </c>
      <c r="K42">
        <v>8.0189999999999997E-2</v>
      </c>
      <c r="O42" t="s">
        <v>2285</v>
      </c>
      <c r="P42">
        <v>0.81</v>
      </c>
      <c r="Q42">
        <v>0.82</v>
      </c>
      <c r="R42">
        <v>0.82</v>
      </c>
      <c r="S42">
        <v>0.9</v>
      </c>
      <c r="T42" s="61">
        <v>0.9</v>
      </c>
      <c r="U42" s="61">
        <v>1</v>
      </c>
      <c r="V42">
        <v>0.87</v>
      </c>
      <c r="W42">
        <v>1</v>
      </c>
      <c r="X42">
        <v>1</v>
      </c>
      <c r="Y42" t="s">
        <v>2274</v>
      </c>
      <c r="Z42" t="s">
        <v>2274</v>
      </c>
      <c r="AA42" t="s">
        <v>2274</v>
      </c>
      <c r="AB42">
        <v>0.5</v>
      </c>
    </row>
    <row r="43" spans="1:28" x14ac:dyDescent="0.25">
      <c r="A43" t="s">
        <v>1178</v>
      </c>
      <c r="E43" t="s">
        <v>362</v>
      </c>
      <c r="F43" t="s">
        <v>363</v>
      </c>
      <c r="J43" t="s">
        <v>1015</v>
      </c>
      <c r="K43">
        <v>6.1600000000000002E-2</v>
      </c>
      <c r="O43" t="s">
        <v>2286</v>
      </c>
      <c r="P43">
        <v>0.96</v>
      </c>
      <c r="Q43">
        <v>1.05</v>
      </c>
      <c r="R43">
        <v>1.05</v>
      </c>
      <c r="S43">
        <v>1.05</v>
      </c>
      <c r="T43" s="61">
        <v>1.05</v>
      </c>
      <c r="U43" s="61">
        <v>1.2</v>
      </c>
      <c r="V43">
        <v>1.21</v>
      </c>
      <c r="W43">
        <v>1.2</v>
      </c>
      <c r="X43">
        <v>1.2</v>
      </c>
      <c r="Y43" t="s">
        <v>2274</v>
      </c>
      <c r="Z43" t="s">
        <v>2274</v>
      </c>
      <c r="AA43" t="s">
        <v>2274</v>
      </c>
      <c r="AB43">
        <v>0.5</v>
      </c>
    </row>
    <row r="44" spans="1:28" x14ac:dyDescent="0.25">
      <c r="A44" t="s">
        <v>2367</v>
      </c>
      <c r="E44" t="s">
        <v>366</v>
      </c>
      <c r="F44" t="s">
        <v>367</v>
      </c>
      <c r="J44" t="s">
        <v>190</v>
      </c>
      <c r="K44">
        <v>9.2289999999999997E-2</v>
      </c>
      <c r="O44" t="s">
        <v>2287</v>
      </c>
      <c r="P44">
        <v>0.56000000000000005</v>
      </c>
      <c r="Q44">
        <v>0.75</v>
      </c>
      <c r="R44">
        <v>0.75</v>
      </c>
      <c r="S44">
        <v>0.87</v>
      </c>
      <c r="T44" s="61">
        <v>0.87</v>
      </c>
      <c r="U44" s="61">
        <v>1</v>
      </c>
      <c r="V44">
        <v>1</v>
      </c>
      <c r="W44">
        <v>1</v>
      </c>
      <c r="X44">
        <v>1</v>
      </c>
      <c r="Y44" t="s">
        <v>2274</v>
      </c>
      <c r="Z44" t="s">
        <v>2274</v>
      </c>
      <c r="AA44" t="s">
        <v>2274</v>
      </c>
      <c r="AB44">
        <v>0.5</v>
      </c>
    </row>
    <row r="45" spans="1:28" x14ac:dyDescent="0.25">
      <c r="A45" t="s">
        <v>2342</v>
      </c>
      <c r="E45" t="s">
        <v>370</v>
      </c>
      <c r="F45" t="s">
        <v>371</v>
      </c>
      <c r="J45" t="s">
        <v>1016</v>
      </c>
      <c r="K45" t="str">
        <f>""</f>
        <v/>
      </c>
      <c r="O45" t="s">
        <v>2288</v>
      </c>
      <c r="P45">
        <v>0.83</v>
      </c>
      <c r="Q45">
        <v>0.78</v>
      </c>
      <c r="R45">
        <v>0.78</v>
      </c>
      <c r="S45">
        <v>1.19</v>
      </c>
      <c r="T45" s="61">
        <v>1.19</v>
      </c>
      <c r="U45" s="61">
        <v>1.3</v>
      </c>
      <c r="V45">
        <v>1.18</v>
      </c>
      <c r="W45">
        <v>1.3</v>
      </c>
      <c r="X45">
        <v>1.3</v>
      </c>
      <c r="Y45" t="s">
        <v>2274</v>
      </c>
      <c r="Z45" t="s">
        <v>2274</v>
      </c>
      <c r="AA45" t="s">
        <v>2274</v>
      </c>
      <c r="AB45">
        <v>0.5</v>
      </c>
    </row>
    <row r="46" spans="1:28" x14ac:dyDescent="0.25">
      <c r="A46" t="s">
        <v>2429</v>
      </c>
      <c r="E46" t="s">
        <v>374</v>
      </c>
      <c r="F46" t="s">
        <v>375</v>
      </c>
      <c r="O46" t="s">
        <v>2289</v>
      </c>
      <c r="P46">
        <v>0.82</v>
      </c>
      <c r="Q46">
        <v>0.9</v>
      </c>
      <c r="R46">
        <v>0.9</v>
      </c>
      <c r="S46">
        <v>1.17</v>
      </c>
      <c r="T46" s="61">
        <v>1.17</v>
      </c>
      <c r="U46" s="61">
        <v>1.3</v>
      </c>
      <c r="V46">
        <v>1.1100000000000001</v>
      </c>
      <c r="W46">
        <v>1.3</v>
      </c>
      <c r="X46">
        <v>1.3</v>
      </c>
      <c r="Y46" t="s">
        <v>2274</v>
      </c>
      <c r="Z46" t="s">
        <v>2274</v>
      </c>
      <c r="AA46" t="s">
        <v>2274</v>
      </c>
      <c r="AB46">
        <v>0.5</v>
      </c>
    </row>
    <row r="47" spans="1:28" x14ac:dyDescent="0.25">
      <c r="A47" t="s">
        <v>2343</v>
      </c>
      <c r="E47" t="s">
        <v>378</v>
      </c>
      <c r="F47" t="s">
        <v>379</v>
      </c>
      <c r="J47" t="s">
        <v>429</v>
      </c>
      <c r="K47" t="s">
        <v>1071</v>
      </c>
      <c r="O47" t="s">
        <v>2290</v>
      </c>
      <c r="P47" t="s">
        <v>2283</v>
      </c>
      <c r="Q47" t="s">
        <v>2283</v>
      </c>
      <c r="R47" t="s">
        <v>2283</v>
      </c>
      <c r="S47" t="s">
        <v>2283</v>
      </c>
      <c r="T47" s="61" t="s">
        <v>2283</v>
      </c>
      <c r="U47" s="61">
        <v>1</v>
      </c>
      <c r="V47">
        <v>0.88</v>
      </c>
      <c r="W47">
        <v>1</v>
      </c>
      <c r="X47">
        <v>1</v>
      </c>
      <c r="Y47" t="s">
        <v>2274</v>
      </c>
      <c r="Z47" t="s">
        <v>2274</v>
      </c>
      <c r="AA47" t="s">
        <v>2274</v>
      </c>
      <c r="AB47">
        <v>0.5</v>
      </c>
    </row>
    <row r="48" spans="1:28" x14ac:dyDescent="0.25">
      <c r="A48" t="s">
        <v>2390</v>
      </c>
      <c r="E48" t="s">
        <v>382</v>
      </c>
      <c r="F48" t="s">
        <v>383</v>
      </c>
      <c r="J48" t="s">
        <v>443</v>
      </c>
      <c r="K48" t="s">
        <v>1072</v>
      </c>
      <c r="O48" t="s">
        <v>2291</v>
      </c>
      <c r="P48">
        <v>0.44</v>
      </c>
      <c r="Q48">
        <v>0.83</v>
      </c>
      <c r="R48">
        <v>0.83</v>
      </c>
      <c r="S48">
        <v>0.76</v>
      </c>
      <c r="T48" s="61">
        <v>0.76</v>
      </c>
      <c r="U48" s="61">
        <v>1.2</v>
      </c>
      <c r="V48">
        <v>0.83</v>
      </c>
      <c r="W48">
        <v>1.2</v>
      </c>
      <c r="X48">
        <v>1.2</v>
      </c>
      <c r="Y48" t="s">
        <v>2274</v>
      </c>
      <c r="Z48" t="s">
        <v>2274</v>
      </c>
      <c r="AA48" t="s">
        <v>2274</v>
      </c>
      <c r="AB48">
        <v>0.5</v>
      </c>
    </row>
    <row r="49" spans="1:28" x14ac:dyDescent="0.25">
      <c r="E49" t="s">
        <v>386</v>
      </c>
      <c r="F49" t="s">
        <v>387</v>
      </c>
      <c r="J49" t="s">
        <v>445</v>
      </c>
      <c r="K49" t="s">
        <v>445</v>
      </c>
      <c r="O49" t="s">
        <v>2292</v>
      </c>
      <c r="P49">
        <v>0.45</v>
      </c>
      <c r="Q49">
        <v>0.68</v>
      </c>
      <c r="R49">
        <v>0.68</v>
      </c>
      <c r="S49">
        <v>0.51</v>
      </c>
      <c r="T49" s="61">
        <v>0.51</v>
      </c>
      <c r="U49" s="61">
        <v>0.7</v>
      </c>
      <c r="V49">
        <v>0.6</v>
      </c>
      <c r="W49">
        <v>0.7</v>
      </c>
      <c r="X49">
        <v>0.7</v>
      </c>
      <c r="Y49" t="s">
        <v>2274</v>
      </c>
      <c r="Z49" t="s">
        <v>2274</v>
      </c>
      <c r="AA49" t="s">
        <v>2274</v>
      </c>
      <c r="AB49">
        <v>0.4</v>
      </c>
    </row>
    <row r="50" spans="1:28" ht="15" customHeight="1" x14ac:dyDescent="0.25">
      <c r="E50" t="s">
        <v>390</v>
      </c>
      <c r="F50" t="s">
        <v>391</v>
      </c>
      <c r="J50" t="s">
        <v>446</v>
      </c>
      <c r="K50" t="s">
        <v>1073</v>
      </c>
      <c r="O50" t="s">
        <v>2293</v>
      </c>
      <c r="P50">
        <v>0.55000000000000004</v>
      </c>
      <c r="Q50">
        <v>1.06</v>
      </c>
      <c r="R50">
        <v>1.06</v>
      </c>
      <c r="S50">
        <v>1.02</v>
      </c>
      <c r="T50" s="61">
        <v>1.02</v>
      </c>
      <c r="U50" s="61">
        <v>1.1000000000000001</v>
      </c>
      <c r="V50">
        <v>1.06</v>
      </c>
      <c r="W50">
        <v>1.1000000000000001</v>
      </c>
      <c r="X50">
        <v>1.1000000000000001</v>
      </c>
      <c r="Y50" t="s">
        <v>2274</v>
      </c>
      <c r="Z50" t="s">
        <v>2274</v>
      </c>
      <c r="AA50" t="s">
        <v>2274</v>
      </c>
      <c r="AB50">
        <v>0.5</v>
      </c>
    </row>
    <row r="51" spans="1:28" x14ac:dyDescent="0.25">
      <c r="E51" t="s">
        <v>394</v>
      </c>
      <c r="F51" t="s">
        <v>395</v>
      </c>
      <c r="J51" t="s">
        <v>447</v>
      </c>
      <c r="K51" t="s">
        <v>1074</v>
      </c>
      <c r="O51" t="s">
        <v>307</v>
      </c>
      <c r="P51">
        <v>0.64</v>
      </c>
      <c r="Q51">
        <v>0.79</v>
      </c>
      <c r="R51">
        <v>0.79</v>
      </c>
      <c r="S51">
        <v>0.82</v>
      </c>
      <c r="T51" s="61">
        <v>0.82</v>
      </c>
      <c r="U51" s="61">
        <v>0.9</v>
      </c>
      <c r="V51">
        <v>0.9</v>
      </c>
      <c r="W51">
        <v>1</v>
      </c>
      <c r="X51">
        <v>1</v>
      </c>
      <c r="Y51" t="s">
        <v>2274</v>
      </c>
      <c r="Z51" t="s">
        <v>2274</v>
      </c>
      <c r="AA51" t="s">
        <v>2274</v>
      </c>
      <c r="AB51">
        <v>0.5</v>
      </c>
    </row>
    <row r="52" spans="1:28" x14ac:dyDescent="0.25">
      <c r="E52" t="s">
        <v>398</v>
      </c>
      <c r="F52" t="s">
        <v>399</v>
      </c>
      <c r="J52" t="s">
        <v>444</v>
      </c>
      <c r="K52" t="s">
        <v>444</v>
      </c>
      <c r="O52" t="s">
        <v>308</v>
      </c>
      <c r="P52">
        <v>0.18</v>
      </c>
      <c r="Q52">
        <v>0.15</v>
      </c>
      <c r="R52">
        <v>0.15</v>
      </c>
      <c r="S52">
        <v>0.21</v>
      </c>
      <c r="T52" s="61">
        <v>0.21</v>
      </c>
      <c r="U52" s="61">
        <v>0.3</v>
      </c>
      <c r="V52">
        <v>0.25</v>
      </c>
      <c r="W52">
        <v>0.3</v>
      </c>
      <c r="X52">
        <v>0.3</v>
      </c>
      <c r="Y52" t="s">
        <v>2274</v>
      </c>
      <c r="Z52" t="s">
        <v>2274</v>
      </c>
      <c r="AA52" t="s">
        <v>2274</v>
      </c>
      <c r="AB52">
        <v>0.1</v>
      </c>
    </row>
    <row r="53" spans="1:28" ht="15" customHeight="1" x14ac:dyDescent="0.25">
      <c r="E53" t="s">
        <v>402</v>
      </c>
      <c r="F53" t="s">
        <v>403</v>
      </c>
      <c r="O53" t="s">
        <v>2294</v>
      </c>
      <c r="P53">
        <v>0.69</v>
      </c>
      <c r="Q53">
        <v>0.75</v>
      </c>
      <c r="R53">
        <v>0.75</v>
      </c>
      <c r="S53">
        <v>0.81</v>
      </c>
      <c r="T53" s="61">
        <v>0.81</v>
      </c>
      <c r="U53" s="61">
        <v>1</v>
      </c>
      <c r="V53">
        <v>0.97</v>
      </c>
      <c r="W53">
        <v>1</v>
      </c>
      <c r="X53">
        <v>1</v>
      </c>
      <c r="Y53" t="s">
        <v>2274</v>
      </c>
      <c r="Z53" t="s">
        <v>2274</v>
      </c>
      <c r="AA53" t="s">
        <v>2274</v>
      </c>
      <c r="AB53">
        <v>0.5</v>
      </c>
    </row>
    <row r="54" spans="1:28" x14ac:dyDescent="0.25">
      <c r="A54" s="16" t="s">
        <v>976</v>
      </c>
      <c r="E54" t="s">
        <v>406</v>
      </c>
      <c r="F54" t="s">
        <v>407</v>
      </c>
      <c r="O54" t="s">
        <v>2295</v>
      </c>
      <c r="P54">
        <v>0.84</v>
      </c>
      <c r="Q54">
        <v>1.18</v>
      </c>
      <c r="R54">
        <v>1.18</v>
      </c>
      <c r="S54">
        <v>1.39</v>
      </c>
      <c r="T54" s="61">
        <v>1.39</v>
      </c>
      <c r="U54" s="61">
        <v>1.6</v>
      </c>
      <c r="V54">
        <v>1.39</v>
      </c>
      <c r="W54">
        <v>1.6</v>
      </c>
      <c r="X54">
        <v>1.6</v>
      </c>
      <c r="Y54" t="s">
        <v>2274</v>
      </c>
      <c r="Z54" t="s">
        <v>2274</v>
      </c>
      <c r="AA54" t="s">
        <v>2274</v>
      </c>
      <c r="AB54">
        <v>0.5</v>
      </c>
    </row>
    <row r="55" spans="1:28" x14ac:dyDescent="0.25">
      <c r="A55" t="s">
        <v>977</v>
      </c>
      <c r="E55" t="s">
        <v>410</v>
      </c>
      <c r="F55" t="s">
        <v>411</v>
      </c>
      <c r="J55" t="s">
        <v>1314</v>
      </c>
      <c r="O55" t="s">
        <v>2296</v>
      </c>
      <c r="P55">
        <v>0.66</v>
      </c>
      <c r="Q55">
        <v>0.8</v>
      </c>
      <c r="R55">
        <v>0.8</v>
      </c>
      <c r="S55">
        <v>0.87</v>
      </c>
      <c r="T55" s="61">
        <v>0.87</v>
      </c>
      <c r="U55" s="61">
        <v>1</v>
      </c>
      <c r="V55">
        <v>0.96</v>
      </c>
      <c r="W55">
        <v>1</v>
      </c>
      <c r="X55">
        <v>1</v>
      </c>
      <c r="Y55" t="s">
        <v>2274</v>
      </c>
      <c r="Z55" t="s">
        <v>2274</v>
      </c>
      <c r="AA55" t="s">
        <v>2274</v>
      </c>
      <c r="AB55">
        <v>0.5</v>
      </c>
    </row>
    <row r="56" spans="1:28" x14ac:dyDescent="0.25">
      <c r="A56" t="s">
        <v>978</v>
      </c>
      <c r="E56" t="s">
        <v>2192</v>
      </c>
      <c r="F56" t="s">
        <v>2204</v>
      </c>
      <c r="J56" t="s">
        <v>144</v>
      </c>
      <c r="O56" t="s">
        <v>2297</v>
      </c>
      <c r="P56">
        <v>0.65</v>
      </c>
      <c r="Q56">
        <v>0.67</v>
      </c>
      <c r="R56">
        <v>0.67</v>
      </c>
      <c r="S56">
        <v>0.87</v>
      </c>
      <c r="T56" s="61">
        <v>0.87</v>
      </c>
      <c r="U56" s="61">
        <v>1.1000000000000001</v>
      </c>
      <c r="V56">
        <v>0.87</v>
      </c>
      <c r="W56">
        <v>1.1000000000000001</v>
      </c>
      <c r="X56">
        <v>1.1000000000000001</v>
      </c>
      <c r="Y56" t="s">
        <v>2274</v>
      </c>
      <c r="Z56" t="s">
        <v>2274</v>
      </c>
      <c r="AA56" t="s">
        <v>2274</v>
      </c>
      <c r="AB56">
        <v>0.4</v>
      </c>
    </row>
    <row r="57" spans="1:28" x14ac:dyDescent="0.25">
      <c r="A57" t="s">
        <v>979</v>
      </c>
      <c r="D57" s="247"/>
      <c r="E57" t="s">
        <v>2193</v>
      </c>
      <c r="F57" t="s">
        <v>2205</v>
      </c>
      <c r="J57" t="s">
        <v>515</v>
      </c>
      <c r="O57" t="s">
        <v>2298</v>
      </c>
      <c r="P57">
        <v>0.67</v>
      </c>
      <c r="Q57">
        <v>0.94</v>
      </c>
      <c r="R57">
        <v>0.94</v>
      </c>
      <c r="S57">
        <v>1</v>
      </c>
      <c r="T57" s="61">
        <v>1</v>
      </c>
      <c r="U57" s="61">
        <v>1.3</v>
      </c>
      <c r="V57">
        <v>1.05</v>
      </c>
      <c r="W57">
        <v>1.3</v>
      </c>
      <c r="X57">
        <v>1.3</v>
      </c>
      <c r="Y57" t="s">
        <v>2274</v>
      </c>
      <c r="Z57" t="s">
        <v>2274</v>
      </c>
      <c r="AA57" t="s">
        <v>2274</v>
      </c>
      <c r="AB57">
        <v>0.5</v>
      </c>
    </row>
    <row r="58" spans="1:28" x14ac:dyDescent="0.25">
      <c r="A58" t="s">
        <v>980</v>
      </c>
      <c r="E58" t="s">
        <v>2194</v>
      </c>
      <c r="F58" t="s">
        <v>2210</v>
      </c>
      <c r="J58" t="s">
        <v>211</v>
      </c>
      <c r="O58" t="s">
        <v>309</v>
      </c>
      <c r="P58">
        <v>0.84</v>
      </c>
      <c r="Q58">
        <v>1.06</v>
      </c>
      <c r="R58">
        <v>1.06</v>
      </c>
      <c r="S58">
        <v>1.26</v>
      </c>
      <c r="T58" s="61">
        <v>1.26</v>
      </c>
      <c r="U58" s="61">
        <v>1.4</v>
      </c>
      <c r="V58">
        <v>1.4</v>
      </c>
      <c r="W58">
        <v>1.5</v>
      </c>
      <c r="X58">
        <v>1.5</v>
      </c>
      <c r="Y58" t="s">
        <v>2274</v>
      </c>
      <c r="Z58" t="s">
        <v>2274</v>
      </c>
      <c r="AA58" t="s">
        <v>2274</v>
      </c>
      <c r="AB58">
        <v>0.5</v>
      </c>
    </row>
    <row r="59" spans="1:28" x14ac:dyDescent="0.25">
      <c r="A59" t="s">
        <v>981</v>
      </c>
      <c r="E59" t="s">
        <v>2195</v>
      </c>
      <c r="F59" t="s">
        <v>2206</v>
      </c>
      <c r="J59" t="s">
        <v>2396</v>
      </c>
      <c r="O59" t="s">
        <v>2299</v>
      </c>
      <c r="P59">
        <v>0.72</v>
      </c>
      <c r="Q59">
        <v>0.81</v>
      </c>
      <c r="R59">
        <v>0.81</v>
      </c>
      <c r="S59">
        <v>0.87</v>
      </c>
      <c r="T59" s="61">
        <v>0.87</v>
      </c>
      <c r="U59" s="61">
        <v>1.2</v>
      </c>
      <c r="V59">
        <v>0.99</v>
      </c>
      <c r="W59">
        <v>1.2</v>
      </c>
      <c r="X59">
        <v>1.2</v>
      </c>
      <c r="Y59" t="s">
        <v>2274</v>
      </c>
      <c r="Z59" t="s">
        <v>2274</v>
      </c>
      <c r="AA59" t="s">
        <v>2274</v>
      </c>
      <c r="AB59">
        <v>0.5</v>
      </c>
    </row>
    <row r="60" spans="1:28" x14ac:dyDescent="0.25">
      <c r="A60" t="s">
        <v>982</v>
      </c>
      <c r="E60" t="s">
        <v>2196</v>
      </c>
      <c r="F60" t="s">
        <v>2207</v>
      </c>
      <c r="O60" t="s">
        <v>2300</v>
      </c>
      <c r="P60">
        <v>0.76</v>
      </c>
      <c r="Q60">
        <v>0.87</v>
      </c>
      <c r="R60">
        <v>0.87</v>
      </c>
      <c r="S60">
        <v>0.91</v>
      </c>
      <c r="T60" s="61">
        <v>0.91</v>
      </c>
      <c r="U60" s="61">
        <v>1.1000000000000001</v>
      </c>
      <c r="V60">
        <v>0.78</v>
      </c>
      <c r="W60">
        <v>1.1000000000000001</v>
      </c>
      <c r="X60">
        <v>1.1000000000000001</v>
      </c>
      <c r="Y60" t="s">
        <v>2274</v>
      </c>
      <c r="Z60" t="s">
        <v>2274</v>
      </c>
      <c r="AA60" t="s">
        <v>2274</v>
      </c>
      <c r="AB60">
        <v>0.5</v>
      </c>
    </row>
    <row r="61" spans="1:28" x14ac:dyDescent="0.25">
      <c r="A61" t="s">
        <v>894</v>
      </c>
      <c r="E61" t="s">
        <v>2197</v>
      </c>
      <c r="F61" t="s">
        <v>2208</v>
      </c>
      <c r="J61" t="s">
        <v>1315</v>
      </c>
      <c r="K61">
        <v>1.07</v>
      </c>
      <c r="O61" t="s">
        <v>2301</v>
      </c>
      <c r="P61">
        <v>0.69</v>
      </c>
      <c r="Q61">
        <v>0.8</v>
      </c>
      <c r="R61">
        <v>0.8</v>
      </c>
      <c r="S61">
        <v>0.89</v>
      </c>
      <c r="T61" s="61">
        <v>0.89</v>
      </c>
      <c r="U61" s="61">
        <v>1.1000000000000001</v>
      </c>
      <c r="V61">
        <v>0.92</v>
      </c>
      <c r="W61">
        <v>1.1000000000000001</v>
      </c>
      <c r="X61">
        <v>1.1000000000000001</v>
      </c>
      <c r="Y61" t="s">
        <v>2274</v>
      </c>
      <c r="Z61" t="s">
        <v>2274</v>
      </c>
      <c r="AA61" t="s">
        <v>2274</v>
      </c>
      <c r="AB61">
        <v>0.5</v>
      </c>
    </row>
    <row r="62" spans="1:28" x14ac:dyDescent="0.25">
      <c r="E62" t="s">
        <v>2198</v>
      </c>
      <c r="F62" t="s">
        <v>2209</v>
      </c>
      <c r="J62" t="s">
        <v>1450</v>
      </c>
      <c r="K62" s="59">
        <v>55153</v>
      </c>
      <c r="O62" t="s">
        <v>2302</v>
      </c>
      <c r="P62">
        <v>0.5</v>
      </c>
      <c r="Q62">
        <v>0.61</v>
      </c>
      <c r="R62">
        <v>0.61</v>
      </c>
      <c r="S62">
        <v>0.7</v>
      </c>
      <c r="T62" s="61">
        <v>0.7</v>
      </c>
      <c r="U62" s="61">
        <v>1</v>
      </c>
      <c r="V62">
        <v>0.77</v>
      </c>
      <c r="W62">
        <v>1</v>
      </c>
      <c r="X62">
        <v>1</v>
      </c>
      <c r="Y62" t="s">
        <v>2274</v>
      </c>
      <c r="Z62" t="s">
        <v>2274</v>
      </c>
      <c r="AA62" t="s">
        <v>2274</v>
      </c>
      <c r="AB62">
        <v>0.4</v>
      </c>
    </row>
    <row r="63" spans="1:28" x14ac:dyDescent="0.25">
      <c r="E63" t="s">
        <v>2199</v>
      </c>
      <c r="F63" t="s">
        <v>2211</v>
      </c>
      <c r="O63" t="s">
        <v>310</v>
      </c>
      <c r="P63">
        <v>0.45</v>
      </c>
      <c r="Q63">
        <v>0.48</v>
      </c>
      <c r="R63">
        <v>0.48</v>
      </c>
      <c r="S63">
        <v>0.66</v>
      </c>
      <c r="T63" s="61">
        <v>0.66</v>
      </c>
      <c r="U63" s="61">
        <v>0.6</v>
      </c>
      <c r="V63">
        <v>0.66</v>
      </c>
      <c r="W63">
        <v>0.8</v>
      </c>
      <c r="X63">
        <v>0.8</v>
      </c>
      <c r="Y63" t="s">
        <v>2274</v>
      </c>
      <c r="Z63" t="s">
        <v>2274</v>
      </c>
      <c r="AA63" t="s">
        <v>2274</v>
      </c>
      <c r="AB63">
        <v>0.3</v>
      </c>
    </row>
    <row r="64" spans="1:28" x14ac:dyDescent="0.25">
      <c r="E64" t="s">
        <v>2200</v>
      </c>
      <c r="F64" t="s">
        <v>2212</v>
      </c>
      <c r="J64" t="s">
        <v>2225</v>
      </c>
      <c r="K64" s="59">
        <v>44531</v>
      </c>
      <c r="O64" t="s">
        <v>2303</v>
      </c>
      <c r="P64">
        <v>0.91</v>
      </c>
      <c r="Q64">
        <v>0.9</v>
      </c>
      <c r="R64">
        <v>0.9</v>
      </c>
      <c r="S64">
        <v>1.19</v>
      </c>
      <c r="T64" s="61">
        <v>1.19</v>
      </c>
      <c r="U64" s="61">
        <v>1.4</v>
      </c>
      <c r="V64">
        <v>1.2</v>
      </c>
      <c r="W64">
        <v>1.4</v>
      </c>
      <c r="X64">
        <v>1.4</v>
      </c>
      <c r="Y64" t="s">
        <v>2274</v>
      </c>
      <c r="Z64" t="s">
        <v>2274</v>
      </c>
      <c r="AA64" t="s">
        <v>2274</v>
      </c>
      <c r="AB64">
        <v>0.5</v>
      </c>
    </row>
    <row r="65" spans="1:22" x14ac:dyDescent="0.25">
      <c r="A65" t="s">
        <v>983</v>
      </c>
      <c r="E65" t="s">
        <v>2201</v>
      </c>
      <c r="F65" t="s">
        <v>2213</v>
      </c>
      <c r="J65" t="s">
        <v>2226</v>
      </c>
      <c r="K65">
        <v>1</v>
      </c>
    </row>
    <row r="66" spans="1:22" x14ac:dyDescent="0.25">
      <c r="A66" t="s">
        <v>984</v>
      </c>
      <c r="E66" t="s">
        <v>2189</v>
      </c>
      <c r="F66" t="s">
        <v>2214</v>
      </c>
    </row>
    <row r="67" spans="1:22" x14ac:dyDescent="0.25">
      <c r="A67" t="s">
        <v>80</v>
      </c>
      <c r="E67" t="s">
        <v>2202</v>
      </c>
      <c r="F67" t="s">
        <v>2215</v>
      </c>
      <c r="O67" t="s">
        <v>295</v>
      </c>
      <c r="P67" t="s">
        <v>2469</v>
      </c>
      <c r="Q67" t="s">
        <v>2262</v>
      </c>
      <c r="R67" t="s">
        <v>2263</v>
      </c>
      <c r="S67" t="s">
        <v>2264</v>
      </c>
      <c r="T67" t="s">
        <v>2265</v>
      </c>
      <c r="U67" t="s">
        <v>2266</v>
      </c>
      <c r="V67" t="s">
        <v>2360</v>
      </c>
    </row>
    <row r="68" spans="1:22" x14ac:dyDescent="0.25">
      <c r="A68" t="s">
        <v>985</v>
      </c>
      <c r="E68" t="s">
        <v>2203</v>
      </c>
      <c r="F68" t="s">
        <v>2216</v>
      </c>
      <c r="O68" t="s">
        <v>296</v>
      </c>
      <c r="P68" s="61">
        <f>P32</f>
        <v>0.75</v>
      </c>
      <c r="Q68" s="61">
        <f>Q32</f>
        <v>0.71</v>
      </c>
      <c r="R68" s="61">
        <f>R32</f>
        <v>0.71</v>
      </c>
      <c r="S68" s="61">
        <f>S32</f>
        <v>0.8</v>
      </c>
      <c r="T68" s="61">
        <f t="shared" ref="T68:U68" si="0">T32</f>
        <v>0.8</v>
      </c>
      <c r="U68" s="61">
        <f t="shared" si="0"/>
        <v>0.9</v>
      </c>
      <c r="V68" s="61">
        <v>0.4</v>
      </c>
    </row>
    <row r="69" spans="1:22" x14ac:dyDescent="0.25">
      <c r="A69" t="s">
        <v>986</v>
      </c>
      <c r="O69" t="s">
        <v>297</v>
      </c>
      <c r="P69" s="593">
        <f>P59</f>
        <v>0.72</v>
      </c>
      <c r="Q69" s="593">
        <f>Q59</f>
        <v>0.81</v>
      </c>
      <c r="R69" s="593">
        <f>R59</f>
        <v>0.81</v>
      </c>
      <c r="S69" s="593">
        <f>S59</f>
        <v>0.87</v>
      </c>
      <c r="T69" s="593">
        <f t="shared" ref="T69:U69" si="1">T59</f>
        <v>0.87</v>
      </c>
      <c r="U69" s="593">
        <f t="shared" si="1"/>
        <v>1.2</v>
      </c>
      <c r="V69" s="61">
        <v>0.4</v>
      </c>
    </row>
    <row r="70" spans="1:22" x14ac:dyDescent="0.25">
      <c r="E70" t="s">
        <v>1319</v>
      </c>
      <c r="F70" t="s">
        <v>1320</v>
      </c>
      <c r="O70" t="s">
        <v>1274</v>
      </c>
      <c r="P70" s="61">
        <f>AVERAGE(P39,P41,P48,P50,P54,P60)</f>
        <v>0.67833333333333323</v>
      </c>
      <c r="Q70" s="61">
        <f>AVERAGE(Q39,Q41,Q48,Q50,Q54,Q60)</f>
        <v>0.87833333333333341</v>
      </c>
      <c r="R70" s="61">
        <f>AVERAGE(R39,R41,R48,R50,R54,R60)</f>
        <v>0.87833333333333341</v>
      </c>
      <c r="S70" s="61">
        <f>AVERAGE(S39,S41,S48,S50,S54,S60)</f>
        <v>0.97666666666666668</v>
      </c>
      <c r="T70" s="61">
        <f t="shared" ref="T70:U70" si="2">AVERAGE(T39,T41,T48,T50,T54,T60)</f>
        <v>0.97666666666666668</v>
      </c>
      <c r="U70" s="61">
        <f t="shared" si="2"/>
        <v>1.1833333333333333</v>
      </c>
      <c r="V70" s="61">
        <v>0.4</v>
      </c>
    </row>
    <row r="71" spans="1:22" x14ac:dyDescent="0.25">
      <c r="E71" t="s">
        <v>139</v>
      </c>
      <c r="F71" s="247" t="s">
        <v>1321</v>
      </c>
      <c r="O71" t="s">
        <v>298</v>
      </c>
      <c r="P71" s="61">
        <f>P57</f>
        <v>0.67</v>
      </c>
      <c r="Q71" s="61">
        <f>Q57</f>
        <v>0.94</v>
      </c>
      <c r="R71" s="61">
        <f>R57</f>
        <v>0.94</v>
      </c>
      <c r="S71" s="61">
        <f>S57</f>
        <v>1</v>
      </c>
      <c r="T71" s="61">
        <f t="shared" ref="T71:U71" si="3">T57</f>
        <v>1</v>
      </c>
      <c r="U71" s="61">
        <f t="shared" si="3"/>
        <v>1.3</v>
      </c>
      <c r="V71" s="61">
        <v>0.4</v>
      </c>
    </row>
    <row r="72" spans="1:22" x14ac:dyDescent="0.25">
      <c r="A72" t="s">
        <v>449</v>
      </c>
      <c r="E72" t="s">
        <v>143</v>
      </c>
      <c r="F72" t="s">
        <v>139</v>
      </c>
      <c r="O72" t="s">
        <v>299</v>
      </c>
      <c r="P72" s="61">
        <f>AVERAGE(P35,P36,P37)</f>
        <v>0.75666666666666671</v>
      </c>
      <c r="Q72" s="61">
        <f>AVERAGE(Q35,Q36,Q37)</f>
        <v>0.82333333333333325</v>
      </c>
      <c r="R72" s="61">
        <f>AVERAGE(R35,R36,R37)</f>
        <v>0.82333333333333325</v>
      </c>
      <c r="S72" s="61">
        <f>AVERAGE(S35,S36,S37)</f>
        <v>0.95333333333333348</v>
      </c>
      <c r="T72" s="61">
        <f t="shared" ref="T72:U72" si="4">AVERAGE(T35,T36,T37)</f>
        <v>0.95333333333333348</v>
      </c>
      <c r="U72" s="61">
        <f t="shared" si="4"/>
        <v>1.4333333333333336</v>
      </c>
      <c r="V72" s="61">
        <v>0.4</v>
      </c>
    </row>
    <row r="73" spans="1:22" x14ac:dyDescent="0.25">
      <c r="A73" t="s">
        <v>1007</v>
      </c>
      <c r="O73" t="s">
        <v>300</v>
      </c>
      <c r="P73" s="61">
        <f>AVERAGE(P32,P58,P62)</f>
        <v>0.69666666666666666</v>
      </c>
      <c r="Q73" s="61">
        <f>AVERAGE(Q32,Q58,Q62)</f>
        <v>0.79333333333333333</v>
      </c>
      <c r="R73" s="61">
        <f>AVERAGE(R32,R58,R62)</f>
        <v>0.79333333333333333</v>
      </c>
      <c r="S73" s="61">
        <f>AVERAGE(S32,S58,S62)</f>
        <v>0.91999999999999993</v>
      </c>
      <c r="T73" s="61">
        <f t="shared" ref="T73:U73" si="5">AVERAGE(T32,T58,T62)</f>
        <v>0.91999999999999993</v>
      </c>
      <c r="U73" s="61">
        <f t="shared" si="5"/>
        <v>1.0999999999999999</v>
      </c>
      <c r="V73" s="61">
        <v>0.4</v>
      </c>
    </row>
    <row r="74" spans="1:22" x14ac:dyDescent="0.25">
      <c r="A74" t="s">
        <v>1711</v>
      </c>
      <c r="E74" s="260"/>
      <c r="F74" s="260"/>
      <c r="O74" t="s">
        <v>301</v>
      </c>
      <c r="P74" s="61">
        <f>AVERAGE(P34,P40,P53,P55,P56,P61)</f>
        <v>0.67333333333333334</v>
      </c>
      <c r="Q74" s="61">
        <f>AVERAGE(Q34,Q40,Q53,Q55,Q56,Q61)</f>
        <v>0.7416666666666667</v>
      </c>
      <c r="R74" s="61">
        <f>AVERAGE(R34,R40,R53,R55,R56,R61)</f>
        <v>0.7416666666666667</v>
      </c>
      <c r="S74" s="61">
        <f>AVERAGE(S34,S40,S53,S55,S56,S61)</f>
        <v>0.85333333333333339</v>
      </c>
      <c r="T74" s="61">
        <f t="shared" ref="T74:U74" si="6">AVERAGE(T34,T40,T53,T55,T56,T61)</f>
        <v>0.85349999999999993</v>
      </c>
      <c r="U74" s="61">
        <f t="shared" si="6"/>
        <v>1.0333333333333332</v>
      </c>
      <c r="V74" s="61">
        <v>0.4</v>
      </c>
    </row>
    <row r="75" spans="1:22" x14ac:dyDescent="0.25">
      <c r="A75" t="s">
        <v>1132</v>
      </c>
      <c r="E75" t="s">
        <v>1367</v>
      </c>
      <c r="F75" t="s">
        <v>1366</v>
      </c>
      <c r="O75" t="s">
        <v>302</v>
      </c>
      <c r="P75" s="61">
        <f>P58</f>
        <v>0.84</v>
      </c>
      <c r="Q75" s="61">
        <f>Q58</f>
        <v>1.06</v>
      </c>
      <c r="R75" s="61">
        <f>R58</f>
        <v>1.06</v>
      </c>
      <c r="S75" s="61">
        <f>S58</f>
        <v>1.26</v>
      </c>
      <c r="T75" s="61">
        <f t="shared" ref="T75:U75" si="7">T58</f>
        <v>1.26</v>
      </c>
      <c r="U75" s="61">
        <f t="shared" si="7"/>
        <v>1.4</v>
      </c>
      <c r="V75" s="61">
        <v>0.4</v>
      </c>
    </row>
    <row r="76" spans="1:22" x14ac:dyDescent="0.25">
      <c r="A76" t="s">
        <v>1018</v>
      </c>
      <c r="E76">
        <v>2</v>
      </c>
      <c r="F76" t="s">
        <v>1323</v>
      </c>
      <c r="O76" t="s">
        <v>303</v>
      </c>
      <c r="P76" s="61">
        <f>AVERAGE(P43,P42)</f>
        <v>0.88500000000000001</v>
      </c>
      <c r="Q76" s="61">
        <f>AVERAGE(Q43,Q42)</f>
        <v>0.93500000000000005</v>
      </c>
      <c r="R76" s="61">
        <f>AVERAGE(R43,R42)</f>
        <v>0.93500000000000005</v>
      </c>
      <c r="S76" s="61">
        <f>AVERAGE(S43,S42)</f>
        <v>0.97500000000000009</v>
      </c>
      <c r="T76" s="61">
        <f t="shared" ref="T76:U76" si="8">AVERAGE(T43,T42)</f>
        <v>0.97500000000000009</v>
      </c>
      <c r="U76" s="61">
        <f t="shared" si="8"/>
        <v>1.1000000000000001</v>
      </c>
      <c r="V76" s="61">
        <v>0.4</v>
      </c>
    </row>
    <row r="77" spans="1:22" x14ac:dyDescent="0.25">
      <c r="A77" t="s">
        <v>1017</v>
      </c>
      <c r="E77">
        <v>3</v>
      </c>
      <c r="O77" t="s">
        <v>304</v>
      </c>
      <c r="P77" s="61">
        <f>AVERAGE(P64,P46)</f>
        <v>0.86499999999999999</v>
      </c>
      <c r="Q77" s="61">
        <f>AVERAGE(Q64,Q46)</f>
        <v>0.9</v>
      </c>
      <c r="R77" s="61">
        <f>AVERAGE(R64,R46)</f>
        <v>0.9</v>
      </c>
      <c r="S77" s="61">
        <f>AVERAGE(S64,S46)</f>
        <v>1.18</v>
      </c>
      <c r="T77" s="61">
        <f t="shared" ref="T77:U77" si="9">AVERAGE(T64,T46)</f>
        <v>1.18</v>
      </c>
      <c r="U77" s="61">
        <f t="shared" si="9"/>
        <v>1.35</v>
      </c>
      <c r="V77" s="61">
        <v>0.4</v>
      </c>
    </row>
    <row r="78" spans="1:22" x14ac:dyDescent="0.25">
      <c r="A78" t="s">
        <v>1022</v>
      </c>
      <c r="E78">
        <v>4</v>
      </c>
      <c r="O78" t="s">
        <v>305</v>
      </c>
      <c r="P78" s="61">
        <f>AVERAGE(P63,P46,P51,P45)</f>
        <v>0.68500000000000005</v>
      </c>
      <c r="Q78" s="61">
        <f>AVERAGE(Q63,Q46,Q51,Q45)</f>
        <v>0.73750000000000004</v>
      </c>
      <c r="R78" s="61">
        <f t="shared" ref="R78:U78" si="10">AVERAGE(R63,R46,R51,R45)</f>
        <v>0.73750000000000004</v>
      </c>
      <c r="S78" s="61">
        <f t="shared" si="10"/>
        <v>0.96</v>
      </c>
      <c r="T78" s="61">
        <f t="shared" si="10"/>
        <v>0.96</v>
      </c>
      <c r="U78" s="61">
        <f t="shared" si="10"/>
        <v>1.0249999999999999</v>
      </c>
      <c r="V78" s="61">
        <v>0.4</v>
      </c>
    </row>
    <row r="79" spans="1:22" x14ac:dyDescent="0.25">
      <c r="A79" t="s">
        <v>1194</v>
      </c>
      <c r="E79">
        <v>5</v>
      </c>
      <c r="O79" t="s">
        <v>306</v>
      </c>
      <c r="P79" s="61">
        <f>P44</f>
        <v>0.56000000000000005</v>
      </c>
      <c r="Q79" s="61">
        <f>Q44</f>
        <v>0.75</v>
      </c>
      <c r="R79" s="61">
        <f>R44</f>
        <v>0.75</v>
      </c>
      <c r="S79" s="61">
        <f>S44</f>
        <v>0.87</v>
      </c>
      <c r="T79" s="61">
        <f t="shared" ref="T79:U79" si="11">T44</f>
        <v>0.87</v>
      </c>
      <c r="U79" s="61">
        <f t="shared" si="11"/>
        <v>1</v>
      </c>
      <c r="V79" s="61">
        <v>0.4</v>
      </c>
    </row>
    <row r="80" spans="1:22" x14ac:dyDescent="0.25">
      <c r="A80" t="s">
        <v>1343</v>
      </c>
      <c r="E80">
        <v>6</v>
      </c>
      <c r="O80" t="s">
        <v>307</v>
      </c>
      <c r="P80" s="61">
        <f t="shared" ref="P80:S81" si="12">P51</f>
        <v>0.64</v>
      </c>
      <c r="Q80" s="61">
        <f t="shared" si="12"/>
        <v>0.79</v>
      </c>
      <c r="R80" s="61">
        <f t="shared" si="12"/>
        <v>0.79</v>
      </c>
      <c r="S80" s="61">
        <f t="shared" si="12"/>
        <v>0.82</v>
      </c>
      <c r="T80" s="61">
        <f t="shared" ref="T80:U80" si="13">T51</f>
        <v>0.82</v>
      </c>
      <c r="U80" s="61">
        <f t="shared" si="13"/>
        <v>0.9</v>
      </c>
      <c r="V80" s="61">
        <v>0.4</v>
      </c>
    </row>
    <row r="81" spans="1:22" x14ac:dyDescent="0.25">
      <c r="A81" t="s">
        <v>2123</v>
      </c>
      <c r="E81">
        <v>8</v>
      </c>
      <c r="O81" t="s">
        <v>308</v>
      </c>
      <c r="P81" s="61">
        <f t="shared" si="12"/>
        <v>0.18</v>
      </c>
      <c r="Q81" s="61">
        <f t="shared" si="12"/>
        <v>0.15</v>
      </c>
      <c r="R81" s="61">
        <f t="shared" si="12"/>
        <v>0.15</v>
      </c>
      <c r="S81" s="61">
        <f t="shared" si="12"/>
        <v>0.21</v>
      </c>
      <c r="T81" s="61">
        <f t="shared" ref="T81:U81" si="14">T52</f>
        <v>0.21</v>
      </c>
      <c r="U81" s="61">
        <f t="shared" si="14"/>
        <v>0.3</v>
      </c>
      <c r="V81" s="61">
        <v>0.1</v>
      </c>
    </row>
    <row r="82" spans="1:22" x14ac:dyDescent="0.25">
      <c r="A82" t="s">
        <v>2357</v>
      </c>
      <c r="O82" t="s">
        <v>309</v>
      </c>
      <c r="P82" s="61">
        <f>P58</f>
        <v>0.84</v>
      </c>
      <c r="Q82" s="61">
        <f>Q58</f>
        <v>1.06</v>
      </c>
      <c r="R82" s="61">
        <f>R58</f>
        <v>1.06</v>
      </c>
      <c r="S82" s="61">
        <f>S58</f>
        <v>1.26</v>
      </c>
      <c r="T82" s="61">
        <f t="shared" ref="T82:U82" si="15">T58</f>
        <v>1.26</v>
      </c>
      <c r="U82" s="61">
        <f t="shared" si="15"/>
        <v>1.4</v>
      </c>
      <c r="V82" s="61">
        <v>0.5</v>
      </c>
    </row>
    <row r="83" spans="1:22" x14ac:dyDescent="0.25">
      <c r="A83" t="s">
        <v>2358</v>
      </c>
      <c r="E83" t="s">
        <v>2162</v>
      </c>
      <c r="O83" t="s">
        <v>310</v>
      </c>
      <c r="P83" s="61">
        <f>P63</f>
        <v>0.45</v>
      </c>
      <c r="Q83" s="61">
        <f>Q63</f>
        <v>0.48</v>
      </c>
      <c r="R83" s="61">
        <f>R63</f>
        <v>0.48</v>
      </c>
      <c r="S83" s="61">
        <f>S63</f>
        <v>0.66</v>
      </c>
      <c r="T83" s="61">
        <f t="shared" ref="T83:U83" si="16">T63</f>
        <v>0.66</v>
      </c>
      <c r="U83" s="61">
        <f t="shared" si="16"/>
        <v>0.6</v>
      </c>
      <c r="V83" s="61">
        <v>0.3</v>
      </c>
    </row>
    <row r="84" spans="1:22" x14ac:dyDescent="0.25">
      <c r="E84" t="s">
        <v>2188</v>
      </c>
    </row>
    <row r="85" spans="1:22" x14ac:dyDescent="0.25">
      <c r="A85" t="s">
        <v>1279</v>
      </c>
      <c r="B85" t="s">
        <v>423</v>
      </c>
      <c r="C85" t="s">
        <v>217</v>
      </c>
      <c r="E85" t="s">
        <v>2163</v>
      </c>
    </row>
    <row r="86" spans="1:22" x14ac:dyDescent="0.25">
      <c r="A86" t="s">
        <v>2447</v>
      </c>
      <c r="C86" s="15"/>
      <c r="E86" t="s">
        <v>2164</v>
      </c>
    </row>
    <row r="87" spans="1:22" x14ac:dyDescent="0.25">
      <c r="A87" t="s">
        <v>2466</v>
      </c>
      <c r="C87" s="15"/>
      <c r="E87" t="s">
        <v>2165</v>
      </c>
    </row>
    <row r="88" spans="1:22" x14ac:dyDescent="0.25">
      <c r="A88" t="s">
        <v>2366</v>
      </c>
      <c r="C88" s="15"/>
      <c r="E88" t="s">
        <v>2166</v>
      </c>
    </row>
    <row r="89" spans="1:22" x14ac:dyDescent="0.25">
      <c r="A89" t="s">
        <v>1980</v>
      </c>
      <c r="C89" s="15"/>
      <c r="E89" t="s">
        <v>2167</v>
      </c>
    </row>
    <row r="90" spans="1:22" x14ac:dyDescent="0.25">
      <c r="A90" t="s">
        <v>1339</v>
      </c>
      <c r="C90" s="15"/>
      <c r="E90" t="s">
        <v>2168</v>
      </c>
    </row>
    <row r="91" spans="1:22" x14ac:dyDescent="0.25">
      <c r="A91" t="s">
        <v>2448</v>
      </c>
      <c r="B91" s="583"/>
      <c r="C91" s="15"/>
      <c r="E91" t="s">
        <v>2169</v>
      </c>
    </row>
    <row r="92" spans="1:22" x14ac:dyDescent="0.25">
      <c r="C92" s="15"/>
      <c r="E92" t="s">
        <v>2170</v>
      </c>
    </row>
    <row r="93" spans="1:22" x14ac:dyDescent="0.25">
      <c r="E93" t="s">
        <v>2171</v>
      </c>
    </row>
    <row r="94" spans="1:22" x14ac:dyDescent="0.25">
      <c r="A94" t="s">
        <v>1282</v>
      </c>
      <c r="E94" t="s">
        <v>2172</v>
      </c>
    </row>
    <row r="95" spans="1:22" x14ac:dyDescent="0.25">
      <c r="A95" t="s">
        <v>1283</v>
      </c>
      <c r="E95" t="s">
        <v>2173</v>
      </c>
    </row>
    <row r="96" spans="1:22" x14ac:dyDescent="0.25">
      <c r="A96" t="s">
        <v>1284</v>
      </c>
      <c r="E96" t="s">
        <v>2174</v>
      </c>
    </row>
    <row r="97" spans="1:5" x14ac:dyDescent="0.25">
      <c r="A97" t="s">
        <v>1285</v>
      </c>
      <c r="E97" t="s">
        <v>2459</v>
      </c>
    </row>
    <row r="98" spans="1:5" x14ac:dyDescent="0.25">
      <c r="A98" t="s">
        <v>2431</v>
      </c>
      <c r="E98" t="s">
        <v>147</v>
      </c>
    </row>
    <row r="99" spans="1:5" x14ac:dyDescent="0.25">
      <c r="A99" t="s">
        <v>2430</v>
      </c>
    </row>
    <row r="100" spans="1:5" x14ac:dyDescent="0.25">
      <c r="A100" t="s">
        <v>2432</v>
      </c>
    </row>
    <row r="101" spans="1:5" x14ac:dyDescent="0.25">
      <c r="A101" t="s">
        <v>2433</v>
      </c>
    </row>
    <row r="102" spans="1:5" x14ac:dyDescent="0.25">
      <c r="A102" t="s">
        <v>2434</v>
      </c>
    </row>
    <row r="103" spans="1:5" x14ac:dyDescent="0.25">
      <c r="A103" t="s">
        <v>2344</v>
      </c>
    </row>
    <row r="104" spans="1:5" x14ac:dyDescent="0.25">
      <c r="A104" t="s">
        <v>2389</v>
      </c>
    </row>
    <row r="105" spans="1:5" x14ac:dyDescent="0.25">
      <c r="A105" t="s">
        <v>2482</v>
      </c>
    </row>
    <row r="113" spans="1:1" x14ac:dyDescent="0.25">
      <c r="A113" t="s">
        <v>1299</v>
      </c>
    </row>
    <row r="114" spans="1:1" x14ac:dyDescent="0.25">
      <c r="A114" t="s">
        <v>560</v>
      </c>
    </row>
    <row r="115" spans="1:1" x14ac:dyDescent="0.25">
      <c r="A115" t="s">
        <v>1298</v>
      </c>
    </row>
    <row r="116" spans="1:1" x14ac:dyDescent="0.25">
      <c r="A116" t="s">
        <v>1304</v>
      </c>
    </row>
  </sheetData>
  <sheetProtection algorithmName="SHA-512" hashValue="h7rDgb5e2n2YehgpRxMEbBXDsIIvhuVZn0tB2/BOVqEn7mrlQqM36c/cMHQK9wEVmAtr7aVKrkiRc9ADiLPj+Q==" saltValue="zLwFoX6M6pPfEHyYtnDWgQ==" spinCount="100000" sheet="1" objects="1" scenarios="1"/>
  <pageMargins left="0.7" right="0.7" top="0.75" bottom="0.75" header="0.3" footer="0.3"/>
  <pageSetup orientation="portrait" r:id="rId1"/>
  <tableParts count="2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dimension ref="A1:FB593"/>
  <sheetViews>
    <sheetView zoomScale="85" zoomScaleNormal="85" workbookViewId="0">
      <pane ySplit="1" topLeftCell="A141" activePane="bottomLeft" state="frozen"/>
      <selection pane="bottomLeft" activeCell="H203" sqref="H202:H203"/>
    </sheetView>
  </sheetViews>
  <sheetFormatPr defaultColWidth="0" defaultRowHeight="15" zeroHeight="1" x14ac:dyDescent="0.25"/>
  <cols>
    <col min="1" max="1" width="9.140625" style="66" customWidth="1"/>
    <col min="2" max="2" width="11.140625" style="66" customWidth="1"/>
    <col min="3" max="3" width="13.7109375" style="66" customWidth="1"/>
    <col min="4" max="4" width="9.140625" customWidth="1"/>
    <col min="5" max="5" width="11.5703125" customWidth="1"/>
    <col min="6" max="6" width="7.5703125" style="151" customWidth="1"/>
    <col min="7" max="7" width="8.5703125" customWidth="1"/>
    <col min="8" max="8" width="13.5703125" style="61" customWidth="1"/>
    <col min="9" max="10" width="11.7109375" style="61" customWidth="1"/>
    <col min="11" max="11" width="8" customWidth="1"/>
    <col min="12" max="12" width="12.28515625" style="151" customWidth="1"/>
    <col min="13" max="13" width="10.28515625" style="151" customWidth="1"/>
    <col min="14" max="14" width="17.140625" style="189" customWidth="1"/>
    <col min="15" max="15" width="12" style="61" customWidth="1"/>
    <col min="16" max="16" width="11.5703125" style="151" customWidth="1"/>
    <col min="17" max="17" width="16.85546875" style="189" customWidth="1"/>
    <col min="18" max="18" width="11.85546875" customWidth="1"/>
    <col min="19" max="20" width="9.140625" style="156" customWidth="1"/>
    <col min="21" max="21" width="5.28515625" style="151" customWidth="1"/>
    <col min="22" max="22" width="15" style="58" customWidth="1"/>
    <col min="23" max="23" width="12.28515625" style="58" customWidth="1"/>
    <col min="24" max="25" width="15.7109375" customWidth="1"/>
    <col min="26" max="26" width="7.5703125" customWidth="1"/>
    <col min="27" max="27" width="17.5703125" customWidth="1"/>
    <col min="28" max="28" width="17.140625" customWidth="1"/>
    <col min="29" max="29" width="15" customWidth="1"/>
    <col min="30" max="30" width="14.5703125" customWidth="1"/>
    <col min="31" max="31" width="11.5703125" style="151" customWidth="1"/>
    <col min="32" max="32" width="9.42578125" style="151" customWidth="1"/>
    <col min="33" max="33" width="8.85546875" style="151" customWidth="1"/>
    <col min="34" max="35" width="9.140625" style="151" customWidth="1"/>
    <col min="36" max="36" width="9.28515625" style="61" customWidth="1"/>
    <col min="37" max="37" width="13.5703125" style="61" customWidth="1"/>
    <col min="38" max="38" width="10" style="61" customWidth="1"/>
    <col min="39" max="39" width="5.5703125" style="61" customWidth="1"/>
    <col min="40" max="40" width="8.42578125" style="61" customWidth="1"/>
    <col min="41" max="41" width="6.42578125" style="151" customWidth="1"/>
    <col min="42" max="42" width="11.140625" style="136" customWidth="1"/>
    <col min="43" max="44" width="9.140625" style="136" customWidth="1"/>
    <col min="45" max="45" width="9.140625" customWidth="1"/>
    <col min="46" max="46" width="10.7109375" customWidth="1"/>
    <col min="47" max="48" width="9.140625" customWidth="1"/>
    <col min="49" max="49" width="10.140625" customWidth="1"/>
    <col min="50" max="76" width="9.140625" customWidth="1"/>
    <col min="77" max="77" width="11.7109375" customWidth="1"/>
    <col min="78" max="158" width="9.140625" customWidth="1"/>
    <col min="159" max="16384" width="9.140625" hidden="1"/>
  </cols>
  <sheetData>
    <row r="1" spans="1:154" ht="24.75" customHeight="1" x14ac:dyDescent="0.25">
      <c r="A1" s="206" t="s">
        <v>497</v>
      </c>
      <c r="B1" s="206" t="s">
        <v>499</v>
      </c>
      <c r="C1" s="206" t="s">
        <v>498</v>
      </c>
      <c r="D1" s="16" t="s">
        <v>0</v>
      </c>
      <c r="E1" s="16" t="s">
        <v>998</v>
      </c>
      <c r="F1" s="150" t="s">
        <v>999</v>
      </c>
      <c r="G1" s="16" t="s">
        <v>89</v>
      </c>
      <c r="H1" s="153" t="s">
        <v>1000</v>
      </c>
      <c r="I1" s="153" t="s">
        <v>1001</v>
      </c>
      <c r="J1" s="153" t="s">
        <v>1002</v>
      </c>
      <c r="K1" s="16" t="s">
        <v>1003</v>
      </c>
      <c r="L1" s="150" t="s">
        <v>1004</v>
      </c>
      <c r="M1" s="150" t="s">
        <v>1024</v>
      </c>
      <c r="N1" s="131" t="s">
        <v>1025</v>
      </c>
      <c r="O1" s="153" t="s">
        <v>1026</v>
      </c>
      <c r="P1" s="150" t="s">
        <v>1027</v>
      </c>
      <c r="Q1" s="131" t="s">
        <v>1028</v>
      </c>
      <c r="R1" s="16" t="s">
        <v>1029</v>
      </c>
      <c r="S1" s="155" t="s">
        <v>1030</v>
      </c>
      <c r="T1" s="155" t="s">
        <v>1031</v>
      </c>
      <c r="U1" s="150" t="s">
        <v>510</v>
      </c>
      <c r="V1" s="132" t="s">
        <v>156</v>
      </c>
      <c r="W1" s="132" t="s">
        <v>158</v>
      </c>
      <c r="X1" s="16" t="s">
        <v>1035</v>
      </c>
      <c r="Y1" s="16" t="s">
        <v>1033</v>
      </c>
      <c r="Z1" s="16" t="s">
        <v>1818</v>
      </c>
      <c r="AA1" s="16" t="s">
        <v>1034</v>
      </c>
      <c r="AB1" s="16" t="s">
        <v>1037</v>
      </c>
      <c r="AC1" s="16" t="s">
        <v>1032</v>
      </c>
      <c r="AD1" s="16" t="s">
        <v>1036</v>
      </c>
      <c r="AE1" s="150" t="s">
        <v>1047</v>
      </c>
      <c r="AF1" s="150" t="s">
        <v>1038</v>
      </c>
      <c r="AG1" s="150" t="s">
        <v>1039</v>
      </c>
      <c r="AH1" s="150" t="s">
        <v>1042</v>
      </c>
      <c r="AI1" s="150" t="s">
        <v>1043</v>
      </c>
      <c r="AJ1" s="153" t="s">
        <v>1044</v>
      </c>
      <c r="AK1" s="153" t="s">
        <v>1045</v>
      </c>
      <c r="AL1" s="153" t="s">
        <v>1046</v>
      </c>
      <c r="AM1" s="153" t="s">
        <v>500</v>
      </c>
      <c r="AN1" s="153" t="s">
        <v>1040</v>
      </c>
      <c r="AO1" s="150" t="s">
        <v>1041</v>
      </c>
      <c r="AP1" s="150" t="s">
        <v>1821</v>
      </c>
      <c r="AQ1" s="150" t="s">
        <v>1819</v>
      </c>
      <c r="AR1" s="411" t="s">
        <v>1916</v>
      </c>
      <c r="AS1" s="16" t="s">
        <v>1185</v>
      </c>
      <c r="AT1" s="16" t="s">
        <v>1048</v>
      </c>
      <c r="AU1" s="16" t="s">
        <v>1049</v>
      </c>
      <c r="AV1" s="16" t="s">
        <v>1050</v>
      </c>
      <c r="AW1" s="133" t="s">
        <v>1051</v>
      </c>
      <c r="AX1" s="131" t="s">
        <v>502</v>
      </c>
      <c r="AY1" s="16" t="s">
        <v>503</v>
      </c>
      <c r="AZ1" s="16" t="s">
        <v>504</v>
      </c>
      <c r="BA1" s="16" t="s">
        <v>505</v>
      </c>
      <c r="BB1" s="16" t="s">
        <v>506</v>
      </c>
      <c r="BC1" s="131" t="s">
        <v>507</v>
      </c>
      <c r="BD1" s="16" t="s">
        <v>508</v>
      </c>
      <c r="BE1" s="16" t="s">
        <v>509</v>
      </c>
      <c r="BF1" s="16" t="s">
        <v>1052</v>
      </c>
      <c r="BG1" s="16" t="s">
        <v>1053</v>
      </c>
      <c r="BH1" s="16" t="s">
        <v>1173</v>
      </c>
      <c r="BI1" s="16" t="s">
        <v>1917</v>
      </c>
      <c r="BJ1" s="16" t="s">
        <v>1054</v>
      </c>
      <c r="BK1" s="16" t="s">
        <v>1055</v>
      </c>
      <c r="BL1" s="16" t="s">
        <v>1056</v>
      </c>
      <c r="BM1" s="16" t="s">
        <v>1057</v>
      </c>
      <c r="BN1" s="16" t="s">
        <v>1058</v>
      </c>
      <c r="BO1" s="16" t="s">
        <v>2176</v>
      </c>
      <c r="BP1" s="16" t="s">
        <v>2177</v>
      </c>
      <c r="BQ1" s="16"/>
      <c r="BR1" s="16" t="s">
        <v>1059</v>
      </c>
      <c r="BS1" s="16" t="s">
        <v>1060</v>
      </c>
      <c r="BT1" s="16" t="s">
        <v>1061</v>
      </c>
      <c r="BU1" s="16" t="s">
        <v>1062</v>
      </c>
      <c r="BV1" s="16" t="s">
        <v>1063</v>
      </c>
      <c r="BW1" s="16" t="s">
        <v>2222</v>
      </c>
      <c r="BX1" s="16"/>
      <c r="BY1" s="16" t="s">
        <v>1197</v>
      </c>
      <c r="BZ1" s="16" t="s">
        <v>1064</v>
      </c>
      <c r="CA1" s="16" t="s">
        <v>1065</v>
      </c>
      <c r="CB1" s="16" t="s">
        <v>1066</v>
      </c>
      <c r="CC1" s="16" t="s">
        <v>1067</v>
      </c>
      <c r="CD1" s="16" t="s">
        <v>485</v>
      </c>
      <c r="CE1" s="16" t="s">
        <v>1068</v>
      </c>
      <c r="CF1" s="16" t="s">
        <v>1069</v>
      </c>
      <c r="CG1" s="16" t="s">
        <v>1070</v>
      </c>
      <c r="CH1" s="16"/>
      <c r="CI1" s="16" t="s">
        <v>1135</v>
      </c>
      <c r="CJ1" s="16" t="s">
        <v>1136</v>
      </c>
      <c r="CK1" s="16"/>
      <c r="CL1" s="134"/>
      <c r="CM1" s="16" t="s">
        <v>422</v>
      </c>
      <c r="CN1" s="16" t="s">
        <v>501</v>
      </c>
      <c r="CO1" s="16" t="s">
        <v>520</v>
      </c>
      <c r="CP1" s="16" t="s">
        <v>521</v>
      </c>
      <c r="CQ1" s="16" t="s">
        <v>522</v>
      </c>
      <c r="CR1" s="16" t="s">
        <v>523</v>
      </c>
      <c r="CS1" s="16" t="s">
        <v>524</v>
      </c>
      <c r="CT1" s="16" t="s">
        <v>525</v>
      </c>
      <c r="CU1" s="16" t="s">
        <v>526</v>
      </c>
      <c r="CV1" s="16" t="s">
        <v>527</v>
      </c>
      <c r="CW1" s="16" t="s">
        <v>528</v>
      </c>
      <c r="CX1" s="16" t="s">
        <v>529</v>
      </c>
      <c r="CY1" s="16" t="s">
        <v>530</v>
      </c>
      <c r="CZ1" s="16" t="s">
        <v>531</v>
      </c>
      <c r="DA1" s="16" t="s">
        <v>532</v>
      </c>
      <c r="DB1" s="16" t="s">
        <v>533</v>
      </c>
      <c r="DC1" s="16" t="s">
        <v>534</v>
      </c>
      <c r="DD1" s="16" t="s">
        <v>535</v>
      </c>
      <c r="DE1" s="16" t="s">
        <v>536</v>
      </c>
      <c r="DF1" s="16" t="s">
        <v>537</v>
      </c>
      <c r="DG1" s="16" t="s">
        <v>538</v>
      </c>
      <c r="DH1" s="16" t="s">
        <v>539</v>
      </c>
      <c r="DI1" s="16" t="s">
        <v>540</v>
      </c>
      <c r="DJ1" s="16" t="s">
        <v>541</v>
      </c>
      <c r="DK1" s="16" t="s">
        <v>542</v>
      </c>
      <c r="DL1" s="16" t="s">
        <v>543</v>
      </c>
      <c r="DM1" s="16" t="s">
        <v>544</v>
      </c>
      <c r="DN1" s="16" t="s">
        <v>545</v>
      </c>
      <c r="DO1" s="16" t="s">
        <v>546</v>
      </c>
      <c r="DP1" s="16" t="s">
        <v>547</v>
      </c>
      <c r="DQ1" s="16" t="s">
        <v>548</v>
      </c>
      <c r="DR1" s="16" t="s">
        <v>549</v>
      </c>
      <c r="DS1" s="16" t="s">
        <v>2252</v>
      </c>
      <c r="DT1" s="16" t="s">
        <v>2252</v>
      </c>
      <c r="DV1" s="130"/>
      <c r="DW1" s="16" t="s">
        <v>2239</v>
      </c>
      <c r="DX1" s="16" t="s">
        <v>2240</v>
      </c>
      <c r="DY1" s="16" t="s">
        <v>2241</v>
      </c>
      <c r="DZ1" s="16" t="s">
        <v>2242</v>
      </c>
      <c r="EA1" s="16" t="s">
        <v>2243</v>
      </c>
      <c r="EC1" t="s">
        <v>1179</v>
      </c>
      <c r="ED1" t="s">
        <v>1182</v>
      </c>
      <c r="EE1" t="s">
        <v>1180</v>
      </c>
      <c r="EF1" t="s">
        <v>1181</v>
      </c>
      <c r="EG1" t="s">
        <v>1183</v>
      </c>
      <c r="EH1" t="s">
        <v>1184</v>
      </c>
      <c r="EI1" t="s">
        <v>1288</v>
      </c>
      <c r="EL1" t="s">
        <v>1289</v>
      </c>
      <c r="EM1" t="s">
        <v>1290</v>
      </c>
      <c r="EN1" t="s">
        <v>1291</v>
      </c>
      <c r="EO1" t="s">
        <v>1292</v>
      </c>
      <c r="EQ1" t="s">
        <v>1293</v>
      </c>
      <c r="ER1" t="s">
        <v>1294</v>
      </c>
      <c r="EU1" t="s">
        <v>1295</v>
      </c>
      <c r="EV1" t="s">
        <v>1296</v>
      </c>
      <c r="EX1" t="s">
        <v>1297</v>
      </c>
    </row>
    <row r="2" spans="1:154" x14ac:dyDescent="0.25">
      <c r="A2" s="66">
        <f>PROJID</f>
        <v>0</v>
      </c>
      <c r="AP2" s="151"/>
      <c r="AQ2" s="151"/>
      <c r="AR2" s="412"/>
      <c r="AS2" t="str">
        <f>IF(M05S07F02=0,"",M05S07F02)</f>
        <v/>
      </c>
      <c r="AT2" s="66">
        <f>PROJID</f>
        <v>0</v>
      </c>
      <c r="AU2">
        <f>M02S02F13</f>
        <v>0</v>
      </c>
      <c r="AV2" t="str">
        <f>VERSION</f>
        <v>Custom and Standard v8.1.0</v>
      </c>
      <c r="AW2" t="s">
        <v>217</v>
      </c>
      <c r="AX2" t="str">
        <f>M02S04F02</f>
        <v/>
      </c>
      <c r="AY2" t="str">
        <f>IF(M02S04F01="Site (Bill Credit)",CONCATENATE("Bill Credit ",M02S04F06.1),CONCATENATE(M02S04F03," ",M02S04F04))</f>
        <v xml:space="preserve"> </v>
      </c>
      <c r="AZ2" t="str">
        <f>M02S04F07</f>
        <v/>
      </c>
      <c r="BB2" t="str">
        <f>M02S04F08</f>
        <v/>
      </c>
      <c r="BC2" t="str">
        <f>M02S04F09</f>
        <v/>
      </c>
      <c r="BD2" t="str">
        <f>M02S04F10</f>
        <v/>
      </c>
      <c r="BE2" s="60">
        <f>M02S04F05</f>
        <v>0</v>
      </c>
      <c r="BF2" t="str">
        <f>IFERROR(INDEX(TAXENTITY[System Text],MATCH(M02S04F11,TAXENTITY[Tax Entity],0)),"")</f>
        <v/>
      </c>
      <c r="BG2" t="str">
        <f>CONCATENATE(M02S04F12,"-",M02S04F12.1)</f>
        <v>-</v>
      </c>
      <c r="BH2" t="str">
        <f>IFERROR(INDEX(PAYMENT[Payment Preference],MATCH(M02S04F01,PAYMENT[Payment to],0)),"")</f>
        <v/>
      </c>
      <c r="BI2" t="str">
        <f>IF(TEMPLATE!C197=TRUE, "Yes", IF(TEMPLATE!C198=TRUE,"No",""))</f>
        <v/>
      </c>
      <c r="BJ2">
        <f>M02S03F13</f>
        <v>0</v>
      </c>
      <c r="BK2" s="59" t="str">
        <f>IF(M02S03F16=0,"",M02S03F16)</f>
        <v/>
      </c>
      <c r="BL2" s="59" t="str">
        <f>IF(M02S03F17=0,"",M02S03F17)</f>
        <v/>
      </c>
      <c r="BM2" s="66">
        <f>M02S03F15</f>
        <v>0</v>
      </c>
      <c r="BN2">
        <f>M02S03F14</f>
        <v>0</v>
      </c>
      <c r="BO2">
        <f>IF(ISNUMBER(SEARCH("Participant",M02S01F04)),"Past Program Participant",M02S01F04)</f>
        <v>0</v>
      </c>
      <c r="BP2" t="str">
        <f>M02S01F05</f>
        <v/>
      </c>
      <c r="BR2">
        <f>M02S02F11.1</f>
        <v>0</v>
      </c>
      <c r="BS2" s="59" t="str">
        <f>IF(M02S02F11.4=0,"",M02S02F11.4)</f>
        <v/>
      </c>
      <c r="BT2" s="59" t="str">
        <f>IF(M02S02F11.5=0,"",M02S02F11.5)</f>
        <v/>
      </c>
      <c r="BU2" s="66">
        <f>M02S02F11.3</f>
        <v>0</v>
      </c>
      <c r="BV2">
        <f>M02S02F11.2</f>
        <v>0</v>
      </c>
      <c r="BW2">
        <f>CUSTSUBAPP</f>
        <v>0</v>
      </c>
      <c r="BX2" s="59"/>
      <c r="BY2" t="str">
        <f>M02S02F12</f>
        <v>Custom/Standard</v>
      </c>
      <c r="BZ2" s="151">
        <f>M02S02F30</f>
        <v>0</v>
      </c>
      <c r="CA2" s="151">
        <f>M02S02F28</f>
        <v>0</v>
      </c>
      <c r="CB2" s="151">
        <f>M02S02F29</f>
        <v>0</v>
      </c>
      <c r="CC2" s="151">
        <f>M02S02F31</f>
        <v>0</v>
      </c>
      <c r="CD2">
        <f>M02S02F27</f>
        <v>0</v>
      </c>
      <c r="CE2">
        <f>M02S02F26</f>
        <v>0</v>
      </c>
      <c r="CF2">
        <f>M02S02F33</f>
        <v>0</v>
      </c>
      <c r="CG2">
        <f>M02S02F32</f>
        <v>0</v>
      </c>
      <c r="CI2" s="59" t="str">
        <f>IF(M05S02F01=0,"",M05S02F01)</f>
        <v/>
      </c>
      <c r="CJ2" s="59" t="str">
        <f>IF(M05S02F02=0,"",M05S02F02)</f>
        <v/>
      </c>
      <c r="CL2" s="130"/>
      <c r="CM2">
        <f>M02S03F01</f>
        <v>0</v>
      </c>
      <c r="CN2" s="59"/>
      <c r="CO2">
        <f>M02S02F16</f>
        <v>0</v>
      </c>
      <c r="CP2">
        <f>M02S02F17</f>
        <v>0</v>
      </c>
      <c r="CQ2">
        <f>M02S02F18</f>
        <v>0</v>
      </c>
      <c r="CR2" t="str">
        <f>M02S02F01</f>
        <v/>
      </c>
      <c r="CS2">
        <f>M02S02F19</f>
        <v>0</v>
      </c>
      <c r="CT2">
        <f>M02S02F21</f>
        <v>0</v>
      </c>
      <c r="CU2" t="str">
        <f>M02S02F22</f>
        <v/>
      </c>
      <c r="CV2" t="str">
        <f>M02S02F23</f>
        <v/>
      </c>
      <c r="CW2" t="str">
        <f>M02S02F24</f>
        <v>MO</v>
      </c>
      <c r="CX2" t="str">
        <f>M02S02F25</f>
        <v/>
      </c>
      <c r="CY2" t="str">
        <f>M02S02F02</f>
        <v/>
      </c>
      <c r="CZ2" t="str">
        <f>M02S02F03</f>
        <v/>
      </c>
      <c r="DA2" t="str">
        <f>M02S02F04</f>
        <v/>
      </c>
      <c r="DB2" t="str">
        <f>M02S02F01</f>
        <v/>
      </c>
      <c r="DC2" t="str">
        <f>M02S02F05</f>
        <v/>
      </c>
      <c r="DD2" t="str">
        <f>M02S02F07</f>
        <v/>
      </c>
      <c r="DE2">
        <f>M02S02F08</f>
        <v>0</v>
      </c>
      <c r="DF2">
        <f>M02S02F09</f>
        <v>0</v>
      </c>
      <c r="DG2">
        <f>M02S02F10</f>
        <v>0</v>
      </c>
      <c r="DH2">
        <f>M02S02F11</f>
        <v>0</v>
      </c>
      <c r="DI2">
        <f>M02S03F03</f>
        <v>0</v>
      </c>
      <c r="DJ2">
        <f>M02S03F04</f>
        <v>0</v>
      </c>
      <c r="DK2">
        <f>M02S03F05</f>
        <v>0</v>
      </c>
      <c r="DL2">
        <f>M02S03F02</f>
        <v>0</v>
      </c>
      <c r="DM2">
        <f>M02S03F06</f>
        <v>0</v>
      </c>
      <c r="DN2">
        <f>M02S03F08</f>
        <v>0</v>
      </c>
      <c r="DO2">
        <f>M02S03F09</f>
        <v>0</v>
      </c>
      <c r="DP2">
        <f>M02S03F10</f>
        <v>0</v>
      </c>
      <c r="DQ2">
        <f>M02S03F11</f>
        <v>0</v>
      </c>
      <c r="DR2">
        <f>M02S03F12</f>
        <v>0</v>
      </c>
      <c r="DS2" s="288"/>
      <c r="DW2">
        <f>M02S04F13</f>
        <v>0</v>
      </c>
      <c r="DX2">
        <f>M02S04F14</f>
        <v>0</v>
      </c>
      <c r="DY2">
        <f>M02S04F15</f>
        <v>0</v>
      </c>
      <c r="DZ2">
        <f>M02S04F16</f>
        <v>0</v>
      </c>
      <c r="EA2">
        <f>M02S04F17</f>
        <v>0</v>
      </c>
      <c r="EI2" t="str">
        <f>IFERROR(IF(M02S02F42="", "",M02S02F42),"")</f>
        <v/>
      </c>
    </row>
    <row r="3" spans="1:154" x14ac:dyDescent="0.25">
      <c r="A3" s="207" t="str">
        <f>CONCATENATE(MAIN3," ",M3S1)</f>
        <v>LIGHTING MEASURES Interior Linear-LED or Redesign</v>
      </c>
      <c r="B3" s="208"/>
      <c r="C3" s="208"/>
      <c r="D3" s="164"/>
      <c r="E3" s="164"/>
      <c r="F3" s="165"/>
      <c r="G3" s="166"/>
      <c r="H3" s="167"/>
      <c r="I3" s="167"/>
      <c r="J3" s="167"/>
      <c r="K3" s="166"/>
      <c r="L3" s="165"/>
      <c r="M3" s="165"/>
      <c r="N3" s="190"/>
      <c r="O3" s="167"/>
      <c r="P3" s="165"/>
      <c r="Q3" s="190"/>
      <c r="R3" s="166"/>
      <c r="S3" s="168"/>
      <c r="T3" s="168"/>
      <c r="U3" s="165"/>
      <c r="V3" s="166"/>
      <c r="W3" s="169"/>
      <c r="X3" s="166"/>
      <c r="Y3" s="166"/>
      <c r="Z3" s="166"/>
      <c r="AA3" s="164"/>
      <c r="AB3" s="164"/>
      <c r="AC3" s="164"/>
      <c r="AD3" s="164"/>
      <c r="AE3" s="165"/>
      <c r="AF3" s="165"/>
      <c r="AG3" s="165"/>
      <c r="AH3" s="170"/>
      <c r="AI3" s="170"/>
      <c r="AJ3" s="167"/>
      <c r="AK3" s="171"/>
      <c r="AL3" s="171"/>
      <c r="AM3" s="167"/>
      <c r="AN3" s="171"/>
      <c r="AO3" s="165"/>
      <c r="AP3" s="165"/>
      <c r="AQ3" s="165"/>
      <c r="AR3" s="413"/>
    </row>
    <row r="4" spans="1:154" x14ac:dyDescent="0.25">
      <c r="A4" s="66">
        <f t="shared" ref="A4:A33" si="0">PROJID</f>
        <v>0</v>
      </c>
      <c r="B4" s="66" t="str">
        <f>IF(C4="","",CONCATENATE(ROW(),"-",C4))</f>
        <v/>
      </c>
      <c r="C4" s="66" t="str">
        <f>IFERROR(IF(J4&gt;0,INDEX('M03-S01'!$BB$22:$BB$198,2*(ROWS($C$4:C4)-1)+1),""),"")</f>
        <v/>
      </c>
      <c r="D4" t="s">
        <v>1096</v>
      </c>
      <c r="E4" t="str">
        <f>IFERROR(INDEX(PMELIGHTLIN[End Use Category],MATCH(INDEX('M03-S01'!$BA$22:$BA$198,2*(ROWS($E35:E$35)-1)+1),PMELIGHTLIN[Measure Validator],0)),"")</f>
        <v/>
      </c>
      <c r="F4" s="151" t="str">
        <f>INDEX('M03-S01'!$AD$22:$AD$198,2*(ROWS($F$4:F4)-1)+1)</f>
        <v/>
      </c>
      <c r="G4" t="str">
        <f>INDEX('M03-S01'!$AA$22:$AA$198,2*(ROWS($G$4:G4)-1)+1)</f>
        <v/>
      </c>
      <c r="H4" s="61">
        <f>IFERROR(ROUND(INDEX('M03-S01'!$U$22:$U$198,2*(ROWS($H$4:H4)-1)+1)*INDEX('M03-S01'!$AH$22:$AH$198,2*(ROWS($H$4:H4)-1)+1),2),0)</f>
        <v>0</v>
      </c>
      <c r="I4" s="61">
        <f>IFERROR(ROUND(INDEX('M03-S01'!$U$22:$U$198,2*(ROWS($I$4:I4)-1)+1)*INDEX('M03-S01'!$AJ$22:$AJ$198,2*(ROWS($I$4:I4)-1)+1),2),0)</f>
        <v>0</v>
      </c>
      <c r="J4" s="61" t="str">
        <f>INDEX('M03-S01'!$AU$22:$AU$198,2*(ROWS($J$4:J4)-1)+1)</f>
        <v/>
      </c>
      <c r="K4" t="s">
        <v>119</v>
      </c>
      <c r="L4" s="151">
        <f>IF(ISNUMBER(INDEX('M03-S01'!$AO$22:$AO$198,2*(ROWS($M$4:M4)-1)+1)),INDEX('M03-S01'!$U$22:$U$198,2*(ROWS($L$4:L4)-1)+1),0)</f>
        <v>0</v>
      </c>
      <c r="M4" s="151">
        <f>IF(ISNUMBER(INDEX('M03-S01'!$AO$22:$AO$198,2*(ROWS($M$4:M4)-1)+1)),INDEX('M03-S01'!$AL$22:$AL$198,2*(ROWS($M$4:M4)-1)+1),0)</f>
        <v>0</v>
      </c>
      <c r="N4" s="189">
        <f>IF(ISNUMBER(INDEX('M03-S01'!$AO$22:$AO$198,2*(ROWS($M$4:M4)-1)+1)),IFERROR(INDEX('M03-S01'!$AV$22:$AV$198,2*(ROWS($N$4:N4)-1)+1),0),0)</f>
        <v>0</v>
      </c>
      <c r="O4" s="61">
        <f>IF(ISNUMBER(INDEX('M03-S01'!$AO$22:$AO$198,2*(ROWS($M$4:M4)-1)+1)),IFERROR(INDEX('M03-S01'!$AO$22:$AO$198,2*(ROWS($O$4:O4)-1)+1)*INCENTCAPADJ,""),0)</f>
        <v>0</v>
      </c>
      <c r="P4" s="151" t="str">
        <f>IFERROR(IF(NOT(ISNUMBER(INDEX('M03-S01'!$AO$22:$AO$198,2*(ROWS($O$4:O4)-1)+1))),INDEX('M03-S01'!$AL$22:$AL$198,2*(ROWS($M$4:M4)-1)+1),0),0)</f>
        <v/>
      </c>
      <c r="Q4" s="189" t="str">
        <f>IFERROR(IF(NOT(ISNUMBER(INDEX('M03-S01'!$AO$22:$AO$198,2*(ROWS($O$4:O4)-1)+1))),INDEX('M03-S01'!$AV$22:$AV$198,2*(ROWS($N$4:N4)-1)+1),0),0)</f>
        <v/>
      </c>
      <c r="R4" t="str">
        <f>IFERROR(IF(NOT(ISNUMBER(INDEX('M03-S01'!$AO$22:$AO$198,2*(ROWS($O$4:O4)-1)+1))),"Not Eligible",""),"")</f>
        <v>Not Eligible</v>
      </c>
      <c r="S4" s="156" t="str">
        <f>INDEX('M03-S01'!$M$22:$M$198,2*(ROWS($S$4:S4)-1)+1)</f>
        <v/>
      </c>
      <c r="T4" s="156" t="str">
        <f>INDEX('M03-S01'!$Y$22:$Y$198,2*(ROWS($T$4:T4)-1)+1)</f>
        <v/>
      </c>
      <c r="U4" s="151">
        <f>INDEX('M03-S01'!$B$22:$B$198,2*(ROWS($U$4:U4)-1)+1)</f>
        <v>0</v>
      </c>
      <c r="V4" s="58" t="str">
        <f>INDEX('M03-S01'!$E$22:$E$198,2*(ROWS($V$4:V4)-1)+1)</f>
        <v>Space 1 Redesign</v>
      </c>
      <c r="W4" s="58" t="str">
        <f>IF(INDEX('M03-S01'!$O$22:$O$198,2*(ROWS($W$4:W4)-1)+1)="Fixture","LED Fixture",INDEX('M03-S01'!$O$22:$O$198,2*(ROWS($W$4:W4)-1)+1))</f>
        <v>Efficient Redesign</v>
      </c>
      <c r="X4" t="str">
        <f>INDEX('M03-S01'!$H$22:$H$198,2*(ROWS($X$4:X4)-1)+1)</f>
        <v>Complete Worksheet</v>
      </c>
      <c r="Y4" t="str">
        <f>INDEX('M03-S01'!$R$22:$R$198,2*(ROWS($Y$4:Y4)-1)+1)</f>
        <v>Complete Worksheet</v>
      </c>
      <c r="Z4" s="135"/>
      <c r="AA4" s="135" t="str">
        <f>IFERROR(INDEX(CMLIGHTBASE[Measure Subgroup 1],MATCH(INDEX('M03-S01'!$E$22:$E$198,2*(ROWS($V$4:V4)-1)+1),CMLIGHTBASE[Base Desc 1],0)),"")</f>
        <v/>
      </c>
      <c r="AB4" s="135" t="str">
        <f>IFERROR(INDEX(CMLIGHTBASE[Measure Subgroup 2],MATCH(INDEX('M03-S01'!$E$22:$E$198,2*(ROWS($V4:V$4)-1)+1),CMLIGHTBASE[Base Desc 1],0)),"")</f>
        <v/>
      </c>
      <c r="AC4" s="135"/>
      <c r="AD4" s="135" t="str">
        <f>IF(ISNUMBER(INDEX('M03-S01'!$E$22:$E$198,2*(ROWS($AD$4:AD4)-1)+1)),INDEX('M03-S01'!$E$22:$E$198,2*(ROWS($AD$4:AD4)-1)+1)&amp;" Lamp","")</f>
        <v/>
      </c>
      <c r="AE4" s="151" t="str">
        <f>IFERROR(IF(NOT(ISNUMBER(INDEX('M03-S01'!$AO$22:$AO$198,2*(ROWS($O$4:O4)-1)+1))),INDEX('M03-S01'!$U$22:$U$198,2*(ROWS($L$4:L4)-1)+1),0),0)</f>
        <v/>
      </c>
      <c r="AF4" s="151" t="str">
        <f>INDEX('M03-S01'!$AW$22:$AW$198,2*(ROWS($AF$4:AF4)-1)+1)</f>
        <v/>
      </c>
      <c r="AG4" s="151" t="str">
        <f>INDEX('M03-S01'!$AX$22:$AX$198,2*(ROWS($AG$4:AG4)-1)+1)</f>
        <v/>
      </c>
      <c r="AH4" s="151" t="str">
        <f>IFERROR(AF4/AO4,"")</f>
        <v/>
      </c>
      <c r="AI4" s="151" t="str">
        <f>IFERROR(AG4/L4,"")</f>
        <v/>
      </c>
      <c r="AJ4" s="61" t="str">
        <f>IFERROR(O4/M4,"")</f>
        <v/>
      </c>
      <c r="AK4" s="61" t="str">
        <f>IFERROR(O4/N4,"")</f>
        <v/>
      </c>
      <c r="AL4" s="61" t="str">
        <f>IFERROR(O4/L4,"")</f>
        <v/>
      </c>
      <c r="AM4" s="154"/>
      <c r="AN4" s="61" t="str">
        <f>IFERROR(J4/M4/M02S02F35,"")</f>
        <v/>
      </c>
      <c r="AO4" s="151" t="str">
        <f>INDEX('M03-S01'!$K$22:$K$198,2*(ROWS($AO$4:AO4)-1)+1)</f>
        <v/>
      </c>
      <c r="AP4" s="151"/>
      <c r="AQ4" s="61" t="str">
        <f>IF(INDEX('M03-S01'!$AL$22:$AL$198,2*(ROWS($AQ$4:AQ4)-1)+1)="","",IF(AND(INDEX('M03-S01'!$AL$22:$AL$198,2*(ROWS($AQ$4:AQ4)-1)+1)&lt;&gt;"",OR(ISNUMBER(SEARCH("AC With",M02S02F32)),M02S02F32="Heat Pump")),LIGHTHEATCOIN,1))</f>
        <v/>
      </c>
      <c r="AR4" s="414">
        <f>(IF(INDEX('M03-S01'!$AO$22:$AO$198,2*(ROWS($O$4:O4)-1)+1)=INDEX('M03-S01'!$BK$22:$BK$198,2*(ROWS($O$4:O4)-1)+1),0,(INDEX('M03-S01'!$BJ$22:$BJ$198,2*(ROWS($O$4:O4)-1)+1)-INDEX('M03-S01'!$BK$22:$BK$198,2*(ROWS($O$4:O4)-1)+1))))*INCENTCAPADJ</f>
        <v>0</v>
      </c>
    </row>
    <row r="5" spans="1:154" x14ac:dyDescent="0.25">
      <c r="A5" s="66">
        <f t="shared" si="0"/>
        <v>0</v>
      </c>
      <c r="B5" s="66" t="str">
        <f t="shared" ref="B5:B33" si="1">IF(C5="","",CONCATENATE(ROW(),"-",C5))</f>
        <v/>
      </c>
      <c r="C5" s="66" t="str">
        <f>IFERROR(IF(J5&gt;0,INDEX('M03-S01'!$BB$22:$BB$198,2*(ROWS($C$4:C5)-1)+1),""),"")</f>
        <v/>
      </c>
      <c r="D5" t="s">
        <v>1096</v>
      </c>
      <c r="E5" t="str">
        <f>IFERROR(INDEX(PMELIGHTLIN[End Use Category],MATCH(INDEX('M03-S01'!$BA$22:$BA$198,2*(ROWS($E$35:E36)-1)+1),PMELIGHTLIN[Measure Validator],0)),"")</f>
        <v/>
      </c>
      <c r="F5" s="151" t="str">
        <f>INDEX('M03-S01'!$AD$22:$AD$198,2*(ROWS($F$4:F5)-1)+1)</f>
        <v/>
      </c>
      <c r="G5" t="str">
        <f>INDEX('M03-S01'!$AA$22:$AA$198,2*(ROWS($G$4:G5)-1)+1)</f>
        <v/>
      </c>
      <c r="H5" s="61">
        <f>IFERROR(ROUND(INDEX('M03-S01'!$U$22:$U$198,2*(ROWS($H$4:H5)-1)+1)*INDEX('M03-S01'!$AH$22:$AH$198,2*(ROWS($H$4:H5)-1)+1),2),0)</f>
        <v>0</v>
      </c>
      <c r="I5" s="61">
        <f>IFERROR(ROUND(INDEX('M03-S01'!$U$22:$U$198,2*(ROWS($I$4:I5)-1)+1)*INDEX('M03-S01'!$AJ$22:$AJ$198,2*(ROWS($I$4:I5)-1)+1),2),0)</f>
        <v>0</v>
      </c>
      <c r="J5" s="61" t="str">
        <f>INDEX('M03-S01'!$AU$22:$AU$198,2*(ROWS($J$4:J5)-1)+1)</f>
        <v/>
      </c>
      <c r="K5" t="s">
        <v>119</v>
      </c>
      <c r="L5" s="151">
        <f>IF(ISNUMBER(INDEX('M03-S01'!$AO$22:$AO$198,2*(ROWS($M$4:M5)-1)+1)),INDEX('M03-S01'!$U$22:$U$198,2*(ROWS($L$4:L5)-1)+1),0)</f>
        <v>0</v>
      </c>
      <c r="M5" s="151">
        <f>IF(ISNUMBER(INDEX('M03-S01'!$AO$22:$AO$198,2*(ROWS($M$4:M5)-1)+1)),INDEX('M03-S01'!$AL$22:$AL$198,2*(ROWS($M$4:M5)-1)+1),0)</f>
        <v>0</v>
      </c>
      <c r="N5" s="189">
        <f>IF(ISNUMBER(INDEX('M03-S01'!$AO$22:$AO$198,2*(ROWS($M$4:M5)-1)+1)),IFERROR(INDEX('M03-S01'!$AV$22:$AV$198,2*(ROWS($N$4:N5)-1)+1),0),0)</f>
        <v>0</v>
      </c>
      <c r="O5" s="61">
        <f>IF(ISNUMBER(INDEX('M03-S01'!$AO$22:$AO$198,2*(ROWS($M$4:M5)-1)+1)),IFERROR(INDEX('M03-S01'!$AO$22:$AO$198,2*(ROWS($O$4:O5)-1)+1)*INCENTCAPADJ,""),0)</f>
        <v>0</v>
      </c>
      <c r="P5" s="151" t="str">
        <f>IFERROR(IF(NOT(ISNUMBER(INDEX('M03-S01'!$AO$22:$AO$198,2*(ROWS($O$4:O5)-1)+1))),INDEX('M03-S01'!$AL$22:$AL$198,2*(ROWS($M$4:M5)-1)+1),0),0)</f>
        <v/>
      </c>
      <c r="Q5" s="189" t="str">
        <f>IFERROR(IF(NOT(ISNUMBER(INDEX('M03-S01'!$AO$22:$AO$198,2*(ROWS($O$4:O5)-1)+1))),INDEX('M03-S01'!$AV$22:$AV$198,2*(ROWS($N$4:N5)-1)+1),0),0)</f>
        <v/>
      </c>
      <c r="R5" t="str">
        <f>IFERROR(IF(NOT(ISNUMBER(INDEX('M03-S01'!$AO$22:$AO$198,2*(ROWS($O$4:O5)-1)+1))),"Not Eligible",""),"")</f>
        <v>Not Eligible</v>
      </c>
      <c r="S5" s="156" t="str">
        <f>INDEX('M03-S01'!$M$22:$M$198,2*(ROWS($S$4:S5)-1)+1)</f>
        <v/>
      </c>
      <c r="T5" s="156" t="str">
        <f>INDEX('M03-S01'!$Y$22:$Y$198,2*(ROWS($T$4:T5)-1)+1)</f>
        <v/>
      </c>
      <c r="U5" s="151">
        <f>INDEX('M03-S01'!$B$22:$B$198,2*(ROWS($U$4:U5)-1)+1)</f>
        <v>0</v>
      </c>
      <c r="V5" s="58" t="str">
        <f>INDEX('M03-S01'!$E$22:$E$198,2*(ROWS($V$4:V5)-1)+1)</f>
        <v>Space 2 Redesign</v>
      </c>
      <c r="W5" s="58" t="str">
        <f>IF(INDEX('M03-S01'!$O$22:$O$198,2*(ROWS($W$4:W5)-1)+1)="Fixture","LED Fixture",INDEX('M03-S01'!$O$22:$O$198,2*(ROWS($W$4:W5)-1)+1))</f>
        <v>Efficient Redesign</v>
      </c>
      <c r="X5" t="str">
        <f>INDEX('M03-S01'!$H$22:$H$198,2*(ROWS($X$4:X5)-1)+1)</f>
        <v>Complete Worksheet</v>
      </c>
      <c r="Y5" t="str">
        <f>INDEX('M03-S01'!$R$22:$R$198,2*(ROWS($Y$4:Y5)-1)+1)</f>
        <v>Complete Worksheet</v>
      </c>
      <c r="Z5" s="135"/>
      <c r="AA5" s="135" t="str">
        <f>IFERROR(INDEX(CMLIGHTBASE[Measure Subgroup 1],MATCH(INDEX('M03-S01'!$E$22:$E$198,2*(ROWS($V$4:V5)-1)+1),CMLIGHTBASE[Base Desc 1],0)),"")</f>
        <v/>
      </c>
      <c r="AB5" s="135" t="str">
        <f>IFERROR(INDEX(CMLIGHTBASE[Measure Subgroup 2],MATCH(INDEX('M03-S01'!$E$22:$E$198,2*(ROWS($V$4:V5)-1)+1),CMLIGHTBASE[Base Desc 1],0)),"")</f>
        <v/>
      </c>
      <c r="AC5" s="135"/>
      <c r="AD5" s="135" t="str">
        <f>IF(ISNUMBER(INDEX('M03-S01'!$E$22:$E$198,2*(ROWS($AD$4:AD5)-1)+1)),INDEX('M03-S01'!$E$22:$E$198,2*(ROWS($AD$4:AD5)-1)+1)&amp;" Lamp","")</f>
        <v/>
      </c>
      <c r="AE5" s="151" t="str">
        <f>IFERROR(IF(NOT(ISNUMBER(INDEX('M03-S01'!$AO$22:$AO$198,2*(ROWS($O$4:O5)-1)+1))),INDEX('M03-S01'!$U$22:$U$198,2*(ROWS($L$4:L5)-1)+1),0),0)</f>
        <v/>
      </c>
      <c r="AF5" s="151" t="str">
        <f>INDEX('M03-S01'!$AW$22:$AW$198,2*(ROWS($AF$4:AF5)-1)+1)</f>
        <v/>
      </c>
      <c r="AG5" s="151" t="str">
        <f>INDEX('M03-S01'!$AX$22:$AX$198,2*(ROWS($AG$4:AG5)-1)+1)</f>
        <v/>
      </c>
      <c r="AH5" s="151" t="str">
        <f>IFERROR(AF5/AO5,"")</f>
        <v/>
      </c>
      <c r="AI5" s="151" t="str">
        <f>IFERROR(AG5/L5,"")</f>
        <v/>
      </c>
      <c r="AJ5" s="61" t="str">
        <f>IFERROR(O5/M5,"")</f>
        <v/>
      </c>
      <c r="AK5" s="61" t="str">
        <f>IFERROR(O5/N5,"")</f>
        <v/>
      </c>
      <c r="AL5" s="61" t="str">
        <f>IFERROR(O5/L5,"")</f>
        <v/>
      </c>
      <c r="AM5" s="154"/>
      <c r="AN5" s="61" t="str">
        <f>IFERROR(J5/M5/M02S02F35,"")</f>
        <v/>
      </c>
      <c r="AO5" s="151" t="str">
        <f>INDEX('M03-S01'!$K$22:$K$198,2*(ROWS($AO$4:AO5)-1)+1)</f>
        <v/>
      </c>
      <c r="AP5" s="151"/>
      <c r="AQ5" s="61" t="str">
        <f>IF(INDEX('M03-S01'!$AL$22:$AL$198,2*(ROWS($AQ$4:AQ5)-1)+1)="","",IF(AND(INDEX('M03-S01'!$AL$22:$AL$198,2*(ROWS($AQ$4:AQ5)-1)+1)&lt;&gt;"",OR(ISNUMBER(SEARCH("AC With",M02S02F32)),M02S02F32="Heat Pump")),LIGHTHEATCOIN,1))</f>
        <v/>
      </c>
      <c r="AR5" s="414">
        <f>(IF(INDEX('M03-S01'!$AO$22:$AO$198,2*(ROWS($O$4:O5)-1)+1)=INDEX('M03-S01'!$BK$22:$BK$198,2*(ROWS($O$4:O5)-1)+1),0,(INDEX('M03-S01'!$BJ$22:$BJ$198,2*(ROWS($O$4:O5)-1)+1)-INDEX('M03-S01'!$BK$22:$BK$198,2*(ROWS($O$4:O5)-1)+1))))*INCENTCAPADJ</f>
        <v>0</v>
      </c>
    </row>
    <row r="6" spans="1:154" x14ac:dyDescent="0.25">
      <c r="A6" s="66">
        <f t="shared" si="0"/>
        <v>0</v>
      </c>
      <c r="B6" s="66" t="str">
        <f t="shared" si="1"/>
        <v/>
      </c>
      <c r="C6" s="66" t="str">
        <f>IFERROR(IF(J6&gt;0,INDEX('M03-S01'!$BB$22:$BB$198,2*(ROWS($C$4:C6)-1)+1),""),"")</f>
        <v/>
      </c>
      <c r="D6" t="s">
        <v>1096</v>
      </c>
      <c r="E6" t="str">
        <f>IFERROR(INDEX(PMELIGHTLIN[End Use Category],MATCH(INDEX('M03-S01'!$BA$22:$BA$198,2*(ROWS($E$35:E37)-1)+1),PMELIGHTLIN[Measure Validator],0)),"")</f>
        <v/>
      </c>
      <c r="F6" s="151">
        <f>INDEX('M03-S01'!$AD$22:$AD$198,2*(ROWS($F$4:F6)-1)+1)</f>
        <v>0</v>
      </c>
      <c r="G6">
        <f>INDEX('M03-S01'!$AA$22:$AA$198,2*(ROWS($G$4:G6)-1)+1)</f>
        <v>0</v>
      </c>
      <c r="H6" s="61">
        <f>IFERROR(ROUND(INDEX('M03-S01'!$U$22:$U$198,2*(ROWS($H$4:H6)-1)+1)*INDEX('M03-S01'!$AH$22:$AH$198,2*(ROWS($H$4:H6)-1)+1),2),0)</f>
        <v>0</v>
      </c>
      <c r="I6" s="61">
        <f>IFERROR(ROUND(INDEX('M03-S01'!$U$22:$U$198,2*(ROWS($I$4:I6)-1)+1)*INDEX('M03-S01'!$AJ$22:$AJ$198,2*(ROWS($I$4:I6)-1)+1),2),0)</f>
        <v>0</v>
      </c>
      <c r="J6" s="61" t="str">
        <f>INDEX('M03-S01'!$AU$22:$AU$198,2*(ROWS($J$4:J6)-1)+1)</f>
        <v/>
      </c>
      <c r="K6" t="s">
        <v>119</v>
      </c>
      <c r="L6" s="151">
        <f>IF(ISNUMBER(INDEX('M03-S01'!$AO$22:$AO$198,2*(ROWS($M$4:M6)-1)+1)),INDEX('M03-S01'!$U$22:$U$198,2*(ROWS($L$4:L6)-1)+1),0)</f>
        <v>0</v>
      </c>
      <c r="M6" s="151">
        <f>IF(ISNUMBER(INDEX('M03-S01'!$AO$22:$AO$198,2*(ROWS($M$4:M6)-1)+1)),INDEX('M03-S01'!$AL$22:$AL$198,2*(ROWS($M$4:M6)-1)+1),0)</f>
        <v>0</v>
      </c>
      <c r="N6" s="189">
        <f>IF(ISNUMBER(INDEX('M03-S01'!$AO$22:$AO$198,2*(ROWS($M$4:M6)-1)+1)),IFERROR(INDEX('M03-S01'!$AV$22:$AV$198,2*(ROWS($N$4:N6)-1)+1),0),0)</f>
        <v>0</v>
      </c>
      <c r="O6" s="61">
        <f>IF(ISNUMBER(INDEX('M03-S01'!$AO$22:$AO$198,2*(ROWS($M$4:M6)-1)+1)),IFERROR(INDEX('M03-S01'!$AO$22:$AO$198,2*(ROWS($O$4:O6)-1)+1)*INCENTCAPADJ,""),0)</f>
        <v>0</v>
      </c>
      <c r="P6" s="151" t="str">
        <f>IFERROR(IF(NOT(ISNUMBER(INDEX('M03-S01'!$AO$22:$AO$198,2*(ROWS($O$4:O6)-1)+1))),INDEX('M03-S01'!$AL$22:$AL$198,2*(ROWS($M$4:M6)-1)+1),0),0)</f>
        <v/>
      </c>
      <c r="Q6" s="189" t="str">
        <f>IFERROR(IF(NOT(ISNUMBER(INDEX('M03-S01'!$AO$22:$AO$198,2*(ROWS($O$4:O6)-1)+1))),INDEX('M03-S01'!$AV$22:$AV$198,2*(ROWS($N$4:N6)-1)+1),0),0)</f>
        <v/>
      </c>
      <c r="R6" t="str">
        <f>IFERROR(IF(NOT(ISNUMBER(INDEX('M03-S01'!$AO$22:$AO$198,2*(ROWS($O$4:O6)-1)+1))),"Not Eligible",""),"")</f>
        <v>Not Eligible</v>
      </c>
      <c r="S6" s="156" t="str">
        <f>INDEX('M03-S01'!$M$22:$M$198,2*(ROWS($S$4:S6)-1)+1)</f>
        <v/>
      </c>
      <c r="T6" s="156">
        <f>INDEX('M03-S01'!$Y$22:$Y$198,2*(ROWS($T$4:T6)-1)+1)</f>
        <v>0</v>
      </c>
      <c r="U6" s="151">
        <f>INDEX('M03-S01'!$B$22:$B$198,2*(ROWS($U$4:U6)-1)+1)</f>
        <v>1</v>
      </c>
      <c r="V6" s="58">
        <f>INDEX('M03-S01'!$E$22:$E$198,2*(ROWS($V$4:V6)-1)+1)</f>
        <v>0</v>
      </c>
      <c r="W6" s="58">
        <f>IF(INDEX('M03-S01'!$O$22:$O$198,2*(ROWS($W$4:W6)-1)+1)="Fixture","LED Fixture",INDEX('M03-S01'!$O$22:$O$198,2*(ROWS($W$4:W6)-1)+1))</f>
        <v>0</v>
      </c>
      <c r="X6">
        <f>INDEX('M03-S01'!$H$22:$H$198,2*(ROWS($X$4:X6)-1)+1)</f>
        <v>0</v>
      </c>
      <c r="Y6">
        <f>INDEX('M03-S01'!$R$22:$R$198,2*(ROWS($Y$4:Y6)-1)+1)</f>
        <v>0</v>
      </c>
      <c r="Z6">
        <f>IFERROR(INDEX('M03-S01'!$AF$22:$AF$198,2*(ROWS(Z$4:$Z6)-1)+1)/INDEX('M03-S01'!$AD$22:$AD$198,2*(ROWS(Z$4:$Z6)-1)+1),0)</f>
        <v>0</v>
      </c>
      <c r="AA6" t="str">
        <f>IFERROR(INDEX(CMLIGHTBASE[Measure Subgroup 1],MATCH(INDEX('M03-S01'!$E$22:$E$198,2*(ROWS($V$4:V6)-1)+1),CMLIGHTBASE[Base Desc 1],0)),"")</f>
        <v/>
      </c>
      <c r="AB6" t="str">
        <f>IFERROR(INDEX(CMLIGHTBASE[Measure Subgroup 2],MATCH(INDEX('M03-S01'!$E$22:$E$198,2*(ROWS($V$4:V6)-1)+1),CMLIGHTBASE[Base Desc 1],0)),"")</f>
        <v/>
      </c>
      <c r="AC6" s="135"/>
      <c r="AD6" t="str">
        <f>IF(ISNUMBER(INDEX('M03-S01'!$W$22:$W$198,2*(ROWS($AD$4:AD6)-1)+1)),INDEX('M03-S01'!$W$22:$W$198,2*(ROWS($AD$4:AD6)-1)+1)&amp;" Lamp","")</f>
        <v/>
      </c>
      <c r="AE6" s="151">
        <f>IFERROR(IF(NOT(ISNUMBER(INDEX('M03-S01'!$AO$22:$AO$198,2*(ROWS($O$4:O6)-1)+1))),INDEX('M03-S01'!$U$22:$U$198,2*(ROWS($L$4:L6)-1)+1),0),0)</f>
        <v>0</v>
      </c>
      <c r="AF6" s="151" t="str">
        <f>INDEX('M03-S01'!$AW$22:$AW$198,2*(ROWS($AF$4:AF6)-1)+1)</f>
        <v/>
      </c>
      <c r="AG6" s="151" t="str">
        <f>INDEX('M03-S01'!$AX$22:$AX$198,2*(ROWS($AG$4:AG6)-1)+1)</f>
        <v/>
      </c>
      <c r="AH6" s="151" t="str">
        <f t="shared" ref="AH6:AH33" si="2">IFERROR(AF6/AO6,"")</f>
        <v/>
      </c>
      <c r="AI6" s="151" t="str">
        <f t="shared" ref="AI6:AI33" si="3">IFERROR(AG6/L6,"")</f>
        <v/>
      </c>
      <c r="AJ6" s="61" t="str">
        <f t="shared" ref="AJ6:AJ33" si="4">IFERROR(O6/M6,"")</f>
        <v/>
      </c>
      <c r="AK6" s="61" t="str">
        <f t="shared" ref="AK6:AK33" si="5">IFERROR(O6/N6,"")</f>
        <v/>
      </c>
      <c r="AL6" s="61" t="str">
        <f t="shared" ref="AL6:AL33" si="6">IFERROR(O6/L6,"")</f>
        <v/>
      </c>
      <c r="AM6" s="154"/>
      <c r="AN6" s="61" t="str">
        <f t="shared" ref="AN6:AN33" si="7">IFERROR(J6/M6/M02S02F35,"")</f>
        <v/>
      </c>
      <c r="AO6" s="151">
        <f>INDEX('M03-S01'!$K$22:$K$198,2*(ROWS($AO$4:AO6)-1)+1)</f>
        <v>0</v>
      </c>
      <c r="AP6" s="151">
        <f>INDEX('M03-S01'!$AF$22:$AF$198,2*(ROWS($AP$4:AP6)-1)+1)</f>
        <v>0</v>
      </c>
      <c r="AQ6" s="61" t="str">
        <f>IF(INDEX('M03-S01'!$AL$22:$AL$198,2*(ROWS($AQ$4:AQ6)-1)+1)="","",IF(AND(INDEX('M03-S01'!$AL$22:$AL$198,2*(ROWS($AQ$4:AQ6)-1)+1)&lt;&gt;"",OR(ISNUMBER(SEARCH("AC With",M02S02F32)),M02S02F32="Heat Pump")),LIGHTHEATCOIN,1))</f>
        <v/>
      </c>
      <c r="AR6" s="414">
        <f>(IF(INDEX('M03-S01'!$AO$22:$AO$198,2*(ROWS($O$4:O6)-1)+1)=INDEX('M03-S01'!$BK$22:$BK$198,2*(ROWS($O$4:O6)-1)+1),0,(INDEX('M03-S01'!$BJ$22:$BJ$198,2*(ROWS($O$4:O6)-1)+1)-INDEX('M03-S01'!$BK$22:$BK$198,2*(ROWS($O$4:O6)-1)+1))))*INCENTCAPADJ</f>
        <v>0</v>
      </c>
    </row>
    <row r="7" spans="1:154" x14ac:dyDescent="0.25">
      <c r="A7" s="66">
        <f t="shared" si="0"/>
        <v>0</v>
      </c>
      <c r="B7" s="66" t="str">
        <f t="shared" si="1"/>
        <v/>
      </c>
      <c r="C7" s="66" t="str">
        <f>IFERROR(IF(J7&gt;0,INDEX('M03-S01'!$BB$22:$BB$198,2*(ROWS($C$4:C7)-1)+1),""),"")</f>
        <v/>
      </c>
      <c r="D7" t="s">
        <v>1096</v>
      </c>
      <c r="E7" t="str">
        <f>IFERROR(INDEX(PMELIGHTLIN[End Use Category],MATCH(INDEX('M03-S01'!$BA$22:$BA$198,2*(ROWS($E$35:E38)-1)+1),PMELIGHTLIN[Measure Validator],0)),"")</f>
        <v/>
      </c>
      <c r="F7" s="151">
        <f>INDEX('M03-S01'!$AD$22:$AD$198,2*(ROWS($F$4:F7)-1)+1)</f>
        <v>0</v>
      </c>
      <c r="G7">
        <f>INDEX('M03-S01'!$AA$22:$AA$198,2*(ROWS($G$4:G7)-1)+1)</f>
        <v>0</v>
      </c>
      <c r="H7" s="61">
        <f>IFERROR(ROUND(INDEX('M03-S01'!$U$22:$U$198,2*(ROWS($H$4:H7)-1)+1)*INDEX('M03-S01'!$AH$22:$AH$198,2*(ROWS($H$4:H7)-1)+1),2),0)</f>
        <v>0</v>
      </c>
      <c r="I7" s="61">
        <f>IFERROR(ROUND(INDEX('M03-S01'!$U$22:$U$198,2*(ROWS($I$4:I7)-1)+1)*INDEX('M03-S01'!$AJ$22:$AJ$198,2*(ROWS($I$4:I7)-1)+1),2),0)</f>
        <v>0</v>
      </c>
      <c r="J7" s="61" t="str">
        <f>INDEX('M03-S01'!$AU$22:$AU$198,2*(ROWS($J$4:J7)-1)+1)</f>
        <v/>
      </c>
      <c r="K7" t="s">
        <v>119</v>
      </c>
      <c r="L7" s="151">
        <f>IF(ISNUMBER(INDEX('M03-S01'!$AO$22:$AO$198,2*(ROWS($M$4:M7)-1)+1)),INDEX('M03-S01'!$U$22:$U$198,2*(ROWS($L$4:L7)-1)+1),0)</f>
        <v>0</v>
      </c>
      <c r="M7" s="151">
        <f>IF(ISNUMBER(INDEX('M03-S01'!$AO$22:$AO$198,2*(ROWS($M$4:M7)-1)+1)),INDEX('M03-S01'!$AL$22:$AL$198,2*(ROWS($M$4:M7)-1)+1),0)</f>
        <v>0</v>
      </c>
      <c r="N7" s="189">
        <f>IF(ISNUMBER(INDEX('M03-S01'!$AO$22:$AO$198,2*(ROWS($M$4:M7)-1)+1)),IFERROR(INDEX('M03-S01'!$AV$22:$AV$198,2*(ROWS($N$4:N7)-1)+1),0),0)</f>
        <v>0</v>
      </c>
      <c r="O7" s="61">
        <f>IF(ISNUMBER(INDEX('M03-S01'!$AO$22:$AO$198,2*(ROWS($M$4:M7)-1)+1)),IFERROR(INDEX('M03-S01'!$AO$22:$AO$198,2*(ROWS($O$4:O7)-1)+1)*INCENTCAPADJ,""),0)</f>
        <v>0</v>
      </c>
      <c r="P7" s="151" t="str">
        <f>IFERROR(IF(NOT(ISNUMBER(INDEX('M03-S01'!$AO$22:$AO$198,2*(ROWS($O$4:O7)-1)+1))),INDEX('M03-S01'!$AL$22:$AL$198,2*(ROWS($M$4:M7)-1)+1),0),0)</f>
        <v/>
      </c>
      <c r="Q7" s="189" t="str">
        <f>IFERROR(IF(NOT(ISNUMBER(INDEX('M03-S01'!$AO$22:$AO$198,2*(ROWS($O$4:O7)-1)+1))),INDEX('M03-S01'!$AV$22:$AV$198,2*(ROWS($N$4:N7)-1)+1),0),0)</f>
        <v/>
      </c>
      <c r="R7" t="str">
        <f>IFERROR(IF(NOT(ISNUMBER(INDEX('M03-S01'!$AO$22:$AO$198,2*(ROWS($O$4:O7)-1)+1))),"Not Eligible",""),"")</f>
        <v>Not Eligible</v>
      </c>
      <c r="S7" s="156" t="str">
        <f>INDEX('M03-S01'!$M$22:$M$198,2*(ROWS($S$4:S7)-1)+1)</f>
        <v/>
      </c>
      <c r="T7" s="156">
        <f>INDEX('M03-S01'!$Y$22:$Y$198,2*(ROWS($T$4:T7)-1)+1)</f>
        <v>0</v>
      </c>
      <c r="U7" s="151">
        <f>INDEX('M03-S01'!$B$22:$B$198,2*(ROWS($U$4:U7)-1)+1)</f>
        <v>2</v>
      </c>
      <c r="V7" s="58">
        <f>INDEX('M03-S01'!$E$22:$E$198,2*(ROWS($V$4:V7)-1)+1)</f>
        <v>0</v>
      </c>
      <c r="W7" s="58">
        <f>IF(INDEX('M03-S01'!$O$22:$O$198,2*(ROWS($W$4:W7)-1)+1)="Fixture","LED Fixture",INDEX('M03-S01'!$O$22:$O$198,2*(ROWS($W$4:W7)-1)+1))</f>
        <v>0</v>
      </c>
      <c r="X7">
        <f>INDEX('M03-S01'!$H$22:$H$198,2*(ROWS($X$4:X7)-1)+1)</f>
        <v>0</v>
      </c>
      <c r="Y7">
        <f>INDEX('M03-S01'!$R$22:$R$198,2*(ROWS($Y$4:Y7)-1)+1)</f>
        <v>0</v>
      </c>
      <c r="Z7">
        <f>IFERROR(INDEX('M03-S01'!$AF$22:$AF$198,2*(ROWS(Z$4:$Z7)-1)+1)/INDEX('M03-S01'!$AD$22:$AD$198,2*(ROWS(Z$4:$Z7)-1)+1),0)</f>
        <v>0</v>
      </c>
      <c r="AA7" t="str">
        <f>IFERROR(INDEX(CMLIGHTBASE[Measure Subgroup 1],MATCH(INDEX('M03-S01'!$E$22:$E$198,2*(ROWS($V$4:V7)-1)+1),CMLIGHTBASE[Base Desc 1],0)),"")</f>
        <v/>
      </c>
      <c r="AB7" t="str">
        <f>IFERROR(INDEX(CMLIGHTBASE[Measure Subgroup 2],MATCH(INDEX('M03-S01'!$E$22:$E$198,2*(ROWS($V$4:V7)-1)+1),CMLIGHTBASE[Base Desc 1],0)),"")</f>
        <v/>
      </c>
      <c r="AC7" s="135"/>
      <c r="AD7" t="str">
        <f>IF(ISNUMBER(INDEX('M03-S01'!$W$22:$W$198,2*(ROWS($AD$4:AD7)-1)+1)),INDEX('M03-S01'!$W$22:$W$198,2*(ROWS($AD$4:AD7)-1)+1)&amp;" Lamp","")</f>
        <v/>
      </c>
      <c r="AE7" s="151">
        <f>IFERROR(IF(NOT(ISNUMBER(INDEX('M03-S01'!$AO$22:$AO$198,2*(ROWS($O$4:O7)-1)+1))),INDEX('M03-S01'!$U$22:$U$198,2*(ROWS($L$4:L7)-1)+1),0),0)</f>
        <v>0</v>
      </c>
      <c r="AF7" s="151" t="str">
        <f>INDEX('M03-S01'!$AW$22:$AW$198,2*(ROWS($AF$4:AF7)-1)+1)</f>
        <v/>
      </c>
      <c r="AG7" s="151" t="str">
        <f>INDEX('M03-S01'!$AX$22:$AX$198,2*(ROWS($AG$4:AG7)-1)+1)</f>
        <v/>
      </c>
      <c r="AH7" s="151" t="str">
        <f t="shared" si="2"/>
        <v/>
      </c>
      <c r="AI7" s="151" t="str">
        <f t="shared" si="3"/>
        <v/>
      </c>
      <c r="AJ7" s="61" t="str">
        <f t="shared" si="4"/>
        <v/>
      </c>
      <c r="AK7" s="61" t="str">
        <f t="shared" si="5"/>
        <v/>
      </c>
      <c r="AL7" s="61" t="str">
        <f t="shared" si="6"/>
        <v/>
      </c>
      <c r="AM7" s="154"/>
      <c r="AN7" s="61" t="str">
        <f t="shared" si="7"/>
        <v/>
      </c>
      <c r="AO7" s="151">
        <f>INDEX('M03-S01'!$K$22:$K$198,2*(ROWS($AO$4:AO7)-1)+1)</f>
        <v>0</v>
      </c>
      <c r="AP7" s="151">
        <f>INDEX('M03-S01'!$AF$22:$AF$198,2*(ROWS($AP$4:AP7)-1)+1)</f>
        <v>0</v>
      </c>
      <c r="AQ7" s="61" t="str">
        <f>IF(INDEX('M03-S01'!$AL$22:$AL$198,2*(ROWS($AQ$4:AQ7)-1)+1)="","",IF(AND(INDEX('M03-S01'!$AL$22:$AL$198,2*(ROWS($AQ$4:AQ7)-1)+1)&lt;&gt;"",OR(ISNUMBER(SEARCH("AC With",M02S02F32)),M02S02F32="Heat Pump")),LIGHTHEATCOIN,1))</f>
        <v/>
      </c>
      <c r="AR7" s="414">
        <f>(IF(INDEX('M03-S01'!$AO$22:$AO$198,2*(ROWS($O$4:O7)-1)+1)=INDEX('M03-S01'!$BK$22:$BK$198,2*(ROWS($O$4:O7)-1)+1),0,(INDEX('M03-S01'!$BJ$22:$BJ$198,2*(ROWS($O$4:O7)-1)+1)-INDEX('M03-S01'!$BK$22:$BK$198,2*(ROWS($O$4:O7)-1)+1))))*INCENTCAPADJ</f>
        <v>0</v>
      </c>
    </row>
    <row r="8" spans="1:154" x14ac:dyDescent="0.25">
      <c r="A8" s="66">
        <f t="shared" si="0"/>
        <v>0</v>
      </c>
      <c r="B8" s="66" t="str">
        <f t="shared" si="1"/>
        <v/>
      </c>
      <c r="C8" s="66" t="str">
        <f>IFERROR(IF(J8&gt;0,INDEX('M03-S01'!$BB$22:$BB$198,2*(ROWS($C$4:C8)-1)+1),""),"")</f>
        <v/>
      </c>
      <c r="D8" t="s">
        <v>1096</v>
      </c>
      <c r="E8" t="str">
        <f>IFERROR(INDEX(PMELIGHTLIN[End Use Category],MATCH(INDEX('M03-S01'!$BA$22:$BA$198,2*(ROWS($E$35:E39)-1)+1),PMELIGHTLIN[Measure Validator],0)),"")</f>
        <v/>
      </c>
      <c r="F8" s="151">
        <f>INDEX('M03-S01'!$AD$22:$AD$198,2*(ROWS($F$4:F8)-1)+1)</f>
        <v>0</v>
      </c>
      <c r="G8">
        <f>INDEX('M03-S01'!$AA$22:$AA$198,2*(ROWS($G$4:G8)-1)+1)</f>
        <v>0</v>
      </c>
      <c r="H8" s="61">
        <f>IFERROR(ROUND(INDEX('M03-S01'!$U$22:$U$198,2*(ROWS($H$4:H8)-1)+1)*INDEX('M03-S01'!$AH$22:$AH$198,2*(ROWS($H$4:H8)-1)+1),2),0)</f>
        <v>0</v>
      </c>
      <c r="I8" s="61">
        <f>IFERROR(ROUND(INDEX('M03-S01'!$U$22:$U$198,2*(ROWS($I$4:I8)-1)+1)*INDEX('M03-S01'!$AJ$22:$AJ$198,2*(ROWS($I$4:I8)-1)+1),2),0)</f>
        <v>0</v>
      </c>
      <c r="J8" s="61" t="str">
        <f>INDEX('M03-S01'!$AU$22:$AU$198,2*(ROWS($J$4:J8)-1)+1)</f>
        <v/>
      </c>
      <c r="K8" t="s">
        <v>119</v>
      </c>
      <c r="L8" s="151">
        <f>IF(ISNUMBER(INDEX('M03-S01'!$AO$22:$AO$198,2*(ROWS($M$4:M8)-1)+1)),INDEX('M03-S01'!$U$22:$U$198,2*(ROWS($L$4:L8)-1)+1),0)</f>
        <v>0</v>
      </c>
      <c r="M8" s="151">
        <f>IF(ISNUMBER(INDEX('M03-S01'!$AO$22:$AO$198,2*(ROWS($M$4:M8)-1)+1)),INDEX('M03-S01'!$AL$22:$AL$198,2*(ROWS($M$4:M8)-1)+1),0)</f>
        <v>0</v>
      </c>
      <c r="N8" s="189">
        <f>IF(ISNUMBER(INDEX('M03-S01'!$AO$22:$AO$198,2*(ROWS($M$4:M8)-1)+1)),IFERROR(INDEX('M03-S01'!$AV$22:$AV$198,2*(ROWS($N$4:N8)-1)+1),0),0)</f>
        <v>0</v>
      </c>
      <c r="O8" s="61">
        <f>IF(ISNUMBER(INDEX('M03-S01'!$AO$22:$AO$198,2*(ROWS($M$4:M8)-1)+1)),IFERROR(INDEX('M03-S01'!$AO$22:$AO$198,2*(ROWS($O$4:O8)-1)+1)*INCENTCAPADJ,""),0)</f>
        <v>0</v>
      </c>
      <c r="P8" s="151" t="str">
        <f>IFERROR(IF(NOT(ISNUMBER(INDEX('M03-S01'!$AO$22:$AO$198,2*(ROWS($O$4:O8)-1)+1))),INDEX('M03-S01'!$AL$22:$AL$198,2*(ROWS($M$4:M8)-1)+1),0),0)</f>
        <v/>
      </c>
      <c r="Q8" s="189" t="str">
        <f>IFERROR(IF(NOT(ISNUMBER(INDEX('M03-S01'!$AO$22:$AO$198,2*(ROWS($O$4:O8)-1)+1))),INDEX('M03-S01'!$AV$22:$AV$198,2*(ROWS($N$4:N8)-1)+1),0),0)</f>
        <v/>
      </c>
      <c r="R8" t="str">
        <f>IFERROR(IF(NOT(ISNUMBER(INDEX('M03-S01'!$AO$22:$AO$198,2*(ROWS($O$4:O8)-1)+1))),"Not Eligible",""),"")</f>
        <v>Not Eligible</v>
      </c>
      <c r="S8" s="156" t="str">
        <f>INDEX('M03-S01'!$M$22:$M$198,2*(ROWS($S$4:S8)-1)+1)</f>
        <v/>
      </c>
      <c r="T8" s="156">
        <f>INDEX('M03-S01'!$Y$22:$Y$198,2*(ROWS($T$4:T8)-1)+1)</f>
        <v>0</v>
      </c>
      <c r="U8" s="151">
        <f>INDEX('M03-S01'!$B$22:$B$198,2*(ROWS($U$4:U8)-1)+1)</f>
        <v>3</v>
      </c>
      <c r="V8" s="58">
        <f>INDEX('M03-S01'!$E$22:$E$198,2*(ROWS($V$4:V8)-1)+1)</f>
        <v>0</v>
      </c>
      <c r="W8" s="58">
        <f>IF(INDEX('M03-S01'!$O$22:$O$198,2*(ROWS($W$4:W8)-1)+1)="Fixture","LED Fixture",INDEX('M03-S01'!$O$22:$O$198,2*(ROWS($W$4:W8)-1)+1))</f>
        <v>0</v>
      </c>
      <c r="X8">
        <f>INDEX('M03-S01'!$H$22:$H$198,2*(ROWS($X$4:X8)-1)+1)</f>
        <v>0</v>
      </c>
      <c r="Y8">
        <f>INDEX('M03-S01'!$R$22:$R$198,2*(ROWS($Y$4:Y8)-1)+1)</f>
        <v>0</v>
      </c>
      <c r="Z8">
        <f>IFERROR(INDEX('M03-S01'!$AF$22:$AF$198,2*(ROWS(Z$4:$Z8)-1)+1)/INDEX('M03-S01'!$AD$22:$AD$198,2*(ROWS(Z$4:$Z8)-1)+1),0)</f>
        <v>0</v>
      </c>
      <c r="AA8" t="str">
        <f>IFERROR(INDEX(CMLIGHTBASE[Measure Subgroup 1],MATCH(INDEX('M03-S01'!$E$22:$E$198,2*(ROWS($V$4:V8)-1)+1),CMLIGHTBASE[Base Desc 1],0)),"")</f>
        <v/>
      </c>
      <c r="AB8" t="str">
        <f>IFERROR(INDEX(CMLIGHTBASE[Measure Subgroup 2],MATCH(INDEX('M03-S01'!$E$22:$E$198,2*(ROWS($V$4:V8)-1)+1),CMLIGHTBASE[Base Desc 1],0)),"")</f>
        <v/>
      </c>
      <c r="AC8" s="135"/>
      <c r="AD8" t="str">
        <f>IF(ISNUMBER(INDEX('M03-S01'!$W$22:$W$198,2*(ROWS($AD$4:AD8)-1)+1)),INDEX('M03-S01'!$W$22:$W$198,2*(ROWS($AD$4:AD8)-1)+1)&amp;" Lamp","")</f>
        <v/>
      </c>
      <c r="AE8" s="151">
        <f>IFERROR(IF(NOT(ISNUMBER(INDEX('M03-S01'!$AO$22:$AO$198,2*(ROWS($O$4:O8)-1)+1))),INDEX('M03-S01'!$U$22:$U$198,2*(ROWS($L$4:L8)-1)+1),0),0)</f>
        <v>0</v>
      </c>
      <c r="AF8" s="151" t="str">
        <f>INDEX('M03-S01'!$AW$22:$AW$198,2*(ROWS($AF$4:AF8)-1)+1)</f>
        <v/>
      </c>
      <c r="AG8" s="151" t="str">
        <f>INDEX('M03-S01'!$AX$22:$AX$198,2*(ROWS($AG$4:AG8)-1)+1)</f>
        <v/>
      </c>
      <c r="AH8" s="151" t="str">
        <f t="shared" si="2"/>
        <v/>
      </c>
      <c r="AI8" s="151" t="str">
        <f t="shared" si="3"/>
        <v/>
      </c>
      <c r="AJ8" s="61" t="str">
        <f t="shared" si="4"/>
        <v/>
      </c>
      <c r="AK8" s="61" t="str">
        <f t="shared" si="5"/>
        <v/>
      </c>
      <c r="AL8" s="61" t="str">
        <f t="shared" si="6"/>
        <v/>
      </c>
      <c r="AM8" s="154"/>
      <c r="AN8" s="61" t="str">
        <f t="shared" si="7"/>
        <v/>
      </c>
      <c r="AO8" s="151">
        <f>INDEX('M03-S01'!$K$22:$K$198,2*(ROWS($AO$4:AO8)-1)+1)</f>
        <v>0</v>
      </c>
      <c r="AP8" s="151">
        <f>INDEX('M03-S01'!$AF$22:$AF$198,2*(ROWS($AP$4:AP8)-1)+1)</f>
        <v>0</v>
      </c>
      <c r="AQ8" s="61" t="str">
        <f>IF(INDEX('M03-S01'!$AL$22:$AL$198,2*(ROWS($AQ$4:AQ8)-1)+1)="","",IF(AND(INDEX('M03-S01'!$AL$22:$AL$198,2*(ROWS($AQ$4:AQ8)-1)+1)&lt;&gt;"",OR(ISNUMBER(SEARCH("AC With",M02S02F32)),M02S02F32="Heat Pump")),LIGHTHEATCOIN,1))</f>
        <v/>
      </c>
      <c r="AR8" s="414">
        <f>(IF(INDEX('M03-S01'!$AO$22:$AO$198,2*(ROWS($O$4:O8)-1)+1)=INDEX('M03-S01'!$BK$22:$BK$198,2*(ROWS($O$4:O8)-1)+1),0,(INDEX('M03-S01'!$BJ$22:$BJ$198,2*(ROWS($O$4:O8)-1)+1)-INDEX('M03-S01'!$BK$22:$BK$198,2*(ROWS($O$4:O8)-1)+1))))*INCENTCAPADJ</f>
        <v>0</v>
      </c>
    </row>
    <row r="9" spans="1:154" x14ac:dyDescent="0.25">
      <c r="A9" s="66">
        <f t="shared" si="0"/>
        <v>0</v>
      </c>
      <c r="B9" s="66" t="str">
        <f t="shared" si="1"/>
        <v/>
      </c>
      <c r="C9" s="66" t="str">
        <f>IFERROR(IF(J9&gt;0,INDEX('M03-S01'!$BB$22:$BB$198,2*(ROWS($C$4:C9)-1)+1),""),"")</f>
        <v/>
      </c>
      <c r="D9" t="s">
        <v>1096</v>
      </c>
      <c r="E9" t="str">
        <f>IFERROR(INDEX(PMELIGHTLIN[End Use Category],MATCH(INDEX('M03-S01'!$BA$22:$BA$198,2*(ROWS($E$35:E40)-1)+1),PMELIGHTLIN[Measure Validator],0)),"")</f>
        <v/>
      </c>
      <c r="F9" s="151">
        <f>INDEX('M03-S01'!$AD$22:$AD$198,2*(ROWS($F$4:F9)-1)+1)</f>
        <v>0</v>
      </c>
      <c r="G9">
        <f>INDEX('M03-S01'!$AA$22:$AA$198,2*(ROWS($G$4:G9)-1)+1)</f>
        <v>0</v>
      </c>
      <c r="H9" s="61">
        <f>IFERROR(ROUND(INDEX('M03-S01'!$U$22:$U$198,2*(ROWS($H$4:H9)-1)+1)*INDEX('M03-S01'!$AH$22:$AH$198,2*(ROWS($H$4:H9)-1)+1),2),0)</f>
        <v>0</v>
      </c>
      <c r="I9" s="61">
        <f>IFERROR(ROUND(INDEX('M03-S01'!$U$22:$U$198,2*(ROWS($I$4:I9)-1)+1)*INDEX('M03-S01'!$AJ$22:$AJ$198,2*(ROWS($I$4:I9)-1)+1),2),0)</f>
        <v>0</v>
      </c>
      <c r="J9" s="61" t="str">
        <f>INDEX('M03-S01'!$AU$22:$AU$198,2*(ROWS($J$4:J9)-1)+1)</f>
        <v/>
      </c>
      <c r="K9" t="s">
        <v>119</v>
      </c>
      <c r="L9" s="151">
        <f>IF(ISNUMBER(INDEX('M03-S01'!$AO$22:$AO$198,2*(ROWS($M$4:M9)-1)+1)),INDEX('M03-S01'!$U$22:$U$198,2*(ROWS($L$4:L9)-1)+1),0)</f>
        <v>0</v>
      </c>
      <c r="M9" s="151">
        <f>IF(ISNUMBER(INDEX('M03-S01'!$AO$22:$AO$198,2*(ROWS($M$4:M9)-1)+1)),INDEX('M03-S01'!$AL$22:$AL$198,2*(ROWS($M$4:M9)-1)+1),0)</f>
        <v>0</v>
      </c>
      <c r="N9" s="189">
        <f>IF(ISNUMBER(INDEX('M03-S01'!$AO$22:$AO$198,2*(ROWS($M$4:M9)-1)+1)),IFERROR(INDEX('M03-S01'!$AV$22:$AV$198,2*(ROWS($N$4:N9)-1)+1),0),0)</f>
        <v>0</v>
      </c>
      <c r="O9" s="61">
        <f>IF(ISNUMBER(INDEX('M03-S01'!$AO$22:$AO$198,2*(ROWS($M$4:M9)-1)+1)),IFERROR(INDEX('M03-S01'!$AO$22:$AO$198,2*(ROWS($O$4:O9)-1)+1)*INCENTCAPADJ,""),0)</f>
        <v>0</v>
      </c>
      <c r="P9" s="151" t="str">
        <f>IFERROR(IF(NOT(ISNUMBER(INDEX('M03-S01'!$AO$22:$AO$198,2*(ROWS($O$4:O9)-1)+1))),INDEX('M03-S01'!$AL$22:$AL$198,2*(ROWS($M$4:M9)-1)+1),0),0)</f>
        <v/>
      </c>
      <c r="Q9" s="189" t="str">
        <f>IFERROR(IF(NOT(ISNUMBER(INDEX('M03-S01'!$AO$22:$AO$198,2*(ROWS($O$4:O9)-1)+1))),INDEX('M03-S01'!$AV$22:$AV$198,2*(ROWS($N$4:N9)-1)+1),0),0)</f>
        <v/>
      </c>
      <c r="R9" t="str">
        <f>IFERROR(IF(NOT(ISNUMBER(INDEX('M03-S01'!$AO$22:$AO$198,2*(ROWS($O$4:O9)-1)+1))),"Not Eligible",""),"")</f>
        <v>Not Eligible</v>
      </c>
      <c r="S9" s="156" t="str">
        <f>INDEX('M03-S01'!$M$22:$M$198,2*(ROWS($S$4:S9)-1)+1)</f>
        <v/>
      </c>
      <c r="T9" s="156">
        <f>INDEX('M03-S01'!$Y$22:$Y$198,2*(ROWS($T$4:T9)-1)+1)</f>
        <v>0</v>
      </c>
      <c r="U9" s="151">
        <f>INDEX('M03-S01'!$B$22:$B$198,2*(ROWS($U$4:U9)-1)+1)</f>
        <v>4</v>
      </c>
      <c r="V9" s="58">
        <f>INDEX('M03-S01'!$E$22:$E$198,2*(ROWS($V$4:V9)-1)+1)</f>
        <v>0</v>
      </c>
      <c r="W9" s="58">
        <f>IF(INDEX('M03-S01'!$O$22:$O$198,2*(ROWS($W$4:W9)-1)+1)="Fixture","LED Fixture",INDEX('M03-S01'!$O$22:$O$198,2*(ROWS($W$4:W9)-1)+1))</f>
        <v>0</v>
      </c>
      <c r="X9">
        <f>INDEX('M03-S01'!$H$22:$H$198,2*(ROWS($X$4:X9)-1)+1)</f>
        <v>0</v>
      </c>
      <c r="Y9">
        <f>INDEX('M03-S01'!$R$22:$R$198,2*(ROWS($Y$4:Y9)-1)+1)</f>
        <v>0</v>
      </c>
      <c r="Z9">
        <f>IFERROR(INDEX('M03-S01'!$AF$22:$AF$198,2*(ROWS(Z$4:$Z9)-1)+1)/INDEX('M03-S01'!$AD$22:$AD$198,2*(ROWS(Z$4:$Z9)-1)+1),0)</f>
        <v>0</v>
      </c>
      <c r="AA9" t="str">
        <f>IFERROR(INDEX(CMLIGHTBASE[Measure Subgroup 1],MATCH(INDEX('M03-S01'!$E$22:$E$198,2*(ROWS($V$4:V9)-1)+1),CMLIGHTBASE[Base Desc 1],0)),"")</f>
        <v/>
      </c>
      <c r="AB9" t="str">
        <f>IFERROR(INDEX(CMLIGHTBASE[Measure Subgroup 2],MATCH(INDEX('M03-S01'!$E$22:$E$198,2*(ROWS($V$4:V9)-1)+1),CMLIGHTBASE[Base Desc 1],0)),"")</f>
        <v/>
      </c>
      <c r="AC9" s="135"/>
      <c r="AD9" t="str">
        <f>IF(ISNUMBER(INDEX('M03-S01'!$W$22:$W$198,2*(ROWS($AD$4:AD9)-1)+1)),INDEX('M03-S01'!$W$22:$W$198,2*(ROWS($AD$4:AD9)-1)+1)&amp;" Lamp","")</f>
        <v/>
      </c>
      <c r="AE9" s="151">
        <f>IFERROR(IF(NOT(ISNUMBER(INDEX('M03-S01'!$AO$22:$AO$198,2*(ROWS($O$4:O9)-1)+1))),INDEX('M03-S01'!$U$22:$U$198,2*(ROWS($L$4:L9)-1)+1),0),0)</f>
        <v>0</v>
      </c>
      <c r="AF9" s="151" t="str">
        <f>INDEX('M03-S01'!$AW$22:$AW$198,2*(ROWS($AF$4:AF9)-1)+1)</f>
        <v/>
      </c>
      <c r="AG9" s="151" t="str">
        <f>INDEX('M03-S01'!$AX$22:$AX$198,2*(ROWS($AG$4:AG9)-1)+1)</f>
        <v/>
      </c>
      <c r="AH9" s="151" t="str">
        <f t="shared" si="2"/>
        <v/>
      </c>
      <c r="AI9" s="151" t="str">
        <f t="shared" si="3"/>
        <v/>
      </c>
      <c r="AJ9" s="61" t="str">
        <f t="shared" si="4"/>
        <v/>
      </c>
      <c r="AK9" s="61" t="str">
        <f t="shared" si="5"/>
        <v/>
      </c>
      <c r="AL9" s="61" t="str">
        <f t="shared" si="6"/>
        <v/>
      </c>
      <c r="AM9" s="154"/>
      <c r="AN9" s="61" t="str">
        <f t="shared" si="7"/>
        <v/>
      </c>
      <c r="AO9" s="151">
        <f>INDEX('M03-S01'!$K$22:$K$198,2*(ROWS($AO$4:AO9)-1)+1)</f>
        <v>0</v>
      </c>
      <c r="AP9" s="151">
        <f>INDEX('M03-S01'!$AF$22:$AF$198,2*(ROWS($AP$4:AP9)-1)+1)</f>
        <v>0</v>
      </c>
      <c r="AQ9" s="61" t="str">
        <f>IF(INDEX('M03-S01'!$AL$22:$AL$198,2*(ROWS($AQ$4:AQ9)-1)+1)="","",IF(AND(INDEX('M03-S01'!$AL$22:$AL$198,2*(ROWS($AQ$4:AQ9)-1)+1)&lt;&gt;"",OR(ISNUMBER(SEARCH("AC With",M02S02F32)),M02S02F32="Heat Pump")),LIGHTHEATCOIN,1))</f>
        <v/>
      </c>
      <c r="AR9" s="414">
        <f>(IF(INDEX('M03-S01'!$AO$22:$AO$198,2*(ROWS($O$4:O9)-1)+1)=INDEX('M03-S01'!$BK$22:$BK$198,2*(ROWS($O$4:O9)-1)+1),0,(INDEX('M03-S01'!$BJ$22:$BJ$198,2*(ROWS($O$4:O9)-1)+1)-INDEX('M03-S01'!$BK$22:$BK$198,2*(ROWS($O$4:O9)-1)+1))))*INCENTCAPADJ</f>
        <v>0</v>
      </c>
    </row>
    <row r="10" spans="1:154" x14ac:dyDescent="0.25">
      <c r="A10" s="66">
        <f t="shared" si="0"/>
        <v>0</v>
      </c>
      <c r="B10" s="66" t="str">
        <f t="shared" si="1"/>
        <v/>
      </c>
      <c r="C10" s="66" t="str">
        <f>IFERROR(IF(J10&gt;0,INDEX('M03-S01'!$BB$22:$BB$198,2*(ROWS($C$4:C10)-1)+1),""),"")</f>
        <v/>
      </c>
      <c r="D10" t="s">
        <v>1096</v>
      </c>
      <c r="E10" t="str">
        <f>IFERROR(INDEX(PMELIGHTLIN[End Use Category],MATCH(INDEX('M03-S01'!$BA$22:$BA$198,2*(ROWS($E$35:E41)-1)+1),PMELIGHTLIN[Measure Validator],0)),"")</f>
        <v/>
      </c>
      <c r="F10" s="151">
        <f>INDEX('M03-S01'!$AD$22:$AD$198,2*(ROWS($F$4:F10)-1)+1)</f>
        <v>0</v>
      </c>
      <c r="G10">
        <f>INDEX('M03-S01'!$AA$22:$AA$198,2*(ROWS($G$4:G10)-1)+1)</f>
        <v>0</v>
      </c>
      <c r="H10" s="61">
        <f>IFERROR(ROUND(INDEX('M03-S01'!$U$22:$U$198,2*(ROWS($H$4:H10)-1)+1)*INDEX('M03-S01'!$AH$22:$AH$198,2*(ROWS($H$4:H10)-1)+1),2),0)</f>
        <v>0</v>
      </c>
      <c r="I10" s="61">
        <f>IFERROR(ROUND(INDEX('M03-S01'!$U$22:$U$198,2*(ROWS($I$4:I10)-1)+1)*INDEX('M03-S01'!$AJ$22:$AJ$198,2*(ROWS($I$4:I10)-1)+1),2),0)</f>
        <v>0</v>
      </c>
      <c r="J10" s="61" t="str">
        <f>INDEX('M03-S01'!$AU$22:$AU$198,2*(ROWS($J$4:J10)-1)+1)</f>
        <v/>
      </c>
      <c r="K10" t="s">
        <v>119</v>
      </c>
      <c r="L10" s="151">
        <f>IF(ISNUMBER(INDEX('M03-S01'!$AO$22:$AO$198,2*(ROWS($M$4:M10)-1)+1)),INDEX('M03-S01'!$U$22:$U$198,2*(ROWS($L$4:L10)-1)+1),0)</f>
        <v>0</v>
      </c>
      <c r="M10" s="151">
        <f>IF(ISNUMBER(INDEX('M03-S01'!$AO$22:$AO$198,2*(ROWS($M$4:M10)-1)+1)),INDEX('M03-S01'!$AL$22:$AL$198,2*(ROWS($M$4:M10)-1)+1),0)</f>
        <v>0</v>
      </c>
      <c r="N10" s="189">
        <f>IF(ISNUMBER(INDEX('M03-S01'!$AO$22:$AO$198,2*(ROWS($M$4:M10)-1)+1)),IFERROR(INDEX('M03-S01'!$AV$22:$AV$198,2*(ROWS($N$4:N10)-1)+1),0),0)</f>
        <v>0</v>
      </c>
      <c r="O10" s="61">
        <f>IF(ISNUMBER(INDEX('M03-S01'!$AO$22:$AO$198,2*(ROWS($M$4:M10)-1)+1)),IFERROR(INDEX('M03-S01'!$AO$22:$AO$198,2*(ROWS($O$4:O10)-1)+1)*INCENTCAPADJ,""),0)</f>
        <v>0</v>
      </c>
      <c r="P10" s="151" t="str">
        <f>IFERROR(IF(NOT(ISNUMBER(INDEX('M03-S01'!$AO$22:$AO$198,2*(ROWS($O$4:O10)-1)+1))),INDEX('M03-S01'!$AL$22:$AL$198,2*(ROWS($M$4:M10)-1)+1),0),0)</f>
        <v/>
      </c>
      <c r="Q10" s="189" t="str">
        <f>IFERROR(IF(NOT(ISNUMBER(INDEX('M03-S01'!$AO$22:$AO$198,2*(ROWS($O$4:O10)-1)+1))),INDEX('M03-S01'!$AV$22:$AV$198,2*(ROWS($N$4:N10)-1)+1),0),0)</f>
        <v/>
      </c>
      <c r="R10" t="str">
        <f>IFERROR(IF(NOT(ISNUMBER(INDEX('M03-S01'!$AO$22:$AO$198,2*(ROWS($O$4:O10)-1)+1))),"Not Eligible",""),"")</f>
        <v>Not Eligible</v>
      </c>
      <c r="S10" s="156" t="str">
        <f>INDEX('M03-S01'!$M$22:$M$198,2*(ROWS($S$4:S10)-1)+1)</f>
        <v/>
      </c>
      <c r="T10" s="156">
        <f>INDEX('M03-S01'!$Y$22:$Y$198,2*(ROWS($T$4:T10)-1)+1)</f>
        <v>0</v>
      </c>
      <c r="U10" s="151">
        <f>INDEX('M03-S01'!$B$22:$B$198,2*(ROWS($U$4:U10)-1)+1)</f>
        <v>5</v>
      </c>
      <c r="V10" s="58">
        <f>INDEX('M03-S01'!$E$22:$E$198,2*(ROWS($V$4:V10)-1)+1)</f>
        <v>0</v>
      </c>
      <c r="W10" s="58">
        <f>IF(INDEX('M03-S01'!$O$22:$O$198,2*(ROWS($W$4:W10)-1)+1)="Fixture","LED Fixture",INDEX('M03-S01'!$O$22:$O$198,2*(ROWS($W$4:W10)-1)+1))</f>
        <v>0</v>
      </c>
      <c r="X10">
        <f>INDEX('M03-S01'!$H$22:$H$198,2*(ROWS($X$4:X10)-1)+1)</f>
        <v>0</v>
      </c>
      <c r="Y10">
        <f>INDEX('M03-S01'!$R$22:$R$198,2*(ROWS($Y$4:Y10)-1)+1)</f>
        <v>0</v>
      </c>
      <c r="Z10">
        <f>IFERROR(INDEX('M03-S01'!$AF$22:$AF$198,2*(ROWS(Z$4:$Z10)-1)+1)/INDEX('M03-S01'!$AD$22:$AD$198,2*(ROWS(Z$4:$Z10)-1)+1),0)</f>
        <v>0</v>
      </c>
      <c r="AA10" t="str">
        <f>IFERROR(INDEX(CMLIGHTBASE[Measure Subgroup 1],MATCH(INDEX('M03-S01'!$E$22:$E$198,2*(ROWS($V$4:V10)-1)+1),CMLIGHTBASE[Base Desc 1],0)),"")</f>
        <v/>
      </c>
      <c r="AB10" t="str">
        <f>IFERROR(INDEX(CMLIGHTBASE[Measure Subgroup 2],MATCH(INDEX('M03-S01'!$E$22:$E$198,2*(ROWS($V$4:V10)-1)+1),CMLIGHTBASE[Base Desc 1],0)),"")</f>
        <v/>
      </c>
      <c r="AC10" s="135"/>
      <c r="AD10" t="str">
        <f>IF(ISNUMBER(INDEX('M03-S01'!$W$22:$W$198,2*(ROWS($AD$4:AD10)-1)+1)),INDEX('M03-S01'!$W$22:$W$198,2*(ROWS($AD$4:AD10)-1)+1)&amp;" Lamp","")</f>
        <v/>
      </c>
      <c r="AE10" s="151">
        <f>IFERROR(IF(NOT(ISNUMBER(INDEX('M03-S01'!$AO$22:$AO$198,2*(ROWS($O$4:O10)-1)+1))),INDEX('M03-S01'!$U$22:$U$198,2*(ROWS($L$4:L10)-1)+1),0),0)</f>
        <v>0</v>
      </c>
      <c r="AF10" s="151" t="str">
        <f>INDEX('M03-S01'!$AW$22:$AW$198,2*(ROWS($AF$4:AF10)-1)+1)</f>
        <v/>
      </c>
      <c r="AG10" s="151" t="str">
        <f>INDEX('M03-S01'!$AX$22:$AX$198,2*(ROWS($AG$4:AG10)-1)+1)</f>
        <v/>
      </c>
      <c r="AH10" s="151" t="str">
        <f t="shared" si="2"/>
        <v/>
      </c>
      <c r="AI10" s="151" t="str">
        <f t="shared" si="3"/>
        <v/>
      </c>
      <c r="AJ10" s="61" t="str">
        <f t="shared" si="4"/>
        <v/>
      </c>
      <c r="AK10" s="61" t="str">
        <f t="shared" si="5"/>
        <v/>
      </c>
      <c r="AL10" s="61" t="str">
        <f t="shared" si="6"/>
        <v/>
      </c>
      <c r="AM10" s="154"/>
      <c r="AN10" s="61" t="str">
        <f t="shared" si="7"/>
        <v/>
      </c>
      <c r="AO10" s="151">
        <f>INDEX('M03-S01'!$K$22:$K$198,2*(ROWS($AO$4:AO10)-1)+1)</f>
        <v>0</v>
      </c>
      <c r="AP10" s="151">
        <f>INDEX('M03-S01'!$AF$22:$AF$198,2*(ROWS($AP$4:AP10)-1)+1)</f>
        <v>0</v>
      </c>
      <c r="AQ10" s="61" t="str">
        <f>IF(INDEX('M03-S01'!$AL$22:$AL$198,2*(ROWS($AQ$4:AQ10)-1)+1)="","",IF(AND(INDEX('M03-S01'!$AL$22:$AL$198,2*(ROWS($AQ$4:AQ10)-1)+1)&lt;&gt;"",OR(ISNUMBER(SEARCH("AC With",M02S02F32)),M02S02F32="Heat Pump")),LIGHTHEATCOIN,1))</f>
        <v/>
      </c>
      <c r="AR10" s="414">
        <f>(IF(INDEX('M03-S01'!$AO$22:$AO$198,2*(ROWS($O$4:O10)-1)+1)=INDEX('M03-S01'!$BK$22:$BK$198,2*(ROWS($O$4:O10)-1)+1),0,(INDEX('M03-S01'!$BJ$22:$BJ$198,2*(ROWS($O$4:O10)-1)+1)-INDEX('M03-S01'!$BK$22:$BK$198,2*(ROWS($O$4:O10)-1)+1))))*INCENTCAPADJ</f>
        <v>0</v>
      </c>
    </row>
    <row r="11" spans="1:154" x14ac:dyDescent="0.25">
      <c r="A11" s="66">
        <f t="shared" si="0"/>
        <v>0</v>
      </c>
      <c r="B11" s="66" t="str">
        <f t="shared" si="1"/>
        <v/>
      </c>
      <c r="C11" s="66" t="str">
        <f>IFERROR(IF(J11&gt;0,INDEX('M03-S01'!$BB$22:$BB$198,2*(ROWS($C$4:C11)-1)+1),""),"")</f>
        <v/>
      </c>
      <c r="D11" t="s">
        <v>1096</v>
      </c>
      <c r="E11" t="str">
        <f>IFERROR(INDEX(PMELIGHTLIN[End Use Category],MATCH(INDEX('M03-S01'!$BA$22:$BA$198,2*(ROWS($E$35:E42)-1)+1),PMELIGHTLIN[Measure Validator],0)),"")</f>
        <v/>
      </c>
      <c r="F11" s="151">
        <f>INDEX('M03-S01'!$AD$22:$AD$198,2*(ROWS($F$4:F11)-1)+1)</f>
        <v>0</v>
      </c>
      <c r="G11">
        <f>INDEX('M03-S01'!$AA$22:$AA$198,2*(ROWS($G$4:G11)-1)+1)</f>
        <v>0</v>
      </c>
      <c r="H11" s="61">
        <f>IFERROR(ROUND(INDEX('M03-S01'!$U$22:$U$198,2*(ROWS($H$4:H11)-1)+1)*INDEX('M03-S01'!$AH$22:$AH$198,2*(ROWS($H$4:H11)-1)+1),2),0)</f>
        <v>0</v>
      </c>
      <c r="I11" s="61">
        <f>IFERROR(ROUND(INDEX('M03-S01'!$U$22:$U$198,2*(ROWS($I$4:I11)-1)+1)*INDEX('M03-S01'!$AJ$22:$AJ$198,2*(ROWS($I$4:I11)-1)+1),2),0)</f>
        <v>0</v>
      </c>
      <c r="J11" s="61" t="str">
        <f>INDEX('M03-S01'!$AU$22:$AU$198,2*(ROWS($J$4:J11)-1)+1)</f>
        <v/>
      </c>
      <c r="K11" t="s">
        <v>119</v>
      </c>
      <c r="L11" s="151">
        <f>IF(ISNUMBER(INDEX('M03-S01'!$AO$22:$AO$198,2*(ROWS($M$4:M11)-1)+1)),INDEX('M03-S01'!$U$22:$U$198,2*(ROWS($L$4:L11)-1)+1),0)</f>
        <v>0</v>
      </c>
      <c r="M11" s="151">
        <f>IF(ISNUMBER(INDEX('M03-S01'!$AO$22:$AO$198,2*(ROWS($M$4:M11)-1)+1)),INDEX('M03-S01'!$AL$22:$AL$198,2*(ROWS($M$4:M11)-1)+1),0)</f>
        <v>0</v>
      </c>
      <c r="N11" s="189">
        <f>IF(ISNUMBER(INDEX('M03-S01'!$AO$22:$AO$198,2*(ROWS($M$4:M11)-1)+1)),IFERROR(INDEX('M03-S01'!$AV$22:$AV$198,2*(ROWS($N$4:N11)-1)+1),0),0)</f>
        <v>0</v>
      </c>
      <c r="O11" s="61">
        <f>IF(ISNUMBER(INDEX('M03-S01'!$AO$22:$AO$198,2*(ROWS($M$4:M11)-1)+1)),IFERROR(INDEX('M03-S01'!$AO$22:$AO$198,2*(ROWS($O$4:O11)-1)+1)*INCENTCAPADJ,""),0)</f>
        <v>0</v>
      </c>
      <c r="P11" s="151" t="str">
        <f>IFERROR(IF(NOT(ISNUMBER(INDEX('M03-S01'!$AO$22:$AO$198,2*(ROWS($O$4:O11)-1)+1))),INDEX('M03-S01'!$AL$22:$AL$198,2*(ROWS($M$4:M11)-1)+1),0),0)</f>
        <v/>
      </c>
      <c r="Q11" s="189" t="str">
        <f>IFERROR(IF(NOT(ISNUMBER(INDEX('M03-S01'!$AO$22:$AO$198,2*(ROWS($O$4:O11)-1)+1))),INDEX('M03-S01'!$AV$22:$AV$198,2*(ROWS($N$4:N11)-1)+1),0),0)</f>
        <v/>
      </c>
      <c r="R11" t="str">
        <f>IFERROR(IF(NOT(ISNUMBER(INDEX('M03-S01'!$AO$22:$AO$198,2*(ROWS($O$4:O11)-1)+1))),"Not Eligible",""),"")</f>
        <v>Not Eligible</v>
      </c>
      <c r="S11" s="156" t="str">
        <f>INDEX('M03-S01'!$M$22:$M$198,2*(ROWS($S$4:S11)-1)+1)</f>
        <v/>
      </c>
      <c r="T11" s="156">
        <f>INDEX('M03-S01'!$Y$22:$Y$198,2*(ROWS($T$4:T11)-1)+1)</f>
        <v>0</v>
      </c>
      <c r="U11" s="151">
        <f>INDEX('M03-S01'!$B$22:$B$198,2*(ROWS($U$4:U11)-1)+1)</f>
        <v>6</v>
      </c>
      <c r="V11" s="58">
        <f>INDEX('M03-S01'!$E$22:$E$198,2*(ROWS($V$4:V11)-1)+1)</f>
        <v>0</v>
      </c>
      <c r="W11" s="58">
        <f>IF(INDEX('M03-S01'!$O$22:$O$198,2*(ROWS($W$4:W11)-1)+1)="Fixture","LED Fixture",INDEX('M03-S01'!$O$22:$O$198,2*(ROWS($W$4:W11)-1)+1))</f>
        <v>0</v>
      </c>
      <c r="X11">
        <f>INDEX('M03-S01'!$H$22:$H$198,2*(ROWS($X$4:X11)-1)+1)</f>
        <v>0</v>
      </c>
      <c r="Y11">
        <f>INDEX('M03-S01'!$R$22:$R$198,2*(ROWS($Y$4:Y11)-1)+1)</f>
        <v>0</v>
      </c>
      <c r="Z11">
        <f>IFERROR(INDEX('M03-S01'!$AF$22:$AF$198,2*(ROWS(Z$4:$Z11)-1)+1)/INDEX('M03-S01'!$AD$22:$AD$198,2*(ROWS(Z$4:$Z11)-1)+1),0)</f>
        <v>0</v>
      </c>
      <c r="AA11" t="str">
        <f>IFERROR(INDEX(CMLIGHTBASE[Measure Subgroup 1],MATCH(INDEX('M03-S01'!$E$22:$E$198,2*(ROWS($V$4:V11)-1)+1),CMLIGHTBASE[Base Desc 1],0)),"")</f>
        <v/>
      </c>
      <c r="AB11" t="str">
        <f>IFERROR(INDEX(CMLIGHTBASE[Measure Subgroup 2],MATCH(INDEX('M03-S01'!$E$22:$E$198,2*(ROWS($V$4:V11)-1)+1),CMLIGHTBASE[Base Desc 1],0)),"")</f>
        <v/>
      </c>
      <c r="AC11" s="135"/>
      <c r="AD11" t="str">
        <f>IF(ISNUMBER(INDEX('M03-S01'!$W$22:$W$198,2*(ROWS($AD$4:AD11)-1)+1)),INDEX('M03-S01'!$W$22:$W$198,2*(ROWS($AD$4:AD11)-1)+1)&amp;" Lamp","")</f>
        <v/>
      </c>
      <c r="AE11" s="151">
        <f>IFERROR(IF(NOT(ISNUMBER(INDEX('M03-S01'!$AO$22:$AO$198,2*(ROWS($O$4:O11)-1)+1))),INDEX('M03-S01'!$U$22:$U$198,2*(ROWS($L$4:L11)-1)+1),0),0)</f>
        <v>0</v>
      </c>
      <c r="AF11" s="151" t="str">
        <f>INDEX('M03-S01'!$AW$22:$AW$198,2*(ROWS($AF$4:AF11)-1)+1)</f>
        <v/>
      </c>
      <c r="AG11" s="151" t="str">
        <f>INDEX('M03-S01'!$AX$22:$AX$198,2*(ROWS($AG$4:AG11)-1)+1)</f>
        <v/>
      </c>
      <c r="AH11" s="151" t="str">
        <f t="shared" si="2"/>
        <v/>
      </c>
      <c r="AI11" s="151" t="str">
        <f t="shared" si="3"/>
        <v/>
      </c>
      <c r="AJ11" s="61" t="str">
        <f t="shared" si="4"/>
        <v/>
      </c>
      <c r="AK11" s="61" t="str">
        <f t="shared" si="5"/>
        <v/>
      </c>
      <c r="AL11" s="61" t="str">
        <f t="shared" si="6"/>
        <v/>
      </c>
      <c r="AM11" s="154"/>
      <c r="AN11" s="61" t="str">
        <f t="shared" si="7"/>
        <v/>
      </c>
      <c r="AO11" s="151">
        <f>INDEX('M03-S01'!$K$22:$K$198,2*(ROWS($AO$4:AO11)-1)+1)</f>
        <v>0</v>
      </c>
      <c r="AP11" s="151">
        <f>INDEX('M03-S01'!$AF$22:$AF$198,2*(ROWS($AP$4:AP11)-1)+1)</f>
        <v>0</v>
      </c>
      <c r="AQ11" s="61" t="str">
        <f>IF(INDEX('M03-S01'!$AL$22:$AL$198,2*(ROWS($AQ$4:AQ11)-1)+1)="","",IF(AND(INDEX('M03-S01'!$AL$22:$AL$198,2*(ROWS($AQ$4:AQ11)-1)+1)&lt;&gt;"",OR(ISNUMBER(SEARCH("AC With",M02S02F32)),M02S02F32="Heat Pump")),LIGHTHEATCOIN,1))</f>
        <v/>
      </c>
      <c r="AR11" s="414">
        <f>(IF(INDEX('M03-S01'!$AO$22:$AO$198,2*(ROWS($O$4:O11)-1)+1)=INDEX('M03-S01'!$BK$22:$BK$198,2*(ROWS($O$4:O11)-1)+1),0,(INDEX('M03-S01'!$BJ$22:$BJ$198,2*(ROWS($O$4:O11)-1)+1)-INDEX('M03-S01'!$BK$22:$BK$198,2*(ROWS($O$4:O11)-1)+1))))*INCENTCAPADJ</f>
        <v>0</v>
      </c>
    </row>
    <row r="12" spans="1:154" x14ac:dyDescent="0.25">
      <c r="A12" s="66">
        <f t="shared" si="0"/>
        <v>0</v>
      </c>
      <c r="B12" s="66" t="str">
        <f t="shared" si="1"/>
        <v/>
      </c>
      <c r="C12" s="66" t="str">
        <f>IFERROR(IF(J12&gt;0,INDEX('M03-S01'!$BB$22:$BB$198,2*(ROWS($C$4:C12)-1)+1),""),"")</f>
        <v/>
      </c>
      <c r="D12" t="s">
        <v>1096</v>
      </c>
      <c r="E12" t="str">
        <f>IFERROR(INDEX(PMELIGHTLIN[End Use Category],MATCH(INDEX('M03-S01'!$BA$22:$BA$198,2*(ROWS($E$35:E43)-1)+1),PMELIGHTLIN[Measure Validator],0)),"")</f>
        <v/>
      </c>
      <c r="F12" s="151">
        <f>INDEX('M03-S01'!$AD$22:$AD$198,2*(ROWS($F$4:F12)-1)+1)</f>
        <v>0</v>
      </c>
      <c r="G12">
        <f>INDEX('M03-S01'!$AA$22:$AA$198,2*(ROWS($G$4:G12)-1)+1)</f>
        <v>0</v>
      </c>
      <c r="H12" s="61">
        <f>IFERROR(ROUND(INDEX('M03-S01'!$U$22:$U$198,2*(ROWS($H$4:H12)-1)+1)*INDEX('M03-S01'!$AH$22:$AH$198,2*(ROWS($H$4:H12)-1)+1),2),0)</f>
        <v>0</v>
      </c>
      <c r="I12" s="61">
        <f>IFERROR(ROUND(INDEX('M03-S01'!$U$22:$U$198,2*(ROWS($I$4:I12)-1)+1)*INDEX('M03-S01'!$AJ$22:$AJ$198,2*(ROWS($I$4:I12)-1)+1),2),0)</f>
        <v>0</v>
      </c>
      <c r="J12" s="61" t="str">
        <f>INDEX('M03-S01'!$AU$22:$AU$198,2*(ROWS($J$4:J12)-1)+1)</f>
        <v/>
      </c>
      <c r="K12" t="s">
        <v>119</v>
      </c>
      <c r="L12" s="151">
        <f>IF(ISNUMBER(INDEX('M03-S01'!$AO$22:$AO$198,2*(ROWS($M$4:M12)-1)+1)),INDEX('M03-S01'!$U$22:$U$198,2*(ROWS($L$4:L12)-1)+1),0)</f>
        <v>0</v>
      </c>
      <c r="M12" s="151">
        <f>IF(ISNUMBER(INDEX('M03-S01'!$AO$22:$AO$198,2*(ROWS($M$4:M12)-1)+1)),INDEX('M03-S01'!$AL$22:$AL$198,2*(ROWS($M$4:M12)-1)+1),0)</f>
        <v>0</v>
      </c>
      <c r="N12" s="189">
        <f>IF(ISNUMBER(INDEX('M03-S01'!$AO$22:$AO$198,2*(ROWS($M$4:M12)-1)+1)),IFERROR(INDEX('M03-S01'!$AV$22:$AV$198,2*(ROWS($N$4:N12)-1)+1),0),0)</f>
        <v>0</v>
      </c>
      <c r="O12" s="61">
        <f>IF(ISNUMBER(INDEX('M03-S01'!$AO$22:$AO$198,2*(ROWS($M$4:M12)-1)+1)),IFERROR(INDEX('M03-S01'!$AO$22:$AO$198,2*(ROWS($O$4:O12)-1)+1)*INCENTCAPADJ,""),0)</f>
        <v>0</v>
      </c>
      <c r="P12" s="151" t="str">
        <f>IFERROR(IF(NOT(ISNUMBER(INDEX('M03-S01'!$AO$22:$AO$198,2*(ROWS($O$4:O12)-1)+1))),INDEX('M03-S01'!$AL$22:$AL$198,2*(ROWS($M$4:M12)-1)+1),0),0)</f>
        <v/>
      </c>
      <c r="Q12" s="189" t="str">
        <f>IFERROR(IF(NOT(ISNUMBER(INDEX('M03-S01'!$AO$22:$AO$198,2*(ROWS($O$4:O12)-1)+1))),INDEX('M03-S01'!$AV$22:$AV$198,2*(ROWS($N$4:N12)-1)+1),0),0)</f>
        <v/>
      </c>
      <c r="R12" t="str">
        <f>IFERROR(IF(NOT(ISNUMBER(INDEX('M03-S01'!$AO$22:$AO$198,2*(ROWS($O$4:O12)-1)+1))),"Not Eligible",""),"")</f>
        <v>Not Eligible</v>
      </c>
      <c r="S12" s="156" t="str">
        <f>INDEX('M03-S01'!$M$22:$M$198,2*(ROWS($S$4:S12)-1)+1)</f>
        <v/>
      </c>
      <c r="T12" s="156">
        <f>INDEX('M03-S01'!$Y$22:$Y$198,2*(ROWS($T$4:T12)-1)+1)</f>
        <v>0</v>
      </c>
      <c r="U12" s="151">
        <f>INDEX('M03-S01'!$B$22:$B$198,2*(ROWS($U$4:U12)-1)+1)</f>
        <v>7</v>
      </c>
      <c r="V12" s="58">
        <f>INDEX('M03-S01'!$E$22:$E$198,2*(ROWS($V$4:V12)-1)+1)</f>
        <v>0</v>
      </c>
      <c r="W12" s="58">
        <f>IF(INDEX('M03-S01'!$O$22:$O$198,2*(ROWS($W$4:W12)-1)+1)="Fixture","LED Fixture",INDEX('M03-S01'!$O$22:$O$198,2*(ROWS($W$4:W12)-1)+1))</f>
        <v>0</v>
      </c>
      <c r="X12">
        <f>INDEX('M03-S01'!$H$22:$H$198,2*(ROWS($X$4:X12)-1)+1)</f>
        <v>0</v>
      </c>
      <c r="Y12">
        <f>INDEX('M03-S01'!$R$22:$R$198,2*(ROWS($Y$4:Y12)-1)+1)</f>
        <v>0</v>
      </c>
      <c r="Z12">
        <f>IFERROR(INDEX('M03-S01'!$AF$22:$AF$198,2*(ROWS(Z$4:$Z12)-1)+1)/INDEX('M03-S01'!$AD$22:$AD$198,2*(ROWS(Z$4:$Z12)-1)+1),0)</f>
        <v>0</v>
      </c>
      <c r="AA12" t="str">
        <f>IFERROR(INDEX(CMLIGHTBASE[Measure Subgroup 1],MATCH(INDEX('M03-S01'!$E$22:$E$198,2*(ROWS($V$4:V12)-1)+1),CMLIGHTBASE[Base Desc 1],0)),"")</f>
        <v/>
      </c>
      <c r="AB12" t="str">
        <f>IFERROR(INDEX(CMLIGHTBASE[Measure Subgroup 2],MATCH(INDEX('M03-S01'!$E$22:$E$198,2*(ROWS($V$4:V12)-1)+1),CMLIGHTBASE[Base Desc 1],0)),"")</f>
        <v/>
      </c>
      <c r="AC12" s="135"/>
      <c r="AD12" t="str">
        <f>IF(ISNUMBER(INDEX('M03-S01'!$W$22:$W$198,2*(ROWS($AD$4:AD12)-1)+1)),INDEX('M03-S01'!$W$22:$W$198,2*(ROWS($AD$4:AD12)-1)+1)&amp;" Lamp","")</f>
        <v/>
      </c>
      <c r="AE12" s="151">
        <f>IFERROR(IF(NOT(ISNUMBER(INDEX('M03-S01'!$AO$22:$AO$198,2*(ROWS($O$4:O12)-1)+1))),INDEX('M03-S01'!$U$22:$U$198,2*(ROWS($L$4:L12)-1)+1),0),0)</f>
        <v>0</v>
      </c>
      <c r="AF12" s="151" t="str">
        <f>INDEX('M03-S01'!$AW$22:$AW$198,2*(ROWS($AF$4:AF12)-1)+1)</f>
        <v/>
      </c>
      <c r="AG12" s="151" t="str">
        <f>INDEX('M03-S01'!$AX$22:$AX$198,2*(ROWS($AG$4:AG12)-1)+1)</f>
        <v/>
      </c>
      <c r="AH12" s="151" t="str">
        <f t="shared" si="2"/>
        <v/>
      </c>
      <c r="AI12" s="151" t="str">
        <f t="shared" si="3"/>
        <v/>
      </c>
      <c r="AJ12" s="61" t="str">
        <f t="shared" si="4"/>
        <v/>
      </c>
      <c r="AK12" s="61" t="str">
        <f t="shared" si="5"/>
        <v/>
      </c>
      <c r="AL12" s="61" t="str">
        <f t="shared" si="6"/>
        <v/>
      </c>
      <c r="AM12" s="154"/>
      <c r="AN12" s="61" t="str">
        <f t="shared" si="7"/>
        <v/>
      </c>
      <c r="AO12" s="151">
        <f>INDEX('M03-S01'!$K$22:$K$198,2*(ROWS($AO$4:AO12)-1)+1)</f>
        <v>0</v>
      </c>
      <c r="AP12" s="151">
        <f>INDEX('M03-S01'!$AF$22:$AF$198,2*(ROWS($AP$4:AP12)-1)+1)</f>
        <v>0</v>
      </c>
      <c r="AQ12" s="61" t="str">
        <f>IF(INDEX('M03-S01'!$AL$22:$AL$198,2*(ROWS($AQ$4:AQ12)-1)+1)="","",IF(AND(INDEX('M03-S01'!$AL$22:$AL$198,2*(ROWS($AQ$4:AQ12)-1)+1)&lt;&gt;"",OR(ISNUMBER(SEARCH("AC With",M02S02F32)),M02S02F32="Heat Pump")),LIGHTHEATCOIN,1))</f>
        <v/>
      </c>
      <c r="AR12" s="414">
        <f>(IF(INDEX('M03-S01'!$AO$22:$AO$198,2*(ROWS($O$4:O12)-1)+1)=INDEX('M03-S01'!$BK$22:$BK$198,2*(ROWS($O$4:O12)-1)+1),0,(INDEX('M03-S01'!$BJ$22:$BJ$198,2*(ROWS($O$4:O12)-1)+1)-INDEX('M03-S01'!$BK$22:$BK$198,2*(ROWS($O$4:O12)-1)+1))))*INCENTCAPADJ</f>
        <v>0</v>
      </c>
    </row>
    <row r="13" spans="1:154" x14ac:dyDescent="0.25">
      <c r="A13" s="66">
        <f t="shared" si="0"/>
        <v>0</v>
      </c>
      <c r="B13" s="66" t="str">
        <f t="shared" si="1"/>
        <v/>
      </c>
      <c r="C13" s="66" t="str">
        <f>IFERROR(IF(J13&gt;0,INDEX('M03-S01'!$BB$22:$BB$198,2*(ROWS($C$4:C13)-1)+1),""),"")</f>
        <v/>
      </c>
      <c r="D13" t="s">
        <v>1096</v>
      </c>
      <c r="E13" t="str">
        <f>IFERROR(INDEX(PMELIGHTLIN[End Use Category],MATCH(INDEX('M03-S01'!$BA$22:$BA$198,2*(ROWS($E$35:E44)-1)+1),PMELIGHTLIN[Measure Validator],0)),"")</f>
        <v/>
      </c>
      <c r="F13" s="151">
        <f>INDEX('M03-S01'!$AD$22:$AD$198,2*(ROWS($F$4:F13)-1)+1)</f>
        <v>0</v>
      </c>
      <c r="G13">
        <f>INDEX('M03-S01'!$AA$22:$AA$198,2*(ROWS($G$4:G13)-1)+1)</f>
        <v>0</v>
      </c>
      <c r="H13" s="61">
        <f>IFERROR(ROUND(INDEX('M03-S01'!$U$22:$U$198,2*(ROWS($H$4:H13)-1)+1)*INDEX('M03-S01'!$AH$22:$AH$198,2*(ROWS($H$4:H13)-1)+1),2),0)</f>
        <v>0</v>
      </c>
      <c r="I13" s="61">
        <f>IFERROR(ROUND(INDEX('M03-S01'!$U$22:$U$198,2*(ROWS($I$4:I13)-1)+1)*INDEX('M03-S01'!$AJ$22:$AJ$198,2*(ROWS($I$4:I13)-1)+1),2),0)</f>
        <v>0</v>
      </c>
      <c r="J13" s="61" t="str">
        <f>INDEX('M03-S01'!$AU$22:$AU$198,2*(ROWS($J$4:J13)-1)+1)</f>
        <v/>
      </c>
      <c r="K13" t="s">
        <v>119</v>
      </c>
      <c r="L13" s="151">
        <f>IF(ISNUMBER(INDEX('M03-S01'!$AO$22:$AO$198,2*(ROWS($M$4:M13)-1)+1)),INDEX('M03-S01'!$U$22:$U$198,2*(ROWS($L$4:L13)-1)+1),0)</f>
        <v>0</v>
      </c>
      <c r="M13" s="151">
        <f>IF(ISNUMBER(INDEX('M03-S01'!$AO$22:$AO$198,2*(ROWS($M$4:M13)-1)+1)),INDEX('M03-S01'!$AL$22:$AL$198,2*(ROWS($M$4:M13)-1)+1),0)</f>
        <v>0</v>
      </c>
      <c r="N13" s="189">
        <f>IF(ISNUMBER(INDEX('M03-S01'!$AO$22:$AO$198,2*(ROWS($M$4:M13)-1)+1)),IFERROR(INDEX('M03-S01'!$AV$22:$AV$198,2*(ROWS($N$4:N13)-1)+1),0),0)</f>
        <v>0</v>
      </c>
      <c r="O13" s="61">
        <f>IF(ISNUMBER(INDEX('M03-S01'!$AO$22:$AO$198,2*(ROWS($M$4:M13)-1)+1)),IFERROR(INDEX('M03-S01'!$AO$22:$AO$198,2*(ROWS($O$4:O13)-1)+1)*INCENTCAPADJ,""),0)</f>
        <v>0</v>
      </c>
      <c r="P13" s="151" t="str">
        <f>IFERROR(IF(NOT(ISNUMBER(INDEX('M03-S01'!$AO$22:$AO$198,2*(ROWS($O$4:O13)-1)+1))),INDEX('M03-S01'!$AL$22:$AL$198,2*(ROWS($M$4:M13)-1)+1),0),0)</f>
        <v/>
      </c>
      <c r="Q13" s="189" t="str">
        <f>IFERROR(IF(NOT(ISNUMBER(INDEX('M03-S01'!$AO$22:$AO$198,2*(ROWS($O$4:O13)-1)+1))),INDEX('M03-S01'!$AV$22:$AV$198,2*(ROWS($N$4:N13)-1)+1),0),0)</f>
        <v/>
      </c>
      <c r="R13" t="str">
        <f>IFERROR(IF(NOT(ISNUMBER(INDEX('M03-S01'!$AO$22:$AO$198,2*(ROWS($O$4:O13)-1)+1))),"Not Eligible",""),"")</f>
        <v>Not Eligible</v>
      </c>
      <c r="S13" s="156" t="str">
        <f>INDEX('M03-S01'!$M$22:$M$198,2*(ROWS($S$4:S13)-1)+1)</f>
        <v/>
      </c>
      <c r="T13" s="156">
        <f>INDEX('M03-S01'!$Y$22:$Y$198,2*(ROWS($T$4:T13)-1)+1)</f>
        <v>0</v>
      </c>
      <c r="U13" s="151">
        <f>INDEX('M03-S01'!$B$22:$B$198,2*(ROWS($U$4:U13)-1)+1)</f>
        <v>8</v>
      </c>
      <c r="V13" s="58">
        <f>INDEX('M03-S01'!$E$22:$E$198,2*(ROWS($V$4:V13)-1)+1)</f>
        <v>0</v>
      </c>
      <c r="W13" s="58">
        <f>IF(INDEX('M03-S01'!$O$22:$O$198,2*(ROWS($W$4:W13)-1)+1)="Fixture","LED Fixture",INDEX('M03-S01'!$O$22:$O$198,2*(ROWS($W$4:W13)-1)+1))</f>
        <v>0</v>
      </c>
      <c r="X13">
        <f>INDEX('M03-S01'!$H$22:$H$198,2*(ROWS($X$4:X13)-1)+1)</f>
        <v>0</v>
      </c>
      <c r="Y13">
        <f>INDEX('M03-S01'!$R$22:$R$198,2*(ROWS($Y$4:Y13)-1)+1)</f>
        <v>0</v>
      </c>
      <c r="Z13">
        <f>IFERROR(INDEX('M03-S01'!$AF$22:$AF$198,2*(ROWS(Z$4:$Z13)-1)+1)/INDEX('M03-S01'!$AD$22:$AD$198,2*(ROWS(Z$4:$Z13)-1)+1),0)</f>
        <v>0</v>
      </c>
      <c r="AA13" t="str">
        <f>IFERROR(INDEX(CMLIGHTBASE[Measure Subgroup 1],MATCH(INDEX('M03-S01'!$E$22:$E$198,2*(ROWS($V$4:V13)-1)+1),CMLIGHTBASE[Base Desc 1],0)),"")</f>
        <v/>
      </c>
      <c r="AB13" t="str">
        <f>IFERROR(INDEX(CMLIGHTBASE[Measure Subgroup 2],MATCH(INDEX('M03-S01'!$E$22:$E$198,2*(ROWS($V$4:V13)-1)+1),CMLIGHTBASE[Base Desc 1],0)),"")</f>
        <v/>
      </c>
      <c r="AC13" s="135"/>
      <c r="AD13" t="str">
        <f>IF(ISNUMBER(INDEX('M03-S01'!$W$22:$W$198,2*(ROWS($AD$4:AD13)-1)+1)),INDEX('M03-S01'!$W$22:$W$198,2*(ROWS($AD$4:AD13)-1)+1)&amp;" Lamp","")</f>
        <v/>
      </c>
      <c r="AE13" s="151">
        <f>IFERROR(IF(NOT(ISNUMBER(INDEX('M03-S01'!$AO$22:$AO$198,2*(ROWS($O$4:O13)-1)+1))),INDEX('M03-S01'!$U$22:$U$198,2*(ROWS($L$4:L13)-1)+1),0),0)</f>
        <v>0</v>
      </c>
      <c r="AF13" s="151" t="str">
        <f>INDEX('M03-S01'!$AW$22:$AW$198,2*(ROWS($AF$4:AF13)-1)+1)</f>
        <v/>
      </c>
      <c r="AG13" s="151" t="str">
        <f>INDEX('M03-S01'!$AX$22:$AX$198,2*(ROWS($AG$4:AG13)-1)+1)</f>
        <v/>
      </c>
      <c r="AH13" s="151" t="str">
        <f t="shared" si="2"/>
        <v/>
      </c>
      <c r="AI13" s="151" t="str">
        <f t="shared" si="3"/>
        <v/>
      </c>
      <c r="AJ13" s="61" t="str">
        <f t="shared" si="4"/>
        <v/>
      </c>
      <c r="AK13" s="61" t="str">
        <f t="shared" si="5"/>
        <v/>
      </c>
      <c r="AL13" s="61" t="str">
        <f t="shared" si="6"/>
        <v/>
      </c>
      <c r="AM13" s="154"/>
      <c r="AN13" s="61" t="str">
        <f t="shared" si="7"/>
        <v/>
      </c>
      <c r="AO13" s="151">
        <f>INDEX('M03-S01'!$K$22:$K$198,2*(ROWS($AO$4:AO13)-1)+1)</f>
        <v>0</v>
      </c>
      <c r="AP13" s="151">
        <f>INDEX('M03-S01'!$AF$22:$AF$198,2*(ROWS($AP$4:AP13)-1)+1)</f>
        <v>0</v>
      </c>
      <c r="AQ13" s="61" t="str">
        <f>IF(INDEX('M03-S01'!$AL$22:$AL$198,2*(ROWS($AQ$4:AQ13)-1)+1)="","",IF(AND(INDEX('M03-S01'!$AL$22:$AL$198,2*(ROWS($AQ$4:AQ13)-1)+1)&lt;&gt;"",OR(ISNUMBER(SEARCH("AC With",M02S02F32)),M02S02F32="Heat Pump")),LIGHTHEATCOIN,1))</f>
        <v/>
      </c>
      <c r="AR13" s="414">
        <f>(IF(INDEX('M03-S01'!$AO$22:$AO$198,2*(ROWS($O$4:O13)-1)+1)=INDEX('M03-S01'!$BK$22:$BK$198,2*(ROWS($O$4:O13)-1)+1),0,(INDEX('M03-S01'!$BJ$22:$BJ$198,2*(ROWS($O$4:O13)-1)+1)-INDEX('M03-S01'!$BK$22:$BK$198,2*(ROWS($O$4:O13)-1)+1))))*INCENTCAPADJ</f>
        <v>0</v>
      </c>
    </row>
    <row r="14" spans="1:154" x14ac:dyDescent="0.25">
      <c r="A14" s="66">
        <f t="shared" si="0"/>
        <v>0</v>
      </c>
      <c r="B14" s="66" t="str">
        <f t="shared" si="1"/>
        <v/>
      </c>
      <c r="C14" s="66" t="str">
        <f>IFERROR(IF(J14&gt;0,INDEX('M03-S01'!$BB$22:$BB$198,2*(ROWS($C$4:C14)-1)+1),""),"")</f>
        <v/>
      </c>
      <c r="D14" t="s">
        <v>1096</v>
      </c>
      <c r="E14" t="str">
        <f>IFERROR(INDEX(PMELIGHTLIN[End Use Category],MATCH(INDEX('M03-S01'!$BA$22:$BA$198,2*(ROWS($E$35:E45)-1)+1),PMELIGHTLIN[Measure Validator],0)),"")</f>
        <v/>
      </c>
      <c r="F14" s="151">
        <f>INDEX('M03-S01'!$AD$22:$AD$198,2*(ROWS($F$4:F14)-1)+1)</f>
        <v>0</v>
      </c>
      <c r="G14">
        <f>INDEX('M03-S01'!$AA$22:$AA$198,2*(ROWS($G$4:G14)-1)+1)</f>
        <v>0</v>
      </c>
      <c r="H14" s="61">
        <f>IFERROR(ROUND(INDEX('M03-S01'!$U$22:$U$198,2*(ROWS($H$4:H14)-1)+1)*INDEX('M03-S01'!$AH$22:$AH$198,2*(ROWS($H$4:H14)-1)+1),2),0)</f>
        <v>0</v>
      </c>
      <c r="I14" s="61">
        <f>IFERROR(ROUND(INDEX('M03-S01'!$U$22:$U$198,2*(ROWS($I$4:I14)-1)+1)*INDEX('M03-S01'!$AJ$22:$AJ$198,2*(ROWS($I$4:I14)-1)+1),2),0)</f>
        <v>0</v>
      </c>
      <c r="J14" s="61" t="str">
        <f>INDEX('M03-S01'!$AU$22:$AU$198,2*(ROWS($J$4:J14)-1)+1)</f>
        <v/>
      </c>
      <c r="K14" t="s">
        <v>119</v>
      </c>
      <c r="L14" s="151">
        <f>IF(ISNUMBER(INDEX('M03-S01'!$AO$22:$AO$198,2*(ROWS($M$4:M14)-1)+1)),INDEX('M03-S01'!$U$22:$U$198,2*(ROWS($L$4:L14)-1)+1),0)</f>
        <v>0</v>
      </c>
      <c r="M14" s="151">
        <f>IF(ISNUMBER(INDEX('M03-S01'!$AO$22:$AO$198,2*(ROWS($M$4:M14)-1)+1)),INDEX('M03-S01'!$AL$22:$AL$198,2*(ROWS($M$4:M14)-1)+1),0)</f>
        <v>0</v>
      </c>
      <c r="N14" s="189">
        <f>IF(ISNUMBER(INDEX('M03-S01'!$AO$22:$AO$198,2*(ROWS($M$4:M14)-1)+1)),IFERROR(INDEX('M03-S01'!$AV$22:$AV$198,2*(ROWS($N$4:N14)-1)+1),0),0)</f>
        <v>0</v>
      </c>
      <c r="O14" s="61">
        <f>IF(ISNUMBER(INDEX('M03-S01'!$AO$22:$AO$198,2*(ROWS($M$4:M14)-1)+1)),IFERROR(INDEX('M03-S01'!$AO$22:$AO$198,2*(ROWS($O$4:O14)-1)+1)*INCENTCAPADJ,""),0)</f>
        <v>0</v>
      </c>
      <c r="P14" s="151" t="str">
        <f>IFERROR(IF(NOT(ISNUMBER(INDEX('M03-S01'!$AO$22:$AO$198,2*(ROWS($O$4:O14)-1)+1))),INDEX('M03-S01'!$AL$22:$AL$198,2*(ROWS($M$4:M14)-1)+1),0),0)</f>
        <v/>
      </c>
      <c r="Q14" s="189" t="str">
        <f>IFERROR(IF(NOT(ISNUMBER(INDEX('M03-S01'!$AO$22:$AO$198,2*(ROWS($O$4:O14)-1)+1))),INDEX('M03-S01'!$AV$22:$AV$198,2*(ROWS($N$4:N14)-1)+1),0),0)</f>
        <v/>
      </c>
      <c r="R14" t="str">
        <f>IFERROR(IF(NOT(ISNUMBER(INDEX('M03-S01'!$AO$22:$AO$198,2*(ROWS($O$4:O14)-1)+1))),"Not Eligible",""),"")</f>
        <v>Not Eligible</v>
      </c>
      <c r="S14" s="156" t="str">
        <f>INDEX('M03-S01'!$M$22:$M$198,2*(ROWS($S$4:S14)-1)+1)</f>
        <v/>
      </c>
      <c r="T14" s="156">
        <f>INDEX('M03-S01'!$Y$22:$Y$198,2*(ROWS($T$4:T14)-1)+1)</f>
        <v>0</v>
      </c>
      <c r="U14" s="151">
        <f>INDEX('M03-S01'!$B$22:$B$198,2*(ROWS($U$4:U14)-1)+1)</f>
        <v>9</v>
      </c>
      <c r="V14" s="58">
        <f>INDEX('M03-S01'!$E$22:$E$198,2*(ROWS($V$4:V14)-1)+1)</f>
        <v>0</v>
      </c>
      <c r="W14" s="58">
        <f>IF(INDEX('M03-S01'!$O$22:$O$198,2*(ROWS($W$4:W14)-1)+1)="Fixture","LED Fixture",INDEX('M03-S01'!$O$22:$O$198,2*(ROWS($W$4:W14)-1)+1))</f>
        <v>0</v>
      </c>
      <c r="X14">
        <f>INDEX('M03-S01'!$H$22:$H$198,2*(ROWS($X$4:X14)-1)+1)</f>
        <v>0</v>
      </c>
      <c r="Y14">
        <f>INDEX('M03-S01'!$R$22:$R$198,2*(ROWS($Y$4:Y14)-1)+1)</f>
        <v>0</v>
      </c>
      <c r="Z14">
        <f>IFERROR(INDEX('M03-S01'!$AF$22:$AF$198,2*(ROWS(Z$4:$Z14)-1)+1)/INDEX('M03-S01'!$AD$22:$AD$198,2*(ROWS(Z$4:$Z14)-1)+1),0)</f>
        <v>0</v>
      </c>
      <c r="AA14" t="str">
        <f>IFERROR(INDEX(CMLIGHTBASE[Measure Subgroup 1],MATCH(INDEX('M03-S01'!$E$22:$E$198,2*(ROWS($V$4:V14)-1)+1),CMLIGHTBASE[Base Desc 1],0)),"")</f>
        <v/>
      </c>
      <c r="AB14" t="str">
        <f>IFERROR(INDEX(CMLIGHTBASE[Measure Subgroup 2],MATCH(INDEX('M03-S01'!$E$22:$E$198,2*(ROWS($V$4:V14)-1)+1),CMLIGHTBASE[Base Desc 1],0)),"")</f>
        <v/>
      </c>
      <c r="AC14" s="135"/>
      <c r="AD14" t="str">
        <f>IF(ISNUMBER(INDEX('M03-S01'!$W$22:$W$198,2*(ROWS($AD$4:AD14)-1)+1)),INDEX('M03-S01'!$W$22:$W$198,2*(ROWS($AD$4:AD14)-1)+1)&amp;" Lamp","")</f>
        <v/>
      </c>
      <c r="AE14" s="151">
        <f>IFERROR(IF(NOT(ISNUMBER(INDEX('M03-S01'!$AO$22:$AO$198,2*(ROWS($O$4:O14)-1)+1))),INDEX('M03-S01'!$U$22:$U$198,2*(ROWS($L$4:L14)-1)+1),0),0)</f>
        <v>0</v>
      </c>
      <c r="AF14" s="151" t="str">
        <f>INDEX('M03-S01'!$AW$22:$AW$198,2*(ROWS($AF$4:AF14)-1)+1)</f>
        <v/>
      </c>
      <c r="AG14" s="151" t="str">
        <f>INDEX('M03-S01'!$AX$22:$AX$198,2*(ROWS($AG$4:AG14)-1)+1)</f>
        <v/>
      </c>
      <c r="AH14" s="151" t="str">
        <f t="shared" si="2"/>
        <v/>
      </c>
      <c r="AI14" s="151" t="str">
        <f t="shared" si="3"/>
        <v/>
      </c>
      <c r="AJ14" s="61" t="str">
        <f t="shared" si="4"/>
        <v/>
      </c>
      <c r="AK14" s="61" t="str">
        <f t="shared" si="5"/>
        <v/>
      </c>
      <c r="AL14" s="61" t="str">
        <f t="shared" si="6"/>
        <v/>
      </c>
      <c r="AM14" s="154"/>
      <c r="AN14" s="61" t="str">
        <f t="shared" si="7"/>
        <v/>
      </c>
      <c r="AO14" s="151">
        <f>INDEX('M03-S01'!$K$22:$K$198,2*(ROWS($AO$4:AO14)-1)+1)</f>
        <v>0</v>
      </c>
      <c r="AP14" s="151">
        <f>INDEX('M03-S01'!$AF$22:$AF$198,2*(ROWS($AP$4:AP14)-1)+1)</f>
        <v>0</v>
      </c>
      <c r="AQ14" s="61" t="str">
        <f>IF(INDEX('M03-S01'!$AL$22:$AL$198,2*(ROWS($AQ$4:AQ14)-1)+1)="","",IF(AND(INDEX('M03-S01'!$AL$22:$AL$198,2*(ROWS($AQ$4:AQ14)-1)+1)&lt;&gt;"",OR(ISNUMBER(SEARCH("AC With",M02S02F32)),M02S02F32="Heat Pump")),LIGHTHEATCOIN,1))</f>
        <v/>
      </c>
      <c r="AR14" s="414">
        <f>(IF(INDEX('M03-S01'!$AO$22:$AO$198,2*(ROWS($O$4:O14)-1)+1)=INDEX('M03-S01'!$BK$22:$BK$198,2*(ROWS($O$4:O14)-1)+1),0,(INDEX('M03-S01'!$BJ$22:$BJ$198,2*(ROWS($O$4:O14)-1)+1)-INDEX('M03-S01'!$BK$22:$BK$198,2*(ROWS($O$4:O14)-1)+1))))*INCENTCAPADJ</f>
        <v>0</v>
      </c>
    </row>
    <row r="15" spans="1:154" x14ac:dyDescent="0.25">
      <c r="A15" s="66">
        <f t="shared" si="0"/>
        <v>0</v>
      </c>
      <c r="B15" s="66" t="str">
        <f t="shared" si="1"/>
        <v/>
      </c>
      <c r="C15" s="66" t="str">
        <f>IFERROR(IF(J15&gt;0,INDEX('M03-S01'!$BB$22:$BB$198,2*(ROWS($C$4:C15)-1)+1),""),"")</f>
        <v/>
      </c>
      <c r="D15" t="s">
        <v>1096</v>
      </c>
      <c r="E15" t="str">
        <f>IFERROR(INDEX(PMELIGHTLIN[End Use Category],MATCH(INDEX('M03-S01'!$BA$22:$BA$198,2*(ROWS($E$35:E46)-1)+1),PMELIGHTLIN[Measure Validator],0)),"")</f>
        <v/>
      </c>
      <c r="F15" s="151">
        <f>INDEX('M03-S01'!$AD$22:$AD$198,2*(ROWS($F$4:F15)-1)+1)</f>
        <v>0</v>
      </c>
      <c r="G15">
        <f>INDEX('M03-S01'!$AA$22:$AA$198,2*(ROWS($G$4:G15)-1)+1)</f>
        <v>0</v>
      </c>
      <c r="H15" s="61">
        <f>IFERROR(ROUND(INDEX('M03-S01'!$U$22:$U$198,2*(ROWS($H$4:H15)-1)+1)*INDEX('M03-S01'!$AH$22:$AH$198,2*(ROWS($H$4:H15)-1)+1),2),0)</f>
        <v>0</v>
      </c>
      <c r="I15" s="61">
        <f>IFERROR(ROUND(INDEX('M03-S01'!$U$22:$U$198,2*(ROWS($I$4:I15)-1)+1)*INDEX('M03-S01'!$AJ$22:$AJ$198,2*(ROWS($I$4:I15)-1)+1),2),0)</f>
        <v>0</v>
      </c>
      <c r="J15" s="61" t="str">
        <f>INDEX('M03-S01'!$AU$22:$AU$198,2*(ROWS($J$4:J15)-1)+1)</f>
        <v/>
      </c>
      <c r="K15" t="s">
        <v>119</v>
      </c>
      <c r="L15" s="151">
        <f>IF(ISNUMBER(INDEX('M03-S01'!$AO$22:$AO$198,2*(ROWS($M$4:M15)-1)+1)),INDEX('M03-S01'!$U$22:$U$198,2*(ROWS($L$4:L15)-1)+1),0)</f>
        <v>0</v>
      </c>
      <c r="M15" s="151">
        <f>IF(ISNUMBER(INDEX('M03-S01'!$AO$22:$AO$198,2*(ROWS($M$4:M15)-1)+1)),INDEX('M03-S01'!$AL$22:$AL$198,2*(ROWS($M$4:M15)-1)+1),0)</f>
        <v>0</v>
      </c>
      <c r="N15" s="189">
        <f>IF(ISNUMBER(INDEX('M03-S01'!$AO$22:$AO$198,2*(ROWS($M$4:M15)-1)+1)),IFERROR(INDEX('M03-S01'!$AV$22:$AV$198,2*(ROWS($N$4:N15)-1)+1),0),0)</f>
        <v>0</v>
      </c>
      <c r="O15" s="61">
        <f>IF(ISNUMBER(INDEX('M03-S01'!$AO$22:$AO$198,2*(ROWS($M$4:M15)-1)+1)),IFERROR(INDEX('M03-S01'!$AO$22:$AO$198,2*(ROWS($O$4:O15)-1)+1)*INCENTCAPADJ,""),0)</f>
        <v>0</v>
      </c>
      <c r="P15" s="151" t="str">
        <f>IFERROR(IF(NOT(ISNUMBER(INDEX('M03-S01'!$AO$22:$AO$198,2*(ROWS($O$4:O15)-1)+1))),INDEX('M03-S01'!$AL$22:$AL$198,2*(ROWS($M$4:M15)-1)+1),0),0)</f>
        <v/>
      </c>
      <c r="Q15" s="189" t="str">
        <f>IFERROR(IF(NOT(ISNUMBER(INDEX('M03-S01'!$AO$22:$AO$198,2*(ROWS($O$4:O15)-1)+1))),INDEX('M03-S01'!$AV$22:$AV$198,2*(ROWS($N$4:N15)-1)+1),0),0)</f>
        <v/>
      </c>
      <c r="R15" t="str">
        <f>IFERROR(IF(NOT(ISNUMBER(INDEX('M03-S01'!$AO$22:$AO$198,2*(ROWS($O$4:O15)-1)+1))),"Not Eligible",""),"")</f>
        <v>Not Eligible</v>
      </c>
      <c r="S15" s="156" t="str">
        <f>INDEX('M03-S01'!$M$22:$M$198,2*(ROWS($S$4:S15)-1)+1)</f>
        <v/>
      </c>
      <c r="T15" s="156">
        <f>INDEX('M03-S01'!$Y$22:$Y$198,2*(ROWS($T$4:T15)-1)+1)</f>
        <v>0</v>
      </c>
      <c r="U15" s="151">
        <f>INDEX('M03-S01'!$B$22:$B$198,2*(ROWS($U$4:U15)-1)+1)</f>
        <v>10</v>
      </c>
      <c r="V15" s="58">
        <f>INDEX('M03-S01'!$E$22:$E$198,2*(ROWS($V$4:V15)-1)+1)</f>
        <v>0</v>
      </c>
      <c r="W15" s="58">
        <f>IF(INDEX('M03-S01'!$O$22:$O$198,2*(ROWS($W$4:W15)-1)+1)="Fixture","LED Fixture",INDEX('M03-S01'!$O$22:$O$198,2*(ROWS($W$4:W15)-1)+1))</f>
        <v>0</v>
      </c>
      <c r="X15">
        <f>INDEX('M03-S01'!$H$22:$H$198,2*(ROWS($X$4:X15)-1)+1)</f>
        <v>0</v>
      </c>
      <c r="Y15">
        <f>INDEX('M03-S01'!$R$22:$R$198,2*(ROWS($Y$4:Y15)-1)+1)</f>
        <v>0</v>
      </c>
      <c r="Z15">
        <f>IFERROR(INDEX('M03-S01'!$AF$22:$AF$198,2*(ROWS(Z$4:$Z15)-1)+1)/INDEX('M03-S01'!$AD$22:$AD$198,2*(ROWS(Z$4:$Z15)-1)+1),0)</f>
        <v>0</v>
      </c>
      <c r="AA15" t="str">
        <f>IFERROR(INDEX(CMLIGHTBASE[Measure Subgroup 1],MATCH(INDEX('M03-S01'!$E$22:$E$198,2*(ROWS($V$4:V15)-1)+1),CMLIGHTBASE[Base Desc 1],0)),"")</f>
        <v/>
      </c>
      <c r="AB15" t="str">
        <f>IFERROR(INDEX(CMLIGHTBASE[Measure Subgroup 2],MATCH(INDEX('M03-S01'!$E$22:$E$198,2*(ROWS($V$4:V15)-1)+1),CMLIGHTBASE[Base Desc 1],0)),"")</f>
        <v/>
      </c>
      <c r="AC15" s="135"/>
      <c r="AD15" t="str">
        <f>IF(ISNUMBER(INDEX('M03-S01'!$W$22:$W$198,2*(ROWS($AD$4:AD15)-1)+1)),INDEX('M03-S01'!$W$22:$W$198,2*(ROWS($AD$4:AD15)-1)+1)&amp;" Lamp","")</f>
        <v/>
      </c>
      <c r="AE15" s="151">
        <f>IFERROR(IF(NOT(ISNUMBER(INDEX('M03-S01'!$AO$22:$AO$198,2*(ROWS($O$4:O15)-1)+1))),INDEX('M03-S01'!$U$22:$U$198,2*(ROWS($L$4:L15)-1)+1),0),0)</f>
        <v>0</v>
      </c>
      <c r="AF15" s="151" t="str">
        <f>INDEX('M03-S01'!$AW$22:$AW$198,2*(ROWS($AF$4:AF15)-1)+1)</f>
        <v/>
      </c>
      <c r="AG15" s="151" t="str">
        <f>INDEX('M03-S01'!$AX$22:$AX$198,2*(ROWS($AG$4:AG15)-1)+1)</f>
        <v/>
      </c>
      <c r="AH15" s="151" t="str">
        <f t="shared" si="2"/>
        <v/>
      </c>
      <c r="AI15" s="151" t="str">
        <f t="shared" si="3"/>
        <v/>
      </c>
      <c r="AJ15" s="61" t="str">
        <f t="shared" si="4"/>
        <v/>
      </c>
      <c r="AK15" s="61" t="str">
        <f t="shared" si="5"/>
        <v/>
      </c>
      <c r="AL15" s="61" t="str">
        <f t="shared" si="6"/>
        <v/>
      </c>
      <c r="AM15" s="154"/>
      <c r="AN15" s="61" t="str">
        <f t="shared" si="7"/>
        <v/>
      </c>
      <c r="AO15" s="151">
        <f>INDEX('M03-S01'!$K$22:$K$198,2*(ROWS($AO$4:AO15)-1)+1)</f>
        <v>0</v>
      </c>
      <c r="AP15" s="151">
        <f>INDEX('M03-S01'!$AF$22:$AF$198,2*(ROWS($AP$4:AP15)-1)+1)</f>
        <v>0</v>
      </c>
      <c r="AQ15" s="61" t="str">
        <f>IF(INDEX('M03-S01'!$AL$22:$AL$198,2*(ROWS($AQ$4:AQ15)-1)+1)="","",IF(AND(INDEX('M03-S01'!$AL$22:$AL$198,2*(ROWS($AQ$4:AQ15)-1)+1)&lt;&gt;"",OR(ISNUMBER(SEARCH("AC With",M02S02F32)),M02S02F32="Heat Pump")),LIGHTHEATCOIN,1))</f>
        <v/>
      </c>
      <c r="AR15" s="414">
        <f>(IF(INDEX('M03-S01'!$AO$22:$AO$198,2*(ROWS($O$4:O15)-1)+1)=INDEX('M03-S01'!$BK$22:$BK$198,2*(ROWS($O$4:O15)-1)+1),0,(INDEX('M03-S01'!$BJ$22:$BJ$198,2*(ROWS($O$4:O15)-1)+1)-INDEX('M03-S01'!$BK$22:$BK$198,2*(ROWS($O$4:O15)-1)+1))))*INCENTCAPADJ</f>
        <v>0</v>
      </c>
    </row>
    <row r="16" spans="1:154" x14ac:dyDescent="0.25">
      <c r="A16" s="66">
        <f t="shared" si="0"/>
        <v>0</v>
      </c>
      <c r="B16" s="66" t="str">
        <f t="shared" si="1"/>
        <v/>
      </c>
      <c r="C16" s="66" t="str">
        <f>IFERROR(IF(J16&gt;0,INDEX('M03-S01'!$BB$22:$BB$198,2*(ROWS($C$4:C16)-1)+1),""),"")</f>
        <v/>
      </c>
      <c r="D16" t="s">
        <v>1096</v>
      </c>
      <c r="E16" t="str">
        <f>IFERROR(INDEX(PMELIGHTLIN[End Use Category],MATCH(INDEX('M03-S01'!$BA$22:$BA$198,2*(ROWS($E$35:E47)-1)+1),PMELIGHTLIN[Measure Validator],0)),"")</f>
        <v/>
      </c>
      <c r="F16" s="151">
        <f>INDEX('M03-S01'!$AD$22:$AD$198,2*(ROWS($F$4:F16)-1)+1)</f>
        <v>0</v>
      </c>
      <c r="G16">
        <f>INDEX('M03-S01'!$AA$22:$AA$198,2*(ROWS($G$4:G16)-1)+1)</f>
        <v>0</v>
      </c>
      <c r="H16" s="61">
        <f>IFERROR(ROUND(INDEX('M03-S01'!$U$22:$U$198,2*(ROWS($H$4:H16)-1)+1)*INDEX('M03-S01'!$AH$22:$AH$198,2*(ROWS($H$4:H16)-1)+1),2),0)</f>
        <v>0</v>
      </c>
      <c r="I16" s="61">
        <f>IFERROR(ROUND(INDEX('M03-S01'!$U$22:$U$198,2*(ROWS($I$4:I16)-1)+1)*INDEX('M03-S01'!$AJ$22:$AJ$198,2*(ROWS($I$4:I16)-1)+1),2),0)</f>
        <v>0</v>
      </c>
      <c r="J16" s="61" t="str">
        <f>INDEX('M03-S01'!$AU$22:$AU$198,2*(ROWS($J$4:J16)-1)+1)</f>
        <v/>
      </c>
      <c r="K16" t="s">
        <v>119</v>
      </c>
      <c r="L16" s="151">
        <f>IF(ISNUMBER(INDEX('M03-S01'!$AO$22:$AO$198,2*(ROWS($M$4:M16)-1)+1)),INDEX('M03-S01'!$U$22:$U$198,2*(ROWS($L$4:L16)-1)+1),0)</f>
        <v>0</v>
      </c>
      <c r="M16" s="151">
        <f>IF(ISNUMBER(INDEX('M03-S01'!$AO$22:$AO$198,2*(ROWS($M$4:M16)-1)+1)),INDEX('M03-S01'!$AL$22:$AL$198,2*(ROWS($M$4:M16)-1)+1),0)</f>
        <v>0</v>
      </c>
      <c r="N16" s="189">
        <f>IF(ISNUMBER(INDEX('M03-S01'!$AO$22:$AO$198,2*(ROWS($M$4:M16)-1)+1)),IFERROR(INDEX('M03-S01'!$AV$22:$AV$198,2*(ROWS($N$4:N16)-1)+1),0),0)</f>
        <v>0</v>
      </c>
      <c r="O16" s="61">
        <f>IF(ISNUMBER(INDEX('M03-S01'!$AO$22:$AO$198,2*(ROWS($M$4:M16)-1)+1)),IFERROR(INDEX('M03-S01'!$AO$22:$AO$198,2*(ROWS($O$4:O16)-1)+1)*INCENTCAPADJ,""),0)</f>
        <v>0</v>
      </c>
      <c r="P16" s="151" t="str">
        <f>IFERROR(IF(NOT(ISNUMBER(INDEX('M03-S01'!$AO$22:$AO$198,2*(ROWS($O$4:O16)-1)+1))),INDEX('M03-S01'!$AL$22:$AL$198,2*(ROWS($M$4:M16)-1)+1),0),0)</f>
        <v/>
      </c>
      <c r="Q16" s="189" t="str">
        <f>IFERROR(IF(NOT(ISNUMBER(INDEX('M03-S01'!$AO$22:$AO$198,2*(ROWS($O$4:O16)-1)+1))),INDEX('M03-S01'!$AV$22:$AV$198,2*(ROWS($N$4:N16)-1)+1),0),0)</f>
        <v/>
      </c>
      <c r="R16" t="str">
        <f>IFERROR(IF(NOT(ISNUMBER(INDEX('M03-S01'!$AO$22:$AO$198,2*(ROWS($O$4:O16)-1)+1))),"Not Eligible",""),"")</f>
        <v>Not Eligible</v>
      </c>
      <c r="S16" s="156" t="str">
        <f>INDEX('M03-S01'!$M$22:$M$198,2*(ROWS($S$4:S16)-1)+1)</f>
        <v/>
      </c>
      <c r="T16" s="156">
        <f>INDEX('M03-S01'!$Y$22:$Y$198,2*(ROWS($T$4:T16)-1)+1)</f>
        <v>0</v>
      </c>
      <c r="U16" s="151">
        <f>INDEX('M03-S01'!$B$22:$B$198,2*(ROWS($U$4:U16)-1)+1)</f>
        <v>11</v>
      </c>
      <c r="V16" s="58">
        <f>INDEX('M03-S01'!$E$22:$E$198,2*(ROWS($V$4:V16)-1)+1)</f>
        <v>0</v>
      </c>
      <c r="W16" s="58">
        <f>IF(INDEX('M03-S01'!$O$22:$O$198,2*(ROWS($W$4:W16)-1)+1)="Fixture","LED Fixture",INDEX('M03-S01'!$O$22:$O$198,2*(ROWS($W$4:W16)-1)+1))</f>
        <v>0</v>
      </c>
      <c r="X16">
        <f>INDEX('M03-S01'!$H$22:$H$198,2*(ROWS($X$4:X16)-1)+1)</f>
        <v>0</v>
      </c>
      <c r="Y16">
        <f>INDEX('M03-S01'!$R$22:$R$198,2*(ROWS($Y$4:Y16)-1)+1)</f>
        <v>0</v>
      </c>
      <c r="Z16">
        <f>IFERROR(INDEX('M03-S01'!$AF$22:$AF$198,2*(ROWS(Z$4:$Z16)-1)+1)/INDEX('M03-S01'!$AD$22:$AD$198,2*(ROWS(Z$4:$Z16)-1)+1),0)</f>
        <v>0</v>
      </c>
      <c r="AA16" t="str">
        <f>IFERROR(INDEX(CMLIGHTBASE[Measure Subgroup 1],MATCH(INDEX('M03-S01'!$E$22:$E$198,2*(ROWS($V$4:V16)-1)+1),CMLIGHTBASE[Base Desc 1],0)),"")</f>
        <v/>
      </c>
      <c r="AB16" t="str">
        <f>IFERROR(INDEX(CMLIGHTBASE[Measure Subgroup 2],MATCH(INDEX('M03-S01'!$E$22:$E$198,2*(ROWS($V$4:V16)-1)+1),CMLIGHTBASE[Base Desc 1],0)),"")</f>
        <v/>
      </c>
      <c r="AC16" s="135"/>
      <c r="AD16" t="str">
        <f>IF(ISNUMBER(INDEX('M03-S01'!$W$22:$W$198,2*(ROWS($AD$4:AD16)-1)+1)),INDEX('M03-S01'!$W$22:$W$198,2*(ROWS($AD$4:AD16)-1)+1)&amp;" Lamp","")</f>
        <v/>
      </c>
      <c r="AE16" s="151">
        <f>IFERROR(IF(NOT(ISNUMBER(INDEX('M03-S01'!$AO$22:$AO$198,2*(ROWS($O$4:O16)-1)+1))),INDEX('M03-S01'!$U$22:$U$198,2*(ROWS($L$4:L16)-1)+1),0),0)</f>
        <v>0</v>
      </c>
      <c r="AF16" s="151" t="str">
        <f>INDEX('M03-S01'!$AW$22:$AW$198,2*(ROWS($AF$4:AF16)-1)+1)</f>
        <v/>
      </c>
      <c r="AG16" s="151" t="str">
        <f>INDEX('M03-S01'!$AX$22:$AX$198,2*(ROWS($AG$4:AG16)-1)+1)</f>
        <v/>
      </c>
      <c r="AH16" s="151" t="str">
        <f t="shared" si="2"/>
        <v/>
      </c>
      <c r="AI16" s="151" t="str">
        <f t="shared" si="3"/>
        <v/>
      </c>
      <c r="AJ16" s="61" t="str">
        <f t="shared" si="4"/>
        <v/>
      </c>
      <c r="AK16" s="61" t="str">
        <f t="shared" si="5"/>
        <v/>
      </c>
      <c r="AL16" s="61" t="str">
        <f t="shared" si="6"/>
        <v/>
      </c>
      <c r="AM16" s="154"/>
      <c r="AN16" s="61" t="str">
        <f t="shared" si="7"/>
        <v/>
      </c>
      <c r="AO16" s="151">
        <f>INDEX('M03-S01'!$K$22:$K$198,2*(ROWS($AO$4:AO16)-1)+1)</f>
        <v>0</v>
      </c>
      <c r="AP16" s="151">
        <f>INDEX('M03-S01'!$AF$22:$AF$198,2*(ROWS($AP$4:AP16)-1)+1)</f>
        <v>0</v>
      </c>
      <c r="AQ16" s="61" t="str">
        <f>IF(INDEX('M03-S01'!$AL$22:$AL$198,2*(ROWS($AQ$4:AQ16)-1)+1)="","",IF(AND(INDEX('M03-S01'!$AL$22:$AL$198,2*(ROWS($AQ$4:AQ16)-1)+1)&lt;&gt;"",OR(ISNUMBER(SEARCH("AC With",M02S02F32)),M02S02F32="Heat Pump")),LIGHTHEATCOIN,1))</f>
        <v/>
      </c>
      <c r="AR16" s="414">
        <f>(IF(INDEX('M03-S01'!$AO$22:$AO$198,2*(ROWS($O$4:O16)-1)+1)=INDEX('M03-S01'!$BK$22:$BK$198,2*(ROWS($O$4:O16)-1)+1),0,(INDEX('M03-S01'!$BJ$22:$BJ$198,2*(ROWS($O$4:O16)-1)+1)-INDEX('M03-S01'!$BK$22:$BK$198,2*(ROWS($O$4:O16)-1)+1))))*INCENTCAPADJ</f>
        <v>0</v>
      </c>
    </row>
    <row r="17" spans="1:44" x14ac:dyDescent="0.25">
      <c r="A17" s="66">
        <f t="shared" si="0"/>
        <v>0</v>
      </c>
      <c r="B17" s="66" t="str">
        <f t="shared" si="1"/>
        <v/>
      </c>
      <c r="C17" s="66" t="str">
        <f>IFERROR(IF(J17&gt;0,INDEX('M03-S01'!$BB$22:$BB$198,2*(ROWS($C$4:C17)-1)+1),""),"")</f>
        <v/>
      </c>
      <c r="D17" t="s">
        <v>1096</v>
      </c>
      <c r="E17" t="str">
        <f>IFERROR(INDEX(PMELIGHTLIN[End Use Category],MATCH(INDEX('M03-S01'!$BA$22:$BA$198,2*(ROWS($E$35:E48)-1)+1),PMELIGHTLIN[Measure Validator],0)),"")</f>
        <v/>
      </c>
      <c r="F17" s="151">
        <f>INDEX('M03-S01'!$AD$22:$AD$198,2*(ROWS($F$4:F17)-1)+1)</f>
        <v>0</v>
      </c>
      <c r="G17">
        <f>INDEX('M03-S01'!$AA$22:$AA$198,2*(ROWS($G$4:G17)-1)+1)</f>
        <v>0</v>
      </c>
      <c r="H17" s="61">
        <f>IFERROR(ROUND(INDEX('M03-S01'!$U$22:$U$198,2*(ROWS($H$4:H17)-1)+1)*INDEX('M03-S01'!$AH$22:$AH$198,2*(ROWS($H$4:H17)-1)+1),2),0)</f>
        <v>0</v>
      </c>
      <c r="I17" s="61">
        <f>IFERROR(ROUND(INDEX('M03-S01'!$U$22:$U$198,2*(ROWS($I$4:I17)-1)+1)*INDEX('M03-S01'!$AJ$22:$AJ$198,2*(ROWS($I$4:I17)-1)+1),2),0)</f>
        <v>0</v>
      </c>
      <c r="J17" s="61" t="str">
        <f>INDEX('M03-S01'!$AU$22:$AU$198,2*(ROWS($J$4:J17)-1)+1)</f>
        <v/>
      </c>
      <c r="K17" t="s">
        <v>119</v>
      </c>
      <c r="L17" s="151">
        <f>IF(ISNUMBER(INDEX('M03-S01'!$AO$22:$AO$198,2*(ROWS($M$4:M17)-1)+1)),INDEX('M03-S01'!$U$22:$U$198,2*(ROWS($L$4:L17)-1)+1),0)</f>
        <v>0</v>
      </c>
      <c r="M17" s="151">
        <f>IF(ISNUMBER(INDEX('M03-S01'!$AO$22:$AO$198,2*(ROWS($M$4:M17)-1)+1)),INDEX('M03-S01'!$AL$22:$AL$198,2*(ROWS($M$4:M17)-1)+1),0)</f>
        <v>0</v>
      </c>
      <c r="N17" s="189">
        <f>IF(ISNUMBER(INDEX('M03-S01'!$AO$22:$AO$198,2*(ROWS($M$4:M17)-1)+1)),IFERROR(INDEX('M03-S01'!$AV$22:$AV$198,2*(ROWS($N$4:N17)-1)+1),0),0)</f>
        <v>0</v>
      </c>
      <c r="O17" s="61">
        <f>IF(ISNUMBER(INDEX('M03-S01'!$AO$22:$AO$198,2*(ROWS($M$4:M17)-1)+1)),IFERROR(INDEX('M03-S01'!$AO$22:$AO$198,2*(ROWS($O$4:O17)-1)+1)*INCENTCAPADJ,""),0)</f>
        <v>0</v>
      </c>
      <c r="P17" s="151" t="str">
        <f>IFERROR(IF(NOT(ISNUMBER(INDEX('M03-S01'!$AO$22:$AO$198,2*(ROWS($O$4:O17)-1)+1))),INDEX('M03-S01'!$AL$22:$AL$198,2*(ROWS($M$4:M17)-1)+1),0),0)</f>
        <v/>
      </c>
      <c r="Q17" s="189" t="str">
        <f>IFERROR(IF(NOT(ISNUMBER(INDEX('M03-S01'!$AO$22:$AO$198,2*(ROWS($O$4:O17)-1)+1))),INDEX('M03-S01'!$AV$22:$AV$198,2*(ROWS($N$4:N17)-1)+1),0),0)</f>
        <v/>
      </c>
      <c r="R17" t="str">
        <f>IFERROR(IF(NOT(ISNUMBER(INDEX('M03-S01'!$AO$22:$AO$198,2*(ROWS($O$4:O17)-1)+1))),"Not Eligible",""),"")</f>
        <v>Not Eligible</v>
      </c>
      <c r="S17" s="156" t="str">
        <f>INDEX('M03-S01'!$M$22:$M$198,2*(ROWS($S$4:S17)-1)+1)</f>
        <v/>
      </c>
      <c r="T17" s="156">
        <f>INDEX('M03-S01'!$Y$22:$Y$198,2*(ROWS($T$4:T17)-1)+1)</f>
        <v>0</v>
      </c>
      <c r="U17" s="151">
        <f>INDEX('M03-S01'!$B$22:$B$198,2*(ROWS($U$4:U17)-1)+1)</f>
        <v>12</v>
      </c>
      <c r="V17" s="58">
        <f>INDEX('M03-S01'!$E$22:$E$198,2*(ROWS($V$4:V17)-1)+1)</f>
        <v>0</v>
      </c>
      <c r="W17" s="58">
        <f>IF(INDEX('M03-S01'!$O$22:$O$198,2*(ROWS($W$4:W17)-1)+1)="Fixture","LED Fixture",INDEX('M03-S01'!$O$22:$O$198,2*(ROWS($W$4:W17)-1)+1))</f>
        <v>0</v>
      </c>
      <c r="X17">
        <f>INDEX('M03-S01'!$H$22:$H$198,2*(ROWS($X$4:X17)-1)+1)</f>
        <v>0</v>
      </c>
      <c r="Y17">
        <f>INDEX('M03-S01'!$R$22:$R$198,2*(ROWS($Y$4:Y17)-1)+1)</f>
        <v>0</v>
      </c>
      <c r="Z17">
        <f>IFERROR(INDEX('M03-S01'!$AF$22:$AF$198,2*(ROWS(Z$4:$Z17)-1)+1)/INDEX('M03-S01'!$AD$22:$AD$198,2*(ROWS(Z$4:$Z17)-1)+1),0)</f>
        <v>0</v>
      </c>
      <c r="AA17" t="str">
        <f>IFERROR(INDEX(CMLIGHTBASE[Measure Subgroup 1],MATCH(INDEX('M03-S01'!$E$22:$E$198,2*(ROWS($V$4:V17)-1)+1),CMLIGHTBASE[Base Desc 1],0)),"")</f>
        <v/>
      </c>
      <c r="AB17" t="str">
        <f>IFERROR(INDEX(CMLIGHTBASE[Measure Subgroup 2],MATCH(INDEX('M03-S01'!$E$22:$E$198,2*(ROWS($V$4:V17)-1)+1),CMLIGHTBASE[Base Desc 1],0)),"")</f>
        <v/>
      </c>
      <c r="AC17" s="135"/>
      <c r="AD17" t="str">
        <f>IF(ISNUMBER(INDEX('M03-S01'!$W$22:$W$198,2*(ROWS($AD$4:AD17)-1)+1)),INDEX('M03-S01'!$W$22:$W$198,2*(ROWS($AD$4:AD17)-1)+1)&amp;" Lamp","")</f>
        <v/>
      </c>
      <c r="AE17" s="151">
        <f>IFERROR(IF(NOT(ISNUMBER(INDEX('M03-S01'!$AO$22:$AO$198,2*(ROWS($O$4:O17)-1)+1))),INDEX('M03-S01'!$U$22:$U$198,2*(ROWS($L$4:L17)-1)+1),0),0)</f>
        <v>0</v>
      </c>
      <c r="AF17" s="151" t="str">
        <f>INDEX('M03-S01'!$AW$22:$AW$198,2*(ROWS($AF$4:AF17)-1)+1)</f>
        <v/>
      </c>
      <c r="AG17" s="151" t="str">
        <f>INDEX('M03-S01'!$AX$22:$AX$198,2*(ROWS($AG$4:AG17)-1)+1)</f>
        <v/>
      </c>
      <c r="AH17" s="151" t="str">
        <f t="shared" si="2"/>
        <v/>
      </c>
      <c r="AI17" s="151" t="str">
        <f t="shared" si="3"/>
        <v/>
      </c>
      <c r="AJ17" s="61" t="str">
        <f t="shared" si="4"/>
        <v/>
      </c>
      <c r="AK17" s="61" t="str">
        <f t="shared" si="5"/>
        <v/>
      </c>
      <c r="AL17" s="61" t="str">
        <f t="shared" si="6"/>
        <v/>
      </c>
      <c r="AM17" s="154"/>
      <c r="AN17" s="61" t="str">
        <f t="shared" si="7"/>
        <v/>
      </c>
      <c r="AO17" s="151">
        <f>INDEX('M03-S01'!$K$22:$K$198,2*(ROWS($AO$4:AO17)-1)+1)</f>
        <v>0</v>
      </c>
      <c r="AP17" s="151">
        <f>INDEX('M03-S01'!$AF$22:$AF$198,2*(ROWS($AP$4:AP17)-1)+1)</f>
        <v>0</v>
      </c>
      <c r="AQ17" s="61" t="str">
        <f>IF(INDEX('M03-S01'!$AL$22:$AL$198,2*(ROWS($AQ$4:AQ17)-1)+1)="","",IF(AND(INDEX('M03-S01'!$AL$22:$AL$198,2*(ROWS($AQ$4:AQ17)-1)+1)&lt;&gt;"",OR(ISNUMBER(SEARCH("AC With",M02S02F32)),M02S02F32="Heat Pump")),LIGHTHEATCOIN,1))</f>
        <v/>
      </c>
      <c r="AR17" s="414">
        <f>(IF(INDEX('M03-S01'!$AO$22:$AO$198,2*(ROWS($O$4:O17)-1)+1)=INDEX('M03-S01'!$BK$22:$BK$198,2*(ROWS($O$4:O17)-1)+1),0,(INDEX('M03-S01'!$BJ$22:$BJ$198,2*(ROWS($O$4:O17)-1)+1)-INDEX('M03-S01'!$BK$22:$BK$198,2*(ROWS($O$4:O17)-1)+1))))*INCENTCAPADJ</f>
        <v>0</v>
      </c>
    </row>
    <row r="18" spans="1:44" x14ac:dyDescent="0.25">
      <c r="A18" s="66">
        <f t="shared" si="0"/>
        <v>0</v>
      </c>
      <c r="B18" s="66" t="str">
        <f t="shared" si="1"/>
        <v/>
      </c>
      <c r="C18" s="66" t="str">
        <f>IFERROR(IF(J18&gt;0,INDEX('M03-S01'!$BB$22:$BB$198,2*(ROWS($C$4:C18)-1)+1),""),"")</f>
        <v/>
      </c>
      <c r="D18" t="s">
        <v>1096</v>
      </c>
      <c r="E18" t="str">
        <f>IFERROR(INDEX(PMELIGHTLIN[End Use Category],MATCH(INDEX('M03-S01'!$BA$22:$BA$198,2*(ROWS($E$35:E49)-1)+1),PMELIGHTLIN[Measure Validator],0)),"")</f>
        <v/>
      </c>
      <c r="F18" s="151">
        <f>INDEX('M03-S01'!$AD$22:$AD$198,2*(ROWS($F$4:F18)-1)+1)</f>
        <v>0</v>
      </c>
      <c r="G18">
        <f>INDEX('M03-S01'!$AA$22:$AA$198,2*(ROWS($G$4:G18)-1)+1)</f>
        <v>0</v>
      </c>
      <c r="H18" s="61">
        <f>IFERROR(ROUND(INDEX('M03-S01'!$U$22:$U$198,2*(ROWS($H$4:H18)-1)+1)*INDEX('M03-S01'!$AH$22:$AH$198,2*(ROWS($H$4:H18)-1)+1),2),0)</f>
        <v>0</v>
      </c>
      <c r="I18" s="61">
        <f>IFERROR(ROUND(INDEX('M03-S01'!$U$22:$U$198,2*(ROWS($I$4:I18)-1)+1)*INDEX('M03-S01'!$AJ$22:$AJ$198,2*(ROWS($I$4:I18)-1)+1),2),0)</f>
        <v>0</v>
      </c>
      <c r="J18" s="61" t="str">
        <f>INDEX('M03-S01'!$AU$22:$AU$198,2*(ROWS($J$4:J18)-1)+1)</f>
        <v/>
      </c>
      <c r="K18" t="s">
        <v>119</v>
      </c>
      <c r="L18" s="151">
        <f>IF(ISNUMBER(INDEX('M03-S01'!$AO$22:$AO$198,2*(ROWS($M$4:M18)-1)+1)),INDEX('M03-S01'!$U$22:$U$198,2*(ROWS($L$4:L18)-1)+1),0)</f>
        <v>0</v>
      </c>
      <c r="M18" s="151">
        <f>IF(ISNUMBER(INDEX('M03-S01'!$AO$22:$AO$198,2*(ROWS($M$4:M18)-1)+1)),INDEX('M03-S01'!$AL$22:$AL$198,2*(ROWS($M$4:M18)-1)+1),0)</f>
        <v>0</v>
      </c>
      <c r="N18" s="189">
        <f>IF(ISNUMBER(INDEX('M03-S01'!$AO$22:$AO$198,2*(ROWS($M$4:M18)-1)+1)),IFERROR(INDEX('M03-S01'!$AV$22:$AV$198,2*(ROWS($N$4:N18)-1)+1),0),0)</f>
        <v>0</v>
      </c>
      <c r="O18" s="61">
        <f>IF(ISNUMBER(INDEX('M03-S01'!$AO$22:$AO$198,2*(ROWS($M$4:M18)-1)+1)),IFERROR(INDEX('M03-S01'!$AO$22:$AO$198,2*(ROWS($O$4:O18)-1)+1)*INCENTCAPADJ,""),0)</f>
        <v>0</v>
      </c>
      <c r="P18" s="151" t="str">
        <f>IFERROR(IF(NOT(ISNUMBER(INDEX('M03-S01'!$AO$22:$AO$198,2*(ROWS($O$4:O18)-1)+1))),INDEX('M03-S01'!$AL$22:$AL$198,2*(ROWS($M$4:M18)-1)+1),0),0)</f>
        <v/>
      </c>
      <c r="Q18" s="189" t="str">
        <f>IFERROR(IF(NOT(ISNUMBER(INDEX('M03-S01'!$AO$22:$AO$198,2*(ROWS($O$4:O18)-1)+1))),INDEX('M03-S01'!$AV$22:$AV$198,2*(ROWS($N$4:N18)-1)+1),0),0)</f>
        <v/>
      </c>
      <c r="R18" t="str">
        <f>IFERROR(IF(NOT(ISNUMBER(INDEX('M03-S01'!$AO$22:$AO$198,2*(ROWS($O$4:O18)-1)+1))),"Not Eligible",""),"")</f>
        <v>Not Eligible</v>
      </c>
      <c r="S18" s="156" t="str">
        <f>INDEX('M03-S01'!$M$22:$M$198,2*(ROWS($S$4:S18)-1)+1)</f>
        <v/>
      </c>
      <c r="T18" s="156">
        <f>INDEX('M03-S01'!$Y$22:$Y$198,2*(ROWS($T$4:T18)-1)+1)</f>
        <v>0</v>
      </c>
      <c r="U18" s="151">
        <f>INDEX('M03-S01'!$B$22:$B$198,2*(ROWS($U$4:U18)-1)+1)</f>
        <v>13</v>
      </c>
      <c r="V18" s="58">
        <f>INDEX('M03-S01'!$E$22:$E$198,2*(ROWS($V$4:V18)-1)+1)</f>
        <v>0</v>
      </c>
      <c r="W18" s="58">
        <f>IF(INDEX('M03-S01'!$O$22:$O$198,2*(ROWS($W$4:W18)-1)+1)="Fixture","LED Fixture",INDEX('M03-S01'!$O$22:$O$198,2*(ROWS($W$4:W18)-1)+1))</f>
        <v>0</v>
      </c>
      <c r="X18">
        <f>INDEX('M03-S01'!$H$22:$H$198,2*(ROWS($X$4:X18)-1)+1)</f>
        <v>0</v>
      </c>
      <c r="Y18">
        <f>INDEX('M03-S01'!$R$22:$R$198,2*(ROWS($Y$4:Y18)-1)+1)</f>
        <v>0</v>
      </c>
      <c r="Z18">
        <f>IFERROR(INDEX('M03-S01'!$AF$22:$AF$198,2*(ROWS(Z$4:$Z18)-1)+1)/INDEX('M03-S01'!$AD$22:$AD$198,2*(ROWS(Z$4:$Z18)-1)+1),0)</f>
        <v>0</v>
      </c>
      <c r="AA18" t="str">
        <f>IFERROR(INDEX(CMLIGHTBASE[Measure Subgroup 1],MATCH(INDEX('M03-S01'!$E$22:$E$198,2*(ROWS($V$4:V18)-1)+1),CMLIGHTBASE[Base Desc 1],0)),"")</f>
        <v/>
      </c>
      <c r="AB18" t="str">
        <f>IFERROR(INDEX(CMLIGHTBASE[Measure Subgroup 2],MATCH(INDEX('M03-S01'!$E$22:$E$198,2*(ROWS($V$4:V18)-1)+1),CMLIGHTBASE[Base Desc 1],0)),"")</f>
        <v/>
      </c>
      <c r="AC18" s="135"/>
      <c r="AD18" t="str">
        <f>IF(ISNUMBER(INDEX('M03-S01'!$W$22:$W$198,2*(ROWS($AD$4:AD18)-1)+1)),INDEX('M03-S01'!$W$22:$W$198,2*(ROWS($AD$4:AD18)-1)+1)&amp;" Lamp","")</f>
        <v/>
      </c>
      <c r="AE18" s="151">
        <f>IFERROR(IF(NOT(ISNUMBER(INDEX('M03-S01'!$AO$22:$AO$198,2*(ROWS($O$4:O18)-1)+1))),INDEX('M03-S01'!$U$22:$U$198,2*(ROWS($L$4:L18)-1)+1),0),0)</f>
        <v>0</v>
      </c>
      <c r="AF18" s="151" t="str">
        <f>INDEX('M03-S01'!$AW$22:$AW$198,2*(ROWS($AF$4:AF18)-1)+1)</f>
        <v/>
      </c>
      <c r="AG18" s="151" t="str">
        <f>INDEX('M03-S01'!$AX$22:$AX$198,2*(ROWS($AG$4:AG18)-1)+1)</f>
        <v/>
      </c>
      <c r="AH18" s="151" t="str">
        <f t="shared" si="2"/>
        <v/>
      </c>
      <c r="AI18" s="151" t="str">
        <f t="shared" si="3"/>
        <v/>
      </c>
      <c r="AJ18" s="61" t="str">
        <f t="shared" si="4"/>
        <v/>
      </c>
      <c r="AK18" s="61" t="str">
        <f t="shared" si="5"/>
        <v/>
      </c>
      <c r="AL18" s="61" t="str">
        <f t="shared" si="6"/>
        <v/>
      </c>
      <c r="AM18" s="154"/>
      <c r="AN18" s="61" t="str">
        <f t="shared" si="7"/>
        <v/>
      </c>
      <c r="AO18" s="151">
        <f>INDEX('M03-S01'!$K$22:$K$198,2*(ROWS($AO$4:AO18)-1)+1)</f>
        <v>0</v>
      </c>
      <c r="AP18" s="151">
        <f>INDEX('M03-S01'!$AF$22:$AF$198,2*(ROWS($AP$4:AP18)-1)+1)</f>
        <v>0</v>
      </c>
      <c r="AQ18" s="61" t="str">
        <f>IF(INDEX('M03-S01'!$AL$22:$AL$198,2*(ROWS($AQ$4:AQ18)-1)+1)="","",IF(AND(INDEX('M03-S01'!$AL$22:$AL$198,2*(ROWS($AQ$4:AQ18)-1)+1)&lt;&gt;"",OR(ISNUMBER(SEARCH("AC With",M02S02F32)),M02S02F32="Heat Pump")),LIGHTHEATCOIN,1))</f>
        <v/>
      </c>
      <c r="AR18" s="414">
        <f>(IF(INDEX('M03-S01'!$AO$22:$AO$198,2*(ROWS($O$4:O18)-1)+1)=INDEX('M03-S01'!$BK$22:$BK$198,2*(ROWS($O$4:O18)-1)+1),0,(INDEX('M03-S01'!$BJ$22:$BJ$198,2*(ROWS($O$4:O18)-1)+1)-INDEX('M03-S01'!$BK$22:$BK$198,2*(ROWS($O$4:O18)-1)+1))))*INCENTCAPADJ</f>
        <v>0</v>
      </c>
    </row>
    <row r="19" spans="1:44" x14ac:dyDescent="0.25">
      <c r="A19" s="66">
        <f t="shared" si="0"/>
        <v>0</v>
      </c>
      <c r="B19" s="66" t="str">
        <f t="shared" si="1"/>
        <v/>
      </c>
      <c r="C19" s="66" t="str">
        <f>IFERROR(IF(J19&gt;0,INDEX('M03-S01'!$BB$22:$BB$198,2*(ROWS($C$4:C19)-1)+1),""),"")</f>
        <v/>
      </c>
      <c r="D19" t="s">
        <v>1096</v>
      </c>
      <c r="E19" t="str">
        <f>IFERROR(INDEX(PMELIGHTLIN[End Use Category],MATCH(INDEX('M03-S01'!$BA$22:$BA$198,2*(ROWS($E$35:E50)-1)+1),PMELIGHTLIN[Measure Validator],0)),"")</f>
        <v/>
      </c>
      <c r="F19" s="151">
        <f>INDEX('M03-S01'!$AD$22:$AD$198,2*(ROWS($F$4:F19)-1)+1)</f>
        <v>0</v>
      </c>
      <c r="G19">
        <f>INDEX('M03-S01'!$AA$22:$AA$198,2*(ROWS($G$4:G19)-1)+1)</f>
        <v>0</v>
      </c>
      <c r="H19" s="61">
        <f>IFERROR(ROUND(INDEX('M03-S01'!$U$22:$U$198,2*(ROWS($H$4:H19)-1)+1)*INDEX('M03-S01'!$AH$22:$AH$198,2*(ROWS($H$4:H19)-1)+1),2),0)</f>
        <v>0</v>
      </c>
      <c r="I19" s="61">
        <f>IFERROR(ROUND(INDEX('M03-S01'!$U$22:$U$198,2*(ROWS($I$4:I19)-1)+1)*INDEX('M03-S01'!$AJ$22:$AJ$198,2*(ROWS($I$4:I19)-1)+1),2),0)</f>
        <v>0</v>
      </c>
      <c r="J19" s="61" t="str">
        <f>INDEX('M03-S01'!$AU$22:$AU$198,2*(ROWS($J$4:J19)-1)+1)</f>
        <v/>
      </c>
      <c r="K19" t="s">
        <v>119</v>
      </c>
      <c r="L19" s="151">
        <f>IF(ISNUMBER(INDEX('M03-S01'!$AO$22:$AO$198,2*(ROWS($M$4:M19)-1)+1)),INDEX('M03-S01'!$U$22:$U$198,2*(ROWS($L$4:L19)-1)+1),0)</f>
        <v>0</v>
      </c>
      <c r="M19" s="151">
        <f>IF(ISNUMBER(INDEX('M03-S01'!$AO$22:$AO$198,2*(ROWS($M$4:M19)-1)+1)),INDEX('M03-S01'!$AL$22:$AL$198,2*(ROWS($M$4:M19)-1)+1),0)</f>
        <v>0</v>
      </c>
      <c r="N19" s="189">
        <f>IF(ISNUMBER(INDEX('M03-S01'!$AO$22:$AO$198,2*(ROWS($M$4:M19)-1)+1)),IFERROR(INDEX('M03-S01'!$AV$22:$AV$198,2*(ROWS($N$4:N19)-1)+1),0),0)</f>
        <v>0</v>
      </c>
      <c r="O19" s="61">
        <f>IF(ISNUMBER(INDEX('M03-S01'!$AO$22:$AO$198,2*(ROWS($M$4:M19)-1)+1)),IFERROR(INDEX('M03-S01'!$AO$22:$AO$198,2*(ROWS($O$4:O19)-1)+1)*INCENTCAPADJ,""),0)</f>
        <v>0</v>
      </c>
      <c r="P19" s="151" t="str">
        <f>IFERROR(IF(NOT(ISNUMBER(INDEX('M03-S01'!$AO$22:$AO$198,2*(ROWS($O$4:O19)-1)+1))),INDEX('M03-S01'!$AL$22:$AL$198,2*(ROWS($M$4:M19)-1)+1),0),0)</f>
        <v/>
      </c>
      <c r="Q19" s="189" t="str">
        <f>IFERROR(IF(NOT(ISNUMBER(INDEX('M03-S01'!$AO$22:$AO$198,2*(ROWS($O$4:O19)-1)+1))),INDEX('M03-S01'!$AV$22:$AV$198,2*(ROWS($N$4:N19)-1)+1),0),0)</f>
        <v/>
      </c>
      <c r="R19" t="str">
        <f>IFERROR(IF(NOT(ISNUMBER(INDEX('M03-S01'!$AO$22:$AO$198,2*(ROWS($O$4:O19)-1)+1))),"Not Eligible",""),"")</f>
        <v>Not Eligible</v>
      </c>
      <c r="S19" s="156" t="str">
        <f>INDEX('M03-S01'!$M$22:$M$198,2*(ROWS($S$4:S19)-1)+1)</f>
        <v/>
      </c>
      <c r="T19" s="156">
        <f>INDEX('M03-S01'!$Y$22:$Y$198,2*(ROWS($T$4:T19)-1)+1)</f>
        <v>0</v>
      </c>
      <c r="U19" s="151">
        <f>INDEX('M03-S01'!$B$22:$B$198,2*(ROWS($U$4:U19)-1)+1)</f>
        <v>14</v>
      </c>
      <c r="V19" s="58">
        <f>INDEX('M03-S01'!$E$22:$E$198,2*(ROWS($V$4:V19)-1)+1)</f>
        <v>0</v>
      </c>
      <c r="W19" s="58">
        <f>IF(INDEX('M03-S01'!$O$22:$O$198,2*(ROWS($W$4:W19)-1)+1)="Fixture","LED Fixture",INDEX('M03-S01'!$O$22:$O$198,2*(ROWS($W$4:W19)-1)+1))</f>
        <v>0</v>
      </c>
      <c r="X19">
        <f>INDEX('M03-S01'!$H$22:$H$198,2*(ROWS($X$4:X19)-1)+1)</f>
        <v>0</v>
      </c>
      <c r="Y19">
        <f>INDEX('M03-S01'!$R$22:$R$198,2*(ROWS($Y$4:Y19)-1)+1)</f>
        <v>0</v>
      </c>
      <c r="Z19">
        <f>IFERROR(INDEX('M03-S01'!$AF$22:$AF$198,2*(ROWS(Z$4:$Z19)-1)+1)/INDEX('M03-S01'!$AD$22:$AD$198,2*(ROWS(Z$4:$Z19)-1)+1),0)</f>
        <v>0</v>
      </c>
      <c r="AA19" t="str">
        <f>IFERROR(INDEX(CMLIGHTBASE[Measure Subgroup 1],MATCH(INDEX('M03-S01'!$E$22:$E$198,2*(ROWS($V$4:V19)-1)+1),CMLIGHTBASE[Base Desc 1],0)),"")</f>
        <v/>
      </c>
      <c r="AB19" t="str">
        <f>IFERROR(INDEX(CMLIGHTBASE[Measure Subgroup 2],MATCH(INDEX('M03-S01'!$E$22:$E$198,2*(ROWS($V$4:V19)-1)+1),CMLIGHTBASE[Base Desc 1],0)),"")</f>
        <v/>
      </c>
      <c r="AC19" s="135"/>
      <c r="AD19" t="str">
        <f>IF(ISNUMBER(INDEX('M03-S01'!$W$22:$W$198,2*(ROWS($AD$4:AD19)-1)+1)),INDEX('M03-S01'!$W$22:$W$198,2*(ROWS($AD$4:AD19)-1)+1)&amp;" Lamp","")</f>
        <v/>
      </c>
      <c r="AE19" s="151">
        <f>IFERROR(IF(NOT(ISNUMBER(INDEX('M03-S01'!$AO$22:$AO$198,2*(ROWS($O$4:O19)-1)+1))),INDEX('M03-S01'!$U$22:$U$198,2*(ROWS($L$4:L19)-1)+1),0),0)</f>
        <v>0</v>
      </c>
      <c r="AF19" s="151" t="str">
        <f>INDEX('M03-S01'!$AW$22:$AW$198,2*(ROWS($AF$4:AF19)-1)+1)</f>
        <v/>
      </c>
      <c r="AG19" s="151" t="str">
        <f>INDEX('M03-S01'!$AX$22:$AX$198,2*(ROWS($AG$4:AG19)-1)+1)</f>
        <v/>
      </c>
      <c r="AH19" s="151" t="str">
        <f t="shared" si="2"/>
        <v/>
      </c>
      <c r="AI19" s="151" t="str">
        <f t="shared" si="3"/>
        <v/>
      </c>
      <c r="AJ19" s="61" t="str">
        <f t="shared" si="4"/>
        <v/>
      </c>
      <c r="AK19" s="61" t="str">
        <f t="shared" si="5"/>
        <v/>
      </c>
      <c r="AL19" s="61" t="str">
        <f t="shared" si="6"/>
        <v/>
      </c>
      <c r="AM19" s="154"/>
      <c r="AN19" s="61" t="str">
        <f t="shared" si="7"/>
        <v/>
      </c>
      <c r="AO19" s="151">
        <f>INDEX('M03-S01'!$K$22:$K$198,2*(ROWS($AO$4:AO19)-1)+1)</f>
        <v>0</v>
      </c>
      <c r="AP19" s="151">
        <f>INDEX('M03-S01'!$AF$22:$AF$198,2*(ROWS($AP$4:AP19)-1)+1)</f>
        <v>0</v>
      </c>
      <c r="AQ19" s="61" t="str">
        <f>IF(INDEX('M03-S01'!$AL$22:$AL$198,2*(ROWS($AQ$4:AQ19)-1)+1)="","",IF(AND(INDEX('M03-S01'!$AL$22:$AL$198,2*(ROWS($AQ$4:AQ19)-1)+1)&lt;&gt;"",OR(ISNUMBER(SEARCH("AC With",M02S02F32)),M02S02F32="Heat Pump")),LIGHTHEATCOIN,1))</f>
        <v/>
      </c>
      <c r="AR19" s="414">
        <f>(IF(INDEX('M03-S01'!$AO$22:$AO$198,2*(ROWS($O$4:O19)-1)+1)=INDEX('M03-S01'!$BK$22:$BK$198,2*(ROWS($O$4:O19)-1)+1),0,(INDEX('M03-S01'!$BJ$22:$BJ$198,2*(ROWS($O$4:O19)-1)+1)-INDEX('M03-S01'!$BK$22:$BK$198,2*(ROWS($O$4:O19)-1)+1))))*INCENTCAPADJ</f>
        <v>0</v>
      </c>
    </row>
    <row r="20" spans="1:44" x14ac:dyDescent="0.25">
      <c r="A20" s="66">
        <f t="shared" si="0"/>
        <v>0</v>
      </c>
      <c r="B20" s="66" t="str">
        <f t="shared" si="1"/>
        <v/>
      </c>
      <c r="C20" s="66" t="str">
        <f>IFERROR(IF(J20&gt;0,INDEX('M03-S01'!$BB$22:$BB$198,2*(ROWS($C$4:C20)-1)+1),""),"")</f>
        <v/>
      </c>
      <c r="D20" t="s">
        <v>1096</v>
      </c>
      <c r="E20" t="str">
        <f>IFERROR(INDEX(PMELIGHTLIN[End Use Category],MATCH(INDEX('M03-S01'!$BA$22:$BA$198,2*(ROWS($E$35:E51)-1)+1),PMELIGHTLIN[Measure Validator],0)),"")</f>
        <v/>
      </c>
      <c r="F20" s="151">
        <f>INDEX('M03-S01'!$AD$22:$AD$198,2*(ROWS($F$4:F20)-1)+1)</f>
        <v>0</v>
      </c>
      <c r="G20">
        <f>INDEX('M03-S01'!$AA$22:$AA$198,2*(ROWS($G$4:G20)-1)+1)</f>
        <v>0</v>
      </c>
      <c r="H20" s="61">
        <f>IFERROR(ROUND(INDEX('M03-S01'!$U$22:$U$198,2*(ROWS($H$4:H20)-1)+1)*INDEX('M03-S01'!$AH$22:$AH$198,2*(ROWS($H$4:H20)-1)+1),2),0)</f>
        <v>0</v>
      </c>
      <c r="I20" s="61">
        <f>IFERROR(ROUND(INDEX('M03-S01'!$U$22:$U$198,2*(ROWS($I$4:I20)-1)+1)*INDEX('M03-S01'!$AJ$22:$AJ$198,2*(ROWS($I$4:I20)-1)+1),2),0)</f>
        <v>0</v>
      </c>
      <c r="J20" s="61" t="str">
        <f>INDEX('M03-S01'!$AU$22:$AU$198,2*(ROWS($J$4:J20)-1)+1)</f>
        <v/>
      </c>
      <c r="K20" t="s">
        <v>119</v>
      </c>
      <c r="L20" s="151">
        <f>IF(ISNUMBER(INDEX('M03-S01'!$AO$22:$AO$198,2*(ROWS($M$4:M20)-1)+1)),INDEX('M03-S01'!$U$22:$U$198,2*(ROWS($L$4:L20)-1)+1),0)</f>
        <v>0</v>
      </c>
      <c r="M20" s="151">
        <f>IF(ISNUMBER(INDEX('M03-S01'!$AO$22:$AO$198,2*(ROWS($M$4:M20)-1)+1)),INDEX('M03-S01'!$AL$22:$AL$198,2*(ROWS($M$4:M20)-1)+1),0)</f>
        <v>0</v>
      </c>
      <c r="N20" s="189">
        <f>IF(ISNUMBER(INDEX('M03-S01'!$AO$22:$AO$198,2*(ROWS($M$4:M20)-1)+1)),IFERROR(INDEX('M03-S01'!$AV$22:$AV$198,2*(ROWS($N$4:N20)-1)+1),0),0)</f>
        <v>0</v>
      </c>
      <c r="O20" s="61">
        <f>IF(ISNUMBER(INDEX('M03-S01'!$AO$22:$AO$198,2*(ROWS($M$4:M20)-1)+1)),IFERROR(INDEX('M03-S01'!$AO$22:$AO$198,2*(ROWS($O$4:O20)-1)+1)*INCENTCAPADJ,""),0)</f>
        <v>0</v>
      </c>
      <c r="P20" s="151" t="str">
        <f>IFERROR(IF(NOT(ISNUMBER(INDEX('M03-S01'!$AO$22:$AO$198,2*(ROWS($O$4:O20)-1)+1))),INDEX('M03-S01'!$AL$22:$AL$198,2*(ROWS($M$4:M20)-1)+1),0),0)</f>
        <v/>
      </c>
      <c r="Q20" s="189" t="str">
        <f>IFERROR(IF(NOT(ISNUMBER(INDEX('M03-S01'!$AO$22:$AO$198,2*(ROWS($O$4:O20)-1)+1))),INDEX('M03-S01'!$AV$22:$AV$198,2*(ROWS($N$4:N20)-1)+1),0),0)</f>
        <v/>
      </c>
      <c r="R20" t="str">
        <f>IFERROR(IF(NOT(ISNUMBER(INDEX('M03-S01'!$AO$22:$AO$198,2*(ROWS($O$4:O20)-1)+1))),"Not Eligible",""),"")</f>
        <v>Not Eligible</v>
      </c>
      <c r="S20" s="156" t="str">
        <f>INDEX('M03-S01'!$M$22:$M$198,2*(ROWS($S$4:S20)-1)+1)</f>
        <v/>
      </c>
      <c r="T20" s="156">
        <f>INDEX('M03-S01'!$Y$22:$Y$198,2*(ROWS($T$4:T20)-1)+1)</f>
        <v>0</v>
      </c>
      <c r="U20" s="151">
        <f>INDEX('M03-S01'!$B$22:$B$198,2*(ROWS($U$4:U20)-1)+1)</f>
        <v>15</v>
      </c>
      <c r="V20" s="58">
        <f>INDEX('M03-S01'!$E$22:$E$198,2*(ROWS($V$4:V20)-1)+1)</f>
        <v>0</v>
      </c>
      <c r="W20" s="58">
        <f>IF(INDEX('M03-S01'!$O$22:$O$198,2*(ROWS($W$4:W20)-1)+1)="Fixture","LED Fixture",INDEX('M03-S01'!$O$22:$O$198,2*(ROWS($W$4:W20)-1)+1))</f>
        <v>0</v>
      </c>
      <c r="X20">
        <f>INDEX('M03-S01'!$H$22:$H$198,2*(ROWS($X$4:X20)-1)+1)</f>
        <v>0</v>
      </c>
      <c r="Y20">
        <f>INDEX('M03-S01'!$R$22:$R$198,2*(ROWS($Y$4:Y20)-1)+1)</f>
        <v>0</v>
      </c>
      <c r="Z20">
        <f>IFERROR(INDEX('M03-S01'!$AF$22:$AF$198,2*(ROWS(Z$4:$Z20)-1)+1)/INDEX('M03-S01'!$AD$22:$AD$198,2*(ROWS(Z$4:$Z20)-1)+1),0)</f>
        <v>0</v>
      </c>
      <c r="AA20" t="str">
        <f>IFERROR(INDEX(CMLIGHTBASE[Measure Subgroup 1],MATCH(INDEX('M03-S01'!$E$22:$E$198,2*(ROWS($V$4:V20)-1)+1),CMLIGHTBASE[Base Desc 1],0)),"")</f>
        <v/>
      </c>
      <c r="AB20" t="str">
        <f>IFERROR(INDEX(CMLIGHTBASE[Measure Subgroup 2],MATCH(INDEX('M03-S01'!$E$22:$E$198,2*(ROWS($V$4:V20)-1)+1),CMLIGHTBASE[Base Desc 1],0)),"")</f>
        <v/>
      </c>
      <c r="AC20" s="135"/>
      <c r="AD20" t="str">
        <f>IF(ISNUMBER(INDEX('M03-S01'!$W$22:$W$198,2*(ROWS($AD$4:AD20)-1)+1)),INDEX('M03-S01'!$W$22:$W$198,2*(ROWS($AD$4:AD20)-1)+1)&amp;" Lamp","")</f>
        <v/>
      </c>
      <c r="AE20" s="151">
        <f>IFERROR(IF(NOT(ISNUMBER(INDEX('M03-S01'!$AO$22:$AO$198,2*(ROWS($O$4:O20)-1)+1))),INDEX('M03-S01'!$U$22:$U$198,2*(ROWS($L$4:L20)-1)+1),0),0)</f>
        <v>0</v>
      </c>
      <c r="AF20" s="151" t="str">
        <f>INDEX('M03-S01'!$AW$22:$AW$198,2*(ROWS($AF$4:AF20)-1)+1)</f>
        <v/>
      </c>
      <c r="AG20" s="151" t="str">
        <f>INDEX('M03-S01'!$AX$22:$AX$198,2*(ROWS($AG$4:AG20)-1)+1)</f>
        <v/>
      </c>
      <c r="AH20" s="151" t="str">
        <f t="shared" si="2"/>
        <v/>
      </c>
      <c r="AI20" s="151" t="str">
        <f t="shared" si="3"/>
        <v/>
      </c>
      <c r="AJ20" s="61" t="str">
        <f t="shared" si="4"/>
        <v/>
      </c>
      <c r="AK20" s="61" t="str">
        <f t="shared" si="5"/>
        <v/>
      </c>
      <c r="AL20" s="61" t="str">
        <f t="shared" si="6"/>
        <v/>
      </c>
      <c r="AM20" s="154"/>
      <c r="AN20" s="61" t="str">
        <f t="shared" si="7"/>
        <v/>
      </c>
      <c r="AO20" s="151">
        <f>INDEX('M03-S01'!$K$22:$K$198,2*(ROWS($AO$4:AO20)-1)+1)</f>
        <v>0</v>
      </c>
      <c r="AP20" s="151">
        <f>INDEX('M03-S01'!$AF$22:$AF$198,2*(ROWS($AP$4:AP20)-1)+1)</f>
        <v>0</v>
      </c>
      <c r="AQ20" s="61" t="str">
        <f>IF(INDEX('M03-S01'!$AL$22:$AL$198,2*(ROWS($AQ$4:AQ20)-1)+1)="","",IF(AND(INDEX('M03-S01'!$AL$22:$AL$198,2*(ROWS($AQ$4:AQ20)-1)+1)&lt;&gt;"",OR(ISNUMBER(SEARCH("AC With",M02S02F32)),M02S02F32="Heat Pump")),LIGHTHEATCOIN,1))</f>
        <v/>
      </c>
      <c r="AR20" s="414">
        <f>(IF(INDEX('M03-S01'!$AO$22:$AO$198,2*(ROWS($O$4:O20)-1)+1)=INDEX('M03-S01'!$BK$22:$BK$198,2*(ROWS($O$4:O20)-1)+1),0,(INDEX('M03-S01'!$BJ$22:$BJ$198,2*(ROWS($O$4:O20)-1)+1)-INDEX('M03-S01'!$BK$22:$BK$198,2*(ROWS($O$4:O20)-1)+1))))*INCENTCAPADJ</f>
        <v>0</v>
      </c>
    </row>
    <row r="21" spans="1:44" x14ac:dyDescent="0.25">
      <c r="A21" s="66">
        <f t="shared" si="0"/>
        <v>0</v>
      </c>
      <c r="B21" s="66" t="str">
        <f t="shared" si="1"/>
        <v/>
      </c>
      <c r="C21" s="66" t="str">
        <f>IFERROR(IF(J21&gt;0,INDEX('M03-S01'!$BB$22:$BB$198,2*(ROWS($C$4:C21)-1)+1),""),"")</f>
        <v/>
      </c>
      <c r="D21" t="s">
        <v>1096</v>
      </c>
      <c r="E21" t="str">
        <f>IFERROR(INDEX(PMELIGHTLIN[End Use Category],MATCH(INDEX('M03-S01'!$BA$22:$BA$198,2*(ROWS($E$35:E52)-1)+1),PMELIGHTLIN[Measure Validator],0)),"")</f>
        <v/>
      </c>
      <c r="F21" s="151">
        <f>INDEX('M03-S01'!$AD$22:$AD$198,2*(ROWS($F$4:F21)-1)+1)</f>
        <v>0</v>
      </c>
      <c r="G21">
        <f>INDEX('M03-S01'!$AA$22:$AA$198,2*(ROWS($G$4:G21)-1)+1)</f>
        <v>0</v>
      </c>
      <c r="H21" s="61">
        <f>IFERROR(ROUND(INDEX('M03-S01'!$U$22:$U$198,2*(ROWS($H$4:H21)-1)+1)*INDEX('M03-S01'!$AH$22:$AH$198,2*(ROWS($H$4:H21)-1)+1),2),0)</f>
        <v>0</v>
      </c>
      <c r="I21" s="61">
        <f>IFERROR(ROUND(INDEX('M03-S01'!$U$22:$U$198,2*(ROWS($I$4:I21)-1)+1)*INDEX('M03-S01'!$AJ$22:$AJ$198,2*(ROWS($I$4:I21)-1)+1),2),0)</f>
        <v>0</v>
      </c>
      <c r="J21" s="61" t="str">
        <f>INDEX('M03-S01'!$AU$22:$AU$198,2*(ROWS($J$4:J21)-1)+1)</f>
        <v/>
      </c>
      <c r="K21" t="s">
        <v>119</v>
      </c>
      <c r="L21" s="151">
        <f>IF(ISNUMBER(INDEX('M03-S01'!$AO$22:$AO$198,2*(ROWS($M$4:M21)-1)+1)),INDEX('M03-S01'!$U$22:$U$198,2*(ROWS($L$4:L21)-1)+1),0)</f>
        <v>0</v>
      </c>
      <c r="M21" s="151">
        <f>IF(ISNUMBER(INDEX('M03-S01'!$AO$22:$AO$198,2*(ROWS($M$4:M21)-1)+1)),INDEX('M03-S01'!$AL$22:$AL$198,2*(ROWS($M$4:M21)-1)+1),0)</f>
        <v>0</v>
      </c>
      <c r="N21" s="189">
        <f>IF(ISNUMBER(INDEX('M03-S01'!$AO$22:$AO$198,2*(ROWS($M$4:M21)-1)+1)),IFERROR(INDEX('M03-S01'!$AV$22:$AV$198,2*(ROWS($N$4:N21)-1)+1),0),0)</f>
        <v>0</v>
      </c>
      <c r="O21" s="61">
        <f>IF(ISNUMBER(INDEX('M03-S01'!$AO$22:$AO$198,2*(ROWS($M$4:M21)-1)+1)),IFERROR(INDEX('M03-S01'!$AO$22:$AO$198,2*(ROWS($O$4:O21)-1)+1)*INCENTCAPADJ,""),0)</f>
        <v>0</v>
      </c>
      <c r="P21" s="151" t="str">
        <f>IFERROR(IF(NOT(ISNUMBER(INDEX('M03-S01'!$AO$22:$AO$198,2*(ROWS($O$4:O21)-1)+1))),INDEX('M03-S01'!$AL$22:$AL$198,2*(ROWS($M$4:M21)-1)+1),0),0)</f>
        <v/>
      </c>
      <c r="Q21" s="189" t="str">
        <f>IFERROR(IF(NOT(ISNUMBER(INDEX('M03-S01'!$AO$22:$AO$198,2*(ROWS($O$4:O21)-1)+1))),INDEX('M03-S01'!$AV$22:$AV$198,2*(ROWS($N$4:N21)-1)+1),0),0)</f>
        <v/>
      </c>
      <c r="R21" t="str">
        <f>IFERROR(IF(NOT(ISNUMBER(INDEX('M03-S01'!$AO$22:$AO$198,2*(ROWS($O$4:O21)-1)+1))),"Not Eligible",""),"")</f>
        <v>Not Eligible</v>
      </c>
      <c r="S21" s="156" t="str">
        <f>INDEX('M03-S01'!$M$22:$M$198,2*(ROWS($S$4:S21)-1)+1)</f>
        <v/>
      </c>
      <c r="T21" s="156">
        <f>INDEX('M03-S01'!$Y$22:$Y$198,2*(ROWS($T$4:T21)-1)+1)</f>
        <v>0</v>
      </c>
      <c r="U21" s="151">
        <f>INDEX('M03-S01'!$B$22:$B$198,2*(ROWS($U$4:U21)-1)+1)</f>
        <v>16</v>
      </c>
      <c r="V21" s="58">
        <f>INDEX('M03-S01'!$E$22:$E$198,2*(ROWS($V$4:V21)-1)+1)</f>
        <v>0</v>
      </c>
      <c r="W21" s="58">
        <f>IF(INDEX('M03-S01'!$O$22:$O$198,2*(ROWS($W$4:W21)-1)+1)="Fixture","LED Fixture",INDEX('M03-S01'!$O$22:$O$198,2*(ROWS($W$4:W21)-1)+1))</f>
        <v>0</v>
      </c>
      <c r="X21">
        <f>INDEX('M03-S01'!$H$22:$H$198,2*(ROWS($X$4:X21)-1)+1)</f>
        <v>0</v>
      </c>
      <c r="Y21">
        <f>INDEX('M03-S01'!$R$22:$R$198,2*(ROWS($Y$4:Y21)-1)+1)</f>
        <v>0</v>
      </c>
      <c r="Z21">
        <f>IFERROR(INDEX('M03-S01'!$AF$22:$AF$198,2*(ROWS(Z$4:$Z21)-1)+1)/INDEX('M03-S01'!$AD$22:$AD$198,2*(ROWS(Z$4:$Z21)-1)+1),0)</f>
        <v>0</v>
      </c>
      <c r="AA21" t="str">
        <f>IFERROR(INDEX(CMLIGHTBASE[Measure Subgroup 1],MATCH(INDEX('M03-S01'!$E$22:$E$198,2*(ROWS($V$4:V21)-1)+1),CMLIGHTBASE[Base Desc 1],0)),"")</f>
        <v/>
      </c>
      <c r="AB21" t="str">
        <f>IFERROR(INDEX(CMLIGHTBASE[Measure Subgroup 2],MATCH(INDEX('M03-S01'!$E$22:$E$198,2*(ROWS($V$4:V21)-1)+1),CMLIGHTBASE[Base Desc 1],0)),"")</f>
        <v/>
      </c>
      <c r="AC21" s="135"/>
      <c r="AD21" t="str">
        <f>IF(ISNUMBER(INDEX('M03-S01'!$W$22:$W$198,2*(ROWS($AD$4:AD21)-1)+1)),INDEX('M03-S01'!$W$22:$W$198,2*(ROWS($AD$4:AD21)-1)+1)&amp;" Lamp","")</f>
        <v/>
      </c>
      <c r="AE21" s="151">
        <f>IFERROR(IF(NOT(ISNUMBER(INDEX('M03-S01'!$AO$22:$AO$198,2*(ROWS($O$4:O21)-1)+1))),INDEX('M03-S01'!$U$22:$U$198,2*(ROWS($L$4:L21)-1)+1),0),0)</f>
        <v>0</v>
      </c>
      <c r="AF21" s="151" t="str">
        <f>INDEX('M03-S01'!$AW$22:$AW$198,2*(ROWS($AF$4:AF21)-1)+1)</f>
        <v/>
      </c>
      <c r="AG21" s="151" t="str">
        <f>INDEX('M03-S01'!$AX$22:$AX$198,2*(ROWS($AG$4:AG21)-1)+1)</f>
        <v/>
      </c>
      <c r="AH21" s="151" t="str">
        <f t="shared" si="2"/>
        <v/>
      </c>
      <c r="AI21" s="151" t="str">
        <f t="shared" si="3"/>
        <v/>
      </c>
      <c r="AJ21" s="61" t="str">
        <f t="shared" si="4"/>
        <v/>
      </c>
      <c r="AK21" s="61" t="str">
        <f t="shared" si="5"/>
        <v/>
      </c>
      <c r="AL21" s="61" t="str">
        <f t="shared" si="6"/>
        <v/>
      </c>
      <c r="AM21" s="154"/>
      <c r="AN21" s="61" t="str">
        <f t="shared" si="7"/>
        <v/>
      </c>
      <c r="AO21" s="151">
        <f>INDEX('M03-S01'!$K$22:$K$198,2*(ROWS($AO$4:AO21)-1)+1)</f>
        <v>0</v>
      </c>
      <c r="AP21" s="151">
        <f>INDEX('M03-S01'!$AF$22:$AF$198,2*(ROWS($AP$4:AP21)-1)+1)</f>
        <v>0</v>
      </c>
      <c r="AQ21" s="61" t="str">
        <f>IF(INDEX('M03-S01'!$AL$22:$AL$198,2*(ROWS($AQ$4:AQ21)-1)+1)="","",IF(AND(INDEX('M03-S01'!$AL$22:$AL$198,2*(ROWS($AQ$4:AQ21)-1)+1)&lt;&gt;"",OR(ISNUMBER(SEARCH("AC With",M02S02F32)),M02S02F32="Heat Pump")),LIGHTHEATCOIN,1))</f>
        <v/>
      </c>
      <c r="AR21" s="414">
        <f>(IF(INDEX('M03-S01'!$AO$22:$AO$198,2*(ROWS($O$4:O21)-1)+1)=INDEX('M03-S01'!$BK$22:$BK$198,2*(ROWS($O$4:O21)-1)+1),0,(INDEX('M03-S01'!$BJ$22:$BJ$198,2*(ROWS($O$4:O21)-1)+1)-INDEX('M03-S01'!$BK$22:$BK$198,2*(ROWS($O$4:O21)-1)+1))))*INCENTCAPADJ</f>
        <v>0</v>
      </c>
    </row>
    <row r="22" spans="1:44" x14ac:dyDescent="0.25">
      <c r="A22" s="66">
        <f t="shared" si="0"/>
        <v>0</v>
      </c>
      <c r="B22" s="66" t="str">
        <f t="shared" si="1"/>
        <v/>
      </c>
      <c r="C22" s="66" t="str">
        <f>IFERROR(IF(J22&gt;0,INDEX('M03-S01'!$BB$22:$BB$198,2*(ROWS($C$4:C22)-1)+1),""),"")</f>
        <v/>
      </c>
      <c r="D22" t="s">
        <v>1096</v>
      </c>
      <c r="E22" t="str">
        <f>IFERROR(INDEX(PMELIGHTLIN[End Use Category],MATCH(INDEX('M03-S01'!$BA$22:$BA$198,2*(ROWS($E$35:E53)-1)+1),PMELIGHTLIN[Measure Validator],0)),"")</f>
        <v/>
      </c>
      <c r="F22" s="151">
        <f>INDEX('M03-S01'!$AD$22:$AD$198,2*(ROWS($F$4:F22)-1)+1)</f>
        <v>0</v>
      </c>
      <c r="G22">
        <f>INDEX('M03-S01'!$AA$22:$AA$198,2*(ROWS($G$4:G22)-1)+1)</f>
        <v>0</v>
      </c>
      <c r="H22" s="61">
        <f>IFERROR(ROUND(INDEX('M03-S01'!$U$22:$U$198,2*(ROWS($H$4:H22)-1)+1)*INDEX('M03-S01'!$AH$22:$AH$198,2*(ROWS($H$4:H22)-1)+1),2),0)</f>
        <v>0</v>
      </c>
      <c r="I22" s="61">
        <f>IFERROR(ROUND(INDEX('M03-S01'!$U$22:$U$198,2*(ROWS($I$4:I22)-1)+1)*INDEX('M03-S01'!$AJ$22:$AJ$198,2*(ROWS($I$4:I22)-1)+1),2),0)</f>
        <v>0</v>
      </c>
      <c r="J22" s="61" t="str">
        <f>INDEX('M03-S01'!$AU$22:$AU$198,2*(ROWS($J$4:J22)-1)+1)</f>
        <v/>
      </c>
      <c r="K22" t="s">
        <v>119</v>
      </c>
      <c r="L22" s="151">
        <f>IF(ISNUMBER(INDEX('M03-S01'!$AO$22:$AO$198,2*(ROWS($M$4:M22)-1)+1)),INDEX('M03-S01'!$U$22:$U$198,2*(ROWS($L$4:L22)-1)+1),0)</f>
        <v>0</v>
      </c>
      <c r="M22" s="151">
        <f>IF(ISNUMBER(INDEX('M03-S01'!$AO$22:$AO$198,2*(ROWS($M$4:M22)-1)+1)),INDEX('M03-S01'!$AL$22:$AL$198,2*(ROWS($M$4:M22)-1)+1),0)</f>
        <v>0</v>
      </c>
      <c r="N22" s="189">
        <f>IF(ISNUMBER(INDEX('M03-S01'!$AO$22:$AO$198,2*(ROWS($M$4:M22)-1)+1)),IFERROR(INDEX('M03-S01'!$AV$22:$AV$198,2*(ROWS($N$4:N22)-1)+1),0),0)</f>
        <v>0</v>
      </c>
      <c r="O22" s="61">
        <f>IF(ISNUMBER(INDEX('M03-S01'!$AO$22:$AO$198,2*(ROWS($M$4:M22)-1)+1)),IFERROR(INDEX('M03-S01'!$AO$22:$AO$198,2*(ROWS($O$4:O22)-1)+1)*INCENTCAPADJ,""),0)</f>
        <v>0</v>
      </c>
      <c r="P22" s="151" t="str">
        <f>IFERROR(IF(NOT(ISNUMBER(INDEX('M03-S01'!$AO$22:$AO$198,2*(ROWS($O$4:O22)-1)+1))),INDEX('M03-S01'!$AL$22:$AL$198,2*(ROWS($M$4:M22)-1)+1),0),0)</f>
        <v/>
      </c>
      <c r="Q22" s="189" t="str">
        <f>IFERROR(IF(NOT(ISNUMBER(INDEX('M03-S01'!$AO$22:$AO$198,2*(ROWS($O$4:O22)-1)+1))),INDEX('M03-S01'!$AV$22:$AV$198,2*(ROWS($N$4:N22)-1)+1),0),0)</f>
        <v/>
      </c>
      <c r="R22" t="str">
        <f>IFERROR(IF(NOT(ISNUMBER(INDEX('M03-S01'!$AO$22:$AO$198,2*(ROWS($O$4:O22)-1)+1))),"Not Eligible",""),"")</f>
        <v>Not Eligible</v>
      </c>
      <c r="S22" s="156" t="str">
        <f>INDEX('M03-S01'!$M$22:$M$198,2*(ROWS($S$4:S22)-1)+1)</f>
        <v/>
      </c>
      <c r="T22" s="156">
        <f>INDEX('M03-S01'!$Y$22:$Y$198,2*(ROWS($T$4:T22)-1)+1)</f>
        <v>0</v>
      </c>
      <c r="U22" s="151">
        <f>INDEX('M03-S01'!$B$22:$B$198,2*(ROWS($U$4:U22)-1)+1)</f>
        <v>17</v>
      </c>
      <c r="V22" s="58">
        <f>INDEX('M03-S01'!$E$22:$E$198,2*(ROWS($V$4:V22)-1)+1)</f>
        <v>0</v>
      </c>
      <c r="W22" s="58">
        <f>IF(INDEX('M03-S01'!$O$22:$O$198,2*(ROWS($W$4:W22)-1)+1)="Fixture","LED Fixture",INDEX('M03-S01'!$O$22:$O$198,2*(ROWS($W$4:W22)-1)+1))</f>
        <v>0</v>
      </c>
      <c r="X22">
        <f>INDEX('M03-S01'!$H$22:$H$198,2*(ROWS($X$4:X22)-1)+1)</f>
        <v>0</v>
      </c>
      <c r="Y22">
        <f>INDEX('M03-S01'!$R$22:$R$198,2*(ROWS($Y$4:Y22)-1)+1)</f>
        <v>0</v>
      </c>
      <c r="Z22">
        <f>IFERROR(INDEX('M03-S01'!$AF$22:$AF$198,2*(ROWS(Z$4:$Z22)-1)+1)/INDEX('M03-S01'!$AD$22:$AD$198,2*(ROWS(Z$4:$Z22)-1)+1),0)</f>
        <v>0</v>
      </c>
      <c r="AA22" t="str">
        <f>IFERROR(INDEX(CMLIGHTBASE[Measure Subgroup 1],MATCH(INDEX('M03-S01'!$E$22:$E$198,2*(ROWS($V$4:V22)-1)+1),CMLIGHTBASE[Base Desc 1],0)),"")</f>
        <v/>
      </c>
      <c r="AB22" t="str">
        <f>IFERROR(INDEX(CMLIGHTBASE[Measure Subgroup 2],MATCH(INDEX('M03-S01'!$E$22:$E$198,2*(ROWS($V$4:V22)-1)+1),CMLIGHTBASE[Base Desc 1],0)),"")</f>
        <v/>
      </c>
      <c r="AC22" s="135"/>
      <c r="AD22" t="str">
        <f>IF(ISNUMBER(INDEX('M03-S01'!$W$22:$W$198,2*(ROWS($AD$4:AD22)-1)+1)),INDEX('M03-S01'!$W$22:$W$198,2*(ROWS($AD$4:AD22)-1)+1)&amp;" Lamp","")</f>
        <v/>
      </c>
      <c r="AE22" s="151">
        <f>IFERROR(IF(NOT(ISNUMBER(INDEX('M03-S01'!$AO$22:$AO$198,2*(ROWS($O$4:O22)-1)+1))),INDEX('M03-S01'!$U$22:$U$198,2*(ROWS($L$4:L22)-1)+1),0),0)</f>
        <v>0</v>
      </c>
      <c r="AF22" s="151" t="str">
        <f>INDEX('M03-S01'!$AW$22:$AW$198,2*(ROWS($AF$4:AF22)-1)+1)</f>
        <v/>
      </c>
      <c r="AG22" s="151" t="str">
        <f>INDEX('M03-S01'!$AX$22:$AX$198,2*(ROWS($AG$4:AG22)-1)+1)</f>
        <v/>
      </c>
      <c r="AH22" s="151" t="str">
        <f t="shared" si="2"/>
        <v/>
      </c>
      <c r="AI22" s="151" t="str">
        <f t="shared" si="3"/>
        <v/>
      </c>
      <c r="AJ22" s="61" t="str">
        <f t="shared" si="4"/>
        <v/>
      </c>
      <c r="AK22" s="61" t="str">
        <f t="shared" si="5"/>
        <v/>
      </c>
      <c r="AL22" s="61" t="str">
        <f t="shared" si="6"/>
        <v/>
      </c>
      <c r="AM22" s="154"/>
      <c r="AN22" s="61" t="str">
        <f t="shared" si="7"/>
        <v/>
      </c>
      <c r="AO22" s="151">
        <f>INDEX('M03-S01'!$K$22:$K$198,2*(ROWS($AO$4:AO22)-1)+1)</f>
        <v>0</v>
      </c>
      <c r="AP22" s="151">
        <f>INDEX('M03-S01'!$AF$22:$AF$198,2*(ROWS($AP$4:AP22)-1)+1)</f>
        <v>0</v>
      </c>
      <c r="AQ22" s="61" t="str">
        <f>IF(INDEX('M03-S01'!$AL$22:$AL$198,2*(ROWS($AQ$4:AQ22)-1)+1)="","",IF(AND(INDEX('M03-S01'!$AL$22:$AL$198,2*(ROWS($AQ$4:AQ22)-1)+1)&lt;&gt;"",OR(ISNUMBER(SEARCH("AC With",M02S02F32)),M02S02F32="Heat Pump")),LIGHTHEATCOIN,1))</f>
        <v/>
      </c>
      <c r="AR22" s="414">
        <f>(IF(INDEX('M03-S01'!$AO$22:$AO$198,2*(ROWS($O$4:O22)-1)+1)=INDEX('M03-S01'!$BK$22:$BK$198,2*(ROWS($O$4:O22)-1)+1),0,(INDEX('M03-S01'!$BJ$22:$BJ$198,2*(ROWS($O$4:O22)-1)+1)-INDEX('M03-S01'!$BK$22:$BK$198,2*(ROWS($O$4:O22)-1)+1))))*INCENTCAPADJ</f>
        <v>0</v>
      </c>
    </row>
    <row r="23" spans="1:44" x14ac:dyDescent="0.25">
      <c r="A23" s="66">
        <f t="shared" si="0"/>
        <v>0</v>
      </c>
      <c r="B23" s="66" t="str">
        <f t="shared" si="1"/>
        <v/>
      </c>
      <c r="C23" s="66" t="str">
        <f>IFERROR(IF(J23&gt;0,INDEX('M03-S01'!$BB$22:$BB$198,2*(ROWS($C$4:C23)-1)+1),""),"")</f>
        <v/>
      </c>
      <c r="D23" t="s">
        <v>1096</v>
      </c>
      <c r="E23" t="str">
        <f>IFERROR(INDEX(PMELIGHTLIN[End Use Category],MATCH(INDEX('M03-S01'!$BA$22:$BA$198,2*(ROWS($E$35:E54)-1)+1),PMELIGHTLIN[Measure Validator],0)),"")</f>
        <v/>
      </c>
      <c r="F23" s="151">
        <f>INDEX('M03-S01'!$AD$22:$AD$198,2*(ROWS($F$4:F23)-1)+1)</f>
        <v>0</v>
      </c>
      <c r="G23">
        <f>INDEX('M03-S01'!$AA$22:$AA$198,2*(ROWS($G$4:G23)-1)+1)</f>
        <v>0</v>
      </c>
      <c r="H23" s="61">
        <f>IFERROR(ROUND(INDEX('M03-S01'!$U$22:$U$198,2*(ROWS($H$4:H23)-1)+1)*INDEX('M03-S01'!$AH$22:$AH$198,2*(ROWS($H$4:H23)-1)+1),2),0)</f>
        <v>0</v>
      </c>
      <c r="I23" s="61">
        <f>IFERROR(ROUND(INDEX('M03-S01'!$U$22:$U$198,2*(ROWS($I$4:I23)-1)+1)*INDEX('M03-S01'!$AJ$22:$AJ$198,2*(ROWS($I$4:I23)-1)+1),2),0)</f>
        <v>0</v>
      </c>
      <c r="J23" s="61" t="str">
        <f>INDEX('M03-S01'!$AU$22:$AU$198,2*(ROWS($J$4:J23)-1)+1)</f>
        <v/>
      </c>
      <c r="K23" t="s">
        <v>119</v>
      </c>
      <c r="L23" s="151">
        <f>IF(ISNUMBER(INDEX('M03-S01'!$AO$22:$AO$198,2*(ROWS($M$4:M23)-1)+1)),INDEX('M03-S01'!$U$22:$U$198,2*(ROWS($L$4:L23)-1)+1),0)</f>
        <v>0</v>
      </c>
      <c r="M23" s="151">
        <f>IF(ISNUMBER(INDEX('M03-S01'!$AO$22:$AO$198,2*(ROWS($M$4:M23)-1)+1)),INDEX('M03-S01'!$AL$22:$AL$198,2*(ROWS($M$4:M23)-1)+1),0)</f>
        <v>0</v>
      </c>
      <c r="N23" s="189">
        <f>IF(ISNUMBER(INDEX('M03-S01'!$AO$22:$AO$198,2*(ROWS($M$4:M23)-1)+1)),IFERROR(INDEX('M03-S01'!$AV$22:$AV$198,2*(ROWS($N$4:N23)-1)+1),0),0)</f>
        <v>0</v>
      </c>
      <c r="O23" s="61">
        <f>IF(ISNUMBER(INDEX('M03-S01'!$AO$22:$AO$198,2*(ROWS($M$4:M23)-1)+1)),IFERROR(INDEX('M03-S01'!$AO$22:$AO$198,2*(ROWS($O$4:O23)-1)+1)*INCENTCAPADJ,""),0)</f>
        <v>0</v>
      </c>
      <c r="P23" s="151" t="str">
        <f>IFERROR(IF(NOT(ISNUMBER(INDEX('M03-S01'!$AO$22:$AO$198,2*(ROWS($O$4:O23)-1)+1))),INDEX('M03-S01'!$AL$22:$AL$198,2*(ROWS($M$4:M23)-1)+1),0),0)</f>
        <v/>
      </c>
      <c r="Q23" s="189" t="str">
        <f>IFERROR(IF(NOT(ISNUMBER(INDEX('M03-S01'!$AO$22:$AO$198,2*(ROWS($O$4:O23)-1)+1))),INDEX('M03-S01'!$AV$22:$AV$198,2*(ROWS($N$4:N23)-1)+1),0),0)</f>
        <v/>
      </c>
      <c r="R23" t="str">
        <f>IFERROR(IF(NOT(ISNUMBER(INDEX('M03-S01'!$AO$22:$AO$198,2*(ROWS($O$4:O23)-1)+1))),"Not Eligible",""),"")</f>
        <v>Not Eligible</v>
      </c>
      <c r="S23" s="156" t="str">
        <f>INDEX('M03-S01'!$M$22:$M$198,2*(ROWS($S$4:S23)-1)+1)</f>
        <v/>
      </c>
      <c r="T23" s="156">
        <f>INDEX('M03-S01'!$Y$22:$Y$198,2*(ROWS($T$4:T23)-1)+1)</f>
        <v>0</v>
      </c>
      <c r="U23" s="151">
        <f>INDEX('M03-S01'!$B$22:$B$198,2*(ROWS($U$4:U23)-1)+1)</f>
        <v>18</v>
      </c>
      <c r="V23" s="58">
        <f>INDEX('M03-S01'!$E$22:$E$198,2*(ROWS($V$4:V23)-1)+1)</f>
        <v>0</v>
      </c>
      <c r="W23" s="58">
        <f>IF(INDEX('M03-S01'!$O$22:$O$198,2*(ROWS($W$4:W23)-1)+1)="Fixture","LED Fixture",INDEX('M03-S01'!$O$22:$O$198,2*(ROWS($W$4:W23)-1)+1))</f>
        <v>0</v>
      </c>
      <c r="X23">
        <f>INDEX('M03-S01'!$H$22:$H$198,2*(ROWS($X$4:X23)-1)+1)</f>
        <v>0</v>
      </c>
      <c r="Y23">
        <f>INDEX('M03-S01'!$R$22:$R$198,2*(ROWS($Y$4:Y23)-1)+1)</f>
        <v>0</v>
      </c>
      <c r="Z23">
        <f>IFERROR(INDEX('M03-S01'!$AF$22:$AF$198,2*(ROWS(Z$4:$Z23)-1)+1)/INDEX('M03-S01'!$AD$22:$AD$198,2*(ROWS(Z$4:$Z23)-1)+1),0)</f>
        <v>0</v>
      </c>
      <c r="AA23" t="str">
        <f>IFERROR(INDEX(CMLIGHTBASE[Measure Subgroup 1],MATCH(INDEX('M03-S01'!$E$22:$E$198,2*(ROWS($V$4:V23)-1)+1),CMLIGHTBASE[Base Desc 1],0)),"")</f>
        <v/>
      </c>
      <c r="AB23" t="str">
        <f>IFERROR(INDEX(CMLIGHTBASE[Measure Subgroup 2],MATCH(INDEX('M03-S01'!$E$22:$E$198,2*(ROWS($V$4:V23)-1)+1),CMLIGHTBASE[Base Desc 1],0)),"")</f>
        <v/>
      </c>
      <c r="AC23" s="135"/>
      <c r="AD23" t="str">
        <f>IF(ISNUMBER(INDEX('M03-S01'!$W$22:$W$198,2*(ROWS($AD$4:AD23)-1)+1)),INDEX('M03-S01'!$W$22:$W$198,2*(ROWS($AD$4:AD23)-1)+1)&amp;" Lamp","")</f>
        <v/>
      </c>
      <c r="AE23" s="151">
        <f>IFERROR(IF(NOT(ISNUMBER(INDEX('M03-S01'!$AO$22:$AO$198,2*(ROWS($O$4:O23)-1)+1))),INDEX('M03-S01'!$U$22:$U$198,2*(ROWS($L$4:L23)-1)+1),0),0)</f>
        <v>0</v>
      </c>
      <c r="AF23" s="151" t="str">
        <f>INDEX('M03-S01'!$AW$22:$AW$198,2*(ROWS($AF$4:AF23)-1)+1)</f>
        <v/>
      </c>
      <c r="AG23" s="151" t="str">
        <f>INDEX('M03-S01'!$AX$22:$AX$198,2*(ROWS($AG$4:AG23)-1)+1)</f>
        <v/>
      </c>
      <c r="AH23" s="151" t="str">
        <f t="shared" si="2"/>
        <v/>
      </c>
      <c r="AI23" s="151" t="str">
        <f t="shared" si="3"/>
        <v/>
      </c>
      <c r="AJ23" s="61" t="str">
        <f t="shared" si="4"/>
        <v/>
      </c>
      <c r="AK23" s="61" t="str">
        <f t="shared" si="5"/>
        <v/>
      </c>
      <c r="AL23" s="61" t="str">
        <f t="shared" si="6"/>
        <v/>
      </c>
      <c r="AM23" s="154"/>
      <c r="AN23" s="61" t="str">
        <f t="shared" si="7"/>
        <v/>
      </c>
      <c r="AO23" s="151">
        <f>INDEX('M03-S01'!$K$22:$K$198,2*(ROWS($AO$4:AO23)-1)+1)</f>
        <v>0</v>
      </c>
      <c r="AP23" s="151">
        <f>INDEX('M03-S01'!$AF$22:$AF$198,2*(ROWS($AP$4:AP23)-1)+1)</f>
        <v>0</v>
      </c>
      <c r="AQ23" s="61" t="str">
        <f>IF(INDEX('M03-S01'!$AL$22:$AL$198,2*(ROWS($AQ$4:AQ23)-1)+1)="","",IF(AND(INDEX('M03-S01'!$AL$22:$AL$198,2*(ROWS($AQ$4:AQ23)-1)+1)&lt;&gt;"",OR(ISNUMBER(SEARCH("AC With",M02S02F32)),M02S02F32="Heat Pump")),LIGHTHEATCOIN,1))</f>
        <v/>
      </c>
      <c r="AR23" s="414">
        <f>(IF(INDEX('M03-S01'!$AO$22:$AO$198,2*(ROWS($O$4:O23)-1)+1)=INDEX('M03-S01'!$BK$22:$BK$198,2*(ROWS($O$4:O23)-1)+1),0,(INDEX('M03-S01'!$BJ$22:$BJ$198,2*(ROWS($O$4:O23)-1)+1)-INDEX('M03-S01'!$BK$22:$BK$198,2*(ROWS($O$4:O23)-1)+1))))*INCENTCAPADJ</f>
        <v>0</v>
      </c>
    </row>
    <row r="24" spans="1:44" x14ac:dyDescent="0.25">
      <c r="A24" s="66">
        <f t="shared" si="0"/>
        <v>0</v>
      </c>
      <c r="B24" s="66" t="str">
        <f t="shared" si="1"/>
        <v/>
      </c>
      <c r="C24" s="66" t="str">
        <f>IFERROR(IF(J24&gt;0,INDEX('M03-S01'!$BB$22:$BB$198,2*(ROWS($C$4:C24)-1)+1),""),"")</f>
        <v/>
      </c>
      <c r="D24" t="s">
        <v>1096</v>
      </c>
      <c r="E24" t="str">
        <f>IFERROR(INDEX(PMELIGHTLIN[End Use Category],MATCH(INDEX('M03-S01'!$BA$22:$BA$198,2*(ROWS($E$35:E55)-1)+1),PMELIGHTLIN[Measure Validator],0)),"")</f>
        <v/>
      </c>
      <c r="F24" s="151">
        <f>INDEX('M03-S01'!$AD$22:$AD$198,2*(ROWS($F$4:F24)-1)+1)</f>
        <v>0</v>
      </c>
      <c r="G24">
        <f>INDEX('M03-S01'!$AA$22:$AA$198,2*(ROWS($G$4:G24)-1)+1)</f>
        <v>0</v>
      </c>
      <c r="H24" s="61">
        <f>IFERROR(ROUND(INDEX('M03-S01'!$U$22:$U$198,2*(ROWS($H$4:H24)-1)+1)*INDEX('M03-S01'!$AH$22:$AH$198,2*(ROWS($H$4:H24)-1)+1),2),0)</f>
        <v>0</v>
      </c>
      <c r="I24" s="61">
        <f>IFERROR(ROUND(INDEX('M03-S01'!$U$22:$U$198,2*(ROWS($I$4:I24)-1)+1)*INDEX('M03-S01'!$AJ$22:$AJ$198,2*(ROWS($I$4:I24)-1)+1),2),0)</f>
        <v>0</v>
      </c>
      <c r="J24" s="61" t="str">
        <f>INDEX('M03-S01'!$AU$22:$AU$198,2*(ROWS($J$4:J24)-1)+1)</f>
        <v/>
      </c>
      <c r="K24" t="s">
        <v>119</v>
      </c>
      <c r="L24" s="151">
        <f>IF(ISNUMBER(INDEX('M03-S01'!$AO$22:$AO$198,2*(ROWS($M$4:M24)-1)+1)),INDEX('M03-S01'!$U$22:$U$198,2*(ROWS($L$4:L24)-1)+1),0)</f>
        <v>0</v>
      </c>
      <c r="M24" s="151">
        <f>IF(ISNUMBER(INDEX('M03-S01'!$AO$22:$AO$198,2*(ROWS($M$4:M24)-1)+1)),INDEX('M03-S01'!$AL$22:$AL$198,2*(ROWS($M$4:M24)-1)+1),0)</f>
        <v>0</v>
      </c>
      <c r="N24" s="189">
        <f>IF(ISNUMBER(INDEX('M03-S01'!$AO$22:$AO$198,2*(ROWS($M$4:M24)-1)+1)),IFERROR(INDEX('M03-S01'!$AV$22:$AV$198,2*(ROWS($N$4:N24)-1)+1),0),0)</f>
        <v>0</v>
      </c>
      <c r="O24" s="61">
        <f>IF(ISNUMBER(INDEX('M03-S01'!$AO$22:$AO$198,2*(ROWS($M$4:M24)-1)+1)),IFERROR(INDEX('M03-S01'!$AO$22:$AO$198,2*(ROWS($O$4:O24)-1)+1)*INCENTCAPADJ,""),0)</f>
        <v>0</v>
      </c>
      <c r="P24" s="151" t="str">
        <f>IFERROR(IF(NOT(ISNUMBER(INDEX('M03-S01'!$AO$22:$AO$198,2*(ROWS($O$4:O24)-1)+1))),INDEX('M03-S01'!$AL$22:$AL$198,2*(ROWS($M$4:M24)-1)+1),0),0)</f>
        <v/>
      </c>
      <c r="Q24" s="189" t="str">
        <f>IFERROR(IF(NOT(ISNUMBER(INDEX('M03-S01'!$AO$22:$AO$198,2*(ROWS($O$4:O24)-1)+1))),INDEX('M03-S01'!$AV$22:$AV$198,2*(ROWS($N$4:N24)-1)+1),0),0)</f>
        <v/>
      </c>
      <c r="R24" t="str">
        <f>IFERROR(IF(NOT(ISNUMBER(INDEX('M03-S01'!$AO$22:$AO$198,2*(ROWS($O$4:O24)-1)+1))),"Not Eligible",""),"")</f>
        <v>Not Eligible</v>
      </c>
      <c r="S24" s="156" t="str">
        <f>INDEX('M03-S01'!$M$22:$M$198,2*(ROWS($S$4:S24)-1)+1)</f>
        <v/>
      </c>
      <c r="T24" s="156">
        <f>INDEX('M03-S01'!$Y$22:$Y$198,2*(ROWS($T$4:T24)-1)+1)</f>
        <v>0</v>
      </c>
      <c r="U24" s="151">
        <f>INDEX('M03-S01'!$B$22:$B$198,2*(ROWS($U$4:U24)-1)+1)</f>
        <v>19</v>
      </c>
      <c r="V24" s="58">
        <f>INDEX('M03-S01'!$E$22:$E$198,2*(ROWS($V$4:V24)-1)+1)</f>
        <v>0</v>
      </c>
      <c r="W24" s="58">
        <f>IF(INDEX('M03-S01'!$O$22:$O$198,2*(ROWS($W$4:W24)-1)+1)="Fixture","LED Fixture",INDEX('M03-S01'!$O$22:$O$198,2*(ROWS($W$4:W24)-1)+1))</f>
        <v>0</v>
      </c>
      <c r="X24">
        <f>INDEX('M03-S01'!$H$22:$H$198,2*(ROWS($X$4:X24)-1)+1)</f>
        <v>0</v>
      </c>
      <c r="Y24">
        <f>INDEX('M03-S01'!$R$22:$R$198,2*(ROWS($Y$4:Y24)-1)+1)</f>
        <v>0</v>
      </c>
      <c r="Z24">
        <f>IFERROR(INDEX('M03-S01'!$AF$22:$AF$198,2*(ROWS(Z$4:$Z24)-1)+1)/INDEX('M03-S01'!$AD$22:$AD$198,2*(ROWS(Z$4:$Z24)-1)+1),0)</f>
        <v>0</v>
      </c>
      <c r="AA24" t="str">
        <f>IFERROR(INDEX(CMLIGHTBASE[Measure Subgroup 1],MATCH(INDEX('M03-S01'!$E$22:$E$198,2*(ROWS($V$4:V24)-1)+1),CMLIGHTBASE[Base Desc 1],0)),"")</f>
        <v/>
      </c>
      <c r="AB24" t="str">
        <f>IFERROR(INDEX(CMLIGHTBASE[Measure Subgroup 2],MATCH(INDEX('M03-S01'!$E$22:$E$198,2*(ROWS($V$4:V24)-1)+1),CMLIGHTBASE[Base Desc 1],0)),"")</f>
        <v/>
      </c>
      <c r="AC24" s="135"/>
      <c r="AD24" t="str">
        <f>IF(ISNUMBER(INDEX('M03-S01'!$W$22:$W$198,2*(ROWS($AD$4:AD24)-1)+1)),INDEX('M03-S01'!$W$22:$W$198,2*(ROWS($AD$4:AD24)-1)+1)&amp;" Lamp","")</f>
        <v/>
      </c>
      <c r="AE24" s="151">
        <f>IFERROR(IF(NOT(ISNUMBER(INDEX('M03-S01'!$AO$22:$AO$198,2*(ROWS($O$4:O24)-1)+1))),INDEX('M03-S01'!$U$22:$U$198,2*(ROWS($L$4:L24)-1)+1),0),0)</f>
        <v>0</v>
      </c>
      <c r="AF24" s="151" t="str">
        <f>INDEX('M03-S01'!$AW$22:$AW$198,2*(ROWS($AF$4:AF24)-1)+1)</f>
        <v/>
      </c>
      <c r="AG24" s="151" t="str">
        <f>INDEX('M03-S01'!$AX$22:$AX$198,2*(ROWS($AG$4:AG24)-1)+1)</f>
        <v/>
      </c>
      <c r="AH24" s="151" t="str">
        <f t="shared" si="2"/>
        <v/>
      </c>
      <c r="AI24" s="151" t="str">
        <f t="shared" si="3"/>
        <v/>
      </c>
      <c r="AJ24" s="61" t="str">
        <f t="shared" si="4"/>
        <v/>
      </c>
      <c r="AK24" s="61" t="str">
        <f t="shared" si="5"/>
        <v/>
      </c>
      <c r="AL24" s="61" t="str">
        <f t="shared" si="6"/>
        <v/>
      </c>
      <c r="AM24" s="154"/>
      <c r="AN24" s="61" t="str">
        <f t="shared" si="7"/>
        <v/>
      </c>
      <c r="AO24" s="151">
        <f>INDEX('M03-S01'!$K$22:$K$198,2*(ROWS($AO$4:AO24)-1)+1)</f>
        <v>0</v>
      </c>
      <c r="AP24" s="151">
        <f>INDEX('M03-S01'!$AF$22:$AF$198,2*(ROWS($AP$4:AP24)-1)+1)</f>
        <v>0</v>
      </c>
      <c r="AQ24" s="61" t="str">
        <f>IF(INDEX('M03-S01'!$AL$22:$AL$198,2*(ROWS($AQ$4:AQ24)-1)+1)="","",IF(AND(INDEX('M03-S01'!$AL$22:$AL$198,2*(ROWS($AQ$4:AQ24)-1)+1)&lt;&gt;"",OR(ISNUMBER(SEARCH("AC With",M02S02F32)),M02S02F32="Heat Pump")),LIGHTHEATCOIN,1))</f>
        <v/>
      </c>
      <c r="AR24" s="414">
        <f>(IF(INDEX('M03-S01'!$AO$22:$AO$198,2*(ROWS($O$4:O24)-1)+1)=INDEX('M03-S01'!$BK$22:$BK$198,2*(ROWS($O$4:O24)-1)+1),0,(INDEX('M03-S01'!$BJ$22:$BJ$198,2*(ROWS($O$4:O24)-1)+1)-INDEX('M03-S01'!$BK$22:$BK$198,2*(ROWS($O$4:O24)-1)+1))))*INCENTCAPADJ</f>
        <v>0</v>
      </c>
    </row>
    <row r="25" spans="1:44" x14ac:dyDescent="0.25">
      <c r="A25" s="66">
        <f t="shared" si="0"/>
        <v>0</v>
      </c>
      <c r="B25" s="66" t="str">
        <f t="shared" si="1"/>
        <v/>
      </c>
      <c r="C25" s="66" t="str">
        <f>IFERROR(IF(J25&gt;0,INDEX('M03-S01'!$BB$22:$BB$198,2*(ROWS($C$4:C25)-1)+1),""),"")</f>
        <v/>
      </c>
      <c r="D25" t="s">
        <v>1096</v>
      </c>
      <c r="E25" t="str">
        <f>IFERROR(INDEX(PMELIGHTLIN[End Use Category],MATCH(INDEX('M03-S01'!$BA$22:$BA$198,2*(ROWS($E$35:E56)-1)+1),PMELIGHTLIN[Measure Validator],0)),"")</f>
        <v/>
      </c>
      <c r="F25" s="151">
        <f>INDEX('M03-S01'!$AD$22:$AD$198,2*(ROWS($F$4:F25)-1)+1)</f>
        <v>0</v>
      </c>
      <c r="G25">
        <f>INDEX('M03-S01'!$AA$22:$AA$198,2*(ROWS($G$4:G25)-1)+1)</f>
        <v>0</v>
      </c>
      <c r="H25" s="61">
        <f>IFERROR(ROUND(INDEX('M03-S01'!$U$22:$U$198,2*(ROWS($H$4:H25)-1)+1)*INDEX('M03-S01'!$AH$22:$AH$198,2*(ROWS($H$4:H25)-1)+1),2),0)</f>
        <v>0</v>
      </c>
      <c r="I25" s="61">
        <f>IFERROR(ROUND(INDEX('M03-S01'!$U$22:$U$198,2*(ROWS($I$4:I25)-1)+1)*INDEX('M03-S01'!$AJ$22:$AJ$198,2*(ROWS($I$4:I25)-1)+1),2),0)</f>
        <v>0</v>
      </c>
      <c r="J25" s="61" t="str">
        <f>INDEX('M03-S01'!$AU$22:$AU$198,2*(ROWS($J$4:J25)-1)+1)</f>
        <v/>
      </c>
      <c r="K25" t="s">
        <v>119</v>
      </c>
      <c r="L25" s="151">
        <f>IF(ISNUMBER(INDEX('M03-S01'!$AO$22:$AO$198,2*(ROWS($M$4:M25)-1)+1)),INDEX('M03-S01'!$U$22:$U$198,2*(ROWS($L$4:L25)-1)+1),0)</f>
        <v>0</v>
      </c>
      <c r="M25" s="151">
        <f>IF(ISNUMBER(INDEX('M03-S01'!$AO$22:$AO$198,2*(ROWS($M$4:M25)-1)+1)),INDEX('M03-S01'!$AL$22:$AL$198,2*(ROWS($M$4:M25)-1)+1),0)</f>
        <v>0</v>
      </c>
      <c r="N25" s="189">
        <f>IF(ISNUMBER(INDEX('M03-S01'!$AO$22:$AO$198,2*(ROWS($M$4:M25)-1)+1)),IFERROR(INDEX('M03-S01'!$AV$22:$AV$198,2*(ROWS($N$4:N25)-1)+1),0),0)</f>
        <v>0</v>
      </c>
      <c r="O25" s="61">
        <f>IF(ISNUMBER(INDEX('M03-S01'!$AO$22:$AO$198,2*(ROWS($M$4:M25)-1)+1)),IFERROR(INDEX('M03-S01'!$AO$22:$AO$198,2*(ROWS($O$4:O25)-1)+1)*INCENTCAPADJ,""),0)</f>
        <v>0</v>
      </c>
      <c r="P25" s="151" t="str">
        <f>IFERROR(IF(NOT(ISNUMBER(INDEX('M03-S01'!$AO$22:$AO$198,2*(ROWS($O$4:O25)-1)+1))),INDEX('M03-S01'!$AL$22:$AL$198,2*(ROWS($M$4:M25)-1)+1),0),0)</f>
        <v/>
      </c>
      <c r="Q25" s="189" t="str">
        <f>IFERROR(IF(NOT(ISNUMBER(INDEX('M03-S01'!$AO$22:$AO$198,2*(ROWS($O$4:O25)-1)+1))),INDEX('M03-S01'!$AV$22:$AV$198,2*(ROWS($N$4:N25)-1)+1),0),0)</f>
        <v/>
      </c>
      <c r="R25" t="str">
        <f>IFERROR(IF(NOT(ISNUMBER(INDEX('M03-S01'!$AO$22:$AO$198,2*(ROWS($O$4:O25)-1)+1))),"Not Eligible",""),"")</f>
        <v>Not Eligible</v>
      </c>
      <c r="S25" s="156" t="str">
        <f>INDEX('M03-S01'!$M$22:$M$198,2*(ROWS($S$4:S25)-1)+1)</f>
        <v/>
      </c>
      <c r="T25" s="156">
        <f>INDEX('M03-S01'!$Y$22:$Y$198,2*(ROWS($T$4:T25)-1)+1)</f>
        <v>0</v>
      </c>
      <c r="U25" s="151">
        <f>INDEX('M03-S01'!$B$22:$B$198,2*(ROWS($U$4:U25)-1)+1)</f>
        <v>20</v>
      </c>
      <c r="V25" s="58">
        <f>INDEX('M03-S01'!$E$22:$E$198,2*(ROWS($V$4:V25)-1)+1)</f>
        <v>0</v>
      </c>
      <c r="W25" s="58">
        <f>IF(INDEX('M03-S01'!$O$22:$O$198,2*(ROWS($W$4:W25)-1)+1)="Fixture","LED Fixture",INDEX('M03-S01'!$O$22:$O$198,2*(ROWS($W$4:W25)-1)+1))</f>
        <v>0</v>
      </c>
      <c r="X25">
        <f>INDEX('M03-S01'!$H$22:$H$198,2*(ROWS($X$4:X25)-1)+1)</f>
        <v>0</v>
      </c>
      <c r="Y25">
        <f>INDEX('M03-S01'!$R$22:$R$198,2*(ROWS($Y$4:Y25)-1)+1)</f>
        <v>0</v>
      </c>
      <c r="Z25">
        <f>IFERROR(INDEX('M03-S01'!$AF$22:$AF$198,2*(ROWS(Z$4:$Z25)-1)+1)/INDEX('M03-S01'!$AD$22:$AD$198,2*(ROWS(Z$4:$Z25)-1)+1),0)</f>
        <v>0</v>
      </c>
      <c r="AA25" t="str">
        <f>IFERROR(INDEX(CMLIGHTBASE[Measure Subgroup 1],MATCH(INDEX('M03-S01'!$E$22:$E$198,2*(ROWS($V$4:V25)-1)+1),CMLIGHTBASE[Base Desc 1],0)),"")</f>
        <v/>
      </c>
      <c r="AB25" t="str">
        <f>IFERROR(INDEX(CMLIGHTBASE[Measure Subgroup 2],MATCH(INDEX('M03-S01'!$E$22:$E$198,2*(ROWS($V$4:V25)-1)+1),CMLIGHTBASE[Base Desc 1],0)),"")</f>
        <v/>
      </c>
      <c r="AC25" s="135"/>
      <c r="AD25" t="str">
        <f>IF(ISNUMBER(INDEX('M03-S01'!$W$22:$W$198,2*(ROWS($AD$4:AD25)-1)+1)),INDEX('M03-S01'!$W$22:$W$198,2*(ROWS($AD$4:AD25)-1)+1)&amp;" Lamp","")</f>
        <v/>
      </c>
      <c r="AE25" s="151">
        <f>IFERROR(IF(NOT(ISNUMBER(INDEX('M03-S01'!$AO$22:$AO$198,2*(ROWS($O$4:O25)-1)+1))),INDEX('M03-S01'!$U$22:$U$198,2*(ROWS($L$4:L25)-1)+1),0),0)</f>
        <v>0</v>
      </c>
      <c r="AF25" s="151" t="str">
        <f>INDEX('M03-S01'!$AW$22:$AW$198,2*(ROWS($AF$4:AF25)-1)+1)</f>
        <v/>
      </c>
      <c r="AG25" s="151" t="str">
        <f>INDEX('M03-S01'!$AX$22:$AX$198,2*(ROWS($AG$4:AG25)-1)+1)</f>
        <v/>
      </c>
      <c r="AH25" s="151" t="str">
        <f t="shared" si="2"/>
        <v/>
      </c>
      <c r="AI25" s="151" t="str">
        <f t="shared" si="3"/>
        <v/>
      </c>
      <c r="AJ25" s="61" t="str">
        <f t="shared" si="4"/>
        <v/>
      </c>
      <c r="AK25" s="61" t="str">
        <f t="shared" si="5"/>
        <v/>
      </c>
      <c r="AL25" s="61" t="str">
        <f t="shared" si="6"/>
        <v/>
      </c>
      <c r="AM25" s="154"/>
      <c r="AN25" s="61" t="str">
        <f t="shared" si="7"/>
        <v/>
      </c>
      <c r="AO25" s="151">
        <f>INDEX('M03-S01'!$K$22:$K$198,2*(ROWS($AO$4:AO25)-1)+1)</f>
        <v>0</v>
      </c>
      <c r="AP25" s="151">
        <f>INDEX('M03-S01'!$AF$22:$AF$198,2*(ROWS($AP$4:AP25)-1)+1)</f>
        <v>0</v>
      </c>
      <c r="AQ25" s="61" t="str">
        <f>IF(INDEX('M03-S01'!$AL$22:$AL$198,2*(ROWS($AQ$4:AQ25)-1)+1)="","",IF(AND(INDEX('M03-S01'!$AL$22:$AL$198,2*(ROWS($AQ$4:AQ25)-1)+1)&lt;&gt;"",OR(ISNUMBER(SEARCH("AC With",M02S02F32)),M02S02F32="Heat Pump")),LIGHTHEATCOIN,1))</f>
        <v/>
      </c>
      <c r="AR25" s="414">
        <f>(IF(INDEX('M03-S01'!$AO$22:$AO$198,2*(ROWS($O$4:O25)-1)+1)=INDEX('M03-S01'!$BK$22:$BK$198,2*(ROWS($O$4:O25)-1)+1),0,(INDEX('M03-S01'!$BJ$22:$BJ$198,2*(ROWS($O$4:O25)-1)+1)-INDEX('M03-S01'!$BK$22:$BK$198,2*(ROWS($O$4:O25)-1)+1))))*INCENTCAPADJ</f>
        <v>0</v>
      </c>
    </row>
    <row r="26" spans="1:44" x14ac:dyDescent="0.25">
      <c r="A26" s="66">
        <f t="shared" si="0"/>
        <v>0</v>
      </c>
      <c r="B26" s="66" t="str">
        <f t="shared" si="1"/>
        <v/>
      </c>
      <c r="C26" s="66" t="str">
        <f>IFERROR(IF(J26&gt;0,INDEX('M03-S01'!$BB$22:$BB$198,2*(ROWS($C$4:C26)-1)+1),""),"")</f>
        <v/>
      </c>
      <c r="D26" t="s">
        <v>1096</v>
      </c>
      <c r="E26" t="str">
        <f>IFERROR(INDEX(PMELIGHTLIN[End Use Category],MATCH(INDEX('M03-S01'!$BA$22:$BA$198,2*(ROWS($E$35:E57)-1)+1),PMELIGHTLIN[Measure Validator],0)),"")</f>
        <v/>
      </c>
      <c r="F26" s="151">
        <f>INDEX('M03-S01'!$AD$22:$AD$198,2*(ROWS($F$4:F26)-1)+1)</f>
        <v>0</v>
      </c>
      <c r="G26">
        <f>INDEX('M03-S01'!$AA$22:$AA$198,2*(ROWS($G$4:G26)-1)+1)</f>
        <v>0</v>
      </c>
      <c r="H26" s="61">
        <f>IFERROR(ROUND(INDEX('M03-S01'!$U$22:$U$198,2*(ROWS($H$4:H26)-1)+1)*INDEX('M03-S01'!$AH$22:$AH$198,2*(ROWS($H$4:H26)-1)+1),2),0)</f>
        <v>0</v>
      </c>
      <c r="I26" s="61">
        <f>IFERROR(ROUND(INDEX('M03-S01'!$U$22:$U$198,2*(ROWS($I$4:I26)-1)+1)*INDEX('M03-S01'!$AJ$22:$AJ$198,2*(ROWS($I$4:I26)-1)+1),2),0)</f>
        <v>0</v>
      </c>
      <c r="J26" s="61" t="str">
        <f>INDEX('M03-S01'!$AU$22:$AU$198,2*(ROWS($J$4:J26)-1)+1)</f>
        <v/>
      </c>
      <c r="K26" t="s">
        <v>119</v>
      </c>
      <c r="L26" s="151">
        <f>IF(ISNUMBER(INDEX('M03-S01'!$AO$22:$AO$198,2*(ROWS($M$4:M26)-1)+1)),INDEX('M03-S01'!$U$22:$U$198,2*(ROWS($L$4:L26)-1)+1),0)</f>
        <v>0</v>
      </c>
      <c r="M26" s="151">
        <f>IF(ISNUMBER(INDEX('M03-S01'!$AO$22:$AO$198,2*(ROWS($M$4:M26)-1)+1)),INDEX('M03-S01'!$AL$22:$AL$198,2*(ROWS($M$4:M26)-1)+1),0)</f>
        <v>0</v>
      </c>
      <c r="N26" s="189">
        <f>IF(ISNUMBER(INDEX('M03-S01'!$AO$22:$AO$198,2*(ROWS($M$4:M26)-1)+1)),IFERROR(INDEX('M03-S01'!$AV$22:$AV$198,2*(ROWS($N$4:N26)-1)+1),0),0)</f>
        <v>0</v>
      </c>
      <c r="O26" s="61">
        <f>IF(ISNUMBER(INDEX('M03-S01'!$AO$22:$AO$198,2*(ROWS($M$4:M26)-1)+1)),IFERROR(INDEX('M03-S01'!$AO$22:$AO$198,2*(ROWS($O$4:O26)-1)+1)*INCENTCAPADJ,""),0)</f>
        <v>0</v>
      </c>
      <c r="P26" s="151" t="str">
        <f>IFERROR(IF(NOT(ISNUMBER(INDEX('M03-S01'!$AO$22:$AO$198,2*(ROWS($O$4:O26)-1)+1))),INDEX('M03-S01'!$AL$22:$AL$198,2*(ROWS($M$4:M26)-1)+1),0),0)</f>
        <v/>
      </c>
      <c r="Q26" s="189" t="str">
        <f>IFERROR(IF(NOT(ISNUMBER(INDEX('M03-S01'!$AO$22:$AO$198,2*(ROWS($O$4:O26)-1)+1))),INDEX('M03-S01'!$AV$22:$AV$198,2*(ROWS($N$4:N26)-1)+1),0),0)</f>
        <v/>
      </c>
      <c r="R26" t="str">
        <f>IFERROR(IF(NOT(ISNUMBER(INDEX('M03-S01'!$AO$22:$AO$198,2*(ROWS($O$4:O26)-1)+1))),"Not Eligible",""),"")</f>
        <v>Not Eligible</v>
      </c>
      <c r="S26" s="156" t="str">
        <f>INDEX('M03-S01'!$M$22:$M$198,2*(ROWS($S$4:S26)-1)+1)</f>
        <v/>
      </c>
      <c r="T26" s="156">
        <f>INDEX('M03-S01'!$Y$22:$Y$198,2*(ROWS($T$4:T26)-1)+1)</f>
        <v>0</v>
      </c>
      <c r="U26" s="151">
        <f>INDEX('M03-S01'!$B$22:$B$198,2*(ROWS($U$4:U26)-1)+1)</f>
        <v>21</v>
      </c>
      <c r="V26" s="58">
        <f>INDEX('M03-S01'!$E$22:$E$198,2*(ROWS($V$4:V26)-1)+1)</f>
        <v>0</v>
      </c>
      <c r="W26" s="58">
        <f>IF(INDEX('M03-S01'!$O$22:$O$198,2*(ROWS($W$4:W26)-1)+1)="Fixture","LED Fixture",INDEX('M03-S01'!$O$22:$O$198,2*(ROWS($W$4:W26)-1)+1))</f>
        <v>0</v>
      </c>
      <c r="X26">
        <f>INDEX('M03-S01'!$H$22:$H$198,2*(ROWS($X$4:X26)-1)+1)</f>
        <v>0</v>
      </c>
      <c r="Y26">
        <f>INDEX('M03-S01'!$R$22:$R$198,2*(ROWS($Y$4:Y26)-1)+1)</f>
        <v>0</v>
      </c>
      <c r="Z26">
        <f>IFERROR(INDEX('M03-S01'!$AF$22:$AF$198,2*(ROWS(Z$4:$Z26)-1)+1)/INDEX('M03-S01'!$AD$22:$AD$198,2*(ROWS(Z$4:$Z26)-1)+1),0)</f>
        <v>0</v>
      </c>
      <c r="AA26" t="str">
        <f>IFERROR(INDEX(CMLIGHTBASE[Measure Subgroup 1],MATCH(INDEX('M03-S01'!$E$22:$E$198,2*(ROWS($V$4:V26)-1)+1),CMLIGHTBASE[Base Desc 1],0)),"")</f>
        <v/>
      </c>
      <c r="AB26" t="str">
        <f>IFERROR(INDEX(CMLIGHTBASE[Measure Subgroup 2],MATCH(INDEX('M03-S01'!$E$22:$E$198,2*(ROWS($V$4:V26)-1)+1),CMLIGHTBASE[Base Desc 1],0)),"")</f>
        <v/>
      </c>
      <c r="AC26" s="135"/>
      <c r="AD26" t="str">
        <f>IF(ISNUMBER(INDEX('M03-S01'!$W$22:$W$198,2*(ROWS($AD$4:AD26)-1)+1)),INDEX('M03-S01'!$W$22:$W$198,2*(ROWS($AD$4:AD26)-1)+1)&amp;" Lamp","")</f>
        <v/>
      </c>
      <c r="AE26" s="151">
        <f>IFERROR(IF(NOT(ISNUMBER(INDEX('M03-S01'!$AO$22:$AO$198,2*(ROWS($O$4:O26)-1)+1))),INDEX('M03-S01'!$U$22:$U$198,2*(ROWS($L$4:L26)-1)+1),0),0)</f>
        <v>0</v>
      </c>
      <c r="AF26" s="151" t="str">
        <f>INDEX('M03-S01'!$AW$22:$AW$198,2*(ROWS($AF$4:AF26)-1)+1)</f>
        <v/>
      </c>
      <c r="AG26" s="151" t="str">
        <f>INDEX('M03-S01'!$AX$22:$AX$198,2*(ROWS($AG$4:AG26)-1)+1)</f>
        <v/>
      </c>
      <c r="AH26" s="151" t="str">
        <f t="shared" si="2"/>
        <v/>
      </c>
      <c r="AI26" s="151" t="str">
        <f t="shared" si="3"/>
        <v/>
      </c>
      <c r="AJ26" s="61" t="str">
        <f t="shared" si="4"/>
        <v/>
      </c>
      <c r="AK26" s="61" t="str">
        <f t="shared" si="5"/>
        <v/>
      </c>
      <c r="AL26" s="61" t="str">
        <f t="shared" si="6"/>
        <v/>
      </c>
      <c r="AM26" s="154"/>
      <c r="AN26" s="61" t="str">
        <f t="shared" si="7"/>
        <v/>
      </c>
      <c r="AO26" s="151">
        <f>INDEX('M03-S01'!$K$22:$K$198,2*(ROWS($AO$4:AO26)-1)+1)</f>
        <v>0</v>
      </c>
      <c r="AP26" s="151">
        <f>INDEX('M03-S01'!$AF$22:$AF$198,2*(ROWS($AP$4:AP26)-1)+1)</f>
        <v>0</v>
      </c>
      <c r="AQ26" s="61" t="str">
        <f>IF(INDEX('M03-S01'!$AL$22:$AL$198,2*(ROWS($AQ$4:AQ26)-1)+1)="","",IF(AND(INDEX('M03-S01'!$AL$22:$AL$198,2*(ROWS($AQ$4:AQ26)-1)+1)&lt;&gt;"",OR(ISNUMBER(SEARCH("AC With",M02S02F32)),M02S02F32="Heat Pump")),LIGHTHEATCOIN,1))</f>
        <v/>
      </c>
      <c r="AR26" s="414">
        <f>(IF(INDEX('M03-S01'!$AO$22:$AO$198,2*(ROWS($O$4:O26)-1)+1)=INDEX('M03-S01'!$BK$22:$BK$198,2*(ROWS($O$4:O26)-1)+1),0,(INDEX('M03-S01'!$BJ$22:$BJ$198,2*(ROWS($O$4:O26)-1)+1)-INDEX('M03-S01'!$BK$22:$BK$198,2*(ROWS($O$4:O26)-1)+1))))*INCENTCAPADJ</f>
        <v>0</v>
      </c>
    </row>
    <row r="27" spans="1:44" x14ac:dyDescent="0.25">
      <c r="A27" s="66">
        <f t="shared" si="0"/>
        <v>0</v>
      </c>
      <c r="B27" s="66" t="str">
        <f t="shared" si="1"/>
        <v/>
      </c>
      <c r="C27" s="66" t="str">
        <f>IFERROR(IF(J27&gt;0,INDEX('M03-S01'!$BB$22:$BB$198,2*(ROWS($C$4:C27)-1)+1),""),"")</f>
        <v/>
      </c>
      <c r="D27" t="s">
        <v>1096</v>
      </c>
      <c r="E27" t="str">
        <f>IFERROR(INDEX(PMELIGHTLIN[End Use Category],MATCH(INDEX('M03-S01'!$BA$22:$BA$198,2*(ROWS($E$35:E58)-1)+1),PMELIGHTLIN[Measure Validator],0)),"")</f>
        <v/>
      </c>
      <c r="F27" s="151">
        <f>INDEX('M03-S01'!$AD$22:$AD$198,2*(ROWS($F$4:F27)-1)+1)</f>
        <v>0</v>
      </c>
      <c r="G27">
        <f>INDEX('M03-S01'!$AA$22:$AA$198,2*(ROWS($G$4:G27)-1)+1)</f>
        <v>0</v>
      </c>
      <c r="H27" s="61">
        <f>IFERROR(ROUND(INDEX('M03-S01'!$U$22:$U$198,2*(ROWS($H$4:H27)-1)+1)*INDEX('M03-S01'!$AH$22:$AH$198,2*(ROWS($H$4:H27)-1)+1),2),0)</f>
        <v>0</v>
      </c>
      <c r="I27" s="61">
        <f>IFERROR(ROUND(INDEX('M03-S01'!$U$22:$U$198,2*(ROWS($I$4:I27)-1)+1)*INDEX('M03-S01'!$AJ$22:$AJ$198,2*(ROWS($I$4:I27)-1)+1),2),0)</f>
        <v>0</v>
      </c>
      <c r="J27" s="61" t="str">
        <f>INDEX('M03-S01'!$AU$22:$AU$198,2*(ROWS($J$4:J27)-1)+1)</f>
        <v/>
      </c>
      <c r="K27" t="s">
        <v>119</v>
      </c>
      <c r="L27" s="151">
        <f>IF(ISNUMBER(INDEX('M03-S01'!$AO$22:$AO$198,2*(ROWS($M$4:M27)-1)+1)),INDEX('M03-S01'!$U$22:$U$198,2*(ROWS($L$4:L27)-1)+1),0)</f>
        <v>0</v>
      </c>
      <c r="M27" s="151">
        <f>IF(ISNUMBER(INDEX('M03-S01'!$AO$22:$AO$198,2*(ROWS($M$4:M27)-1)+1)),INDEX('M03-S01'!$AL$22:$AL$198,2*(ROWS($M$4:M27)-1)+1),0)</f>
        <v>0</v>
      </c>
      <c r="N27" s="189">
        <f>IF(ISNUMBER(INDEX('M03-S01'!$AO$22:$AO$198,2*(ROWS($M$4:M27)-1)+1)),IFERROR(INDEX('M03-S01'!$AV$22:$AV$198,2*(ROWS($N$4:N27)-1)+1),0),0)</f>
        <v>0</v>
      </c>
      <c r="O27" s="61">
        <f>IF(ISNUMBER(INDEX('M03-S01'!$AO$22:$AO$198,2*(ROWS($M$4:M27)-1)+1)),IFERROR(INDEX('M03-S01'!$AO$22:$AO$198,2*(ROWS($O$4:O27)-1)+1)*INCENTCAPADJ,""),0)</f>
        <v>0</v>
      </c>
      <c r="P27" s="151" t="str">
        <f>IFERROR(IF(NOT(ISNUMBER(INDEX('M03-S01'!$AO$22:$AO$198,2*(ROWS($O$4:O27)-1)+1))),INDEX('M03-S01'!$AL$22:$AL$198,2*(ROWS($M$4:M27)-1)+1),0),0)</f>
        <v/>
      </c>
      <c r="Q27" s="189" t="str">
        <f>IFERROR(IF(NOT(ISNUMBER(INDEX('M03-S01'!$AO$22:$AO$198,2*(ROWS($O$4:O27)-1)+1))),INDEX('M03-S01'!$AV$22:$AV$198,2*(ROWS($N$4:N27)-1)+1),0),0)</f>
        <v/>
      </c>
      <c r="R27" t="str">
        <f>IFERROR(IF(NOT(ISNUMBER(INDEX('M03-S01'!$AO$22:$AO$198,2*(ROWS($O$4:O27)-1)+1))),"Not Eligible",""),"")</f>
        <v>Not Eligible</v>
      </c>
      <c r="S27" s="156" t="str">
        <f>INDEX('M03-S01'!$M$22:$M$198,2*(ROWS($S$4:S27)-1)+1)</f>
        <v/>
      </c>
      <c r="T27" s="156">
        <f>INDEX('M03-S01'!$Y$22:$Y$198,2*(ROWS($T$4:T27)-1)+1)</f>
        <v>0</v>
      </c>
      <c r="U27" s="151">
        <f>INDEX('M03-S01'!$B$22:$B$198,2*(ROWS($U$4:U27)-1)+1)</f>
        <v>22</v>
      </c>
      <c r="V27" s="58">
        <f>INDEX('M03-S01'!$E$22:$E$198,2*(ROWS($V$4:V27)-1)+1)</f>
        <v>0</v>
      </c>
      <c r="W27" s="58">
        <f>IF(INDEX('M03-S01'!$O$22:$O$198,2*(ROWS($W$4:W27)-1)+1)="Fixture","LED Fixture",INDEX('M03-S01'!$O$22:$O$198,2*(ROWS($W$4:W27)-1)+1))</f>
        <v>0</v>
      </c>
      <c r="X27">
        <f>INDEX('M03-S01'!$H$22:$H$198,2*(ROWS($X$4:X27)-1)+1)</f>
        <v>0</v>
      </c>
      <c r="Y27">
        <f>INDEX('M03-S01'!$R$22:$R$198,2*(ROWS($Y$4:Y27)-1)+1)</f>
        <v>0</v>
      </c>
      <c r="Z27">
        <f>IFERROR(INDEX('M03-S01'!$AF$22:$AF$198,2*(ROWS(Z$4:$Z27)-1)+1)/INDEX('M03-S01'!$AD$22:$AD$198,2*(ROWS(Z$4:$Z27)-1)+1),0)</f>
        <v>0</v>
      </c>
      <c r="AA27" t="str">
        <f>IFERROR(INDEX(CMLIGHTBASE[Measure Subgroup 1],MATCH(INDEX('M03-S01'!$E$22:$E$198,2*(ROWS($V$4:V27)-1)+1),CMLIGHTBASE[Base Desc 1],0)),"")</f>
        <v/>
      </c>
      <c r="AB27" t="str">
        <f>IFERROR(INDEX(CMLIGHTBASE[Measure Subgroup 2],MATCH(INDEX('M03-S01'!$E$22:$E$198,2*(ROWS($V$4:V27)-1)+1),CMLIGHTBASE[Base Desc 1],0)),"")</f>
        <v/>
      </c>
      <c r="AC27" s="135"/>
      <c r="AD27" t="str">
        <f>IF(ISNUMBER(INDEX('M03-S01'!$W$22:$W$198,2*(ROWS($AD$4:AD27)-1)+1)),INDEX('M03-S01'!$W$22:$W$198,2*(ROWS($AD$4:AD27)-1)+1)&amp;" Lamp","")</f>
        <v/>
      </c>
      <c r="AE27" s="151">
        <f>IFERROR(IF(NOT(ISNUMBER(INDEX('M03-S01'!$AO$22:$AO$198,2*(ROWS($O$4:O27)-1)+1))),INDEX('M03-S01'!$U$22:$U$198,2*(ROWS($L$4:L27)-1)+1),0),0)</f>
        <v>0</v>
      </c>
      <c r="AF27" s="151" t="str">
        <f>INDEX('M03-S01'!$AW$22:$AW$198,2*(ROWS($AF$4:AF27)-1)+1)</f>
        <v/>
      </c>
      <c r="AG27" s="151" t="str">
        <f>INDEX('M03-S01'!$AX$22:$AX$198,2*(ROWS($AG$4:AG27)-1)+1)</f>
        <v/>
      </c>
      <c r="AH27" s="151" t="str">
        <f t="shared" si="2"/>
        <v/>
      </c>
      <c r="AI27" s="151" t="str">
        <f t="shared" si="3"/>
        <v/>
      </c>
      <c r="AJ27" s="61" t="str">
        <f t="shared" si="4"/>
        <v/>
      </c>
      <c r="AK27" s="61" t="str">
        <f t="shared" si="5"/>
        <v/>
      </c>
      <c r="AL27" s="61" t="str">
        <f t="shared" si="6"/>
        <v/>
      </c>
      <c r="AM27" s="154"/>
      <c r="AN27" s="61" t="str">
        <f t="shared" si="7"/>
        <v/>
      </c>
      <c r="AO27" s="151">
        <f>INDEX('M03-S01'!$K$22:$K$198,2*(ROWS($AO$4:AO27)-1)+1)</f>
        <v>0</v>
      </c>
      <c r="AP27" s="151">
        <f>INDEX('M03-S01'!$AF$22:$AF$198,2*(ROWS($AP$4:AP27)-1)+1)</f>
        <v>0</v>
      </c>
      <c r="AQ27" s="61" t="str">
        <f>IF(INDEX('M03-S01'!$AL$22:$AL$198,2*(ROWS($AQ$4:AQ27)-1)+1)="","",IF(AND(INDEX('M03-S01'!$AL$22:$AL$198,2*(ROWS($AQ$4:AQ27)-1)+1)&lt;&gt;"",OR(ISNUMBER(SEARCH("AC With",M02S02F32)),M02S02F32="Heat Pump")),LIGHTHEATCOIN,1))</f>
        <v/>
      </c>
      <c r="AR27" s="414">
        <f>(IF(INDEX('M03-S01'!$AO$22:$AO$198,2*(ROWS($O$4:O27)-1)+1)=INDEX('M03-S01'!$BK$22:$BK$198,2*(ROWS($O$4:O27)-1)+1),0,(INDEX('M03-S01'!$BJ$22:$BJ$198,2*(ROWS($O$4:O27)-1)+1)-INDEX('M03-S01'!$BK$22:$BK$198,2*(ROWS($O$4:O27)-1)+1))))*INCENTCAPADJ</f>
        <v>0</v>
      </c>
    </row>
    <row r="28" spans="1:44" x14ac:dyDescent="0.25">
      <c r="A28" s="66">
        <f t="shared" si="0"/>
        <v>0</v>
      </c>
      <c r="B28" s="66" t="str">
        <f t="shared" si="1"/>
        <v/>
      </c>
      <c r="C28" s="66" t="str">
        <f>IFERROR(IF(J28&gt;0,INDEX('M03-S01'!$BB$22:$BB$198,2*(ROWS($C$4:C28)-1)+1),""),"")</f>
        <v/>
      </c>
      <c r="D28" t="s">
        <v>1096</v>
      </c>
      <c r="E28" t="str">
        <f>IFERROR(INDEX(PMELIGHTLIN[End Use Category],MATCH(INDEX('M03-S01'!$BA$22:$BA$198,2*(ROWS($E$35:E59)-1)+1),PMELIGHTLIN[Measure Validator],0)),"")</f>
        <v/>
      </c>
      <c r="F28" s="151">
        <f>INDEX('M03-S01'!$AD$22:$AD$198,2*(ROWS($F$4:F28)-1)+1)</f>
        <v>0</v>
      </c>
      <c r="G28">
        <f>INDEX('M03-S01'!$AA$22:$AA$198,2*(ROWS($G$4:G28)-1)+1)</f>
        <v>0</v>
      </c>
      <c r="H28" s="61">
        <f>IFERROR(ROUND(INDEX('M03-S01'!$U$22:$U$198,2*(ROWS($H$4:H28)-1)+1)*INDEX('M03-S01'!$AH$22:$AH$198,2*(ROWS($H$4:H28)-1)+1),2),0)</f>
        <v>0</v>
      </c>
      <c r="I28" s="61">
        <f>IFERROR(ROUND(INDEX('M03-S01'!$U$22:$U$198,2*(ROWS($I$4:I28)-1)+1)*INDEX('M03-S01'!$AJ$22:$AJ$198,2*(ROWS($I$4:I28)-1)+1),2),0)</f>
        <v>0</v>
      </c>
      <c r="J28" s="61" t="str">
        <f>INDEX('M03-S01'!$AU$22:$AU$198,2*(ROWS($J$4:J28)-1)+1)</f>
        <v/>
      </c>
      <c r="K28" t="s">
        <v>119</v>
      </c>
      <c r="L28" s="151">
        <f>IF(ISNUMBER(INDEX('M03-S01'!$AO$22:$AO$198,2*(ROWS($M$4:M28)-1)+1)),INDEX('M03-S01'!$U$22:$U$198,2*(ROWS($L$4:L28)-1)+1),0)</f>
        <v>0</v>
      </c>
      <c r="M28" s="151">
        <f>IF(ISNUMBER(INDEX('M03-S01'!$AO$22:$AO$198,2*(ROWS($M$4:M28)-1)+1)),INDEX('M03-S01'!$AL$22:$AL$198,2*(ROWS($M$4:M28)-1)+1),0)</f>
        <v>0</v>
      </c>
      <c r="N28" s="189">
        <f>IF(ISNUMBER(INDEX('M03-S01'!$AO$22:$AO$198,2*(ROWS($M$4:M28)-1)+1)),IFERROR(INDEX('M03-S01'!$AV$22:$AV$198,2*(ROWS($N$4:N28)-1)+1),0),0)</f>
        <v>0</v>
      </c>
      <c r="O28" s="61">
        <f>IF(ISNUMBER(INDEX('M03-S01'!$AO$22:$AO$198,2*(ROWS($M$4:M28)-1)+1)),IFERROR(INDEX('M03-S01'!$AO$22:$AO$198,2*(ROWS($O$4:O28)-1)+1)*INCENTCAPADJ,""),0)</f>
        <v>0</v>
      </c>
      <c r="P28" s="151" t="str">
        <f>IFERROR(IF(NOT(ISNUMBER(INDEX('M03-S01'!$AO$22:$AO$198,2*(ROWS($O$4:O28)-1)+1))),INDEX('M03-S01'!$AL$22:$AL$198,2*(ROWS($M$4:M28)-1)+1),0),0)</f>
        <v/>
      </c>
      <c r="Q28" s="189" t="str">
        <f>IFERROR(IF(NOT(ISNUMBER(INDEX('M03-S01'!$AO$22:$AO$198,2*(ROWS($O$4:O28)-1)+1))),INDEX('M03-S01'!$AV$22:$AV$198,2*(ROWS($N$4:N28)-1)+1),0),0)</f>
        <v/>
      </c>
      <c r="R28" t="str">
        <f>IFERROR(IF(NOT(ISNUMBER(INDEX('M03-S01'!$AO$22:$AO$198,2*(ROWS($O$4:O28)-1)+1))),"Not Eligible",""),"")</f>
        <v>Not Eligible</v>
      </c>
      <c r="S28" s="156" t="str">
        <f>INDEX('M03-S01'!$M$22:$M$198,2*(ROWS($S$4:S28)-1)+1)</f>
        <v/>
      </c>
      <c r="T28" s="156">
        <f>INDEX('M03-S01'!$Y$22:$Y$198,2*(ROWS($T$4:T28)-1)+1)</f>
        <v>0</v>
      </c>
      <c r="U28" s="151">
        <f>INDEX('M03-S01'!$B$22:$B$198,2*(ROWS($U$4:U28)-1)+1)</f>
        <v>23</v>
      </c>
      <c r="V28" s="58">
        <f>INDEX('M03-S01'!$E$22:$E$198,2*(ROWS($V$4:V28)-1)+1)</f>
        <v>0</v>
      </c>
      <c r="W28" s="58">
        <f>IF(INDEX('M03-S01'!$O$22:$O$198,2*(ROWS($W$4:W28)-1)+1)="Fixture","LED Fixture",INDEX('M03-S01'!$O$22:$O$198,2*(ROWS($W$4:W28)-1)+1))</f>
        <v>0</v>
      </c>
      <c r="X28">
        <f>INDEX('M03-S01'!$H$22:$H$198,2*(ROWS($X$4:X28)-1)+1)</f>
        <v>0</v>
      </c>
      <c r="Y28">
        <f>INDEX('M03-S01'!$R$22:$R$198,2*(ROWS($Y$4:Y28)-1)+1)</f>
        <v>0</v>
      </c>
      <c r="Z28">
        <f>IFERROR(INDEX('M03-S01'!$AF$22:$AF$198,2*(ROWS(Z$4:$Z28)-1)+1)/INDEX('M03-S01'!$AD$22:$AD$198,2*(ROWS(Z$4:$Z28)-1)+1),0)</f>
        <v>0</v>
      </c>
      <c r="AA28" t="str">
        <f>IFERROR(INDEX(CMLIGHTBASE[Measure Subgroup 1],MATCH(INDEX('M03-S01'!$E$22:$E$198,2*(ROWS($V$4:V28)-1)+1),CMLIGHTBASE[Base Desc 1],0)),"")</f>
        <v/>
      </c>
      <c r="AB28" t="str">
        <f>IFERROR(INDEX(CMLIGHTBASE[Measure Subgroup 2],MATCH(INDEX('M03-S01'!$E$22:$E$198,2*(ROWS($V$4:V28)-1)+1),CMLIGHTBASE[Base Desc 1],0)),"")</f>
        <v/>
      </c>
      <c r="AC28" s="135"/>
      <c r="AD28" t="str">
        <f>IF(ISNUMBER(INDEX('M03-S01'!$W$22:$W$198,2*(ROWS($AD$4:AD28)-1)+1)),INDEX('M03-S01'!$W$22:$W$198,2*(ROWS($AD$4:AD28)-1)+1)&amp;" Lamp","")</f>
        <v/>
      </c>
      <c r="AE28" s="151">
        <f>IFERROR(IF(NOT(ISNUMBER(INDEX('M03-S01'!$AO$22:$AO$198,2*(ROWS($O$4:O28)-1)+1))),INDEX('M03-S01'!$U$22:$U$198,2*(ROWS($L$4:L28)-1)+1),0),0)</f>
        <v>0</v>
      </c>
      <c r="AF28" s="151" t="str">
        <f>INDEX('M03-S01'!$AW$22:$AW$198,2*(ROWS($AF$4:AF28)-1)+1)</f>
        <v/>
      </c>
      <c r="AG28" s="151" t="str">
        <f>INDEX('M03-S01'!$AX$22:$AX$198,2*(ROWS($AG$4:AG28)-1)+1)</f>
        <v/>
      </c>
      <c r="AH28" s="151" t="str">
        <f t="shared" si="2"/>
        <v/>
      </c>
      <c r="AI28" s="151" t="str">
        <f t="shared" si="3"/>
        <v/>
      </c>
      <c r="AJ28" s="61" t="str">
        <f t="shared" si="4"/>
        <v/>
      </c>
      <c r="AK28" s="61" t="str">
        <f t="shared" si="5"/>
        <v/>
      </c>
      <c r="AL28" s="61" t="str">
        <f t="shared" si="6"/>
        <v/>
      </c>
      <c r="AM28" s="154"/>
      <c r="AN28" s="61" t="str">
        <f t="shared" si="7"/>
        <v/>
      </c>
      <c r="AO28" s="151">
        <f>INDEX('M03-S01'!$K$22:$K$198,2*(ROWS($AO$4:AO28)-1)+1)</f>
        <v>0</v>
      </c>
      <c r="AP28" s="151">
        <f>INDEX('M03-S01'!$AF$22:$AF$198,2*(ROWS($AP$4:AP28)-1)+1)</f>
        <v>0</v>
      </c>
      <c r="AQ28" s="61" t="str">
        <f>IF(INDEX('M03-S01'!$AL$22:$AL$198,2*(ROWS($AQ$4:AQ28)-1)+1)="","",IF(AND(INDEX('M03-S01'!$AL$22:$AL$198,2*(ROWS($AQ$4:AQ28)-1)+1)&lt;&gt;"",OR(ISNUMBER(SEARCH("AC With",M02S02F32)),M02S02F32="Heat Pump")),LIGHTHEATCOIN,1))</f>
        <v/>
      </c>
      <c r="AR28" s="414">
        <f>(IF(INDEX('M03-S01'!$AO$22:$AO$198,2*(ROWS($O$4:O28)-1)+1)=INDEX('M03-S01'!$BK$22:$BK$198,2*(ROWS($O$4:O28)-1)+1),0,(INDEX('M03-S01'!$BJ$22:$BJ$198,2*(ROWS($O$4:O28)-1)+1)-INDEX('M03-S01'!$BK$22:$BK$198,2*(ROWS($O$4:O28)-1)+1))))*INCENTCAPADJ</f>
        <v>0</v>
      </c>
    </row>
    <row r="29" spans="1:44" x14ac:dyDescent="0.25">
      <c r="A29" s="66">
        <f t="shared" si="0"/>
        <v>0</v>
      </c>
      <c r="B29" s="66" t="str">
        <f t="shared" si="1"/>
        <v/>
      </c>
      <c r="C29" s="66" t="str">
        <f>IFERROR(IF(J29&gt;0,INDEX('M03-S01'!$BB$22:$BB$198,2*(ROWS($C$4:C29)-1)+1),""),"")</f>
        <v/>
      </c>
      <c r="D29" t="s">
        <v>1096</v>
      </c>
      <c r="E29" t="str">
        <f>IFERROR(INDEX(PMELIGHTLIN[End Use Category],MATCH(INDEX('M03-S01'!$BA$22:$BA$198,2*(ROWS($E$35:E60)-1)+1),PMELIGHTLIN[Measure Validator],0)),"")</f>
        <v/>
      </c>
      <c r="F29" s="151">
        <f>INDEX('M03-S01'!$AD$22:$AD$198,2*(ROWS($F$4:F29)-1)+1)</f>
        <v>0</v>
      </c>
      <c r="G29">
        <f>INDEX('M03-S01'!$AA$22:$AA$198,2*(ROWS($G$4:G29)-1)+1)</f>
        <v>0</v>
      </c>
      <c r="H29" s="61">
        <f>IFERROR(ROUND(INDEX('M03-S01'!$U$22:$U$198,2*(ROWS($H$4:H29)-1)+1)*INDEX('M03-S01'!$AH$22:$AH$198,2*(ROWS($H$4:H29)-1)+1),2),0)</f>
        <v>0</v>
      </c>
      <c r="I29" s="61">
        <f>IFERROR(ROUND(INDEX('M03-S01'!$U$22:$U$198,2*(ROWS($I$4:I29)-1)+1)*INDEX('M03-S01'!$AJ$22:$AJ$198,2*(ROWS($I$4:I29)-1)+1),2),0)</f>
        <v>0</v>
      </c>
      <c r="J29" s="61" t="str">
        <f>INDEX('M03-S01'!$AU$22:$AU$198,2*(ROWS($J$4:J29)-1)+1)</f>
        <v/>
      </c>
      <c r="K29" t="s">
        <v>119</v>
      </c>
      <c r="L29" s="151">
        <f>IF(ISNUMBER(INDEX('M03-S01'!$AO$22:$AO$198,2*(ROWS($M$4:M29)-1)+1)),INDEX('M03-S01'!$U$22:$U$198,2*(ROWS($L$4:L29)-1)+1),0)</f>
        <v>0</v>
      </c>
      <c r="M29" s="151">
        <f>IF(ISNUMBER(INDEX('M03-S01'!$AO$22:$AO$198,2*(ROWS($M$4:M29)-1)+1)),INDEX('M03-S01'!$AL$22:$AL$198,2*(ROWS($M$4:M29)-1)+1),0)</f>
        <v>0</v>
      </c>
      <c r="N29" s="189">
        <f>IF(ISNUMBER(INDEX('M03-S01'!$AO$22:$AO$198,2*(ROWS($M$4:M29)-1)+1)),IFERROR(INDEX('M03-S01'!$AV$22:$AV$198,2*(ROWS($N$4:N29)-1)+1),0),0)</f>
        <v>0</v>
      </c>
      <c r="O29" s="61">
        <f>IF(ISNUMBER(INDEX('M03-S01'!$AO$22:$AO$198,2*(ROWS($M$4:M29)-1)+1)),IFERROR(INDEX('M03-S01'!$AO$22:$AO$198,2*(ROWS($O$4:O29)-1)+1)*INCENTCAPADJ,""),0)</f>
        <v>0</v>
      </c>
      <c r="P29" s="151" t="str">
        <f>IFERROR(IF(NOT(ISNUMBER(INDEX('M03-S01'!$AO$22:$AO$198,2*(ROWS($O$4:O29)-1)+1))),INDEX('M03-S01'!$AL$22:$AL$198,2*(ROWS($M$4:M29)-1)+1),0),0)</f>
        <v/>
      </c>
      <c r="Q29" s="189" t="str">
        <f>IFERROR(IF(NOT(ISNUMBER(INDEX('M03-S01'!$AO$22:$AO$198,2*(ROWS($O$4:O29)-1)+1))),INDEX('M03-S01'!$AV$22:$AV$198,2*(ROWS($N$4:N29)-1)+1),0),0)</f>
        <v/>
      </c>
      <c r="R29" t="str">
        <f>IFERROR(IF(NOT(ISNUMBER(INDEX('M03-S01'!$AO$22:$AO$198,2*(ROWS($O$4:O29)-1)+1))),"Not Eligible",""),"")</f>
        <v>Not Eligible</v>
      </c>
      <c r="S29" s="156" t="str">
        <f>INDEX('M03-S01'!$M$22:$M$198,2*(ROWS($S$4:S29)-1)+1)</f>
        <v/>
      </c>
      <c r="T29" s="156">
        <f>INDEX('M03-S01'!$Y$22:$Y$198,2*(ROWS($T$4:T29)-1)+1)</f>
        <v>0</v>
      </c>
      <c r="U29" s="151">
        <f>INDEX('M03-S01'!$B$22:$B$198,2*(ROWS($U$4:U29)-1)+1)</f>
        <v>24</v>
      </c>
      <c r="V29" s="58">
        <f>INDEX('M03-S01'!$E$22:$E$198,2*(ROWS($V$4:V29)-1)+1)</f>
        <v>0</v>
      </c>
      <c r="W29" s="58">
        <f>IF(INDEX('M03-S01'!$O$22:$O$198,2*(ROWS($W$4:W29)-1)+1)="Fixture","LED Fixture",INDEX('M03-S01'!$O$22:$O$198,2*(ROWS($W$4:W29)-1)+1))</f>
        <v>0</v>
      </c>
      <c r="X29">
        <f>INDEX('M03-S01'!$H$22:$H$198,2*(ROWS($X$4:X29)-1)+1)</f>
        <v>0</v>
      </c>
      <c r="Y29">
        <f>INDEX('M03-S01'!$R$22:$R$198,2*(ROWS($Y$4:Y29)-1)+1)</f>
        <v>0</v>
      </c>
      <c r="Z29">
        <f>IFERROR(INDEX('M03-S01'!$AF$22:$AF$198,2*(ROWS(Z$4:$Z29)-1)+1)/INDEX('M03-S01'!$AD$22:$AD$198,2*(ROWS(Z$4:$Z29)-1)+1),0)</f>
        <v>0</v>
      </c>
      <c r="AA29" t="str">
        <f>IFERROR(INDEX(CMLIGHTBASE[Measure Subgroup 1],MATCH(INDEX('M03-S01'!$E$22:$E$198,2*(ROWS($V$4:V29)-1)+1),CMLIGHTBASE[Base Desc 1],0)),"")</f>
        <v/>
      </c>
      <c r="AB29" t="str">
        <f>IFERROR(INDEX(CMLIGHTBASE[Measure Subgroup 2],MATCH(INDEX('M03-S01'!$E$22:$E$198,2*(ROWS($V$4:V29)-1)+1),CMLIGHTBASE[Base Desc 1],0)),"")</f>
        <v/>
      </c>
      <c r="AC29" s="135"/>
      <c r="AD29" t="str">
        <f>IF(ISNUMBER(INDEX('M03-S01'!$W$22:$W$198,2*(ROWS($AD$4:AD29)-1)+1)),INDEX('M03-S01'!$W$22:$W$198,2*(ROWS($AD$4:AD29)-1)+1)&amp;" Lamp","")</f>
        <v/>
      </c>
      <c r="AE29" s="151">
        <f>IFERROR(IF(NOT(ISNUMBER(INDEX('M03-S01'!$AO$22:$AO$198,2*(ROWS($O$4:O29)-1)+1))),INDEX('M03-S01'!$U$22:$U$198,2*(ROWS($L$4:L29)-1)+1),0),0)</f>
        <v>0</v>
      </c>
      <c r="AF29" s="151" t="str">
        <f>INDEX('M03-S01'!$AW$22:$AW$198,2*(ROWS($AF$4:AF29)-1)+1)</f>
        <v/>
      </c>
      <c r="AG29" s="151" t="str">
        <f>INDEX('M03-S01'!$AX$22:$AX$198,2*(ROWS($AG$4:AG29)-1)+1)</f>
        <v/>
      </c>
      <c r="AH29" s="151" t="str">
        <f t="shared" si="2"/>
        <v/>
      </c>
      <c r="AI29" s="151" t="str">
        <f t="shared" si="3"/>
        <v/>
      </c>
      <c r="AJ29" s="61" t="str">
        <f t="shared" si="4"/>
        <v/>
      </c>
      <c r="AK29" s="61" t="str">
        <f t="shared" si="5"/>
        <v/>
      </c>
      <c r="AL29" s="61" t="str">
        <f t="shared" si="6"/>
        <v/>
      </c>
      <c r="AM29" s="154"/>
      <c r="AN29" s="61" t="str">
        <f t="shared" si="7"/>
        <v/>
      </c>
      <c r="AO29" s="151">
        <f>INDEX('M03-S01'!$K$22:$K$198,2*(ROWS($AO$4:AO29)-1)+1)</f>
        <v>0</v>
      </c>
      <c r="AP29" s="151">
        <f>INDEX('M03-S01'!$AF$22:$AF$198,2*(ROWS($AP$4:AP29)-1)+1)</f>
        <v>0</v>
      </c>
      <c r="AQ29" s="61" t="str">
        <f>IF(INDEX('M03-S01'!$AL$22:$AL$198,2*(ROWS($AQ$4:AQ29)-1)+1)="","",IF(AND(INDEX('M03-S01'!$AL$22:$AL$198,2*(ROWS($AQ$4:AQ29)-1)+1)&lt;&gt;"",OR(ISNUMBER(SEARCH("AC With",M02S02F32)),M02S02F32="Heat Pump")),LIGHTHEATCOIN,1))</f>
        <v/>
      </c>
      <c r="AR29" s="414">
        <f>(IF(INDEX('M03-S01'!$AO$22:$AO$198,2*(ROWS($O$4:O29)-1)+1)=INDEX('M03-S01'!$BK$22:$BK$198,2*(ROWS($O$4:O29)-1)+1),0,(INDEX('M03-S01'!$BJ$22:$BJ$198,2*(ROWS($O$4:O29)-1)+1)-INDEX('M03-S01'!$BK$22:$BK$198,2*(ROWS($O$4:O29)-1)+1))))*INCENTCAPADJ</f>
        <v>0</v>
      </c>
    </row>
    <row r="30" spans="1:44" x14ac:dyDescent="0.25">
      <c r="A30" s="66">
        <f t="shared" si="0"/>
        <v>0</v>
      </c>
      <c r="B30" s="66" t="str">
        <f t="shared" si="1"/>
        <v/>
      </c>
      <c r="C30" s="66" t="str">
        <f>IFERROR(IF(J30&gt;0,INDEX('M03-S01'!$BB$22:$BB$198,2*(ROWS($C$4:C30)-1)+1),""),"")</f>
        <v/>
      </c>
      <c r="D30" t="s">
        <v>1096</v>
      </c>
      <c r="E30" t="str">
        <f>IFERROR(INDEX(PMELIGHTLIN[End Use Category],MATCH(INDEX('M03-S01'!$BA$22:$BA$198,2*(ROWS($E$35:E61)-1)+1),PMELIGHTLIN[Measure Validator],0)),"")</f>
        <v/>
      </c>
      <c r="F30" s="151">
        <f>INDEX('M03-S01'!$AD$22:$AD$198,2*(ROWS($F$4:F30)-1)+1)</f>
        <v>0</v>
      </c>
      <c r="G30">
        <f>INDEX('M03-S01'!$AA$22:$AA$198,2*(ROWS($G$4:G30)-1)+1)</f>
        <v>0</v>
      </c>
      <c r="H30" s="61">
        <f>IFERROR(ROUND(INDEX('M03-S01'!$U$22:$U$198,2*(ROWS($H$4:H30)-1)+1)*INDEX('M03-S01'!$AH$22:$AH$198,2*(ROWS($H$4:H30)-1)+1),2),0)</f>
        <v>0</v>
      </c>
      <c r="I30" s="61">
        <f>IFERROR(ROUND(INDEX('M03-S01'!$U$22:$U$198,2*(ROWS($I$4:I30)-1)+1)*INDEX('M03-S01'!$AJ$22:$AJ$198,2*(ROWS($I$4:I30)-1)+1),2),0)</f>
        <v>0</v>
      </c>
      <c r="J30" s="61" t="str">
        <f>INDEX('M03-S01'!$AU$22:$AU$198,2*(ROWS($J$4:J30)-1)+1)</f>
        <v/>
      </c>
      <c r="K30" t="s">
        <v>119</v>
      </c>
      <c r="L30" s="151">
        <f>IF(ISNUMBER(INDEX('M03-S01'!$AO$22:$AO$198,2*(ROWS($M$4:M30)-1)+1)),INDEX('M03-S01'!$U$22:$U$198,2*(ROWS($L$4:L30)-1)+1),0)</f>
        <v>0</v>
      </c>
      <c r="M30" s="151">
        <f>IF(ISNUMBER(INDEX('M03-S01'!$AO$22:$AO$198,2*(ROWS($M$4:M30)-1)+1)),INDEX('M03-S01'!$AL$22:$AL$198,2*(ROWS($M$4:M30)-1)+1),0)</f>
        <v>0</v>
      </c>
      <c r="N30" s="189">
        <f>IF(ISNUMBER(INDEX('M03-S01'!$AO$22:$AO$198,2*(ROWS($M$4:M30)-1)+1)),IFERROR(INDEX('M03-S01'!$AV$22:$AV$198,2*(ROWS($N$4:N30)-1)+1),0),0)</f>
        <v>0</v>
      </c>
      <c r="O30" s="61">
        <f>IF(ISNUMBER(INDEX('M03-S01'!$AO$22:$AO$198,2*(ROWS($M$4:M30)-1)+1)),IFERROR(INDEX('M03-S01'!$AO$22:$AO$198,2*(ROWS($O$4:O30)-1)+1)*INCENTCAPADJ,""),0)</f>
        <v>0</v>
      </c>
      <c r="P30" s="151" t="str">
        <f>IFERROR(IF(NOT(ISNUMBER(INDEX('M03-S01'!$AO$22:$AO$198,2*(ROWS($O$4:O30)-1)+1))),INDEX('M03-S01'!$AL$22:$AL$198,2*(ROWS($M$4:M30)-1)+1),0),0)</f>
        <v/>
      </c>
      <c r="Q30" s="189" t="str">
        <f>IFERROR(IF(NOT(ISNUMBER(INDEX('M03-S01'!$AO$22:$AO$198,2*(ROWS($O$4:O30)-1)+1))),INDEX('M03-S01'!$AV$22:$AV$198,2*(ROWS($N$4:N30)-1)+1),0),0)</f>
        <v/>
      </c>
      <c r="R30" t="str">
        <f>IFERROR(IF(NOT(ISNUMBER(INDEX('M03-S01'!$AO$22:$AO$198,2*(ROWS($O$4:O30)-1)+1))),"Not Eligible",""),"")</f>
        <v>Not Eligible</v>
      </c>
      <c r="S30" s="156" t="str">
        <f>INDEX('M03-S01'!$M$22:$M$198,2*(ROWS($S$4:S30)-1)+1)</f>
        <v/>
      </c>
      <c r="T30" s="156">
        <f>INDEX('M03-S01'!$Y$22:$Y$198,2*(ROWS($T$4:T30)-1)+1)</f>
        <v>0</v>
      </c>
      <c r="U30" s="151">
        <f>INDEX('M03-S01'!$B$22:$B$198,2*(ROWS($U$4:U30)-1)+1)</f>
        <v>25</v>
      </c>
      <c r="V30" s="58">
        <f>INDEX('M03-S01'!$E$22:$E$198,2*(ROWS($V$4:V30)-1)+1)</f>
        <v>0</v>
      </c>
      <c r="W30" s="58">
        <f>IF(INDEX('M03-S01'!$O$22:$O$198,2*(ROWS($W$4:W30)-1)+1)="Fixture","LED Fixture",INDEX('M03-S01'!$O$22:$O$198,2*(ROWS($W$4:W30)-1)+1))</f>
        <v>0</v>
      </c>
      <c r="X30">
        <f>INDEX('M03-S01'!$H$22:$H$198,2*(ROWS($X$4:X30)-1)+1)</f>
        <v>0</v>
      </c>
      <c r="Y30">
        <f>INDEX('M03-S01'!$R$22:$R$198,2*(ROWS($Y$4:Y30)-1)+1)</f>
        <v>0</v>
      </c>
      <c r="Z30">
        <f>IFERROR(INDEX('M03-S01'!$AF$22:$AF$198,2*(ROWS(Z$4:$Z30)-1)+1)/INDEX('M03-S01'!$AD$22:$AD$198,2*(ROWS(Z$4:$Z30)-1)+1),0)</f>
        <v>0</v>
      </c>
      <c r="AA30" t="str">
        <f>IFERROR(INDEX(CMLIGHTBASE[Measure Subgroup 1],MATCH(INDEX('M03-S01'!$E$22:$E$198,2*(ROWS($V$4:V30)-1)+1),CMLIGHTBASE[Base Desc 1],0)),"")</f>
        <v/>
      </c>
      <c r="AB30" t="str">
        <f>IFERROR(INDEX(CMLIGHTBASE[Measure Subgroup 2],MATCH(INDEX('M03-S01'!$E$22:$E$198,2*(ROWS($V$4:V30)-1)+1),CMLIGHTBASE[Base Desc 1],0)),"")</f>
        <v/>
      </c>
      <c r="AC30" s="135"/>
      <c r="AD30" t="str">
        <f>IF(ISNUMBER(INDEX('M03-S01'!$W$22:$W$198,2*(ROWS($AD$4:AD30)-1)+1)),INDEX('M03-S01'!$W$22:$W$198,2*(ROWS($AD$4:AD30)-1)+1)&amp;" Lamp","")</f>
        <v/>
      </c>
      <c r="AE30" s="151">
        <f>IFERROR(IF(NOT(ISNUMBER(INDEX('M03-S01'!$AO$22:$AO$198,2*(ROWS($O$4:O30)-1)+1))),INDEX('M03-S01'!$U$22:$U$198,2*(ROWS($L$4:L30)-1)+1),0),0)</f>
        <v>0</v>
      </c>
      <c r="AF30" s="151" t="str">
        <f>INDEX('M03-S01'!$AW$22:$AW$198,2*(ROWS($AF$4:AF30)-1)+1)</f>
        <v/>
      </c>
      <c r="AG30" s="151" t="str">
        <f>INDEX('M03-S01'!$AX$22:$AX$198,2*(ROWS($AG$4:AG30)-1)+1)</f>
        <v/>
      </c>
      <c r="AH30" s="151" t="str">
        <f t="shared" si="2"/>
        <v/>
      </c>
      <c r="AI30" s="151" t="str">
        <f t="shared" si="3"/>
        <v/>
      </c>
      <c r="AJ30" s="61" t="str">
        <f t="shared" si="4"/>
        <v/>
      </c>
      <c r="AK30" s="61" t="str">
        <f t="shared" si="5"/>
        <v/>
      </c>
      <c r="AL30" s="61" t="str">
        <f t="shared" si="6"/>
        <v/>
      </c>
      <c r="AM30" s="154"/>
      <c r="AN30" s="61" t="str">
        <f t="shared" si="7"/>
        <v/>
      </c>
      <c r="AO30" s="151">
        <f>INDEX('M03-S01'!$K$22:$K$198,2*(ROWS($AO$4:AO30)-1)+1)</f>
        <v>0</v>
      </c>
      <c r="AP30" s="151">
        <f>INDEX('M03-S01'!$AF$22:$AF$198,2*(ROWS($AP$4:AP30)-1)+1)</f>
        <v>0</v>
      </c>
      <c r="AQ30" s="61" t="str">
        <f>IF(INDEX('M03-S01'!$AL$22:$AL$198,2*(ROWS($AQ$4:AQ30)-1)+1)="","",IF(AND(INDEX('M03-S01'!$AL$22:$AL$198,2*(ROWS($AQ$4:AQ30)-1)+1)&lt;&gt;"",OR(ISNUMBER(SEARCH("AC With",M02S02F32)),M02S02F32="Heat Pump")),LIGHTHEATCOIN,1))</f>
        <v/>
      </c>
      <c r="AR30" s="414">
        <f>(IF(INDEX('M03-S01'!$AO$22:$AO$198,2*(ROWS($O$4:O30)-1)+1)=INDEX('M03-S01'!$BK$22:$BK$198,2*(ROWS($O$4:O30)-1)+1),0,(INDEX('M03-S01'!$BJ$22:$BJ$198,2*(ROWS($O$4:O30)-1)+1)-INDEX('M03-S01'!$BK$22:$BK$198,2*(ROWS($O$4:O30)-1)+1))))*INCENTCAPADJ</f>
        <v>0</v>
      </c>
    </row>
    <row r="31" spans="1:44" x14ac:dyDescent="0.25">
      <c r="A31" s="66">
        <f t="shared" si="0"/>
        <v>0</v>
      </c>
      <c r="B31" s="66" t="str">
        <f t="shared" si="1"/>
        <v/>
      </c>
      <c r="C31" s="66" t="str">
        <f>IFERROR(IF(J31&gt;0,INDEX('M03-S01'!$BB$22:$BB$198,2*(ROWS($C$4:C31)-1)+1),""),"")</f>
        <v/>
      </c>
      <c r="D31" t="s">
        <v>1096</v>
      </c>
      <c r="E31" t="str">
        <f>IFERROR(INDEX(PMELIGHTLIN[End Use Category],MATCH(INDEX('M03-S01'!$BA$22:$BA$198,2*(ROWS($E$35:E62)-1)+1),PMELIGHTLIN[Measure Validator],0)),"")</f>
        <v/>
      </c>
      <c r="F31" s="151">
        <f>INDEX('M03-S01'!$AD$22:$AD$198,2*(ROWS($F$4:F31)-1)+1)</f>
        <v>0</v>
      </c>
      <c r="G31">
        <f>INDEX('M03-S01'!$AA$22:$AA$198,2*(ROWS($G$4:G31)-1)+1)</f>
        <v>0</v>
      </c>
      <c r="H31" s="61">
        <f>IFERROR(ROUND(INDEX('M03-S01'!$U$22:$U$198,2*(ROWS($H$4:H31)-1)+1)*INDEX('M03-S01'!$AH$22:$AH$198,2*(ROWS($H$4:H31)-1)+1),2),0)</f>
        <v>0</v>
      </c>
      <c r="I31" s="61">
        <f>IFERROR(ROUND(INDEX('M03-S01'!$U$22:$U$198,2*(ROWS($I$4:I31)-1)+1)*INDEX('M03-S01'!$AJ$22:$AJ$198,2*(ROWS($I$4:I31)-1)+1),2),0)</f>
        <v>0</v>
      </c>
      <c r="J31" s="61" t="str">
        <f>INDEX('M03-S01'!$AU$22:$AU$198,2*(ROWS($J$4:J31)-1)+1)</f>
        <v/>
      </c>
      <c r="K31" t="s">
        <v>119</v>
      </c>
      <c r="L31" s="151">
        <f>IF(ISNUMBER(INDEX('M03-S01'!$AO$22:$AO$198,2*(ROWS($M$4:M31)-1)+1)),INDEX('M03-S01'!$U$22:$U$198,2*(ROWS($L$4:L31)-1)+1),0)</f>
        <v>0</v>
      </c>
      <c r="M31" s="151">
        <f>IF(ISNUMBER(INDEX('M03-S01'!$AO$22:$AO$198,2*(ROWS($M$4:M31)-1)+1)),INDEX('M03-S01'!$AL$22:$AL$198,2*(ROWS($M$4:M31)-1)+1),0)</f>
        <v>0</v>
      </c>
      <c r="N31" s="189">
        <f>IF(ISNUMBER(INDEX('M03-S01'!$AO$22:$AO$198,2*(ROWS($M$4:M31)-1)+1)),IFERROR(INDEX('M03-S01'!$AV$22:$AV$198,2*(ROWS($N$4:N31)-1)+1),0),0)</f>
        <v>0</v>
      </c>
      <c r="O31" s="61">
        <f>IF(ISNUMBER(INDEX('M03-S01'!$AO$22:$AO$198,2*(ROWS($M$4:M31)-1)+1)),IFERROR(INDEX('M03-S01'!$AO$22:$AO$198,2*(ROWS($O$4:O31)-1)+1)*INCENTCAPADJ,""),0)</f>
        <v>0</v>
      </c>
      <c r="P31" s="151" t="str">
        <f>IFERROR(IF(NOT(ISNUMBER(INDEX('M03-S01'!$AO$22:$AO$198,2*(ROWS($O$4:O31)-1)+1))),INDEX('M03-S01'!$AL$22:$AL$198,2*(ROWS($M$4:M31)-1)+1),0),0)</f>
        <v/>
      </c>
      <c r="Q31" s="189" t="str">
        <f>IFERROR(IF(NOT(ISNUMBER(INDEX('M03-S01'!$AO$22:$AO$198,2*(ROWS($O$4:O31)-1)+1))),INDEX('M03-S01'!$AV$22:$AV$198,2*(ROWS($N$4:N31)-1)+1),0),0)</f>
        <v/>
      </c>
      <c r="R31" t="str">
        <f>IFERROR(IF(NOT(ISNUMBER(INDEX('M03-S01'!$AO$22:$AO$198,2*(ROWS($O$4:O31)-1)+1))),"Not Eligible",""),"")</f>
        <v>Not Eligible</v>
      </c>
      <c r="S31" s="156" t="str">
        <f>INDEX('M03-S01'!$M$22:$M$198,2*(ROWS($S$4:S31)-1)+1)</f>
        <v/>
      </c>
      <c r="T31" s="156">
        <f>INDEX('M03-S01'!$Y$22:$Y$198,2*(ROWS($T$4:T31)-1)+1)</f>
        <v>0</v>
      </c>
      <c r="U31" s="151">
        <f>INDEX('M03-S01'!$B$22:$B$198,2*(ROWS($U$4:U31)-1)+1)</f>
        <v>26</v>
      </c>
      <c r="V31" s="58">
        <f>INDEX('M03-S01'!$E$22:$E$198,2*(ROWS($V$4:V31)-1)+1)</f>
        <v>0</v>
      </c>
      <c r="W31" s="58">
        <f>IF(INDEX('M03-S01'!$O$22:$O$198,2*(ROWS($W$4:W31)-1)+1)="Fixture","LED Fixture",INDEX('M03-S01'!$O$22:$O$198,2*(ROWS($W$4:W31)-1)+1))</f>
        <v>0</v>
      </c>
      <c r="X31">
        <f>INDEX('M03-S01'!$H$22:$H$198,2*(ROWS($X$4:X31)-1)+1)</f>
        <v>0</v>
      </c>
      <c r="Y31">
        <f>INDEX('M03-S01'!$R$22:$R$198,2*(ROWS($Y$4:Y31)-1)+1)</f>
        <v>0</v>
      </c>
      <c r="Z31">
        <f>IFERROR(INDEX('M03-S01'!$AF$22:$AF$198,2*(ROWS(Z$4:$Z31)-1)+1)/INDEX('M03-S01'!$AD$22:$AD$198,2*(ROWS(Z$4:$Z31)-1)+1),0)</f>
        <v>0</v>
      </c>
      <c r="AA31" t="str">
        <f>IFERROR(INDEX(CMLIGHTBASE[Measure Subgroup 1],MATCH(INDEX('M03-S01'!$E$22:$E$198,2*(ROWS($V$4:V31)-1)+1),CMLIGHTBASE[Base Desc 1],0)),"")</f>
        <v/>
      </c>
      <c r="AB31" t="str">
        <f>IFERROR(INDEX(CMLIGHTBASE[Measure Subgroup 2],MATCH(INDEX('M03-S01'!$E$22:$E$198,2*(ROWS($V$4:V31)-1)+1),CMLIGHTBASE[Base Desc 1],0)),"")</f>
        <v/>
      </c>
      <c r="AC31" s="135"/>
      <c r="AD31" t="str">
        <f>IF(ISNUMBER(INDEX('M03-S01'!$W$22:$W$198,2*(ROWS($AD$4:AD31)-1)+1)),INDEX('M03-S01'!$W$22:$W$198,2*(ROWS($AD$4:AD31)-1)+1)&amp;" Lamp","")</f>
        <v/>
      </c>
      <c r="AE31" s="151">
        <f>IFERROR(IF(NOT(ISNUMBER(INDEX('M03-S01'!$AO$22:$AO$198,2*(ROWS($O$4:O31)-1)+1))),INDEX('M03-S01'!$U$22:$U$198,2*(ROWS($L$4:L31)-1)+1),0),0)</f>
        <v>0</v>
      </c>
      <c r="AF31" s="151" t="str">
        <f>INDEX('M03-S01'!$AW$22:$AW$198,2*(ROWS($AF$4:AF31)-1)+1)</f>
        <v/>
      </c>
      <c r="AG31" s="151" t="str">
        <f>INDEX('M03-S01'!$AX$22:$AX$198,2*(ROWS($AG$4:AG31)-1)+1)</f>
        <v/>
      </c>
      <c r="AH31" s="151" t="str">
        <f t="shared" si="2"/>
        <v/>
      </c>
      <c r="AI31" s="151" t="str">
        <f t="shared" si="3"/>
        <v/>
      </c>
      <c r="AJ31" s="61" t="str">
        <f t="shared" si="4"/>
        <v/>
      </c>
      <c r="AK31" s="61" t="str">
        <f t="shared" si="5"/>
        <v/>
      </c>
      <c r="AL31" s="61" t="str">
        <f t="shared" si="6"/>
        <v/>
      </c>
      <c r="AM31" s="154"/>
      <c r="AN31" s="61" t="str">
        <f t="shared" si="7"/>
        <v/>
      </c>
      <c r="AO31" s="151">
        <f>INDEX('M03-S01'!$K$22:$K$198,2*(ROWS($AO$4:AO31)-1)+1)</f>
        <v>0</v>
      </c>
      <c r="AP31" s="151">
        <f>INDEX('M03-S01'!$AF$22:$AF$198,2*(ROWS($AP$4:AP31)-1)+1)</f>
        <v>0</v>
      </c>
      <c r="AQ31" s="61" t="str">
        <f>IF(INDEX('M03-S01'!$AL$22:$AL$198,2*(ROWS($AQ$4:AQ31)-1)+1)="","",IF(AND(INDEX('M03-S01'!$AL$22:$AL$198,2*(ROWS($AQ$4:AQ31)-1)+1)&lt;&gt;"",OR(ISNUMBER(SEARCH("AC With",M02S02F32)),M02S02F32="Heat Pump")),LIGHTHEATCOIN,1))</f>
        <v/>
      </c>
      <c r="AR31" s="414">
        <f>(IF(INDEX('M03-S01'!$AO$22:$AO$198,2*(ROWS($O$4:O31)-1)+1)=INDEX('M03-S01'!$BK$22:$BK$198,2*(ROWS($O$4:O31)-1)+1),0,(INDEX('M03-S01'!$BJ$22:$BJ$198,2*(ROWS($O$4:O31)-1)+1)-INDEX('M03-S01'!$BK$22:$BK$198,2*(ROWS($O$4:O31)-1)+1))))*INCENTCAPADJ</f>
        <v>0</v>
      </c>
    </row>
    <row r="32" spans="1:44" x14ac:dyDescent="0.25">
      <c r="A32" s="66">
        <f t="shared" si="0"/>
        <v>0</v>
      </c>
      <c r="B32" s="66" t="str">
        <f t="shared" si="1"/>
        <v/>
      </c>
      <c r="C32" s="66" t="str">
        <f>IFERROR(IF(J32&gt;0,INDEX('M03-S01'!$BB$22:$BB$198,2*(ROWS($C$4:C32)-1)+1),""),"")</f>
        <v/>
      </c>
      <c r="D32" t="s">
        <v>1096</v>
      </c>
      <c r="E32" t="str">
        <f>IFERROR(INDEX(PMELIGHTLIN[End Use Category],MATCH(INDEX('M03-S01'!$BA$22:$BA$198,2*(ROWS($E$35:E63)-1)+1),PMELIGHTLIN[Measure Validator],0)),"")</f>
        <v/>
      </c>
      <c r="F32" s="151">
        <f>INDEX('M03-S01'!$AD$22:$AD$198,2*(ROWS($F$4:F32)-1)+1)</f>
        <v>0</v>
      </c>
      <c r="G32">
        <f>INDEX('M03-S01'!$AA$22:$AA$198,2*(ROWS($G$4:G32)-1)+1)</f>
        <v>0</v>
      </c>
      <c r="H32" s="61">
        <f>IFERROR(ROUND(INDEX('M03-S01'!$U$22:$U$198,2*(ROWS($H$4:H32)-1)+1)*INDEX('M03-S01'!$AH$22:$AH$198,2*(ROWS($H$4:H32)-1)+1),2),0)</f>
        <v>0</v>
      </c>
      <c r="I32" s="61">
        <f>IFERROR(ROUND(INDEX('M03-S01'!$U$22:$U$198,2*(ROWS($I$4:I32)-1)+1)*INDEX('M03-S01'!$AJ$22:$AJ$198,2*(ROWS($I$4:I32)-1)+1),2),0)</f>
        <v>0</v>
      </c>
      <c r="J32" s="61" t="str">
        <f>INDEX('M03-S01'!$AU$22:$AU$198,2*(ROWS($J$4:J32)-1)+1)</f>
        <v/>
      </c>
      <c r="K32" t="s">
        <v>119</v>
      </c>
      <c r="L32" s="151">
        <f>IF(ISNUMBER(INDEX('M03-S01'!$AO$22:$AO$198,2*(ROWS($M$4:M32)-1)+1)),INDEX('M03-S01'!$U$22:$U$198,2*(ROWS($L$4:L32)-1)+1),0)</f>
        <v>0</v>
      </c>
      <c r="M32" s="151">
        <f>IF(ISNUMBER(INDEX('M03-S01'!$AO$22:$AO$198,2*(ROWS($M$4:M32)-1)+1)),INDEX('M03-S01'!$AL$22:$AL$198,2*(ROWS($M$4:M32)-1)+1),0)</f>
        <v>0</v>
      </c>
      <c r="N32" s="189">
        <f>IF(ISNUMBER(INDEX('M03-S01'!$AO$22:$AO$198,2*(ROWS($M$4:M32)-1)+1)),IFERROR(INDEX('M03-S01'!$AV$22:$AV$198,2*(ROWS($N$4:N32)-1)+1),0),0)</f>
        <v>0</v>
      </c>
      <c r="O32" s="61">
        <f>IF(ISNUMBER(INDEX('M03-S01'!$AO$22:$AO$198,2*(ROWS($M$4:M32)-1)+1)),IFERROR(INDEX('M03-S01'!$AO$22:$AO$198,2*(ROWS($O$4:O32)-1)+1)*INCENTCAPADJ,""),0)</f>
        <v>0</v>
      </c>
      <c r="P32" s="151" t="str">
        <f>IFERROR(IF(NOT(ISNUMBER(INDEX('M03-S01'!$AO$22:$AO$198,2*(ROWS($O$4:O32)-1)+1))),INDEX('M03-S01'!$AL$22:$AL$198,2*(ROWS($M$4:M32)-1)+1),0),0)</f>
        <v/>
      </c>
      <c r="Q32" s="189" t="str">
        <f>IFERROR(IF(NOT(ISNUMBER(INDEX('M03-S01'!$AO$22:$AO$198,2*(ROWS($O$4:O32)-1)+1))),INDEX('M03-S01'!$AV$22:$AV$198,2*(ROWS($N$4:N32)-1)+1),0),0)</f>
        <v/>
      </c>
      <c r="R32" t="str">
        <f>IFERROR(IF(NOT(ISNUMBER(INDEX('M03-S01'!$AO$22:$AO$198,2*(ROWS($O$4:O32)-1)+1))),"Not Eligible",""),"")</f>
        <v>Not Eligible</v>
      </c>
      <c r="S32" s="156" t="str">
        <f>INDEX('M03-S01'!$M$22:$M$198,2*(ROWS($S$4:S32)-1)+1)</f>
        <v/>
      </c>
      <c r="T32" s="156">
        <f>INDEX('M03-S01'!$Y$22:$Y$198,2*(ROWS($T$4:T32)-1)+1)</f>
        <v>0</v>
      </c>
      <c r="U32" s="151">
        <f>INDEX('M03-S01'!$B$22:$B$198,2*(ROWS($U$4:U32)-1)+1)</f>
        <v>27</v>
      </c>
      <c r="V32" s="58">
        <f>INDEX('M03-S01'!$E$22:$E$198,2*(ROWS($V$4:V32)-1)+1)</f>
        <v>0</v>
      </c>
      <c r="W32" s="58">
        <f>IF(INDEX('M03-S01'!$O$22:$O$198,2*(ROWS($W$4:W32)-1)+1)="Fixture","LED Fixture",INDEX('M03-S01'!$O$22:$O$198,2*(ROWS($W$4:W32)-1)+1))</f>
        <v>0</v>
      </c>
      <c r="X32">
        <f>INDEX('M03-S01'!$H$22:$H$198,2*(ROWS($X$4:X32)-1)+1)</f>
        <v>0</v>
      </c>
      <c r="Y32">
        <f>INDEX('M03-S01'!$R$22:$R$198,2*(ROWS($Y$4:Y32)-1)+1)</f>
        <v>0</v>
      </c>
      <c r="Z32">
        <f>IFERROR(INDEX('M03-S01'!$AF$22:$AF$198,2*(ROWS(Z$4:$Z32)-1)+1)/INDEX('M03-S01'!$AD$22:$AD$198,2*(ROWS(Z$4:$Z32)-1)+1),0)</f>
        <v>0</v>
      </c>
      <c r="AA32" t="str">
        <f>IFERROR(INDEX(CMLIGHTBASE[Measure Subgroup 1],MATCH(INDEX('M03-S01'!$E$22:$E$198,2*(ROWS($V$4:V32)-1)+1),CMLIGHTBASE[Base Desc 1],0)),"")</f>
        <v/>
      </c>
      <c r="AB32" t="str">
        <f>IFERROR(INDEX(CMLIGHTBASE[Measure Subgroup 2],MATCH(INDEX('M03-S01'!$E$22:$E$198,2*(ROWS($V$4:V32)-1)+1),CMLIGHTBASE[Base Desc 1],0)),"")</f>
        <v/>
      </c>
      <c r="AC32" s="135"/>
      <c r="AD32" t="str">
        <f>IF(ISNUMBER(INDEX('M03-S01'!$W$22:$W$198,2*(ROWS($AD$4:AD32)-1)+1)),INDEX('M03-S01'!$W$22:$W$198,2*(ROWS($AD$4:AD32)-1)+1)&amp;" Lamp","")</f>
        <v/>
      </c>
      <c r="AE32" s="151">
        <f>IFERROR(IF(NOT(ISNUMBER(INDEX('M03-S01'!$AO$22:$AO$198,2*(ROWS($O$4:O32)-1)+1))),INDEX('M03-S01'!$U$22:$U$198,2*(ROWS($L$4:L32)-1)+1),0),0)</f>
        <v>0</v>
      </c>
      <c r="AF32" s="151" t="str">
        <f>INDEX('M03-S01'!$AW$22:$AW$198,2*(ROWS($AF$4:AF32)-1)+1)</f>
        <v/>
      </c>
      <c r="AG32" s="151" t="str">
        <f>INDEX('M03-S01'!$AX$22:$AX$198,2*(ROWS($AG$4:AG32)-1)+1)</f>
        <v/>
      </c>
      <c r="AH32" s="151" t="str">
        <f t="shared" si="2"/>
        <v/>
      </c>
      <c r="AI32" s="151" t="str">
        <f t="shared" si="3"/>
        <v/>
      </c>
      <c r="AJ32" s="61" t="str">
        <f t="shared" si="4"/>
        <v/>
      </c>
      <c r="AK32" s="61" t="str">
        <f t="shared" si="5"/>
        <v/>
      </c>
      <c r="AL32" s="61" t="str">
        <f t="shared" si="6"/>
        <v/>
      </c>
      <c r="AM32" s="154"/>
      <c r="AN32" s="61" t="str">
        <f t="shared" si="7"/>
        <v/>
      </c>
      <c r="AO32" s="151">
        <f>INDEX('M03-S01'!$K$22:$K$198,2*(ROWS($AO$4:AO32)-1)+1)</f>
        <v>0</v>
      </c>
      <c r="AP32" s="151">
        <f>INDEX('M03-S01'!$AF$22:$AF$198,2*(ROWS($AP$4:AP32)-1)+1)</f>
        <v>0</v>
      </c>
      <c r="AQ32" s="61" t="str">
        <f>IF(INDEX('M03-S01'!$AL$22:$AL$198,2*(ROWS($AQ$4:AQ32)-1)+1)="","",IF(AND(INDEX('M03-S01'!$AL$22:$AL$198,2*(ROWS($AQ$4:AQ32)-1)+1)&lt;&gt;"",OR(ISNUMBER(SEARCH("AC With",M02S02F32)),M02S02F32="Heat Pump")),LIGHTHEATCOIN,1))</f>
        <v/>
      </c>
      <c r="AR32" s="414">
        <f>(IF(INDEX('M03-S01'!$AO$22:$AO$198,2*(ROWS($O$4:O32)-1)+1)=INDEX('M03-S01'!$BK$22:$BK$198,2*(ROWS($O$4:O32)-1)+1),0,(INDEX('M03-S01'!$BJ$22:$BJ$198,2*(ROWS($O$4:O32)-1)+1)-INDEX('M03-S01'!$BK$22:$BK$198,2*(ROWS($O$4:O32)-1)+1))))*INCENTCAPADJ</f>
        <v>0</v>
      </c>
    </row>
    <row r="33" spans="1:44" x14ac:dyDescent="0.25">
      <c r="A33" s="66">
        <f t="shared" si="0"/>
        <v>0</v>
      </c>
      <c r="B33" s="66" t="str">
        <f t="shared" si="1"/>
        <v/>
      </c>
      <c r="C33" s="66" t="str">
        <f>IFERROR(IF(J33&gt;0,INDEX('M03-S01'!$BB$22:$BB$198,2*(ROWS($C$4:C33)-1)+1),""),"")</f>
        <v/>
      </c>
      <c r="D33" t="s">
        <v>1096</v>
      </c>
      <c r="E33" t="str">
        <f>IFERROR(INDEX(PMELIGHTLIN[End Use Category],MATCH(INDEX('M03-S01'!$BA$22:$BA$198,2*(ROWS($E$35:E64)-1)+1),PMELIGHTLIN[Measure Validator],0)),"")</f>
        <v/>
      </c>
      <c r="F33" s="151">
        <f>INDEX('M03-S01'!$AD$22:$AD$198,2*(ROWS($F$4:F33)-1)+1)</f>
        <v>0</v>
      </c>
      <c r="G33">
        <f>INDEX('M03-S01'!$AA$22:$AA$198,2*(ROWS($G$4:G33)-1)+1)</f>
        <v>0</v>
      </c>
      <c r="H33" s="61">
        <f>IFERROR(ROUND(INDEX('M03-S01'!$U$22:$U$198,2*(ROWS($H$4:H33)-1)+1)*INDEX('M03-S01'!$AH$22:$AH$198,2*(ROWS($H$4:H33)-1)+1),2),0)</f>
        <v>0</v>
      </c>
      <c r="I33" s="61">
        <f>IFERROR(ROUND(INDEX('M03-S01'!$U$22:$U$198,2*(ROWS($I$4:I33)-1)+1)*INDEX('M03-S01'!$AJ$22:$AJ$198,2*(ROWS($I$4:I33)-1)+1),2),0)</f>
        <v>0</v>
      </c>
      <c r="J33" s="61" t="str">
        <f>INDEX('M03-S01'!$AU$22:$AU$198,2*(ROWS($J$4:J33)-1)+1)</f>
        <v/>
      </c>
      <c r="K33" t="s">
        <v>119</v>
      </c>
      <c r="L33" s="151">
        <f>IF(ISNUMBER(INDEX('M03-S01'!$AO$22:$AO$198,2*(ROWS($M$4:M33)-1)+1)),INDEX('M03-S01'!$U$22:$U$198,2*(ROWS($L$4:L33)-1)+1),0)</f>
        <v>0</v>
      </c>
      <c r="M33" s="151">
        <f>IF(ISNUMBER(INDEX('M03-S01'!$AO$22:$AO$198,2*(ROWS($M$4:M33)-1)+1)),INDEX('M03-S01'!$AL$22:$AL$198,2*(ROWS($M$4:M33)-1)+1),0)</f>
        <v>0</v>
      </c>
      <c r="N33" s="189">
        <f>IF(ISNUMBER(INDEX('M03-S01'!$AO$22:$AO$198,2*(ROWS($M$4:M33)-1)+1)),IFERROR(INDEX('M03-S01'!$AV$22:$AV$198,2*(ROWS($N$4:N33)-1)+1),0),0)</f>
        <v>0</v>
      </c>
      <c r="O33" s="61">
        <f>IF(ISNUMBER(INDEX('M03-S01'!$AO$22:$AO$198,2*(ROWS($M$4:M33)-1)+1)),IFERROR(INDEX('M03-S01'!$AO$22:$AO$198,2*(ROWS($O$4:O33)-1)+1)*INCENTCAPADJ,""),0)</f>
        <v>0</v>
      </c>
      <c r="P33" s="151" t="str">
        <f>IFERROR(IF(NOT(ISNUMBER(INDEX('M03-S01'!$AO$22:$AO$198,2*(ROWS($O$4:O33)-1)+1))),INDEX('M03-S01'!$AL$22:$AL$198,2*(ROWS($M$4:M33)-1)+1),0),0)</f>
        <v/>
      </c>
      <c r="Q33" s="189" t="str">
        <f>IFERROR(IF(NOT(ISNUMBER(INDEX('M03-S01'!$AO$22:$AO$198,2*(ROWS($O$4:O33)-1)+1))),INDEX('M03-S01'!$AV$22:$AV$198,2*(ROWS($N$4:N33)-1)+1),0),0)</f>
        <v/>
      </c>
      <c r="R33" t="str">
        <f>IFERROR(IF(NOT(ISNUMBER(INDEX('M03-S01'!$AO$22:$AO$198,2*(ROWS($O$4:O33)-1)+1))),"Not Eligible",""),"")</f>
        <v>Not Eligible</v>
      </c>
      <c r="S33" s="156" t="str">
        <f>INDEX('M03-S01'!$M$22:$M$198,2*(ROWS($S$4:S33)-1)+1)</f>
        <v/>
      </c>
      <c r="T33" s="156">
        <f>INDEX('M03-S01'!$Y$22:$Y$198,2*(ROWS($T$4:T33)-1)+1)</f>
        <v>0</v>
      </c>
      <c r="U33" s="151">
        <f>INDEX('M03-S01'!$B$22:$B$198,2*(ROWS($U$4:U33)-1)+1)</f>
        <v>28</v>
      </c>
      <c r="V33" s="58">
        <f>INDEX('M03-S01'!$E$22:$E$198,2*(ROWS($V$4:V33)-1)+1)</f>
        <v>0</v>
      </c>
      <c r="W33" s="58">
        <f>IF(INDEX('M03-S01'!$O$22:$O$198,2*(ROWS($W$4:W33)-1)+1)="Fixture","LED Fixture",INDEX('M03-S01'!$O$22:$O$198,2*(ROWS($W$4:W33)-1)+1))</f>
        <v>0</v>
      </c>
      <c r="X33">
        <f>INDEX('M03-S01'!$H$22:$H$198,2*(ROWS($X$4:X33)-1)+1)</f>
        <v>0</v>
      </c>
      <c r="Y33">
        <f>INDEX('M03-S01'!$R$22:$R$198,2*(ROWS($Y$4:Y33)-1)+1)</f>
        <v>0</v>
      </c>
      <c r="Z33">
        <f>IFERROR(INDEX('M03-S01'!$AF$22:$AF$198,2*(ROWS(Z$4:$Z33)-1)+1)/INDEX('M03-S01'!$AD$22:$AD$198,2*(ROWS(Z$4:$Z33)-1)+1),0)</f>
        <v>0</v>
      </c>
      <c r="AA33" t="str">
        <f>IFERROR(INDEX(CMLIGHTBASE[Measure Subgroup 1],MATCH(INDEX('M03-S01'!$E$22:$E$198,2*(ROWS($V$4:V33)-1)+1),CMLIGHTBASE[Base Desc 1],0)),"")</f>
        <v/>
      </c>
      <c r="AB33" t="str">
        <f>IFERROR(INDEX(CMLIGHTBASE[Measure Subgroup 2],MATCH(INDEX('M03-S01'!$E$22:$E$198,2*(ROWS($V$4:V33)-1)+1),CMLIGHTBASE[Base Desc 1],0)),"")</f>
        <v/>
      </c>
      <c r="AC33" s="135"/>
      <c r="AD33" t="str">
        <f>IF(ISNUMBER(INDEX('M03-S01'!$W$22:$W$198,2*(ROWS($AD$4:AD33)-1)+1)),INDEX('M03-S01'!$W$22:$W$198,2*(ROWS($AD$4:AD33)-1)+1)&amp;" Lamp","")</f>
        <v/>
      </c>
      <c r="AE33" s="151">
        <f>IFERROR(IF(NOT(ISNUMBER(INDEX('M03-S01'!$AO$22:$AO$198,2*(ROWS($O$4:O33)-1)+1))),INDEX('M03-S01'!$U$22:$U$198,2*(ROWS($L$4:L33)-1)+1),0),0)</f>
        <v>0</v>
      </c>
      <c r="AF33" s="151" t="str">
        <f>INDEX('M03-S01'!$AW$22:$AW$198,2*(ROWS($AF$4:AF33)-1)+1)</f>
        <v/>
      </c>
      <c r="AG33" s="151" t="str">
        <f>INDEX('M03-S01'!$AX$22:$AX$198,2*(ROWS($AG$4:AG33)-1)+1)</f>
        <v/>
      </c>
      <c r="AH33" s="151" t="str">
        <f t="shared" si="2"/>
        <v/>
      </c>
      <c r="AI33" s="151" t="str">
        <f t="shared" si="3"/>
        <v/>
      </c>
      <c r="AJ33" s="61" t="str">
        <f t="shared" si="4"/>
        <v/>
      </c>
      <c r="AK33" s="61" t="str">
        <f t="shared" si="5"/>
        <v/>
      </c>
      <c r="AL33" s="61" t="str">
        <f t="shared" si="6"/>
        <v/>
      </c>
      <c r="AM33" s="154"/>
      <c r="AN33" s="61" t="str">
        <f t="shared" si="7"/>
        <v/>
      </c>
      <c r="AO33" s="151">
        <f>INDEX('M03-S01'!$K$22:$K$198,2*(ROWS($AO$4:AO33)-1)+1)</f>
        <v>0</v>
      </c>
      <c r="AP33" s="151">
        <f>INDEX('M03-S01'!$AF$22:$AF$198,2*(ROWS($AP$4:AP33)-1)+1)</f>
        <v>0</v>
      </c>
      <c r="AQ33" s="61" t="str">
        <f>IF(INDEX('M03-S01'!$AL$22:$AL$198,2*(ROWS($AQ$4:AQ33)-1)+1)="","",IF(AND(INDEX('M03-S01'!$AL$22:$AL$198,2*(ROWS($AQ$4:AQ33)-1)+1)&lt;&gt;"",OR(ISNUMBER(SEARCH("AC With",M02S02F32)),M02S02F32="Heat Pump")),LIGHTHEATCOIN,1))</f>
        <v/>
      </c>
      <c r="AR33" s="414">
        <f>(IF(INDEX('M03-S01'!$AO$22:$AO$198,2*(ROWS($O$4:O33)-1)+1)=INDEX('M03-S01'!$BK$22:$BK$198,2*(ROWS($O$4:O33)-1)+1),0,(INDEX('M03-S01'!$BJ$22:$BJ$198,2*(ROWS($O$4:O33)-1)+1)-INDEX('M03-S01'!$BK$22:$BK$198,2*(ROWS($O$4:O33)-1)+1))))*INCENTCAPADJ</f>
        <v>0</v>
      </c>
    </row>
    <row r="34" spans="1:44" x14ac:dyDescent="0.25">
      <c r="A34" s="207" t="str">
        <f>CONCATENATE(MAIN3," ",M3S2)</f>
        <v>LIGHTING MEASURES Interior Fast Track Linear-LED</v>
      </c>
      <c r="B34" s="209"/>
      <c r="C34" s="209"/>
      <c r="D34" s="164"/>
      <c r="E34" s="164"/>
      <c r="F34" s="170"/>
      <c r="G34" s="164"/>
      <c r="H34" s="171"/>
      <c r="I34" s="171"/>
      <c r="J34" s="171"/>
      <c r="K34" s="164"/>
      <c r="L34" s="170"/>
      <c r="M34" s="170"/>
      <c r="N34" s="191"/>
      <c r="O34" s="171"/>
      <c r="P34" s="170"/>
      <c r="Q34" s="191"/>
      <c r="R34" s="164"/>
      <c r="S34" s="172"/>
      <c r="T34" s="172"/>
      <c r="U34" s="170"/>
      <c r="V34" s="164"/>
      <c r="W34" s="173"/>
      <c r="X34" s="164"/>
      <c r="Y34" s="164"/>
      <c r="Z34" s="164"/>
      <c r="AA34" s="164"/>
      <c r="AB34" s="164"/>
      <c r="AC34" s="164"/>
      <c r="AD34" s="164"/>
      <c r="AE34" s="170"/>
      <c r="AF34" s="170"/>
      <c r="AG34" s="170"/>
      <c r="AH34" s="170"/>
      <c r="AI34" s="170"/>
      <c r="AJ34" s="171" t="str">
        <f>IFERROR(O34/M34,"")</f>
        <v/>
      </c>
      <c r="AK34" s="171" t="str">
        <f>IFERROR(O34/N34,"")</f>
        <v/>
      </c>
      <c r="AL34" s="171" t="str">
        <f>IFERROR(O34/L34,"")</f>
        <v/>
      </c>
      <c r="AM34" s="171"/>
      <c r="AN34" s="171" t="str">
        <f>IFERROR(J34/M34/M02S02F35,"")</f>
        <v/>
      </c>
      <c r="AO34" s="170"/>
      <c r="AP34" s="170"/>
      <c r="AQ34" s="170"/>
      <c r="AR34" s="412"/>
    </row>
    <row r="35" spans="1:44" x14ac:dyDescent="0.25">
      <c r="A35" s="66">
        <f t="shared" ref="A35:A64" si="8">PROJID</f>
        <v>0</v>
      </c>
      <c r="B35" s="66" t="str">
        <f>IF(C35="","",CONCATENATE(ROW(),"-",C35))</f>
        <v/>
      </c>
      <c r="C35" s="66" t="str">
        <f>IFERROR(IF(J35&gt;0,INDEX('M03-S02'!$BB$18:$BB$198,2*(ROWS($C$35:C35)-1)+1),""),"")</f>
        <v/>
      </c>
      <c r="D35" t="s">
        <v>1096</v>
      </c>
      <c r="E35" t="str">
        <f>IFERROR(INDEX(PMELIGHTLIN[End Use Category],MATCH(INDEX('M03-S02'!$BA$18:$BA$198,2*(ROWS($E$35:E35)-1)+1),PMELIGHTLIN[Measure Validator],0)),"")</f>
        <v/>
      </c>
      <c r="F35" s="151">
        <f>INDEX('M03-S02'!$AD$18:$AD$198,2*(ROWS($F$35:F35)-1)+1)</f>
        <v>0</v>
      </c>
      <c r="G35">
        <f>INDEX('M03-S02'!$AA$18:$AA$198,2*(ROWS($G$35:G35)-1)+1)</f>
        <v>0</v>
      </c>
      <c r="H35" s="61">
        <f>ROUND(INDEX('M03-S02'!$U$18:$U$198,2*(ROWS($H$35:H35)-1)+1)*INDEX('M03-S02'!$AH$18:$AH$198,2*(ROWS($H$35:H35)-1)+1),2)</f>
        <v>0</v>
      </c>
      <c r="I35" s="61">
        <f>ROUND(INDEX('M03-S02'!$U$18:$U$198,2*(ROWS($I$35:I35)-1)+1)*INDEX('M03-S02'!$AJ$18:$AJ$198,2*(ROWS($I$35:I35)-1)+1),2)</f>
        <v>0</v>
      </c>
      <c r="J35" s="61" t="str">
        <f>INDEX('M03-S02'!$AU$18:$AU$198,2*(ROWS($J$35:J35)-1)+1)</f>
        <v/>
      </c>
      <c r="K35" t="s">
        <v>119</v>
      </c>
      <c r="L35" s="151">
        <f>IF(ISNUMBER(INDEX('M03-S02'!$AO$18:$AO$198,2*(ROWS($M$35:M35)-1)+1)),INDEX('M03-S02'!$U$18:$U$198,2*(ROWS($L$35:L35)-1)+1),0)</f>
        <v>0</v>
      </c>
      <c r="M35" s="151">
        <f>IF(ISNUMBER(INDEX('M03-S02'!$AO$18:$AO$198,2*(ROWS($M$35:M35)-1)+1)),INDEX('M03-S02'!$AL$18:$AL$198,2*(ROWS($M$35:M35)-1)+1),0)</f>
        <v>0</v>
      </c>
      <c r="N35" s="189">
        <f>IF(ISNUMBER(INDEX('M03-S02'!$AO$18:$AO$198,2*(ROWS($M$35:M35)-1)+1)),IFERROR(INDEX('M03-S02'!$AV$18:$AV$198,2*(ROWS($N$35:N35)-1)+1),0),0)</f>
        <v>0</v>
      </c>
      <c r="O35" s="61">
        <f>IF(ISNUMBER(INDEX('M03-S02'!$AO$18:$AO$198,2*(ROWS($M$35:M35)-1)+1)),IFERROR(INDEX('M03-S02'!$AO$18:$AO$198,2*(ROWS($O$35:O35)-1)+1)*INCENTCAPADJ,""),0)</f>
        <v>0</v>
      </c>
      <c r="P35" s="151" t="str">
        <f>IFERROR(IF(NOT(ISNUMBER(INDEX('M03-S02'!$AO$18:$AO$198,2*(ROWS($O$35:O35)-1)+1))),INDEX('M03-S02'!$AL$18:$AL$198,2*(ROWS($M$35:M35)-1)+1),0),0)</f>
        <v/>
      </c>
      <c r="Q35" s="189" t="str">
        <f>IFERROR(IF(NOT(ISNUMBER(INDEX('M03-S02'!$AO$18:$AO$198,2*(ROWS($O$35:O35)-1)+1))),INDEX('M03-S02'!$AV$18:$AV$198,2*(ROWS($N$35:N35)-1)+1),0),0)</f>
        <v/>
      </c>
      <c r="R35" t="str">
        <f>IFERROR(IF(NOT(ISNUMBER(INDEX('M03-S02'!$AO$18:$AO$198,2*(ROWS($O$35:O35)-1)+1))),"Not Eligible",""),"")</f>
        <v>Not Eligible</v>
      </c>
      <c r="S35" s="156" t="str">
        <f>INDEX('M03-S02'!$M$18:$M$198,2*(ROWS($S$35:S35)-1)+1)</f>
        <v/>
      </c>
      <c r="T35" s="156">
        <f>INDEX('M03-S02'!$Y$18:$Y$198,2*(ROWS($T$35:T35)-1)+1)</f>
        <v>0</v>
      </c>
      <c r="U35" s="151">
        <f>INDEX('M03-S02'!$B$18:$B$198,2*(ROWS($U$35:U35)-1)+1)</f>
        <v>1</v>
      </c>
      <c r="V35" s="58">
        <f>INDEX('M03-S02'!$E$18:$E$198,2*(ROWS($V$35:V35)-1)+1)</f>
        <v>0</v>
      </c>
      <c r="W35" s="58">
        <f>IF(INDEX('M03-S02'!$O$18:$O$198,2*(ROWS($W$35:W35)-1)+1)="Fixture","LED Fixture",INDEX('M03-S02'!$O$18:$O$198,2*(ROWS($W$35:W35)-1)+1))</f>
        <v>0</v>
      </c>
      <c r="X35">
        <f>INDEX('M03-S02'!$H$18:$H$198,2*(ROWS($X$35:X35)-1)+1)</f>
        <v>0</v>
      </c>
      <c r="Y35">
        <f>INDEX('M03-S02'!$R$18:$R$198,2*(ROWS($Y$35:Y35)-1)+1)</f>
        <v>0</v>
      </c>
      <c r="Z35" s="61">
        <f>IFERROR(INDEX('M03-S02'!$AF$18:$AF$198,2*(ROWS(Z$35:$Z35)-1)+1)/INDEX('M03-S02'!$AD$18:$AD$198,2*(ROWS(Z$35:$Z35)-1)+1),0)</f>
        <v>0</v>
      </c>
      <c r="AA35" t="str">
        <f>IFERROR(INDEX(CMLIGHTBASE[Measure Subgroup 1],MATCH(INDEX('M03-S02'!$E$18:$E$198,2*(ROWS($V$35:V35)-1)+1),CMLIGHTBASE[Base Desc 1],0)),"")</f>
        <v/>
      </c>
      <c r="AB35" t="str">
        <f>IFERROR(INDEX(CMLIGHTBASE[Measure Subgroup 2],MATCH(INDEX('M03-S02'!$E$18:$E$198,2*(ROWS($V$35:V35)-1)+1),CMLIGHTBASE[Base Desc 1],0)),"")</f>
        <v/>
      </c>
      <c r="AC35" s="135"/>
      <c r="AD35" t="str">
        <f>IF(ISNUMBER(INDEX('M03-S02'!$W$18:$W$198,2*(ROWS($AD$35:AD35)-1)+1)),INDEX('M03-S02'!$W$18:$W$198,2*(ROWS($AD$35:AD35)-1)+1)&amp;" Lamp","")</f>
        <v/>
      </c>
      <c r="AE35" s="151">
        <f>IFERROR(IF(NOT(ISNUMBER(INDEX('M03-S02'!$AO$18:$AO$198,2*(ROWS($O$35:O35)-1)+1))),INDEX('M03-S02'!$U$18:$U$198,2*(ROWS($L$35:L35)-1)+1),0),0)</f>
        <v>0</v>
      </c>
      <c r="AF35" s="151" t="str">
        <f>INDEX('M03-S02'!$AW$18:$AW$198,2*(ROWS($AF$35:AF35)-1)+1)</f>
        <v/>
      </c>
      <c r="AG35" s="151" t="str">
        <f>INDEX('M03-S02'!$AX$18:$AX$198,2*(ROWS($AG$35:AG35)-1)+1)</f>
        <v/>
      </c>
      <c r="AH35" s="151" t="str">
        <f>IFERROR(AF35/AO35,"")</f>
        <v/>
      </c>
      <c r="AI35" s="151" t="str">
        <f>IFERROR(AG35/L35,"")</f>
        <v/>
      </c>
      <c r="AJ35" s="61" t="str">
        <f>IFERROR(O35/M35,"")</f>
        <v/>
      </c>
      <c r="AK35" s="61" t="str">
        <f>IFERROR(O35/N35,"")</f>
        <v/>
      </c>
      <c r="AL35" s="61" t="str">
        <f>IFERROR(O35/L35,"")</f>
        <v/>
      </c>
      <c r="AM35" s="154"/>
      <c r="AN35" s="61" t="str">
        <f>IFERROR(J35/M35/M02S02F35,"")</f>
        <v/>
      </c>
      <c r="AO35" s="151">
        <f>INDEX('M03-S02'!$K$18:$K$198,2*(ROWS($AO$35:AO35)-1)+1)</f>
        <v>0</v>
      </c>
      <c r="AP35" s="151">
        <f>INDEX('M03-S02'!$AF$18:$AF$198,2*(ROWS($AP$35:AP35)-1)+1)</f>
        <v>0</v>
      </c>
      <c r="AQ35" s="61" t="str">
        <f>IF(INDEX('M03-S02'!$AL$18:$AL$198,2*(ROWS($AQ$35:AQ35)-1)+1)="","",IF(AND(INDEX('M03-S02'!$AL$18:$AL$198,2*(ROWS($AQ$35:AQ35)-1)+1)&lt;&gt;"",OR(ISNUMBER(SEARCH("AC With",M02S02F32)),M02S02F32="Heat Pump")),LIGHTHEATCOIN,1))</f>
        <v/>
      </c>
      <c r="AR35" s="414">
        <f>(IF(INDEX('M03-S02'!$AO$18:$AO$198,2*(ROWS($O$35:O35)-1)+1)=INDEX('M03-S02'!$BL$18:$BL$198,2*(ROWS($O$35:O35)-1)+1),0,(INDEX('M03-S02'!$BK$18:$BK$198,2*(ROWS($O$35:O35)-1)+1)-INDEX('M03-S02'!$BL$18:$BL$198,2*(ROWS($O$35:O35)-1)+1))))*INCENTCAPADJ</f>
        <v>0</v>
      </c>
    </row>
    <row r="36" spans="1:44" x14ac:dyDescent="0.25">
      <c r="A36" s="66">
        <f t="shared" si="8"/>
        <v>0</v>
      </c>
      <c r="B36" s="66" t="str">
        <f t="shared" ref="B36:B64" si="9">IF(C36="","",CONCATENATE(ROW(),"-",C36))</f>
        <v/>
      </c>
      <c r="C36" s="66" t="str">
        <f>IFERROR(IF(J36&gt;0,INDEX('M03-S02'!$BB$18:$BB$198,2*(ROWS($C$35:C36)-1)+1),""),"")</f>
        <v/>
      </c>
      <c r="D36" t="s">
        <v>1096</v>
      </c>
      <c r="E36" t="str">
        <f>IFERROR(INDEX(PMELIGHTLIN[End Use Category],MATCH(INDEX('M03-S02'!$BA$18:$BA$198,2*(ROWS($E$35:E36)-1)+1),PMELIGHTLIN[Measure Validator],0)),"")</f>
        <v/>
      </c>
      <c r="F36" s="151">
        <f>INDEX('M03-S02'!$AD$18:$AD$198,2*(ROWS($F$35:F36)-1)+1)</f>
        <v>0</v>
      </c>
      <c r="G36">
        <f>INDEX('M03-S02'!$AA$18:$AA$198,2*(ROWS($G$35:G36)-1)+1)</f>
        <v>0</v>
      </c>
      <c r="H36" s="61">
        <f>ROUND(INDEX('M03-S02'!$U$18:$U$198,2*(ROWS($H$35:H36)-1)+1)*INDEX('M03-S02'!$AH$18:$AH$198,2*(ROWS($H$35:H36)-1)+1),2)</f>
        <v>0</v>
      </c>
      <c r="I36" s="61">
        <f>ROUND(INDEX('M03-S02'!$U$18:$U$198,2*(ROWS($I$35:I36)-1)+1)*INDEX('M03-S02'!$AJ$18:$AJ$198,2*(ROWS($I$35:I36)-1)+1),2)</f>
        <v>0</v>
      </c>
      <c r="J36" s="61" t="str">
        <f>INDEX('M03-S02'!$AU$18:$AU$198,2*(ROWS($J$35:J36)-1)+1)</f>
        <v/>
      </c>
      <c r="K36" t="s">
        <v>119</v>
      </c>
      <c r="L36" s="151">
        <f>IF(ISNUMBER(INDEX('M03-S02'!$AO$18:$AO$198,2*(ROWS($M$35:M36)-1)+1)),INDEX('M03-S02'!$U$18:$U$198,2*(ROWS($L$35:L36)-1)+1),0)</f>
        <v>0</v>
      </c>
      <c r="M36" s="151">
        <f>IF(ISNUMBER(INDEX('M03-S02'!$AO$18:$AO$198,2*(ROWS($M$35:M36)-1)+1)),INDEX('M03-S02'!$AL$18:$AL$198,2*(ROWS($M$35:M36)-1)+1),0)</f>
        <v>0</v>
      </c>
      <c r="N36" s="189">
        <f>IF(ISNUMBER(INDEX('M03-S02'!$AO$18:$AO$198,2*(ROWS($M$35:M36)-1)+1)),IFERROR(INDEX('M03-S02'!$AV$18:$AV$198,2*(ROWS($N$35:N36)-1)+1),0),0)</f>
        <v>0</v>
      </c>
      <c r="O36" s="61">
        <f>IF(ISNUMBER(INDEX('M03-S02'!$AO$18:$AO$198,2*(ROWS($M$35:M36)-1)+1)),IFERROR(INDEX('M03-S02'!$AO$18:$AO$198,2*(ROWS($O$35:O36)-1)+1)*INCENTCAPADJ,""),0)</f>
        <v>0</v>
      </c>
      <c r="P36" s="151" t="str">
        <f>IFERROR(IF(NOT(ISNUMBER(INDEX('M03-S02'!$AO$18:$AO$198,2*(ROWS($O$35:O36)-1)+1))),INDEX('M03-S02'!$AL$18:$AL$198,2*(ROWS($M$35:M36)-1)+1),0),0)</f>
        <v/>
      </c>
      <c r="Q36" s="189" t="str">
        <f>IFERROR(IF(NOT(ISNUMBER(INDEX('M03-S02'!$AO$18:$AO$198,2*(ROWS($O$35:O36)-1)+1))),INDEX('M03-S02'!$AV$18:$AV$198,2*(ROWS($N$35:N36)-1)+1),0),0)</f>
        <v/>
      </c>
      <c r="R36" t="str">
        <f>IFERROR(IF(NOT(ISNUMBER(INDEX('M03-S02'!$AO$18:$AO$198,2*(ROWS($O$35:O36)-1)+1))),"Not Eligible",""),"")</f>
        <v>Not Eligible</v>
      </c>
      <c r="S36" s="156" t="str">
        <f>INDEX('M03-S02'!$M$18:$M$198,2*(ROWS($S$35:S36)-1)+1)</f>
        <v/>
      </c>
      <c r="T36" s="156">
        <f>INDEX('M03-S02'!$Y$18:$Y$198,2*(ROWS($T$35:T36)-1)+1)</f>
        <v>0</v>
      </c>
      <c r="U36" s="151">
        <f>INDEX('M03-S02'!$B$18:$B$198,2*(ROWS($U$35:U36)-1)+1)</f>
        <v>2</v>
      </c>
      <c r="V36" s="58">
        <f>INDEX('M03-S02'!$E$18:$E$198,2*(ROWS($V$35:V36)-1)+1)</f>
        <v>0</v>
      </c>
      <c r="W36" s="58">
        <f>IF(INDEX('M03-S02'!$O$18:$O$198,2*(ROWS($W$35:W36)-1)+1)="Fixture","LED Fixture",INDEX('M03-S02'!$O$18:$O$198,2*(ROWS($W$35:W36)-1)+1))</f>
        <v>0</v>
      </c>
      <c r="X36">
        <f>INDEX('M03-S02'!$H$18:$H$198,2*(ROWS($X$35:X36)-1)+1)</f>
        <v>0</v>
      </c>
      <c r="Y36">
        <f>INDEX('M03-S02'!$R$18:$R$198,2*(ROWS($Y$35:Y36)-1)+1)</f>
        <v>0</v>
      </c>
      <c r="Z36" s="61">
        <f>IFERROR(INDEX('M03-S02'!$AF$18:$AF$198,2*(ROWS(Z$35:$Z36)-1)+1)/INDEX('M03-S02'!$AD$18:$AD$198,2*(ROWS(Z$35:$Z36)-1)+1),0)</f>
        <v>0</v>
      </c>
      <c r="AA36" t="str">
        <f>IFERROR(INDEX(CMLIGHTBASE[Measure Subgroup 1],MATCH(INDEX('M03-S02'!$E$18:$E$198,2*(ROWS($V$35:V36)-1)+1),CMLIGHTBASE[Base Desc 1],0)),"")</f>
        <v/>
      </c>
      <c r="AB36" t="str">
        <f>IFERROR(INDEX(CMLIGHTBASE[Measure Subgroup 2],MATCH(INDEX('M03-S02'!$E$18:$E$198,2*(ROWS($V$35:V36)-1)+1),CMLIGHTBASE[Base Desc 1],0)),"")</f>
        <v/>
      </c>
      <c r="AC36" s="135"/>
      <c r="AD36" t="str">
        <f>IF(ISNUMBER(INDEX('M03-S02'!$W$18:$W$198,2*(ROWS($AD$35:AD36)-1)+1)),INDEX('M03-S02'!$W$18:$W$198,2*(ROWS($AD$35:AD36)-1)+1)&amp;" Lamp","")</f>
        <v/>
      </c>
      <c r="AE36" s="151">
        <f>IFERROR(IF(NOT(ISNUMBER(INDEX('M03-S02'!$AO$18:$AO$198,2*(ROWS($O$35:O36)-1)+1))),INDEX('M03-S02'!$U$18:$U$198,2*(ROWS($L$35:L36)-1)+1),0),0)</f>
        <v>0</v>
      </c>
      <c r="AF36" s="151" t="str">
        <f>INDEX('M03-S02'!$AW$18:$AW$198,2*(ROWS($AF$35:AF36)-1)+1)</f>
        <v/>
      </c>
      <c r="AG36" s="151" t="str">
        <f>INDEX('M03-S02'!$AX$18:$AX$198,2*(ROWS($AG$35:AG36)-1)+1)</f>
        <v/>
      </c>
      <c r="AH36" s="151" t="str">
        <f t="shared" ref="AH36:AH64" si="10">IFERROR(AF36/AO36,"")</f>
        <v/>
      </c>
      <c r="AI36" s="151" t="str">
        <f t="shared" ref="AI36:AI64" si="11">IFERROR(AG36/L36,"")</f>
        <v/>
      </c>
      <c r="AJ36" s="61" t="str">
        <f t="shared" ref="AJ36:AJ64" si="12">IFERROR(O36/M36,"")</f>
        <v/>
      </c>
      <c r="AK36" s="61" t="str">
        <f t="shared" ref="AK36:AK64" si="13">IFERROR(O36/N36,"")</f>
        <v/>
      </c>
      <c r="AL36" s="61" t="str">
        <f t="shared" ref="AL36:AL64" si="14">IFERROR(O36/L36,"")</f>
        <v/>
      </c>
      <c r="AM36" s="154"/>
      <c r="AN36" s="61" t="str">
        <f t="shared" ref="AN36:AN64" si="15">IFERROR(J36/M36/M02S02F35,"")</f>
        <v/>
      </c>
      <c r="AO36" s="151">
        <f>INDEX('M03-S02'!$K$18:$K$198,2*(ROWS($AO$35:AO36)-1)+1)</f>
        <v>0</v>
      </c>
      <c r="AP36" s="151">
        <f>INDEX('M03-S02'!$AF$18:$AF$198,2*(ROWS($AP$35:AP36)-1)+1)</f>
        <v>0</v>
      </c>
      <c r="AQ36" s="61" t="str">
        <f>IF(INDEX('M03-S02'!$AL$18:$AL$198,2*(ROWS($AQ$35:AQ36)-1)+1)="","",IF(AND(INDEX('M03-S02'!$AL$18:$AL$198,2*(ROWS($AQ$35:AQ36)-1)+1)&lt;&gt;"",OR(ISNUMBER(SEARCH("AC With",M02S02F32)),M02S02F32="Heat Pump")),LIGHTHEATCOIN,1))</f>
        <v/>
      </c>
      <c r="AR36" s="414">
        <f>(IF(INDEX('M03-S02'!$AO$18:$AO$198,2*(ROWS($O$35:O36)-1)+1)=INDEX('M03-S02'!$BL$18:$BL$198,2*(ROWS($O$35:O36)-1)+1),0,(INDEX('M03-S02'!$BK$18:$BK$198,2*(ROWS($O$35:O36)-1)+1)-INDEX('M03-S02'!$BL$18:$BL$198,2*(ROWS($O$35:O36)-1)+1))))*INCENTCAPADJ</f>
        <v>0</v>
      </c>
    </row>
    <row r="37" spans="1:44" x14ac:dyDescent="0.25">
      <c r="A37" s="66">
        <f t="shared" si="8"/>
        <v>0</v>
      </c>
      <c r="B37" s="66" t="str">
        <f t="shared" si="9"/>
        <v/>
      </c>
      <c r="C37" s="66" t="str">
        <f>IFERROR(IF(J37&gt;0,INDEX('M03-S02'!$BB$18:$BB$198,2*(ROWS($C$35:C37)-1)+1),""),"")</f>
        <v/>
      </c>
      <c r="D37" t="s">
        <v>1096</v>
      </c>
      <c r="E37" t="str">
        <f>IFERROR(INDEX(PMELIGHTLIN[End Use Category],MATCH(INDEX('M03-S02'!$BA$18:$BA$198,2*(ROWS($E$35:E37)-1)+1),PMELIGHTLIN[Measure Validator],0)),"")</f>
        <v/>
      </c>
      <c r="F37" s="151">
        <f>INDEX('M03-S02'!$AD$18:$AD$198,2*(ROWS($F$35:F37)-1)+1)</f>
        <v>0</v>
      </c>
      <c r="G37">
        <f>INDEX('M03-S02'!$AA$18:$AA$198,2*(ROWS($G$35:G37)-1)+1)</f>
        <v>0</v>
      </c>
      <c r="H37" s="61">
        <f>ROUND(INDEX('M03-S02'!$U$18:$U$198,2*(ROWS($H$35:H37)-1)+1)*INDEX('M03-S02'!$AH$18:$AH$198,2*(ROWS($H$35:H37)-1)+1),2)</f>
        <v>0</v>
      </c>
      <c r="I37" s="61">
        <f>ROUND(INDEX('M03-S02'!$U$18:$U$198,2*(ROWS($I$35:I37)-1)+1)*INDEX('M03-S02'!$AJ$18:$AJ$198,2*(ROWS($I$35:I37)-1)+1),2)</f>
        <v>0</v>
      </c>
      <c r="J37" s="61" t="str">
        <f>INDEX('M03-S02'!$AU$18:$AU$198,2*(ROWS($J$35:J37)-1)+1)</f>
        <v/>
      </c>
      <c r="K37" t="s">
        <v>119</v>
      </c>
      <c r="L37" s="151">
        <f>IF(ISNUMBER(INDEX('M03-S02'!$AO$18:$AO$198,2*(ROWS($M$35:M37)-1)+1)),INDEX('M03-S02'!$U$18:$U$198,2*(ROWS($L$35:L37)-1)+1),0)</f>
        <v>0</v>
      </c>
      <c r="M37" s="151">
        <f>IF(ISNUMBER(INDEX('M03-S02'!$AO$18:$AO$198,2*(ROWS($M$35:M37)-1)+1)),INDEX('M03-S02'!$AL$18:$AL$198,2*(ROWS($M$35:M37)-1)+1),0)</f>
        <v>0</v>
      </c>
      <c r="N37" s="189">
        <f>IF(ISNUMBER(INDEX('M03-S02'!$AO$18:$AO$198,2*(ROWS($M$35:M37)-1)+1)),IFERROR(INDEX('M03-S02'!$AV$18:$AV$198,2*(ROWS($N$35:N37)-1)+1),0),0)</f>
        <v>0</v>
      </c>
      <c r="O37" s="61">
        <f>IF(ISNUMBER(INDEX('M03-S02'!$AO$18:$AO$198,2*(ROWS($M$35:M37)-1)+1)),IFERROR(INDEX('M03-S02'!$AO$18:$AO$198,2*(ROWS($O$35:O37)-1)+1)*INCENTCAPADJ,""),0)</f>
        <v>0</v>
      </c>
      <c r="P37" s="151" t="str">
        <f>IFERROR(IF(NOT(ISNUMBER(INDEX('M03-S02'!$AO$18:$AO$198,2*(ROWS($O$35:O37)-1)+1))),INDEX('M03-S02'!$AL$18:$AL$198,2*(ROWS($M$35:M37)-1)+1),0),0)</f>
        <v/>
      </c>
      <c r="Q37" s="189" t="str">
        <f>IFERROR(IF(NOT(ISNUMBER(INDEX('M03-S02'!$AO$18:$AO$198,2*(ROWS($O$35:O37)-1)+1))),INDEX('M03-S02'!$AV$18:$AV$198,2*(ROWS($N$35:N37)-1)+1),0),0)</f>
        <v/>
      </c>
      <c r="R37" t="str">
        <f>IFERROR(IF(NOT(ISNUMBER(INDEX('M03-S02'!$AO$18:$AO$198,2*(ROWS($O$35:O37)-1)+1))),"Not Eligible",""),"")</f>
        <v>Not Eligible</v>
      </c>
      <c r="S37" s="156" t="str">
        <f>INDEX('M03-S02'!$M$18:$M$198,2*(ROWS($S$35:S37)-1)+1)</f>
        <v/>
      </c>
      <c r="T37" s="156">
        <f>INDEX('M03-S02'!$Y$18:$Y$198,2*(ROWS($T$35:T37)-1)+1)</f>
        <v>0</v>
      </c>
      <c r="U37" s="151">
        <f>INDEX('M03-S02'!$B$18:$B$198,2*(ROWS($U$35:U37)-1)+1)</f>
        <v>3</v>
      </c>
      <c r="V37" s="58">
        <f>INDEX('M03-S02'!$E$18:$E$198,2*(ROWS($V$35:V37)-1)+1)</f>
        <v>0</v>
      </c>
      <c r="W37" s="58">
        <f>IF(INDEX('M03-S02'!$O$18:$O$198,2*(ROWS($W$35:W37)-1)+1)="Fixture","LED Fixture",INDEX('M03-S02'!$O$18:$O$198,2*(ROWS($W$35:W37)-1)+1))</f>
        <v>0</v>
      </c>
      <c r="X37">
        <f>INDEX('M03-S02'!$H$18:$H$198,2*(ROWS($X$35:X37)-1)+1)</f>
        <v>0</v>
      </c>
      <c r="Y37">
        <f>INDEX('M03-S02'!$R$18:$R$198,2*(ROWS($Y$35:Y37)-1)+1)</f>
        <v>0</v>
      </c>
      <c r="Z37" s="61">
        <f>IFERROR(INDEX('M03-S02'!$AF$18:$AF$198,2*(ROWS(Z$35:$Z37)-1)+1)/INDEX('M03-S02'!$AD$18:$AD$198,2*(ROWS(Z$35:$Z37)-1)+1),0)</f>
        <v>0</v>
      </c>
      <c r="AA37" t="str">
        <f>IFERROR(INDEX(CMLIGHTBASE[Measure Subgroup 1],MATCH(INDEX('M03-S02'!$E$18:$E$198,2*(ROWS($V$35:V37)-1)+1),CMLIGHTBASE[Base Desc 1],0)),"")</f>
        <v/>
      </c>
      <c r="AB37" t="str">
        <f>IFERROR(INDEX(CMLIGHTBASE[Measure Subgroup 2],MATCH(INDEX('M03-S02'!$E$18:$E$198,2*(ROWS($V$35:V37)-1)+1),CMLIGHTBASE[Base Desc 1],0)),"")</f>
        <v/>
      </c>
      <c r="AC37" s="135"/>
      <c r="AD37" t="str">
        <f>IF(ISNUMBER(INDEX('M03-S02'!$W$18:$W$198,2*(ROWS($AD$35:AD37)-1)+1)),INDEX('M03-S02'!$W$18:$W$198,2*(ROWS($AD$35:AD37)-1)+1)&amp;" Lamp","")</f>
        <v/>
      </c>
      <c r="AE37" s="151">
        <f>IFERROR(IF(NOT(ISNUMBER(INDEX('M03-S02'!$AO$18:$AO$198,2*(ROWS($O$35:O37)-1)+1))),INDEX('M03-S02'!$U$18:$U$198,2*(ROWS($L$35:L37)-1)+1),0),0)</f>
        <v>0</v>
      </c>
      <c r="AF37" s="151" t="str">
        <f>INDEX('M03-S02'!$AW$18:$AW$198,2*(ROWS($AF$35:AF37)-1)+1)</f>
        <v/>
      </c>
      <c r="AG37" s="151" t="str">
        <f>INDEX('M03-S02'!$AX$18:$AX$198,2*(ROWS($AG$35:AG37)-1)+1)</f>
        <v/>
      </c>
      <c r="AH37" s="151" t="str">
        <f t="shared" si="10"/>
        <v/>
      </c>
      <c r="AI37" s="151" t="str">
        <f t="shared" si="11"/>
        <v/>
      </c>
      <c r="AJ37" s="61" t="str">
        <f t="shared" si="12"/>
        <v/>
      </c>
      <c r="AK37" s="61" t="str">
        <f t="shared" si="13"/>
        <v/>
      </c>
      <c r="AL37" s="61" t="str">
        <f t="shared" si="14"/>
        <v/>
      </c>
      <c r="AM37" s="154"/>
      <c r="AN37" s="61" t="str">
        <f t="shared" si="15"/>
        <v/>
      </c>
      <c r="AO37" s="151">
        <f>INDEX('M03-S02'!$K$18:$K$198,2*(ROWS($AO$35:AO37)-1)+1)</f>
        <v>0</v>
      </c>
      <c r="AP37" s="151">
        <f>INDEX('M03-S02'!$AF$18:$AF$198,2*(ROWS($AP$35:AP37)-1)+1)</f>
        <v>0</v>
      </c>
      <c r="AQ37" s="61" t="str">
        <f>IF(INDEX('M03-S02'!$AL$18:$AL$198,2*(ROWS($AQ$35:AQ37)-1)+1)="","",IF(AND(INDEX('M03-S02'!$AL$18:$AL$198,2*(ROWS($AQ$35:AQ37)-1)+1)&lt;&gt;"",OR(ISNUMBER(SEARCH("AC With",M02S02F32)),M02S02F32="Heat Pump")),LIGHTHEATCOIN,1))</f>
        <v/>
      </c>
      <c r="AR37" s="414">
        <f>(IF(INDEX('M03-S02'!$AO$18:$AO$198,2*(ROWS($O$35:O37)-1)+1)=INDEX('M03-S02'!$BL$18:$BL$198,2*(ROWS($O$35:O37)-1)+1),0,(INDEX('M03-S02'!$BK$18:$BK$198,2*(ROWS($O$35:O37)-1)+1)-INDEX('M03-S02'!$BL$18:$BL$198,2*(ROWS($O$35:O37)-1)+1))))*INCENTCAPADJ</f>
        <v>0</v>
      </c>
    </row>
    <row r="38" spans="1:44" x14ac:dyDescent="0.25">
      <c r="A38" s="66">
        <f t="shared" si="8"/>
        <v>0</v>
      </c>
      <c r="B38" s="66" t="str">
        <f t="shared" si="9"/>
        <v/>
      </c>
      <c r="C38" s="66" t="str">
        <f>IFERROR(IF(J38&gt;0,INDEX('M03-S02'!$BB$18:$BB$198,2*(ROWS($C$35:C38)-1)+1),""),"")</f>
        <v/>
      </c>
      <c r="D38" t="s">
        <v>1096</v>
      </c>
      <c r="E38" t="str">
        <f>IFERROR(INDEX(PMELIGHTLIN[End Use Category],MATCH(INDEX('M03-S02'!$BA$18:$BA$198,2*(ROWS($E$35:E38)-1)+1),PMELIGHTLIN[Measure Validator],0)),"")</f>
        <v/>
      </c>
      <c r="F38" s="151">
        <f>INDEX('M03-S02'!$AD$18:$AD$198,2*(ROWS($F$35:F38)-1)+1)</f>
        <v>0</v>
      </c>
      <c r="G38">
        <f>INDEX('M03-S02'!$AA$18:$AA$198,2*(ROWS($G$35:G38)-1)+1)</f>
        <v>0</v>
      </c>
      <c r="H38" s="61">
        <f>ROUND(INDEX('M03-S02'!$U$18:$U$198,2*(ROWS($H$35:H38)-1)+1)*INDEX('M03-S02'!$AH$18:$AH$198,2*(ROWS($H$35:H38)-1)+1),2)</f>
        <v>0</v>
      </c>
      <c r="I38" s="61">
        <f>ROUND(INDEX('M03-S02'!$U$18:$U$198,2*(ROWS($I$35:I38)-1)+1)*INDEX('M03-S02'!$AJ$18:$AJ$198,2*(ROWS($I$35:I38)-1)+1),2)</f>
        <v>0</v>
      </c>
      <c r="J38" s="61" t="str">
        <f>INDEX('M03-S02'!$AU$18:$AU$198,2*(ROWS($J$35:J38)-1)+1)</f>
        <v/>
      </c>
      <c r="K38" t="s">
        <v>119</v>
      </c>
      <c r="L38" s="151">
        <f>IF(ISNUMBER(INDEX('M03-S02'!$AO$18:$AO$198,2*(ROWS($M$35:M38)-1)+1)),INDEX('M03-S02'!$U$18:$U$198,2*(ROWS($L$35:L38)-1)+1),0)</f>
        <v>0</v>
      </c>
      <c r="M38" s="151">
        <f>IF(ISNUMBER(INDEX('M03-S02'!$AO$18:$AO$198,2*(ROWS($M$35:M38)-1)+1)),INDEX('M03-S02'!$AL$18:$AL$198,2*(ROWS($M$35:M38)-1)+1),0)</f>
        <v>0</v>
      </c>
      <c r="N38" s="189">
        <f>IF(ISNUMBER(INDEX('M03-S02'!$AO$18:$AO$198,2*(ROWS($M$35:M38)-1)+1)),IFERROR(INDEX('M03-S02'!$AV$18:$AV$198,2*(ROWS($N$35:N38)-1)+1),0),0)</f>
        <v>0</v>
      </c>
      <c r="O38" s="61">
        <f>IF(ISNUMBER(INDEX('M03-S02'!$AO$18:$AO$198,2*(ROWS($M$35:M38)-1)+1)),IFERROR(INDEX('M03-S02'!$AO$18:$AO$198,2*(ROWS($O$35:O38)-1)+1)*INCENTCAPADJ,""),0)</f>
        <v>0</v>
      </c>
      <c r="P38" s="151" t="str">
        <f>IFERROR(IF(NOT(ISNUMBER(INDEX('M03-S02'!$AO$18:$AO$198,2*(ROWS($O$35:O38)-1)+1))),INDEX('M03-S02'!$AL$18:$AL$198,2*(ROWS($M$35:M38)-1)+1),0),0)</f>
        <v/>
      </c>
      <c r="Q38" s="189" t="str">
        <f>IFERROR(IF(NOT(ISNUMBER(INDEX('M03-S02'!$AO$18:$AO$198,2*(ROWS($O$35:O38)-1)+1))),INDEX('M03-S02'!$AV$18:$AV$198,2*(ROWS($N$35:N38)-1)+1),0),0)</f>
        <v/>
      </c>
      <c r="R38" t="str">
        <f>IFERROR(IF(NOT(ISNUMBER(INDEX('M03-S02'!$AO$18:$AO$198,2*(ROWS($O$35:O38)-1)+1))),"Not Eligible",""),"")</f>
        <v>Not Eligible</v>
      </c>
      <c r="S38" s="156" t="str">
        <f>INDEX('M03-S02'!$M$18:$M$198,2*(ROWS($S$35:S38)-1)+1)</f>
        <v/>
      </c>
      <c r="T38" s="156">
        <f>INDEX('M03-S02'!$Y$18:$Y$198,2*(ROWS($T$35:T38)-1)+1)</f>
        <v>0</v>
      </c>
      <c r="U38" s="151">
        <f>INDEX('M03-S02'!$B$18:$B$198,2*(ROWS($U$35:U38)-1)+1)</f>
        <v>4</v>
      </c>
      <c r="V38" s="58">
        <f>INDEX('M03-S02'!$E$18:$E$198,2*(ROWS($V$35:V38)-1)+1)</f>
        <v>0</v>
      </c>
      <c r="W38" s="58">
        <f>IF(INDEX('M03-S02'!$O$18:$O$198,2*(ROWS($W$35:W38)-1)+1)="Fixture","LED Fixture",INDEX('M03-S02'!$O$18:$O$198,2*(ROWS($W$35:W38)-1)+1))</f>
        <v>0</v>
      </c>
      <c r="X38">
        <f>INDEX('M03-S02'!$H$18:$H$198,2*(ROWS($X$35:X38)-1)+1)</f>
        <v>0</v>
      </c>
      <c r="Y38">
        <f>INDEX('M03-S02'!$R$18:$R$198,2*(ROWS($Y$35:Y38)-1)+1)</f>
        <v>0</v>
      </c>
      <c r="Z38" s="61">
        <f>IFERROR(INDEX('M03-S02'!$AF$18:$AF$198,2*(ROWS(Z$35:$Z38)-1)+1)/INDEX('M03-S02'!$AD$18:$AD$198,2*(ROWS(Z$35:$Z38)-1)+1),0)</f>
        <v>0</v>
      </c>
      <c r="AA38" t="str">
        <f>IFERROR(INDEX(CMLIGHTBASE[Measure Subgroup 1],MATCH(INDEX('M03-S02'!$E$18:$E$198,2*(ROWS($V$35:V38)-1)+1),CMLIGHTBASE[Base Desc 1],0)),"")</f>
        <v/>
      </c>
      <c r="AB38" t="str">
        <f>IFERROR(INDEX(CMLIGHTBASE[Measure Subgroup 2],MATCH(INDEX('M03-S02'!$E$18:$E$198,2*(ROWS($V$35:V38)-1)+1),CMLIGHTBASE[Base Desc 1],0)),"")</f>
        <v/>
      </c>
      <c r="AC38" s="135"/>
      <c r="AD38" t="str">
        <f>IF(ISNUMBER(INDEX('M03-S02'!$W$18:$W$198,2*(ROWS($AD$35:AD38)-1)+1)),INDEX('M03-S02'!$W$18:$W$198,2*(ROWS($AD$35:AD38)-1)+1)&amp;" Lamp","")</f>
        <v/>
      </c>
      <c r="AE38" s="151">
        <f>IFERROR(IF(NOT(ISNUMBER(INDEX('M03-S02'!$AO$18:$AO$198,2*(ROWS($O$35:O38)-1)+1))),INDEX('M03-S02'!$U$18:$U$198,2*(ROWS($L$35:L38)-1)+1),0),0)</f>
        <v>0</v>
      </c>
      <c r="AF38" s="151" t="str">
        <f>INDEX('M03-S02'!$AW$18:$AW$198,2*(ROWS($AF$35:AF38)-1)+1)</f>
        <v/>
      </c>
      <c r="AG38" s="151" t="str">
        <f>INDEX('M03-S02'!$AX$18:$AX$198,2*(ROWS($AG$35:AG38)-1)+1)</f>
        <v/>
      </c>
      <c r="AH38" s="151" t="str">
        <f t="shared" si="10"/>
        <v/>
      </c>
      <c r="AI38" s="151" t="str">
        <f t="shared" si="11"/>
        <v/>
      </c>
      <c r="AJ38" s="61" t="str">
        <f t="shared" si="12"/>
        <v/>
      </c>
      <c r="AK38" s="61" t="str">
        <f t="shared" si="13"/>
        <v/>
      </c>
      <c r="AL38" s="61" t="str">
        <f t="shared" si="14"/>
        <v/>
      </c>
      <c r="AM38" s="154"/>
      <c r="AN38" s="61" t="str">
        <f t="shared" si="15"/>
        <v/>
      </c>
      <c r="AO38" s="151">
        <f>INDEX('M03-S02'!$K$18:$K$198,2*(ROWS($AO$35:AO38)-1)+1)</f>
        <v>0</v>
      </c>
      <c r="AP38" s="151">
        <f>INDEX('M03-S02'!$AF$18:$AF$198,2*(ROWS($AP$35:AP38)-1)+1)</f>
        <v>0</v>
      </c>
      <c r="AQ38" s="61" t="str">
        <f>IF(INDEX('M03-S02'!$AL$18:$AL$198,2*(ROWS($AQ$35:AQ38)-1)+1)="","",IF(AND(INDEX('M03-S02'!$AL$18:$AL$198,2*(ROWS($AQ$35:AQ38)-1)+1)&lt;&gt;"",OR(ISNUMBER(SEARCH("AC With",M02S02F32)),M02S02F32="Heat Pump")),LIGHTHEATCOIN,1))</f>
        <v/>
      </c>
      <c r="AR38" s="414">
        <f>(IF(INDEX('M03-S02'!$AO$18:$AO$198,2*(ROWS($O$35:O38)-1)+1)=INDEX('M03-S02'!$BL$18:$BL$198,2*(ROWS($O$35:O38)-1)+1),0,(INDEX('M03-S02'!$BK$18:$BK$198,2*(ROWS($O$35:O38)-1)+1)-INDEX('M03-S02'!$BL$18:$BL$198,2*(ROWS($O$35:O38)-1)+1))))*INCENTCAPADJ</f>
        <v>0</v>
      </c>
    </row>
    <row r="39" spans="1:44" x14ac:dyDescent="0.25">
      <c r="A39" s="66">
        <f t="shared" si="8"/>
        <v>0</v>
      </c>
      <c r="B39" s="66" t="str">
        <f t="shared" si="9"/>
        <v/>
      </c>
      <c r="C39" s="66" t="str">
        <f>IFERROR(IF(J39&gt;0,INDEX('M03-S02'!$BB$18:$BB$198,2*(ROWS($C$35:C39)-1)+1),""),"")</f>
        <v/>
      </c>
      <c r="D39" t="s">
        <v>1096</v>
      </c>
      <c r="E39" t="str">
        <f>IFERROR(INDEX(PMELIGHTLIN[End Use Category],MATCH(INDEX('M03-S02'!$BA$18:$BA$198,2*(ROWS($E$35:E39)-1)+1),PMELIGHTLIN[Measure Validator],0)),"")</f>
        <v/>
      </c>
      <c r="F39" s="151">
        <f>INDEX('M03-S02'!$AD$18:$AD$198,2*(ROWS($F$35:F39)-1)+1)</f>
        <v>0</v>
      </c>
      <c r="G39">
        <f>INDEX('M03-S02'!$AA$18:$AA$198,2*(ROWS($G$35:G39)-1)+1)</f>
        <v>0</v>
      </c>
      <c r="H39" s="61">
        <f>ROUND(INDEX('M03-S02'!$U$18:$U$198,2*(ROWS($H$35:H39)-1)+1)*INDEX('M03-S02'!$AH$18:$AH$198,2*(ROWS($H$35:H39)-1)+1),2)</f>
        <v>0</v>
      </c>
      <c r="I39" s="61">
        <f>ROUND(INDEX('M03-S02'!$U$18:$U$198,2*(ROWS($I$35:I39)-1)+1)*INDEX('M03-S02'!$AJ$18:$AJ$198,2*(ROWS($I$35:I39)-1)+1),2)</f>
        <v>0</v>
      </c>
      <c r="J39" s="61" t="str">
        <f>INDEX('M03-S02'!$AU$18:$AU$198,2*(ROWS($J$35:J39)-1)+1)</f>
        <v/>
      </c>
      <c r="K39" t="s">
        <v>119</v>
      </c>
      <c r="L39" s="151">
        <f>IF(ISNUMBER(INDEX('M03-S02'!$AO$18:$AO$198,2*(ROWS($M$35:M39)-1)+1)),INDEX('M03-S02'!$U$18:$U$198,2*(ROWS($L$35:L39)-1)+1),0)</f>
        <v>0</v>
      </c>
      <c r="M39" s="151">
        <f>IF(ISNUMBER(INDEX('M03-S02'!$AO$18:$AO$198,2*(ROWS($M$35:M39)-1)+1)),INDEX('M03-S02'!$AL$18:$AL$198,2*(ROWS($M$35:M39)-1)+1),0)</f>
        <v>0</v>
      </c>
      <c r="N39" s="189">
        <f>IF(ISNUMBER(INDEX('M03-S02'!$AO$18:$AO$198,2*(ROWS($M$35:M39)-1)+1)),IFERROR(INDEX('M03-S02'!$AV$18:$AV$198,2*(ROWS($N$35:N39)-1)+1),0),0)</f>
        <v>0</v>
      </c>
      <c r="O39" s="61">
        <f>IF(ISNUMBER(INDEX('M03-S02'!$AO$18:$AO$198,2*(ROWS($M$35:M39)-1)+1)),IFERROR(INDEX('M03-S02'!$AO$18:$AO$198,2*(ROWS($O$35:O39)-1)+1)*INCENTCAPADJ,""),0)</f>
        <v>0</v>
      </c>
      <c r="P39" s="151" t="str">
        <f>IFERROR(IF(NOT(ISNUMBER(INDEX('M03-S02'!$AO$18:$AO$198,2*(ROWS($O$35:O39)-1)+1))),INDEX('M03-S02'!$AL$18:$AL$198,2*(ROWS($M$35:M39)-1)+1),0),0)</f>
        <v/>
      </c>
      <c r="Q39" s="189" t="str">
        <f>IFERROR(IF(NOT(ISNUMBER(INDEX('M03-S02'!$AO$18:$AO$198,2*(ROWS($O$35:O39)-1)+1))),INDEX('M03-S02'!$AV$18:$AV$198,2*(ROWS($N$35:N39)-1)+1),0),0)</f>
        <v/>
      </c>
      <c r="R39" t="str">
        <f>IFERROR(IF(NOT(ISNUMBER(INDEX('M03-S02'!$AO$18:$AO$198,2*(ROWS($O$35:O39)-1)+1))),"Not Eligible",""),"")</f>
        <v>Not Eligible</v>
      </c>
      <c r="S39" s="156" t="str">
        <f>INDEX('M03-S02'!$M$18:$M$198,2*(ROWS($S$35:S39)-1)+1)</f>
        <v/>
      </c>
      <c r="T39" s="156">
        <f>INDEX('M03-S02'!$Y$18:$Y$198,2*(ROWS($T$35:T39)-1)+1)</f>
        <v>0</v>
      </c>
      <c r="U39" s="151">
        <f>INDEX('M03-S02'!$B$18:$B$198,2*(ROWS($U$35:U39)-1)+1)</f>
        <v>5</v>
      </c>
      <c r="V39" s="58">
        <f>INDEX('M03-S02'!$E$18:$E$198,2*(ROWS($V$35:V39)-1)+1)</f>
        <v>0</v>
      </c>
      <c r="W39" s="58">
        <f>IF(INDEX('M03-S02'!$O$18:$O$198,2*(ROWS($W$35:W39)-1)+1)="Fixture","LED Fixture",INDEX('M03-S02'!$O$18:$O$198,2*(ROWS($W$35:W39)-1)+1))</f>
        <v>0</v>
      </c>
      <c r="X39">
        <f>INDEX('M03-S02'!$H$18:$H$198,2*(ROWS($X$35:X39)-1)+1)</f>
        <v>0</v>
      </c>
      <c r="Y39">
        <f>INDEX('M03-S02'!$R$18:$R$198,2*(ROWS($Y$35:Y39)-1)+1)</f>
        <v>0</v>
      </c>
      <c r="Z39" s="61">
        <f>IFERROR(INDEX('M03-S02'!$AF$18:$AF$198,2*(ROWS(Z$35:$Z39)-1)+1)/INDEX('M03-S02'!$AD$18:$AD$198,2*(ROWS(Z$35:$Z39)-1)+1),0)</f>
        <v>0</v>
      </c>
      <c r="AA39" t="str">
        <f>IFERROR(INDEX(CMLIGHTBASE[Measure Subgroup 1],MATCH(INDEX('M03-S02'!$E$18:$E$198,2*(ROWS($V$35:V39)-1)+1),CMLIGHTBASE[Base Desc 1],0)),"")</f>
        <v/>
      </c>
      <c r="AB39" t="str">
        <f>IFERROR(INDEX(CMLIGHTBASE[Measure Subgroup 2],MATCH(INDEX('M03-S02'!$E$18:$E$198,2*(ROWS($V$35:V39)-1)+1),CMLIGHTBASE[Base Desc 1],0)),"")</f>
        <v/>
      </c>
      <c r="AC39" s="135"/>
      <c r="AD39" t="str">
        <f>IF(ISNUMBER(INDEX('M03-S02'!$W$18:$W$198,2*(ROWS($AD$35:AD39)-1)+1)),INDEX('M03-S02'!$W$18:$W$198,2*(ROWS($AD$35:AD39)-1)+1)&amp;" Lamp","")</f>
        <v/>
      </c>
      <c r="AE39" s="151">
        <f>IFERROR(IF(NOT(ISNUMBER(INDEX('M03-S02'!$AO$18:$AO$198,2*(ROWS($O$35:O39)-1)+1))),INDEX('M03-S02'!$U$18:$U$198,2*(ROWS($L$35:L39)-1)+1),0),0)</f>
        <v>0</v>
      </c>
      <c r="AF39" s="151" t="str">
        <f>INDEX('M03-S02'!$AW$18:$AW$198,2*(ROWS($AF$35:AF39)-1)+1)</f>
        <v/>
      </c>
      <c r="AG39" s="151" t="str">
        <f>INDEX('M03-S02'!$AX$18:$AX$198,2*(ROWS($AG$35:AG39)-1)+1)</f>
        <v/>
      </c>
      <c r="AH39" s="151" t="str">
        <f t="shared" si="10"/>
        <v/>
      </c>
      <c r="AI39" s="151" t="str">
        <f t="shared" si="11"/>
        <v/>
      </c>
      <c r="AJ39" s="61" t="str">
        <f t="shared" si="12"/>
        <v/>
      </c>
      <c r="AK39" s="61" t="str">
        <f t="shared" si="13"/>
        <v/>
      </c>
      <c r="AL39" s="61" t="str">
        <f t="shared" si="14"/>
        <v/>
      </c>
      <c r="AM39" s="154"/>
      <c r="AN39" s="61" t="str">
        <f t="shared" si="15"/>
        <v/>
      </c>
      <c r="AO39" s="151">
        <f>INDEX('M03-S02'!$K$18:$K$198,2*(ROWS($AO$35:AO39)-1)+1)</f>
        <v>0</v>
      </c>
      <c r="AP39" s="151">
        <f>INDEX('M03-S02'!$AF$18:$AF$198,2*(ROWS($AP$35:AP39)-1)+1)</f>
        <v>0</v>
      </c>
      <c r="AQ39" s="61" t="str">
        <f>IF(INDEX('M03-S02'!$AL$18:$AL$198,2*(ROWS($AQ$35:AQ39)-1)+1)="","",IF(AND(INDEX('M03-S02'!$AL$18:$AL$198,2*(ROWS($AQ$35:AQ39)-1)+1)&lt;&gt;"",OR(ISNUMBER(SEARCH("AC With",M02S02F32)),M02S02F32="Heat Pump")),LIGHTHEATCOIN,1))</f>
        <v/>
      </c>
      <c r="AR39" s="414">
        <f>(IF(INDEX('M03-S02'!$AO$18:$AO$198,2*(ROWS($O$35:O39)-1)+1)=INDEX('M03-S02'!$BL$18:$BL$198,2*(ROWS($O$35:O39)-1)+1),0,(INDEX('M03-S02'!$BK$18:$BK$198,2*(ROWS($O$35:O39)-1)+1)-INDEX('M03-S02'!$BL$18:$BL$198,2*(ROWS($O$35:O39)-1)+1))))*INCENTCAPADJ</f>
        <v>0</v>
      </c>
    </row>
    <row r="40" spans="1:44" x14ac:dyDescent="0.25">
      <c r="A40" s="66">
        <f t="shared" si="8"/>
        <v>0</v>
      </c>
      <c r="B40" s="66" t="str">
        <f t="shared" si="9"/>
        <v/>
      </c>
      <c r="C40" s="66" t="str">
        <f>IFERROR(IF(J40&gt;0,INDEX('M03-S02'!$BB$18:$BB$198,2*(ROWS($C$35:C40)-1)+1),""),"")</f>
        <v/>
      </c>
      <c r="D40" t="s">
        <v>1096</v>
      </c>
      <c r="E40" t="str">
        <f>IFERROR(INDEX(PMELIGHTLIN[End Use Category],MATCH(INDEX('M03-S02'!$BA$18:$BA$198,2*(ROWS($E$35:E40)-1)+1),PMELIGHTLIN[Measure Validator],0)),"")</f>
        <v/>
      </c>
      <c r="F40" s="151">
        <f>INDEX('M03-S02'!$AD$18:$AD$198,2*(ROWS($F$35:F40)-1)+1)</f>
        <v>0</v>
      </c>
      <c r="G40">
        <f>INDEX('M03-S02'!$AA$18:$AA$198,2*(ROWS($G$35:G40)-1)+1)</f>
        <v>0</v>
      </c>
      <c r="H40" s="61">
        <f>ROUND(INDEX('M03-S02'!$U$18:$U$198,2*(ROWS($H$35:H40)-1)+1)*INDEX('M03-S02'!$AH$18:$AH$198,2*(ROWS($H$35:H40)-1)+1),2)</f>
        <v>0</v>
      </c>
      <c r="I40" s="61">
        <f>ROUND(INDEX('M03-S02'!$U$18:$U$198,2*(ROWS($I$35:I40)-1)+1)*INDEX('M03-S02'!$AJ$18:$AJ$198,2*(ROWS($I$35:I40)-1)+1),2)</f>
        <v>0</v>
      </c>
      <c r="J40" s="61" t="str">
        <f>INDEX('M03-S02'!$AU$18:$AU$198,2*(ROWS($J$35:J40)-1)+1)</f>
        <v/>
      </c>
      <c r="K40" t="s">
        <v>119</v>
      </c>
      <c r="L40" s="151">
        <f>IF(ISNUMBER(INDEX('M03-S02'!$AO$18:$AO$198,2*(ROWS($M$35:M40)-1)+1)),INDEX('M03-S02'!$U$18:$U$198,2*(ROWS($L$35:L40)-1)+1),0)</f>
        <v>0</v>
      </c>
      <c r="M40" s="151">
        <f>IF(ISNUMBER(INDEX('M03-S02'!$AO$18:$AO$198,2*(ROWS($M$35:M40)-1)+1)),INDEX('M03-S02'!$AL$18:$AL$198,2*(ROWS($M$35:M40)-1)+1),0)</f>
        <v>0</v>
      </c>
      <c r="N40" s="189">
        <f>IF(ISNUMBER(INDEX('M03-S02'!$AO$18:$AO$198,2*(ROWS($M$35:M40)-1)+1)),IFERROR(INDEX('M03-S02'!$AV$18:$AV$198,2*(ROWS($N$35:N40)-1)+1),0),0)</f>
        <v>0</v>
      </c>
      <c r="O40" s="61">
        <f>IF(ISNUMBER(INDEX('M03-S02'!$AO$18:$AO$198,2*(ROWS($M$35:M40)-1)+1)),IFERROR(INDEX('M03-S02'!$AO$18:$AO$198,2*(ROWS($O$35:O40)-1)+1)*INCENTCAPADJ,""),0)</f>
        <v>0</v>
      </c>
      <c r="P40" s="151" t="str">
        <f>IFERROR(IF(NOT(ISNUMBER(INDEX('M03-S02'!$AO$18:$AO$198,2*(ROWS($O$35:O40)-1)+1))),INDEX('M03-S02'!$AL$18:$AL$198,2*(ROWS($M$35:M40)-1)+1),0),0)</f>
        <v/>
      </c>
      <c r="Q40" s="189" t="str">
        <f>IFERROR(IF(NOT(ISNUMBER(INDEX('M03-S02'!$AO$18:$AO$198,2*(ROWS($O$35:O40)-1)+1))),INDEX('M03-S02'!$AV$18:$AV$198,2*(ROWS($N$35:N40)-1)+1),0),0)</f>
        <v/>
      </c>
      <c r="R40" t="str">
        <f>IFERROR(IF(NOT(ISNUMBER(INDEX('M03-S02'!$AO$18:$AO$198,2*(ROWS($O$35:O40)-1)+1))),"Not Eligible",""),"")</f>
        <v>Not Eligible</v>
      </c>
      <c r="S40" s="156" t="str">
        <f>INDEX('M03-S02'!$M$18:$M$198,2*(ROWS($S$35:S40)-1)+1)</f>
        <v/>
      </c>
      <c r="T40" s="156">
        <f>INDEX('M03-S02'!$Y$18:$Y$198,2*(ROWS($T$35:T40)-1)+1)</f>
        <v>0</v>
      </c>
      <c r="U40" s="151">
        <f>INDEX('M03-S02'!$B$18:$B$198,2*(ROWS($U$35:U40)-1)+1)</f>
        <v>6</v>
      </c>
      <c r="V40" s="58">
        <f>INDEX('M03-S02'!$E$18:$E$198,2*(ROWS($V$35:V40)-1)+1)</f>
        <v>0</v>
      </c>
      <c r="W40" s="58">
        <f>IF(INDEX('M03-S02'!$O$18:$O$198,2*(ROWS($W$35:W40)-1)+1)="Fixture","LED Fixture",INDEX('M03-S02'!$O$18:$O$198,2*(ROWS($W$35:W40)-1)+1))</f>
        <v>0</v>
      </c>
      <c r="X40">
        <f>INDEX('M03-S02'!$H$18:$H$198,2*(ROWS($X$35:X40)-1)+1)</f>
        <v>0</v>
      </c>
      <c r="Y40">
        <f>INDEX('M03-S02'!$R$18:$R$198,2*(ROWS($Y$35:Y40)-1)+1)</f>
        <v>0</v>
      </c>
      <c r="Z40" s="61">
        <f>IFERROR(INDEX('M03-S02'!$AF$18:$AF$198,2*(ROWS(Z$35:$Z40)-1)+1)/INDEX('M03-S02'!$AD$18:$AD$198,2*(ROWS(Z$35:$Z40)-1)+1),0)</f>
        <v>0</v>
      </c>
      <c r="AA40" t="str">
        <f>IFERROR(INDEX(CMLIGHTBASE[Measure Subgroup 1],MATCH(INDEX('M03-S02'!$E$18:$E$198,2*(ROWS($V$35:V40)-1)+1),CMLIGHTBASE[Base Desc 1],0)),"")</f>
        <v/>
      </c>
      <c r="AB40" t="str">
        <f>IFERROR(INDEX(CMLIGHTBASE[Measure Subgroup 2],MATCH(INDEX('M03-S02'!$E$18:$E$198,2*(ROWS($V$35:V40)-1)+1),CMLIGHTBASE[Base Desc 1],0)),"")</f>
        <v/>
      </c>
      <c r="AC40" s="135"/>
      <c r="AD40" t="str">
        <f>IF(ISNUMBER(INDEX('M03-S02'!$W$18:$W$198,2*(ROWS($AD$35:AD40)-1)+1)),INDEX('M03-S02'!$W$18:$W$198,2*(ROWS($AD$35:AD40)-1)+1)&amp;" Lamp","")</f>
        <v/>
      </c>
      <c r="AE40" s="151">
        <f>IFERROR(IF(NOT(ISNUMBER(INDEX('M03-S02'!$AO$18:$AO$198,2*(ROWS($O$35:O40)-1)+1))),INDEX('M03-S02'!$U$18:$U$198,2*(ROWS($L$35:L40)-1)+1),0),0)</f>
        <v>0</v>
      </c>
      <c r="AF40" s="151" t="str">
        <f>INDEX('M03-S02'!$AW$18:$AW$198,2*(ROWS($AF$35:AF40)-1)+1)</f>
        <v/>
      </c>
      <c r="AG40" s="151" t="str">
        <f>INDEX('M03-S02'!$AX$18:$AX$198,2*(ROWS($AG$35:AG40)-1)+1)</f>
        <v/>
      </c>
      <c r="AH40" s="151" t="str">
        <f t="shared" si="10"/>
        <v/>
      </c>
      <c r="AI40" s="151" t="str">
        <f t="shared" si="11"/>
        <v/>
      </c>
      <c r="AJ40" s="61" t="str">
        <f t="shared" si="12"/>
        <v/>
      </c>
      <c r="AK40" s="61" t="str">
        <f t="shared" si="13"/>
        <v/>
      </c>
      <c r="AL40" s="61" t="str">
        <f t="shared" si="14"/>
        <v/>
      </c>
      <c r="AM40" s="154"/>
      <c r="AN40" s="61" t="str">
        <f t="shared" si="15"/>
        <v/>
      </c>
      <c r="AO40" s="151">
        <f>INDEX('M03-S02'!$K$18:$K$198,2*(ROWS($AO$35:AO40)-1)+1)</f>
        <v>0</v>
      </c>
      <c r="AP40" s="151">
        <f>INDEX('M03-S02'!$AF$18:$AF$198,2*(ROWS($AP$35:AP40)-1)+1)</f>
        <v>0</v>
      </c>
      <c r="AQ40" s="61" t="str">
        <f>IF(INDEX('M03-S02'!$AL$18:$AL$198,2*(ROWS($AQ$35:AQ40)-1)+1)="","",IF(AND(INDEX('M03-S02'!$AL$18:$AL$198,2*(ROWS($AQ$35:AQ40)-1)+1)&lt;&gt;"",OR(ISNUMBER(SEARCH("AC With",M02S02F32)),M02S02F32="Heat Pump")),LIGHTHEATCOIN,1))</f>
        <v/>
      </c>
      <c r="AR40" s="414">
        <f>(IF(INDEX('M03-S02'!$AO$18:$AO$198,2*(ROWS($O$35:O40)-1)+1)=INDEX('M03-S02'!$BL$18:$BL$198,2*(ROWS($O$35:O40)-1)+1),0,(INDEX('M03-S02'!$BK$18:$BK$198,2*(ROWS($O$35:O40)-1)+1)-INDEX('M03-S02'!$BL$18:$BL$198,2*(ROWS($O$35:O40)-1)+1))))*INCENTCAPADJ</f>
        <v>0</v>
      </c>
    </row>
    <row r="41" spans="1:44" x14ac:dyDescent="0.25">
      <c r="A41" s="66">
        <f t="shared" si="8"/>
        <v>0</v>
      </c>
      <c r="B41" s="66" t="str">
        <f t="shared" si="9"/>
        <v/>
      </c>
      <c r="C41" s="66" t="str">
        <f>IFERROR(IF(J41&gt;0,INDEX('M03-S02'!$BB$18:$BB$198,2*(ROWS($C$35:C41)-1)+1),""),"")</f>
        <v/>
      </c>
      <c r="D41" t="s">
        <v>1096</v>
      </c>
      <c r="E41" t="str">
        <f>IFERROR(INDEX(PMELIGHTLIN[End Use Category],MATCH(INDEX('M03-S02'!$BA$18:$BA$198,2*(ROWS($E$35:E41)-1)+1),PMELIGHTLIN[Measure Validator],0)),"")</f>
        <v/>
      </c>
      <c r="F41" s="151">
        <f>INDEX('M03-S02'!$AD$18:$AD$198,2*(ROWS($F$35:F41)-1)+1)</f>
        <v>0</v>
      </c>
      <c r="G41">
        <f>INDEX('M03-S02'!$AA$18:$AA$198,2*(ROWS($G$35:G41)-1)+1)</f>
        <v>0</v>
      </c>
      <c r="H41" s="61">
        <f>ROUND(INDEX('M03-S02'!$U$18:$U$198,2*(ROWS($H$35:H41)-1)+1)*INDEX('M03-S02'!$AH$18:$AH$198,2*(ROWS($H$35:H41)-1)+1),2)</f>
        <v>0</v>
      </c>
      <c r="I41" s="61">
        <f>ROUND(INDEX('M03-S02'!$U$18:$U$198,2*(ROWS($I$35:I41)-1)+1)*INDEX('M03-S02'!$AJ$18:$AJ$198,2*(ROWS($I$35:I41)-1)+1),2)</f>
        <v>0</v>
      </c>
      <c r="J41" s="61" t="str">
        <f>INDEX('M03-S02'!$AU$18:$AU$198,2*(ROWS($J$35:J41)-1)+1)</f>
        <v/>
      </c>
      <c r="K41" t="s">
        <v>119</v>
      </c>
      <c r="L41" s="151">
        <f>IF(ISNUMBER(INDEX('M03-S02'!$AO$18:$AO$198,2*(ROWS($M$35:M41)-1)+1)),INDEX('M03-S02'!$U$18:$U$198,2*(ROWS($L$35:L41)-1)+1),0)</f>
        <v>0</v>
      </c>
      <c r="M41" s="151">
        <f>IF(ISNUMBER(INDEX('M03-S02'!$AO$18:$AO$198,2*(ROWS($M$35:M41)-1)+1)),INDEX('M03-S02'!$AL$18:$AL$198,2*(ROWS($M$35:M41)-1)+1),0)</f>
        <v>0</v>
      </c>
      <c r="N41" s="189">
        <f>IF(ISNUMBER(INDEX('M03-S02'!$AO$18:$AO$198,2*(ROWS($M$35:M41)-1)+1)),IFERROR(INDEX('M03-S02'!$AV$18:$AV$198,2*(ROWS($N$35:N41)-1)+1),0),0)</f>
        <v>0</v>
      </c>
      <c r="O41" s="61">
        <f>IF(ISNUMBER(INDEX('M03-S02'!$AO$18:$AO$198,2*(ROWS($M$35:M41)-1)+1)),IFERROR(INDEX('M03-S02'!$AO$18:$AO$198,2*(ROWS($O$35:O41)-1)+1)*INCENTCAPADJ,""),0)</f>
        <v>0</v>
      </c>
      <c r="P41" s="151" t="str">
        <f>IFERROR(IF(NOT(ISNUMBER(INDEX('M03-S02'!$AO$18:$AO$198,2*(ROWS($O$35:O41)-1)+1))),INDEX('M03-S02'!$AL$18:$AL$198,2*(ROWS($M$35:M41)-1)+1),0),0)</f>
        <v/>
      </c>
      <c r="Q41" s="189" t="str">
        <f>IFERROR(IF(NOT(ISNUMBER(INDEX('M03-S02'!$AO$18:$AO$198,2*(ROWS($O$35:O41)-1)+1))),INDEX('M03-S02'!$AV$18:$AV$198,2*(ROWS($N$35:N41)-1)+1),0),0)</f>
        <v/>
      </c>
      <c r="R41" t="str">
        <f>IFERROR(IF(NOT(ISNUMBER(INDEX('M03-S02'!$AO$18:$AO$198,2*(ROWS($O$35:O41)-1)+1))),"Not Eligible",""),"")</f>
        <v>Not Eligible</v>
      </c>
      <c r="S41" s="156" t="str">
        <f>INDEX('M03-S02'!$M$18:$M$198,2*(ROWS($S$35:S41)-1)+1)</f>
        <v/>
      </c>
      <c r="T41" s="156">
        <f>INDEX('M03-S02'!$Y$18:$Y$198,2*(ROWS($T$35:T41)-1)+1)</f>
        <v>0</v>
      </c>
      <c r="U41" s="151">
        <f>INDEX('M03-S02'!$B$18:$B$198,2*(ROWS($U$35:U41)-1)+1)</f>
        <v>7</v>
      </c>
      <c r="V41" s="58">
        <f>INDEX('M03-S02'!$E$18:$E$198,2*(ROWS($V$35:V41)-1)+1)</f>
        <v>0</v>
      </c>
      <c r="W41" s="58">
        <f>IF(INDEX('M03-S02'!$O$18:$O$198,2*(ROWS($W$35:W41)-1)+1)="Fixture","LED Fixture",INDEX('M03-S02'!$O$18:$O$198,2*(ROWS($W$35:W41)-1)+1))</f>
        <v>0</v>
      </c>
      <c r="X41">
        <f>INDEX('M03-S02'!$H$18:$H$198,2*(ROWS($X$35:X41)-1)+1)</f>
        <v>0</v>
      </c>
      <c r="Y41">
        <f>INDEX('M03-S02'!$R$18:$R$198,2*(ROWS($Y$35:Y41)-1)+1)</f>
        <v>0</v>
      </c>
      <c r="Z41" s="61">
        <f>IFERROR(INDEX('M03-S02'!$AF$18:$AF$198,2*(ROWS(Z$35:$Z41)-1)+1)/INDEX('M03-S02'!$AD$18:$AD$198,2*(ROWS(Z$35:$Z41)-1)+1),0)</f>
        <v>0</v>
      </c>
      <c r="AA41" t="str">
        <f>IFERROR(INDEX(CMLIGHTBASE[Measure Subgroup 1],MATCH(INDEX('M03-S02'!$E$18:$E$198,2*(ROWS($V$35:V41)-1)+1),CMLIGHTBASE[Base Desc 1],0)),"")</f>
        <v/>
      </c>
      <c r="AB41" t="str">
        <f>IFERROR(INDEX(CMLIGHTBASE[Measure Subgroup 2],MATCH(INDEX('M03-S02'!$E$18:$E$198,2*(ROWS($V$35:V41)-1)+1),CMLIGHTBASE[Base Desc 1],0)),"")</f>
        <v/>
      </c>
      <c r="AC41" s="135"/>
      <c r="AD41" t="str">
        <f>IF(ISNUMBER(INDEX('M03-S02'!$W$18:$W$198,2*(ROWS($AD$35:AD41)-1)+1)),INDEX('M03-S02'!$W$18:$W$198,2*(ROWS($AD$35:AD41)-1)+1)&amp;" Lamp","")</f>
        <v/>
      </c>
      <c r="AE41" s="151">
        <f>IFERROR(IF(NOT(ISNUMBER(INDEX('M03-S02'!$AO$18:$AO$198,2*(ROWS($O$35:O41)-1)+1))),INDEX('M03-S02'!$U$18:$U$198,2*(ROWS($L$35:L41)-1)+1),0),0)</f>
        <v>0</v>
      </c>
      <c r="AF41" s="151" t="str">
        <f>INDEX('M03-S02'!$AW$18:$AW$198,2*(ROWS($AF$35:AF41)-1)+1)</f>
        <v/>
      </c>
      <c r="AG41" s="151" t="str">
        <f>INDEX('M03-S02'!$AX$18:$AX$198,2*(ROWS($AG$35:AG41)-1)+1)</f>
        <v/>
      </c>
      <c r="AH41" s="151" t="str">
        <f t="shared" si="10"/>
        <v/>
      </c>
      <c r="AI41" s="151" t="str">
        <f t="shared" si="11"/>
        <v/>
      </c>
      <c r="AJ41" s="61" t="str">
        <f t="shared" si="12"/>
        <v/>
      </c>
      <c r="AK41" s="61" t="str">
        <f t="shared" si="13"/>
        <v/>
      </c>
      <c r="AL41" s="61" t="str">
        <f t="shared" si="14"/>
        <v/>
      </c>
      <c r="AM41" s="154"/>
      <c r="AN41" s="61" t="str">
        <f t="shared" si="15"/>
        <v/>
      </c>
      <c r="AO41" s="151">
        <f>INDEX('M03-S02'!$K$18:$K$198,2*(ROWS($AO$35:AO41)-1)+1)</f>
        <v>0</v>
      </c>
      <c r="AP41" s="151">
        <f>INDEX('M03-S02'!$AF$18:$AF$198,2*(ROWS($AP$35:AP41)-1)+1)</f>
        <v>0</v>
      </c>
      <c r="AQ41" s="61" t="str">
        <f>IF(INDEX('M03-S02'!$AL$18:$AL$198,2*(ROWS($AQ$35:AQ41)-1)+1)="","",IF(AND(INDEX('M03-S02'!$AL$18:$AL$198,2*(ROWS($AQ$35:AQ41)-1)+1)&lt;&gt;"",OR(ISNUMBER(SEARCH("AC With",M02S02F32)),M02S02F32="Heat Pump")),LIGHTHEATCOIN,1))</f>
        <v/>
      </c>
      <c r="AR41" s="414">
        <f>(IF(INDEX('M03-S02'!$AO$18:$AO$198,2*(ROWS($O$35:O41)-1)+1)=INDEX('M03-S02'!$BL$18:$BL$198,2*(ROWS($O$35:O41)-1)+1),0,(INDEX('M03-S02'!$BK$18:$BK$198,2*(ROWS($O$35:O41)-1)+1)-INDEX('M03-S02'!$BL$18:$BL$198,2*(ROWS($O$35:O41)-1)+1))))*INCENTCAPADJ</f>
        <v>0</v>
      </c>
    </row>
    <row r="42" spans="1:44" x14ac:dyDescent="0.25">
      <c r="A42" s="66">
        <f t="shared" si="8"/>
        <v>0</v>
      </c>
      <c r="B42" s="66" t="str">
        <f t="shared" si="9"/>
        <v/>
      </c>
      <c r="C42" s="66" t="str">
        <f>IFERROR(IF(J42&gt;0,INDEX('M03-S02'!$BB$18:$BB$198,2*(ROWS($C$35:C42)-1)+1),""),"")</f>
        <v/>
      </c>
      <c r="D42" t="s">
        <v>1096</v>
      </c>
      <c r="E42" t="str">
        <f>IFERROR(INDEX(PMELIGHTLIN[End Use Category],MATCH(INDEX('M03-S02'!$BA$18:$BA$198,2*(ROWS($E$35:E42)-1)+1),PMELIGHTLIN[Measure Validator],0)),"")</f>
        <v/>
      </c>
      <c r="F42" s="151">
        <f>INDEX('M03-S02'!$AD$18:$AD$198,2*(ROWS($F$35:F42)-1)+1)</f>
        <v>0</v>
      </c>
      <c r="G42">
        <f>INDEX('M03-S02'!$AA$18:$AA$198,2*(ROWS($G$35:G42)-1)+1)</f>
        <v>0</v>
      </c>
      <c r="H42" s="61">
        <f>ROUND(INDEX('M03-S02'!$U$18:$U$198,2*(ROWS($H$35:H42)-1)+1)*INDEX('M03-S02'!$AH$18:$AH$198,2*(ROWS($H$35:H42)-1)+1),2)</f>
        <v>0</v>
      </c>
      <c r="I42" s="61">
        <f>ROUND(INDEX('M03-S02'!$U$18:$U$198,2*(ROWS($I$35:I42)-1)+1)*INDEX('M03-S02'!$AJ$18:$AJ$198,2*(ROWS($I$35:I42)-1)+1),2)</f>
        <v>0</v>
      </c>
      <c r="J42" s="61" t="str">
        <f>INDEX('M03-S02'!$AU$18:$AU$198,2*(ROWS($J$35:J42)-1)+1)</f>
        <v/>
      </c>
      <c r="K42" t="s">
        <v>119</v>
      </c>
      <c r="L42" s="151">
        <f>IF(ISNUMBER(INDEX('M03-S02'!$AO$18:$AO$198,2*(ROWS($M$35:M42)-1)+1)),INDEX('M03-S02'!$U$18:$U$198,2*(ROWS($L$35:L42)-1)+1),0)</f>
        <v>0</v>
      </c>
      <c r="M42" s="151">
        <f>IF(ISNUMBER(INDEX('M03-S02'!$AO$18:$AO$198,2*(ROWS($M$35:M42)-1)+1)),INDEX('M03-S02'!$AL$18:$AL$198,2*(ROWS($M$35:M42)-1)+1),0)</f>
        <v>0</v>
      </c>
      <c r="N42" s="189">
        <f>IF(ISNUMBER(INDEX('M03-S02'!$AO$18:$AO$198,2*(ROWS($M$35:M42)-1)+1)),IFERROR(INDEX('M03-S02'!$AV$18:$AV$198,2*(ROWS($N$35:N42)-1)+1),0),0)</f>
        <v>0</v>
      </c>
      <c r="O42" s="61">
        <f>IF(ISNUMBER(INDEX('M03-S02'!$AO$18:$AO$198,2*(ROWS($M$35:M42)-1)+1)),IFERROR(INDEX('M03-S02'!$AO$18:$AO$198,2*(ROWS($O$35:O42)-1)+1)*INCENTCAPADJ,""),0)</f>
        <v>0</v>
      </c>
      <c r="P42" s="151" t="str">
        <f>IFERROR(IF(NOT(ISNUMBER(INDEX('M03-S02'!$AO$18:$AO$198,2*(ROWS($O$35:O42)-1)+1))),INDEX('M03-S02'!$AL$18:$AL$198,2*(ROWS($M$35:M42)-1)+1),0),0)</f>
        <v/>
      </c>
      <c r="Q42" s="189" t="str">
        <f>IFERROR(IF(NOT(ISNUMBER(INDEX('M03-S02'!$AO$18:$AO$198,2*(ROWS($O$35:O42)-1)+1))),INDEX('M03-S02'!$AV$18:$AV$198,2*(ROWS($N$35:N42)-1)+1),0),0)</f>
        <v/>
      </c>
      <c r="R42" t="str">
        <f>IFERROR(IF(NOT(ISNUMBER(INDEX('M03-S02'!$AO$18:$AO$198,2*(ROWS($O$35:O42)-1)+1))),"Not Eligible",""),"")</f>
        <v>Not Eligible</v>
      </c>
      <c r="S42" s="156" t="str">
        <f>INDEX('M03-S02'!$M$18:$M$198,2*(ROWS($S$35:S42)-1)+1)</f>
        <v/>
      </c>
      <c r="T42" s="156">
        <f>INDEX('M03-S02'!$Y$18:$Y$198,2*(ROWS($T$35:T42)-1)+1)</f>
        <v>0</v>
      </c>
      <c r="U42" s="151">
        <f>INDEX('M03-S02'!$B$18:$B$198,2*(ROWS($U$35:U42)-1)+1)</f>
        <v>8</v>
      </c>
      <c r="V42" s="58">
        <f>INDEX('M03-S02'!$E$18:$E$198,2*(ROWS($V$35:V42)-1)+1)</f>
        <v>0</v>
      </c>
      <c r="W42" s="58">
        <f>IF(INDEX('M03-S02'!$O$18:$O$198,2*(ROWS($W$35:W42)-1)+1)="Fixture","LED Fixture",INDEX('M03-S02'!$O$18:$O$198,2*(ROWS($W$35:W42)-1)+1))</f>
        <v>0</v>
      </c>
      <c r="X42">
        <f>INDEX('M03-S02'!$H$18:$H$198,2*(ROWS($X$35:X42)-1)+1)</f>
        <v>0</v>
      </c>
      <c r="Y42">
        <f>INDEX('M03-S02'!$R$18:$R$198,2*(ROWS($Y$35:Y42)-1)+1)</f>
        <v>0</v>
      </c>
      <c r="Z42" s="61">
        <f>IFERROR(INDEX('M03-S02'!$AF$18:$AF$198,2*(ROWS(Z$35:$Z42)-1)+1)/INDEX('M03-S02'!$AD$18:$AD$198,2*(ROWS(Z$35:$Z42)-1)+1),0)</f>
        <v>0</v>
      </c>
      <c r="AA42" t="str">
        <f>IFERROR(INDEX(CMLIGHTBASE[Measure Subgroup 1],MATCH(INDEX('M03-S02'!$E$18:$E$198,2*(ROWS($V$35:V42)-1)+1),CMLIGHTBASE[Base Desc 1],0)),"")</f>
        <v/>
      </c>
      <c r="AB42" t="str">
        <f>IFERROR(INDEX(CMLIGHTBASE[Measure Subgroup 2],MATCH(INDEX('M03-S02'!$E$18:$E$198,2*(ROWS($V$35:V42)-1)+1),CMLIGHTBASE[Base Desc 1],0)),"")</f>
        <v/>
      </c>
      <c r="AC42" s="135"/>
      <c r="AD42" t="str">
        <f>IF(ISNUMBER(INDEX('M03-S02'!$W$18:$W$198,2*(ROWS($AD$35:AD42)-1)+1)),INDEX('M03-S02'!$W$18:$W$198,2*(ROWS($AD$35:AD42)-1)+1)&amp;" Lamp","")</f>
        <v/>
      </c>
      <c r="AE42" s="151">
        <f>IFERROR(IF(NOT(ISNUMBER(INDEX('M03-S02'!$AO$18:$AO$198,2*(ROWS($O$35:O42)-1)+1))),INDEX('M03-S02'!$U$18:$U$198,2*(ROWS($L$35:L42)-1)+1),0),0)</f>
        <v>0</v>
      </c>
      <c r="AF42" s="151" t="str">
        <f>INDEX('M03-S02'!$AW$18:$AW$198,2*(ROWS($AF$35:AF42)-1)+1)</f>
        <v/>
      </c>
      <c r="AG42" s="151" t="str">
        <f>INDEX('M03-S02'!$AX$18:$AX$198,2*(ROWS($AG$35:AG42)-1)+1)</f>
        <v/>
      </c>
      <c r="AH42" s="151" t="str">
        <f t="shared" si="10"/>
        <v/>
      </c>
      <c r="AI42" s="151" t="str">
        <f t="shared" si="11"/>
        <v/>
      </c>
      <c r="AJ42" s="61" t="str">
        <f t="shared" si="12"/>
        <v/>
      </c>
      <c r="AK42" s="61" t="str">
        <f t="shared" si="13"/>
        <v/>
      </c>
      <c r="AL42" s="61" t="str">
        <f t="shared" si="14"/>
        <v/>
      </c>
      <c r="AM42" s="154"/>
      <c r="AN42" s="61" t="str">
        <f t="shared" si="15"/>
        <v/>
      </c>
      <c r="AO42" s="151">
        <f>INDEX('M03-S02'!$K$18:$K$198,2*(ROWS($AO$35:AO42)-1)+1)</f>
        <v>0</v>
      </c>
      <c r="AP42" s="151">
        <f>INDEX('M03-S02'!$AF$18:$AF$198,2*(ROWS($AP$35:AP42)-1)+1)</f>
        <v>0</v>
      </c>
      <c r="AQ42" s="61" t="str">
        <f>IF(INDEX('M03-S02'!$AL$18:$AL$198,2*(ROWS($AQ$35:AQ42)-1)+1)="","",IF(AND(INDEX('M03-S02'!$AL$18:$AL$198,2*(ROWS($AQ$35:AQ42)-1)+1)&lt;&gt;"",OR(ISNUMBER(SEARCH("AC With",M02S02F32)),M02S02F32="Heat Pump")),LIGHTHEATCOIN,1))</f>
        <v/>
      </c>
      <c r="AR42" s="414">
        <f>(IF(INDEX('M03-S02'!$AO$18:$AO$198,2*(ROWS($O$35:O42)-1)+1)=INDEX('M03-S02'!$BL$18:$BL$198,2*(ROWS($O$35:O42)-1)+1),0,(INDEX('M03-S02'!$BK$18:$BK$198,2*(ROWS($O$35:O42)-1)+1)-INDEX('M03-S02'!$BL$18:$BL$198,2*(ROWS($O$35:O42)-1)+1))))*INCENTCAPADJ</f>
        <v>0</v>
      </c>
    </row>
    <row r="43" spans="1:44" x14ac:dyDescent="0.25">
      <c r="A43" s="66">
        <f t="shared" si="8"/>
        <v>0</v>
      </c>
      <c r="B43" s="66" t="str">
        <f t="shared" si="9"/>
        <v/>
      </c>
      <c r="C43" s="66" t="str">
        <f>IFERROR(IF(J43&gt;0,INDEX('M03-S02'!$BB$18:$BB$198,2*(ROWS($C$35:C43)-1)+1),""),"")</f>
        <v/>
      </c>
      <c r="D43" t="s">
        <v>1096</v>
      </c>
      <c r="E43" t="str">
        <f>IFERROR(INDEX(PMELIGHTLIN[End Use Category],MATCH(INDEX('M03-S02'!$BA$18:$BA$198,2*(ROWS($E$35:E43)-1)+1),PMELIGHTLIN[Measure Validator],0)),"")</f>
        <v/>
      </c>
      <c r="F43" s="151">
        <f>INDEX('M03-S02'!$AD$18:$AD$198,2*(ROWS($F$35:F43)-1)+1)</f>
        <v>0</v>
      </c>
      <c r="G43">
        <f>INDEX('M03-S02'!$AA$18:$AA$198,2*(ROWS($G$35:G43)-1)+1)</f>
        <v>0</v>
      </c>
      <c r="H43" s="61">
        <f>ROUND(INDEX('M03-S02'!$U$18:$U$198,2*(ROWS($H$35:H43)-1)+1)*INDEX('M03-S02'!$AH$18:$AH$198,2*(ROWS($H$35:H43)-1)+1),2)</f>
        <v>0</v>
      </c>
      <c r="I43" s="61">
        <f>ROUND(INDEX('M03-S02'!$U$18:$U$198,2*(ROWS($I$35:I43)-1)+1)*INDEX('M03-S02'!$AJ$18:$AJ$198,2*(ROWS($I$35:I43)-1)+1),2)</f>
        <v>0</v>
      </c>
      <c r="J43" s="61" t="str">
        <f>INDEX('M03-S02'!$AU$18:$AU$198,2*(ROWS($J$35:J43)-1)+1)</f>
        <v/>
      </c>
      <c r="K43" t="s">
        <v>119</v>
      </c>
      <c r="L43" s="151">
        <f>IF(ISNUMBER(INDEX('M03-S02'!$AO$18:$AO$198,2*(ROWS($M$35:M43)-1)+1)),INDEX('M03-S02'!$U$18:$U$198,2*(ROWS($L$35:L43)-1)+1),0)</f>
        <v>0</v>
      </c>
      <c r="M43" s="151">
        <f>IF(ISNUMBER(INDEX('M03-S02'!$AO$18:$AO$198,2*(ROWS($M$35:M43)-1)+1)),INDEX('M03-S02'!$AL$18:$AL$198,2*(ROWS($M$35:M43)-1)+1),0)</f>
        <v>0</v>
      </c>
      <c r="N43" s="189">
        <f>IF(ISNUMBER(INDEX('M03-S02'!$AO$18:$AO$198,2*(ROWS($M$35:M43)-1)+1)),IFERROR(INDEX('M03-S02'!$AV$18:$AV$198,2*(ROWS($N$35:N43)-1)+1),0),0)</f>
        <v>0</v>
      </c>
      <c r="O43" s="61">
        <f>IF(ISNUMBER(INDEX('M03-S02'!$AO$18:$AO$198,2*(ROWS($M$35:M43)-1)+1)),IFERROR(INDEX('M03-S02'!$AO$18:$AO$198,2*(ROWS($O$35:O43)-1)+1)*INCENTCAPADJ,""),0)</f>
        <v>0</v>
      </c>
      <c r="P43" s="151" t="str">
        <f>IFERROR(IF(NOT(ISNUMBER(INDEX('M03-S02'!$AO$18:$AO$198,2*(ROWS($O$35:O43)-1)+1))),INDEX('M03-S02'!$AL$18:$AL$198,2*(ROWS($M$35:M43)-1)+1),0),0)</f>
        <v/>
      </c>
      <c r="Q43" s="189" t="str">
        <f>IFERROR(IF(NOT(ISNUMBER(INDEX('M03-S02'!$AO$18:$AO$198,2*(ROWS($O$35:O43)-1)+1))),INDEX('M03-S02'!$AV$18:$AV$198,2*(ROWS($N$35:N43)-1)+1),0),0)</f>
        <v/>
      </c>
      <c r="R43" t="str">
        <f>IFERROR(IF(NOT(ISNUMBER(INDEX('M03-S02'!$AO$18:$AO$198,2*(ROWS($O$35:O43)-1)+1))),"Not Eligible",""),"")</f>
        <v>Not Eligible</v>
      </c>
      <c r="S43" s="156" t="str">
        <f>INDEX('M03-S02'!$M$18:$M$198,2*(ROWS($S$35:S43)-1)+1)</f>
        <v/>
      </c>
      <c r="T43" s="156">
        <f>INDEX('M03-S02'!$Y$18:$Y$198,2*(ROWS($T$35:T43)-1)+1)</f>
        <v>0</v>
      </c>
      <c r="U43" s="151">
        <f>INDEX('M03-S02'!$B$18:$B$198,2*(ROWS($U$35:U43)-1)+1)</f>
        <v>9</v>
      </c>
      <c r="V43" s="58">
        <f>INDEX('M03-S02'!$E$18:$E$198,2*(ROWS($V$35:V43)-1)+1)</f>
        <v>0</v>
      </c>
      <c r="W43" s="58">
        <f>IF(INDEX('M03-S02'!$O$18:$O$198,2*(ROWS($W$35:W43)-1)+1)="Fixture","LED Fixture",INDEX('M03-S02'!$O$18:$O$198,2*(ROWS($W$35:W43)-1)+1))</f>
        <v>0</v>
      </c>
      <c r="X43">
        <f>INDEX('M03-S02'!$H$18:$H$198,2*(ROWS($X$35:X43)-1)+1)</f>
        <v>0</v>
      </c>
      <c r="Y43">
        <f>INDEX('M03-S02'!$R$18:$R$198,2*(ROWS($Y$35:Y43)-1)+1)</f>
        <v>0</v>
      </c>
      <c r="Z43" s="61">
        <f>IFERROR(INDEX('M03-S02'!$AF$18:$AF$198,2*(ROWS(Z$35:$Z43)-1)+1)/INDEX('M03-S02'!$AD$18:$AD$198,2*(ROWS(Z$35:$Z43)-1)+1),0)</f>
        <v>0</v>
      </c>
      <c r="AA43" t="str">
        <f>IFERROR(INDEX(CMLIGHTBASE[Measure Subgroup 1],MATCH(INDEX('M03-S02'!$E$18:$E$198,2*(ROWS($V$35:V43)-1)+1),CMLIGHTBASE[Base Desc 1],0)),"")</f>
        <v/>
      </c>
      <c r="AB43" t="str">
        <f>IFERROR(INDEX(CMLIGHTBASE[Measure Subgroup 2],MATCH(INDEX('M03-S02'!$E$18:$E$198,2*(ROWS($V$35:V43)-1)+1),CMLIGHTBASE[Base Desc 1],0)),"")</f>
        <v/>
      </c>
      <c r="AC43" s="135"/>
      <c r="AD43" t="str">
        <f>IF(ISNUMBER(INDEX('M03-S02'!$W$18:$W$198,2*(ROWS($AD$35:AD43)-1)+1)),INDEX('M03-S02'!$W$18:$W$198,2*(ROWS($AD$35:AD43)-1)+1)&amp;" Lamp","")</f>
        <v/>
      </c>
      <c r="AE43" s="151">
        <f>IFERROR(IF(NOT(ISNUMBER(INDEX('M03-S02'!$AO$18:$AO$198,2*(ROWS($O$35:O43)-1)+1))),INDEX('M03-S02'!$U$18:$U$198,2*(ROWS($L$35:L43)-1)+1),0),0)</f>
        <v>0</v>
      </c>
      <c r="AF43" s="151" t="str">
        <f>INDEX('M03-S02'!$AW$18:$AW$198,2*(ROWS($AF$35:AF43)-1)+1)</f>
        <v/>
      </c>
      <c r="AG43" s="151" t="str">
        <f>INDEX('M03-S02'!$AX$18:$AX$198,2*(ROWS($AG$35:AG43)-1)+1)</f>
        <v/>
      </c>
      <c r="AH43" s="151" t="str">
        <f t="shared" si="10"/>
        <v/>
      </c>
      <c r="AI43" s="151" t="str">
        <f t="shared" si="11"/>
        <v/>
      </c>
      <c r="AJ43" s="61" t="str">
        <f t="shared" si="12"/>
        <v/>
      </c>
      <c r="AK43" s="61" t="str">
        <f t="shared" si="13"/>
        <v/>
      </c>
      <c r="AL43" s="61" t="str">
        <f t="shared" si="14"/>
        <v/>
      </c>
      <c r="AM43" s="154"/>
      <c r="AN43" s="61" t="str">
        <f t="shared" si="15"/>
        <v/>
      </c>
      <c r="AO43" s="151">
        <f>INDEX('M03-S02'!$K$18:$K$198,2*(ROWS($AO$35:AO43)-1)+1)</f>
        <v>0</v>
      </c>
      <c r="AP43" s="151">
        <f>INDEX('M03-S02'!$AF$18:$AF$198,2*(ROWS($AP$35:AP43)-1)+1)</f>
        <v>0</v>
      </c>
      <c r="AQ43" s="61" t="str">
        <f>IF(INDEX('M03-S02'!$AL$18:$AL$198,2*(ROWS($AQ$35:AQ43)-1)+1)="","",IF(AND(INDEX('M03-S02'!$AL$18:$AL$198,2*(ROWS($AQ$35:AQ43)-1)+1)&lt;&gt;"",OR(ISNUMBER(SEARCH("AC With",M02S02F32)),M02S02F32="Heat Pump")),LIGHTHEATCOIN,1))</f>
        <v/>
      </c>
      <c r="AR43" s="414">
        <f>(IF(INDEX('M03-S02'!$AO$18:$AO$198,2*(ROWS($O$35:O43)-1)+1)=INDEX('M03-S02'!$BL$18:$BL$198,2*(ROWS($O$35:O43)-1)+1),0,(INDEX('M03-S02'!$BK$18:$BK$198,2*(ROWS($O$35:O43)-1)+1)-INDEX('M03-S02'!$BL$18:$BL$198,2*(ROWS($O$35:O43)-1)+1))))*INCENTCAPADJ</f>
        <v>0</v>
      </c>
    </row>
    <row r="44" spans="1:44" x14ac:dyDescent="0.25">
      <c r="A44" s="66">
        <f t="shared" si="8"/>
        <v>0</v>
      </c>
      <c r="B44" s="66" t="str">
        <f t="shared" si="9"/>
        <v/>
      </c>
      <c r="C44" s="66" t="str">
        <f>IFERROR(IF(J44&gt;0,INDEX('M03-S02'!$BB$18:$BB$198,2*(ROWS($C$35:C44)-1)+1),""),"")</f>
        <v/>
      </c>
      <c r="D44" t="s">
        <v>1096</v>
      </c>
      <c r="E44" t="str">
        <f>IFERROR(INDEX(PMELIGHTLIN[End Use Category],MATCH(INDEX('M03-S02'!$BA$18:$BA$198,2*(ROWS($E$35:E44)-1)+1),PMELIGHTLIN[Measure Validator],0)),"")</f>
        <v/>
      </c>
      <c r="F44" s="151">
        <f>INDEX('M03-S02'!$AD$18:$AD$198,2*(ROWS($F$35:F44)-1)+1)</f>
        <v>0</v>
      </c>
      <c r="G44">
        <f>INDEX('M03-S02'!$AA$18:$AA$198,2*(ROWS($G$35:G44)-1)+1)</f>
        <v>0</v>
      </c>
      <c r="H44" s="61">
        <f>ROUND(INDEX('M03-S02'!$U$18:$U$198,2*(ROWS($H$35:H44)-1)+1)*INDEX('M03-S02'!$AH$18:$AH$198,2*(ROWS($H$35:H44)-1)+1),2)</f>
        <v>0</v>
      </c>
      <c r="I44" s="61">
        <f>ROUND(INDEX('M03-S02'!$U$18:$U$198,2*(ROWS($I$35:I44)-1)+1)*INDEX('M03-S02'!$AJ$18:$AJ$198,2*(ROWS($I$35:I44)-1)+1),2)</f>
        <v>0</v>
      </c>
      <c r="J44" s="61" t="str">
        <f>INDEX('M03-S02'!$AU$18:$AU$198,2*(ROWS($J$35:J44)-1)+1)</f>
        <v/>
      </c>
      <c r="K44" t="s">
        <v>119</v>
      </c>
      <c r="L44" s="151">
        <f>IF(ISNUMBER(INDEX('M03-S02'!$AO$18:$AO$198,2*(ROWS($M$35:M44)-1)+1)),INDEX('M03-S02'!$U$18:$U$198,2*(ROWS($L$35:L44)-1)+1),0)</f>
        <v>0</v>
      </c>
      <c r="M44" s="151">
        <f>IF(ISNUMBER(INDEX('M03-S02'!$AO$18:$AO$198,2*(ROWS($M$35:M44)-1)+1)),INDEX('M03-S02'!$AL$18:$AL$198,2*(ROWS($M$35:M44)-1)+1),0)</f>
        <v>0</v>
      </c>
      <c r="N44" s="189">
        <f>IF(ISNUMBER(INDEX('M03-S02'!$AO$18:$AO$198,2*(ROWS($M$35:M44)-1)+1)),IFERROR(INDEX('M03-S02'!$AV$18:$AV$198,2*(ROWS($N$35:N44)-1)+1),0),0)</f>
        <v>0</v>
      </c>
      <c r="O44" s="61">
        <f>IF(ISNUMBER(INDEX('M03-S02'!$AO$18:$AO$198,2*(ROWS($M$35:M44)-1)+1)),IFERROR(INDEX('M03-S02'!$AO$18:$AO$198,2*(ROWS($O$35:O44)-1)+1)*INCENTCAPADJ,""),0)</f>
        <v>0</v>
      </c>
      <c r="P44" s="151" t="str">
        <f>IFERROR(IF(NOT(ISNUMBER(INDEX('M03-S02'!$AO$18:$AO$198,2*(ROWS($O$35:O44)-1)+1))),INDEX('M03-S02'!$AL$18:$AL$198,2*(ROWS($M$35:M44)-1)+1),0),0)</f>
        <v/>
      </c>
      <c r="Q44" s="189" t="str">
        <f>IFERROR(IF(NOT(ISNUMBER(INDEX('M03-S02'!$AO$18:$AO$198,2*(ROWS($O$35:O44)-1)+1))),INDEX('M03-S02'!$AV$18:$AV$198,2*(ROWS($N$35:N44)-1)+1),0),0)</f>
        <v/>
      </c>
      <c r="R44" t="str">
        <f>IFERROR(IF(NOT(ISNUMBER(INDEX('M03-S02'!$AO$18:$AO$198,2*(ROWS($O$35:O44)-1)+1))),"Not Eligible",""),"")</f>
        <v>Not Eligible</v>
      </c>
      <c r="S44" s="156" t="str">
        <f>INDEX('M03-S02'!$M$18:$M$198,2*(ROWS($S$35:S44)-1)+1)</f>
        <v/>
      </c>
      <c r="T44" s="156">
        <f>INDEX('M03-S02'!$Y$18:$Y$198,2*(ROWS($T$35:T44)-1)+1)</f>
        <v>0</v>
      </c>
      <c r="U44" s="151">
        <f>INDEX('M03-S02'!$B$18:$B$198,2*(ROWS($U$35:U44)-1)+1)</f>
        <v>10</v>
      </c>
      <c r="V44" s="58">
        <f>INDEX('M03-S02'!$E$18:$E$198,2*(ROWS($V$35:V44)-1)+1)</f>
        <v>0</v>
      </c>
      <c r="W44" s="58">
        <f>IF(INDEX('M03-S02'!$O$18:$O$198,2*(ROWS($W$35:W44)-1)+1)="Fixture","LED Fixture",INDEX('M03-S02'!$O$18:$O$198,2*(ROWS($W$35:W44)-1)+1))</f>
        <v>0</v>
      </c>
      <c r="X44">
        <f>INDEX('M03-S02'!$H$18:$H$198,2*(ROWS($X$35:X44)-1)+1)</f>
        <v>0</v>
      </c>
      <c r="Y44">
        <f>INDEX('M03-S02'!$R$18:$R$198,2*(ROWS($Y$35:Y44)-1)+1)</f>
        <v>0</v>
      </c>
      <c r="Z44" s="61">
        <f>IFERROR(INDEX('M03-S02'!$AF$18:$AF$198,2*(ROWS(Z$35:$Z44)-1)+1)/INDEX('M03-S02'!$AD$18:$AD$198,2*(ROWS(Z$35:$Z44)-1)+1),0)</f>
        <v>0</v>
      </c>
      <c r="AA44" t="str">
        <f>IFERROR(INDEX(CMLIGHTBASE[Measure Subgroup 1],MATCH(INDEX('M03-S02'!$E$18:$E$198,2*(ROWS($V$35:V44)-1)+1),CMLIGHTBASE[Base Desc 1],0)),"")</f>
        <v/>
      </c>
      <c r="AB44" t="str">
        <f>IFERROR(INDEX(CMLIGHTBASE[Measure Subgroup 2],MATCH(INDEX('M03-S02'!$E$18:$E$198,2*(ROWS($V$35:V44)-1)+1),CMLIGHTBASE[Base Desc 1],0)),"")</f>
        <v/>
      </c>
      <c r="AC44" s="135"/>
      <c r="AD44" t="str">
        <f>IF(ISNUMBER(INDEX('M03-S02'!$W$18:$W$198,2*(ROWS($AD$35:AD44)-1)+1)),INDEX('M03-S02'!$W$18:$W$198,2*(ROWS($AD$35:AD44)-1)+1)&amp;" Lamp","")</f>
        <v/>
      </c>
      <c r="AE44" s="151">
        <f>IFERROR(IF(NOT(ISNUMBER(INDEX('M03-S02'!$AO$18:$AO$198,2*(ROWS($O$35:O44)-1)+1))),INDEX('M03-S02'!$U$18:$U$198,2*(ROWS($L$35:L44)-1)+1),0),0)</f>
        <v>0</v>
      </c>
      <c r="AF44" s="151" t="str">
        <f>INDEX('M03-S02'!$AW$18:$AW$198,2*(ROWS($AF$35:AF44)-1)+1)</f>
        <v/>
      </c>
      <c r="AG44" s="151" t="str">
        <f>INDEX('M03-S02'!$AX$18:$AX$198,2*(ROWS($AG$35:AG44)-1)+1)</f>
        <v/>
      </c>
      <c r="AH44" s="151" t="str">
        <f t="shared" si="10"/>
        <v/>
      </c>
      <c r="AI44" s="151" t="str">
        <f t="shared" si="11"/>
        <v/>
      </c>
      <c r="AJ44" s="61" t="str">
        <f t="shared" si="12"/>
        <v/>
      </c>
      <c r="AK44" s="61" t="str">
        <f t="shared" si="13"/>
        <v/>
      </c>
      <c r="AL44" s="61" t="str">
        <f t="shared" si="14"/>
        <v/>
      </c>
      <c r="AM44" s="154"/>
      <c r="AN44" s="61" t="str">
        <f t="shared" si="15"/>
        <v/>
      </c>
      <c r="AO44" s="151">
        <f>INDEX('M03-S02'!$K$18:$K$198,2*(ROWS($AO$35:AO44)-1)+1)</f>
        <v>0</v>
      </c>
      <c r="AP44" s="151">
        <f>INDEX('M03-S02'!$AF$18:$AF$198,2*(ROWS($AP$35:AP44)-1)+1)</f>
        <v>0</v>
      </c>
      <c r="AQ44" s="61" t="str">
        <f>IF(INDEX('M03-S02'!$AL$18:$AL$198,2*(ROWS($AQ$35:AQ44)-1)+1)="","",IF(AND(INDEX('M03-S02'!$AL$18:$AL$198,2*(ROWS($AQ$35:AQ44)-1)+1)&lt;&gt;"",OR(ISNUMBER(SEARCH("AC With",M02S02F32)),M02S02F32="Heat Pump")),LIGHTHEATCOIN,1))</f>
        <v/>
      </c>
      <c r="AR44" s="414">
        <f>(IF(INDEX('M03-S02'!$AO$18:$AO$198,2*(ROWS($O$35:O44)-1)+1)=INDEX('M03-S02'!$BL$18:$BL$198,2*(ROWS($O$35:O44)-1)+1),0,(INDEX('M03-S02'!$BK$18:$BK$198,2*(ROWS($O$35:O44)-1)+1)-INDEX('M03-S02'!$BL$18:$BL$198,2*(ROWS($O$35:O44)-1)+1))))*INCENTCAPADJ</f>
        <v>0</v>
      </c>
    </row>
    <row r="45" spans="1:44" x14ac:dyDescent="0.25">
      <c r="A45" s="66">
        <f t="shared" si="8"/>
        <v>0</v>
      </c>
      <c r="B45" s="66" t="str">
        <f t="shared" si="9"/>
        <v/>
      </c>
      <c r="C45" s="66" t="str">
        <f>IFERROR(IF(J45&gt;0,INDEX('M03-S02'!$BB$18:$BB$198,2*(ROWS($C$35:C45)-1)+1),""),"")</f>
        <v/>
      </c>
      <c r="D45" t="s">
        <v>1096</v>
      </c>
      <c r="E45" t="str">
        <f>IFERROR(INDEX(PMELIGHTLIN[End Use Category],MATCH(INDEX('M03-S02'!$BA$18:$BA$198,2*(ROWS($E$35:E45)-1)+1),PMELIGHTLIN[Measure Validator],0)),"")</f>
        <v/>
      </c>
      <c r="F45" s="151">
        <f>INDEX('M03-S02'!$AD$18:$AD$198,2*(ROWS($F$35:F45)-1)+1)</f>
        <v>0</v>
      </c>
      <c r="G45">
        <f>INDEX('M03-S02'!$AA$18:$AA$198,2*(ROWS($G$35:G45)-1)+1)</f>
        <v>0</v>
      </c>
      <c r="H45" s="61">
        <f>ROUND(INDEX('M03-S02'!$U$18:$U$198,2*(ROWS($H$35:H45)-1)+1)*INDEX('M03-S02'!$AH$18:$AH$198,2*(ROWS($H$35:H45)-1)+1),2)</f>
        <v>0</v>
      </c>
      <c r="I45" s="61">
        <f>ROUND(INDEX('M03-S02'!$U$18:$U$198,2*(ROWS($I$35:I45)-1)+1)*INDEX('M03-S02'!$AJ$18:$AJ$198,2*(ROWS($I$35:I45)-1)+1),2)</f>
        <v>0</v>
      </c>
      <c r="J45" s="61" t="str">
        <f>INDEX('M03-S02'!$AU$18:$AU$198,2*(ROWS($J$35:J45)-1)+1)</f>
        <v/>
      </c>
      <c r="K45" t="s">
        <v>119</v>
      </c>
      <c r="L45" s="151">
        <f>IF(ISNUMBER(INDEX('M03-S02'!$AO$18:$AO$198,2*(ROWS($M$35:M45)-1)+1)),INDEX('M03-S02'!$U$18:$U$198,2*(ROWS($L$35:L45)-1)+1),0)</f>
        <v>0</v>
      </c>
      <c r="M45" s="151">
        <f>IF(ISNUMBER(INDEX('M03-S02'!$AO$18:$AO$198,2*(ROWS($M$35:M45)-1)+1)),INDEX('M03-S02'!$AL$18:$AL$198,2*(ROWS($M$35:M45)-1)+1),0)</f>
        <v>0</v>
      </c>
      <c r="N45" s="189">
        <f>IF(ISNUMBER(INDEX('M03-S02'!$AO$18:$AO$198,2*(ROWS($M$35:M45)-1)+1)),IFERROR(INDEX('M03-S02'!$AV$18:$AV$198,2*(ROWS($N$35:N45)-1)+1),0),0)</f>
        <v>0</v>
      </c>
      <c r="O45" s="61">
        <f>IF(ISNUMBER(INDEX('M03-S02'!$AO$18:$AO$198,2*(ROWS($M$35:M45)-1)+1)),IFERROR(INDEX('M03-S02'!$AO$18:$AO$198,2*(ROWS($O$35:O45)-1)+1)*INCENTCAPADJ,""),0)</f>
        <v>0</v>
      </c>
      <c r="P45" s="151" t="str">
        <f>IFERROR(IF(NOT(ISNUMBER(INDEX('M03-S02'!$AO$18:$AO$198,2*(ROWS($O$35:O45)-1)+1))),INDEX('M03-S02'!$AL$18:$AL$198,2*(ROWS($M$35:M45)-1)+1),0),0)</f>
        <v/>
      </c>
      <c r="Q45" s="189" t="str">
        <f>IFERROR(IF(NOT(ISNUMBER(INDEX('M03-S02'!$AO$18:$AO$198,2*(ROWS($O$35:O45)-1)+1))),INDEX('M03-S02'!$AV$18:$AV$198,2*(ROWS($N$35:N45)-1)+1),0),0)</f>
        <v/>
      </c>
      <c r="R45" t="str">
        <f>IFERROR(IF(NOT(ISNUMBER(INDEX('M03-S02'!$AO$18:$AO$198,2*(ROWS($O$35:O45)-1)+1))),"Not Eligible",""),"")</f>
        <v>Not Eligible</v>
      </c>
      <c r="S45" s="156" t="str">
        <f>INDEX('M03-S02'!$M$18:$M$198,2*(ROWS($S$35:S45)-1)+1)</f>
        <v/>
      </c>
      <c r="T45" s="156">
        <f>INDEX('M03-S02'!$Y$18:$Y$198,2*(ROWS($T$35:T45)-1)+1)</f>
        <v>0</v>
      </c>
      <c r="U45" s="151">
        <f>INDEX('M03-S02'!$B$18:$B$198,2*(ROWS($U$35:U45)-1)+1)</f>
        <v>11</v>
      </c>
      <c r="V45" s="58">
        <f>INDEX('M03-S02'!$E$18:$E$198,2*(ROWS($V$35:V45)-1)+1)</f>
        <v>0</v>
      </c>
      <c r="W45" s="58">
        <f>IF(INDEX('M03-S02'!$O$18:$O$198,2*(ROWS($W$35:W45)-1)+1)="Fixture","LED Fixture",INDEX('M03-S02'!$O$18:$O$198,2*(ROWS($W$35:W45)-1)+1))</f>
        <v>0</v>
      </c>
      <c r="X45">
        <f>INDEX('M03-S02'!$H$18:$H$198,2*(ROWS($X$35:X45)-1)+1)</f>
        <v>0</v>
      </c>
      <c r="Y45">
        <f>INDEX('M03-S02'!$R$18:$R$198,2*(ROWS($Y$35:Y45)-1)+1)</f>
        <v>0</v>
      </c>
      <c r="Z45" s="61">
        <f>IFERROR(INDEX('M03-S02'!$AF$18:$AF$198,2*(ROWS(Z$35:$Z45)-1)+1)/INDEX('M03-S02'!$AD$18:$AD$198,2*(ROWS(Z$35:$Z45)-1)+1),0)</f>
        <v>0</v>
      </c>
      <c r="AA45" t="str">
        <f>IFERROR(INDEX(CMLIGHTBASE[Measure Subgroup 1],MATCH(INDEX('M03-S02'!$E$18:$E$198,2*(ROWS($V$35:V45)-1)+1),CMLIGHTBASE[Base Desc 1],0)),"")</f>
        <v/>
      </c>
      <c r="AB45" t="str">
        <f>IFERROR(INDEX(CMLIGHTBASE[Measure Subgroup 2],MATCH(INDEX('M03-S02'!$E$18:$E$198,2*(ROWS($V$35:V45)-1)+1),CMLIGHTBASE[Base Desc 1],0)),"")</f>
        <v/>
      </c>
      <c r="AC45" s="135"/>
      <c r="AD45" t="str">
        <f>IF(ISNUMBER(INDEX('M03-S02'!$W$18:$W$198,2*(ROWS($AD$35:AD45)-1)+1)),INDEX('M03-S02'!$W$18:$W$198,2*(ROWS($AD$35:AD45)-1)+1)&amp;" Lamp","")</f>
        <v/>
      </c>
      <c r="AE45" s="151">
        <f>IFERROR(IF(NOT(ISNUMBER(INDEX('M03-S02'!$AO$18:$AO$198,2*(ROWS($O$35:O45)-1)+1))),INDEX('M03-S02'!$U$18:$U$198,2*(ROWS($L$35:L45)-1)+1),0),0)</f>
        <v>0</v>
      </c>
      <c r="AF45" s="151" t="str">
        <f>INDEX('M03-S02'!$AW$18:$AW$198,2*(ROWS($AF$35:AF45)-1)+1)</f>
        <v/>
      </c>
      <c r="AG45" s="151" t="str">
        <f>INDEX('M03-S02'!$AX$18:$AX$198,2*(ROWS($AG$35:AG45)-1)+1)</f>
        <v/>
      </c>
      <c r="AH45" s="151" t="str">
        <f t="shared" si="10"/>
        <v/>
      </c>
      <c r="AI45" s="151" t="str">
        <f t="shared" si="11"/>
        <v/>
      </c>
      <c r="AJ45" s="61" t="str">
        <f t="shared" si="12"/>
        <v/>
      </c>
      <c r="AK45" s="61" t="str">
        <f t="shared" si="13"/>
        <v/>
      </c>
      <c r="AL45" s="61" t="str">
        <f t="shared" si="14"/>
        <v/>
      </c>
      <c r="AM45" s="154"/>
      <c r="AN45" s="61" t="str">
        <f t="shared" si="15"/>
        <v/>
      </c>
      <c r="AO45" s="151">
        <f>INDEX('M03-S02'!$K$18:$K$198,2*(ROWS($AO$35:AO45)-1)+1)</f>
        <v>0</v>
      </c>
      <c r="AP45" s="151">
        <f>INDEX('M03-S02'!$AF$18:$AF$198,2*(ROWS($AP$35:AP45)-1)+1)</f>
        <v>0</v>
      </c>
      <c r="AQ45" s="61" t="str">
        <f>IF(INDEX('M03-S02'!$AL$18:$AL$198,2*(ROWS($AQ$35:AQ45)-1)+1)="","",IF(AND(INDEX('M03-S02'!$AL$18:$AL$198,2*(ROWS($AQ$35:AQ45)-1)+1)&lt;&gt;"",OR(ISNUMBER(SEARCH("AC With",M02S02F32)),M02S02F32="Heat Pump")),LIGHTHEATCOIN,1))</f>
        <v/>
      </c>
      <c r="AR45" s="414">
        <f>(IF(INDEX('M03-S02'!$AO$18:$AO$198,2*(ROWS($O$35:O45)-1)+1)=INDEX('M03-S02'!$BL$18:$BL$198,2*(ROWS($O$35:O45)-1)+1),0,(INDEX('M03-S02'!$BK$18:$BK$198,2*(ROWS($O$35:O45)-1)+1)-INDEX('M03-S02'!$BL$18:$BL$198,2*(ROWS($O$35:O45)-1)+1))))*INCENTCAPADJ</f>
        <v>0</v>
      </c>
    </row>
    <row r="46" spans="1:44" x14ac:dyDescent="0.25">
      <c r="A46" s="66">
        <f t="shared" si="8"/>
        <v>0</v>
      </c>
      <c r="B46" s="66" t="str">
        <f t="shared" si="9"/>
        <v/>
      </c>
      <c r="C46" s="66" t="str">
        <f>IFERROR(IF(J46&gt;0,INDEX('M03-S02'!$BB$18:$BB$198,2*(ROWS($C$35:C46)-1)+1),""),"")</f>
        <v/>
      </c>
      <c r="D46" t="s">
        <v>1096</v>
      </c>
      <c r="E46" t="str">
        <f>IFERROR(INDEX(PMELIGHTLIN[End Use Category],MATCH(INDEX('M03-S02'!$BA$18:$BA$198,2*(ROWS($E$35:E46)-1)+1),PMELIGHTLIN[Measure Validator],0)),"")</f>
        <v/>
      </c>
      <c r="F46" s="151">
        <f>INDEX('M03-S02'!$AD$18:$AD$198,2*(ROWS($F$35:F46)-1)+1)</f>
        <v>0</v>
      </c>
      <c r="G46">
        <f>INDEX('M03-S02'!$AA$18:$AA$198,2*(ROWS($G$35:G46)-1)+1)</f>
        <v>0</v>
      </c>
      <c r="H46" s="61">
        <f>ROUND(INDEX('M03-S02'!$U$18:$U$198,2*(ROWS($H$35:H46)-1)+1)*INDEX('M03-S02'!$AH$18:$AH$198,2*(ROWS($H$35:H46)-1)+1),2)</f>
        <v>0</v>
      </c>
      <c r="I46" s="61">
        <f>ROUND(INDEX('M03-S02'!$U$18:$U$198,2*(ROWS($I$35:I46)-1)+1)*INDEX('M03-S02'!$AJ$18:$AJ$198,2*(ROWS($I$35:I46)-1)+1),2)</f>
        <v>0</v>
      </c>
      <c r="J46" s="61" t="str">
        <f>INDEX('M03-S02'!$AU$18:$AU$198,2*(ROWS($J$35:J46)-1)+1)</f>
        <v/>
      </c>
      <c r="K46" t="s">
        <v>119</v>
      </c>
      <c r="L46" s="151">
        <f>IF(ISNUMBER(INDEX('M03-S02'!$AO$18:$AO$198,2*(ROWS($M$35:M46)-1)+1)),INDEX('M03-S02'!$U$18:$U$198,2*(ROWS($L$35:L46)-1)+1),0)</f>
        <v>0</v>
      </c>
      <c r="M46" s="151">
        <f>IF(ISNUMBER(INDEX('M03-S02'!$AO$18:$AO$198,2*(ROWS($M$35:M46)-1)+1)),INDEX('M03-S02'!$AL$18:$AL$198,2*(ROWS($M$35:M46)-1)+1),0)</f>
        <v>0</v>
      </c>
      <c r="N46" s="189">
        <f>IF(ISNUMBER(INDEX('M03-S02'!$AO$18:$AO$198,2*(ROWS($M$35:M46)-1)+1)),IFERROR(INDEX('M03-S02'!$AV$18:$AV$198,2*(ROWS($N$35:N46)-1)+1),0),0)</f>
        <v>0</v>
      </c>
      <c r="O46" s="61">
        <f>IF(ISNUMBER(INDEX('M03-S02'!$AO$18:$AO$198,2*(ROWS($M$35:M46)-1)+1)),IFERROR(INDEX('M03-S02'!$AO$18:$AO$198,2*(ROWS($O$35:O46)-1)+1)*INCENTCAPADJ,""),0)</f>
        <v>0</v>
      </c>
      <c r="P46" s="151" t="str">
        <f>IFERROR(IF(NOT(ISNUMBER(INDEX('M03-S02'!$AO$18:$AO$198,2*(ROWS($O$35:O46)-1)+1))),INDEX('M03-S02'!$AL$18:$AL$198,2*(ROWS($M$35:M46)-1)+1),0),0)</f>
        <v/>
      </c>
      <c r="Q46" s="189" t="str">
        <f>IFERROR(IF(NOT(ISNUMBER(INDEX('M03-S02'!$AO$18:$AO$198,2*(ROWS($O$35:O46)-1)+1))),INDEX('M03-S02'!$AV$18:$AV$198,2*(ROWS($N$35:N46)-1)+1),0),0)</f>
        <v/>
      </c>
      <c r="R46" t="str">
        <f>IFERROR(IF(NOT(ISNUMBER(INDEX('M03-S02'!$AO$18:$AO$198,2*(ROWS($O$35:O46)-1)+1))),"Not Eligible",""),"")</f>
        <v>Not Eligible</v>
      </c>
      <c r="S46" s="156" t="str">
        <f>INDEX('M03-S02'!$M$18:$M$198,2*(ROWS($S$35:S46)-1)+1)</f>
        <v/>
      </c>
      <c r="T46" s="156">
        <f>INDEX('M03-S02'!$Y$18:$Y$198,2*(ROWS($T$35:T46)-1)+1)</f>
        <v>0</v>
      </c>
      <c r="U46" s="151">
        <f>INDEX('M03-S02'!$B$18:$B$198,2*(ROWS($U$35:U46)-1)+1)</f>
        <v>12</v>
      </c>
      <c r="V46" s="58">
        <f>INDEX('M03-S02'!$E$18:$E$198,2*(ROWS($V$35:V46)-1)+1)</f>
        <v>0</v>
      </c>
      <c r="W46" s="58">
        <f>IF(INDEX('M03-S02'!$O$18:$O$198,2*(ROWS($W$35:W46)-1)+1)="Fixture","LED Fixture",INDEX('M03-S02'!$O$18:$O$198,2*(ROWS($W$35:W46)-1)+1))</f>
        <v>0</v>
      </c>
      <c r="X46">
        <f>INDEX('M03-S02'!$H$18:$H$198,2*(ROWS($X$35:X46)-1)+1)</f>
        <v>0</v>
      </c>
      <c r="Y46">
        <f>INDEX('M03-S02'!$R$18:$R$198,2*(ROWS($Y$35:Y46)-1)+1)</f>
        <v>0</v>
      </c>
      <c r="Z46" s="61">
        <f>IFERROR(INDEX('M03-S02'!$AF$18:$AF$198,2*(ROWS(Z$35:$Z46)-1)+1)/INDEX('M03-S02'!$AD$18:$AD$198,2*(ROWS(Z$35:$Z46)-1)+1),0)</f>
        <v>0</v>
      </c>
      <c r="AA46" t="str">
        <f>IFERROR(INDEX(CMLIGHTBASE[Measure Subgroup 1],MATCH(INDEX('M03-S02'!$E$18:$E$198,2*(ROWS($V$35:V46)-1)+1),CMLIGHTBASE[Base Desc 1],0)),"")</f>
        <v/>
      </c>
      <c r="AB46" t="str">
        <f>IFERROR(INDEX(CMLIGHTBASE[Measure Subgroup 2],MATCH(INDEX('M03-S02'!$E$18:$E$198,2*(ROWS($V$35:V46)-1)+1),CMLIGHTBASE[Base Desc 1],0)),"")</f>
        <v/>
      </c>
      <c r="AC46" s="135"/>
      <c r="AD46" t="str">
        <f>IF(ISNUMBER(INDEX('M03-S02'!$W$18:$W$198,2*(ROWS($AD$35:AD46)-1)+1)),INDEX('M03-S02'!$W$18:$W$198,2*(ROWS($AD$35:AD46)-1)+1)&amp;" Lamp","")</f>
        <v/>
      </c>
      <c r="AE46" s="151">
        <f>IFERROR(IF(NOT(ISNUMBER(INDEX('M03-S02'!$AO$18:$AO$198,2*(ROWS($O$35:O46)-1)+1))),INDEX('M03-S02'!$U$18:$U$198,2*(ROWS($L$35:L46)-1)+1),0),0)</f>
        <v>0</v>
      </c>
      <c r="AF46" s="151" t="str">
        <f>INDEX('M03-S02'!$AW$18:$AW$198,2*(ROWS($AF$35:AF46)-1)+1)</f>
        <v/>
      </c>
      <c r="AG46" s="151" t="str">
        <f>INDEX('M03-S02'!$AX$18:$AX$198,2*(ROWS($AG$35:AG46)-1)+1)</f>
        <v/>
      </c>
      <c r="AH46" s="151" t="str">
        <f t="shared" si="10"/>
        <v/>
      </c>
      <c r="AI46" s="151" t="str">
        <f t="shared" si="11"/>
        <v/>
      </c>
      <c r="AJ46" s="61" t="str">
        <f t="shared" si="12"/>
        <v/>
      </c>
      <c r="AK46" s="61" t="str">
        <f t="shared" si="13"/>
        <v/>
      </c>
      <c r="AL46" s="61" t="str">
        <f t="shared" si="14"/>
        <v/>
      </c>
      <c r="AM46" s="154"/>
      <c r="AN46" s="61" t="str">
        <f t="shared" si="15"/>
        <v/>
      </c>
      <c r="AO46" s="151">
        <f>INDEX('M03-S02'!$K$18:$K$198,2*(ROWS($AO$35:AO46)-1)+1)</f>
        <v>0</v>
      </c>
      <c r="AP46" s="151">
        <f>INDEX('M03-S02'!$AF$18:$AF$198,2*(ROWS($AP$35:AP46)-1)+1)</f>
        <v>0</v>
      </c>
      <c r="AQ46" s="61" t="str">
        <f>IF(INDEX('M03-S02'!$AL$18:$AL$198,2*(ROWS($AQ$35:AQ46)-1)+1)="","",IF(AND(INDEX('M03-S02'!$AL$18:$AL$198,2*(ROWS($AQ$35:AQ46)-1)+1)&lt;&gt;"",OR(ISNUMBER(SEARCH("AC With",M02S02F32)),M02S02F32="Heat Pump")),LIGHTHEATCOIN,1))</f>
        <v/>
      </c>
      <c r="AR46" s="414">
        <f>(IF(INDEX('M03-S02'!$AO$18:$AO$198,2*(ROWS($O$35:O46)-1)+1)=INDEX('M03-S02'!$BL$18:$BL$198,2*(ROWS($O$35:O46)-1)+1),0,(INDEX('M03-S02'!$BK$18:$BK$198,2*(ROWS($O$35:O46)-1)+1)-INDEX('M03-S02'!$BL$18:$BL$198,2*(ROWS($O$35:O46)-1)+1))))*INCENTCAPADJ</f>
        <v>0</v>
      </c>
    </row>
    <row r="47" spans="1:44" x14ac:dyDescent="0.25">
      <c r="A47" s="66">
        <f t="shared" si="8"/>
        <v>0</v>
      </c>
      <c r="B47" s="66" t="str">
        <f t="shared" si="9"/>
        <v/>
      </c>
      <c r="C47" s="66" t="str">
        <f>IFERROR(IF(J47&gt;0,INDEX('M03-S02'!$BB$18:$BB$198,2*(ROWS($C$35:C47)-1)+1),""),"")</f>
        <v/>
      </c>
      <c r="D47" t="s">
        <v>1096</v>
      </c>
      <c r="E47" t="str">
        <f>IFERROR(INDEX(PMELIGHTLIN[End Use Category],MATCH(INDEX('M03-S02'!$BA$18:$BA$198,2*(ROWS($E$35:E47)-1)+1),PMELIGHTLIN[Measure Validator],0)),"")</f>
        <v/>
      </c>
      <c r="F47" s="151">
        <f>INDEX('M03-S02'!$AD$18:$AD$198,2*(ROWS($F$35:F47)-1)+1)</f>
        <v>0</v>
      </c>
      <c r="G47">
        <f>INDEX('M03-S02'!$AA$18:$AA$198,2*(ROWS($G$35:G47)-1)+1)</f>
        <v>0</v>
      </c>
      <c r="H47" s="61">
        <f>ROUND(INDEX('M03-S02'!$U$18:$U$198,2*(ROWS($H$35:H47)-1)+1)*INDEX('M03-S02'!$AH$18:$AH$198,2*(ROWS($H$35:H47)-1)+1),2)</f>
        <v>0</v>
      </c>
      <c r="I47" s="61">
        <f>ROUND(INDEX('M03-S02'!$U$18:$U$198,2*(ROWS($I$35:I47)-1)+1)*INDEX('M03-S02'!$AJ$18:$AJ$198,2*(ROWS($I$35:I47)-1)+1),2)</f>
        <v>0</v>
      </c>
      <c r="J47" s="61" t="str">
        <f>INDEX('M03-S02'!$AU$18:$AU$198,2*(ROWS($J$35:J47)-1)+1)</f>
        <v/>
      </c>
      <c r="K47" t="s">
        <v>119</v>
      </c>
      <c r="L47" s="151">
        <f>IF(ISNUMBER(INDEX('M03-S02'!$AO$18:$AO$198,2*(ROWS($M$35:M47)-1)+1)),INDEX('M03-S02'!$U$18:$U$198,2*(ROWS($L$35:L47)-1)+1),0)</f>
        <v>0</v>
      </c>
      <c r="M47" s="151">
        <f>IF(ISNUMBER(INDEX('M03-S02'!$AO$18:$AO$198,2*(ROWS($M$35:M47)-1)+1)),INDEX('M03-S02'!$AL$18:$AL$198,2*(ROWS($M$35:M47)-1)+1),0)</f>
        <v>0</v>
      </c>
      <c r="N47" s="189">
        <f>IF(ISNUMBER(INDEX('M03-S02'!$AO$18:$AO$198,2*(ROWS($M$35:M47)-1)+1)),IFERROR(INDEX('M03-S02'!$AV$18:$AV$198,2*(ROWS($N$35:N47)-1)+1),0),0)</f>
        <v>0</v>
      </c>
      <c r="O47" s="61">
        <f>IF(ISNUMBER(INDEX('M03-S02'!$AO$18:$AO$198,2*(ROWS($M$35:M47)-1)+1)),IFERROR(INDEX('M03-S02'!$AO$18:$AO$198,2*(ROWS($O$35:O47)-1)+1)*INCENTCAPADJ,""),0)</f>
        <v>0</v>
      </c>
      <c r="P47" s="151" t="str">
        <f>IFERROR(IF(NOT(ISNUMBER(INDEX('M03-S02'!$AO$18:$AO$198,2*(ROWS($O$35:O47)-1)+1))),INDEX('M03-S02'!$AL$18:$AL$198,2*(ROWS($M$35:M47)-1)+1),0),0)</f>
        <v/>
      </c>
      <c r="Q47" s="189" t="str">
        <f>IFERROR(IF(NOT(ISNUMBER(INDEX('M03-S02'!$AO$18:$AO$198,2*(ROWS($O$35:O47)-1)+1))),INDEX('M03-S02'!$AV$18:$AV$198,2*(ROWS($N$35:N47)-1)+1),0),0)</f>
        <v/>
      </c>
      <c r="R47" t="str">
        <f>IFERROR(IF(NOT(ISNUMBER(INDEX('M03-S02'!$AO$18:$AO$198,2*(ROWS($O$35:O47)-1)+1))),"Not Eligible",""),"")</f>
        <v>Not Eligible</v>
      </c>
      <c r="S47" s="156" t="str">
        <f>INDEX('M03-S02'!$M$18:$M$198,2*(ROWS($S$35:S47)-1)+1)</f>
        <v/>
      </c>
      <c r="T47" s="156">
        <f>INDEX('M03-S02'!$Y$18:$Y$198,2*(ROWS($T$35:T47)-1)+1)</f>
        <v>0</v>
      </c>
      <c r="U47" s="151">
        <f>INDEX('M03-S02'!$B$18:$B$198,2*(ROWS($U$35:U47)-1)+1)</f>
        <v>13</v>
      </c>
      <c r="V47" s="58">
        <f>INDEX('M03-S02'!$E$18:$E$198,2*(ROWS($V$35:V47)-1)+1)</f>
        <v>0</v>
      </c>
      <c r="W47" s="58">
        <f>IF(INDEX('M03-S02'!$O$18:$O$198,2*(ROWS($W$35:W47)-1)+1)="Fixture","LED Fixture",INDEX('M03-S02'!$O$18:$O$198,2*(ROWS($W$35:W47)-1)+1))</f>
        <v>0</v>
      </c>
      <c r="X47">
        <f>INDEX('M03-S02'!$H$18:$H$198,2*(ROWS($X$35:X47)-1)+1)</f>
        <v>0</v>
      </c>
      <c r="Y47">
        <f>INDEX('M03-S02'!$R$18:$R$198,2*(ROWS($Y$35:Y47)-1)+1)</f>
        <v>0</v>
      </c>
      <c r="Z47" s="61">
        <f>IFERROR(INDEX('M03-S02'!$AF$18:$AF$198,2*(ROWS(Z$35:$Z47)-1)+1)/INDEX('M03-S02'!$AD$18:$AD$198,2*(ROWS(Z$35:$Z47)-1)+1),0)</f>
        <v>0</v>
      </c>
      <c r="AA47" t="str">
        <f>IFERROR(INDEX(CMLIGHTBASE[Measure Subgroup 1],MATCH(INDEX('M03-S02'!$E$18:$E$198,2*(ROWS($V$35:V47)-1)+1),CMLIGHTBASE[Base Desc 1],0)),"")</f>
        <v/>
      </c>
      <c r="AB47" t="str">
        <f>IFERROR(INDEX(CMLIGHTBASE[Measure Subgroup 2],MATCH(INDEX('M03-S02'!$E$18:$E$198,2*(ROWS($V$35:V47)-1)+1),CMLIGHTBASE[Base Desc 1],0)),"")</f>
        <v/>
      </c>
      <c r="AC47" s="135"/>
      <c r="AD47" t="str">
        <f>IF(ISNUMBER(INDEX('M03-S02'!$W$18:$W$198,2*(ROWS($AD$35:AD47)-1)+1)),INDEX('M03-S02'!$W$18:$W$198,2*(ROWS($AD$35:AD47)-1)+1)&amp;" Lamp","")</f>
        <v/>
      </c>
      <c r="AE47" s="151">
        <f>IFERROR(IF(NOT(ISNUMBER(INDEX('M03-S02'!$AO$18:$AO$198,2*(ROWS($O$35:O47)-1)+1))),INDEX('M03-S02'!$U$18:$U$198,2*(ROWS($L$35:L47)-1)+1),0),0)</f>
        <v>0</v>
      </c>
      <c r="AF47" s="151" t="str">
        <f>INDEX('M03-S02'!$AW$18:$AW$198,2*(ROWS($AF$35:AF47)-1)+1)</f>
        <v/>
      </c>
      <c r="AG47" s="151" t="str">
        <f>INDEX('M03-S02'!$AX$18:$AX$198,2*(ROWS($AG$35:AG47)-1)+1)</f>
        <v/>
      </c>
      <c r="AH47" s="151" t="str">
        <f t="shared" si="10"/>
        <v/>
      </c>
      <c r="AI47" s="151" t="str">
        <f t="shared" si="11"/>
        <v/>
      </c>
      <c r="AJ47" s="61" t="str">
        <f t="shared" si="12"/>
        <v/>
      </c>
      <c r="AK47" s="61" t="str">
        <f t="shared" si="13"/>
        <v/>
      </c>
      <c r="AL47" s="61" t="str">
        <f t="shared" si="14"/>
        <v/>
      </c>
      <c r="AM47" s="154"/>
      <c r="AN47" s="61" t="str">
        <f t="shared" si="15"/>
        <v/>
      </c>
      <c r="AO47" s="151">
        <f>INDEX('M03-S02'!$K$18:$K$198,2*(ROWS($AO$35:AO47)-1)+1)</f>
        <v>0</v>
      </c>
      <c r="AP47" s="151">
        <f>INDEX('M03-S02'!$AF$18:$AF$198,2*(ROWS($AP$35:AP47)-1)+1)</f>
        <v>0</v>
      </c>
      <c r="AQ47" s="61" t="str">
        <f>IF(INDEX('M03-S02'!$AL$18:$AL$198,2*(ROWS($AQ$35:AQ47)-1)+1)="","",IF(AND(INDEX('M03-S02'!$AL$18:$AL$198,2*(ROWS($AQ$35:AQ47)-1)+1)&lt;&gt;"",OR(ISNUMBER(SEARCH("AC With",M02S02F32)),M02S02F32="Heat Pump")),LIGHTHEATCOIN,1))</f>
        <v/>
      </c>
      <c r="AR47" s="414">
        <f>(IF(INDEX('M03-S02'!$AO$18:$AO$198,2*(ROWS($O$35:O47)-1)+1)=INDEX('M03-S02'!$BL$18:$BL$198,2*(ROWS($O$35:O47)-1)+1),0,(INDEX('M03-S02'!$BK$18:$BK$198,2*(ROWS($O$35:O47)-1)+1)-INDEX('M03-S02'!$BL$18:$BL$198,2*(ROWS($O$35:O47)-1)+1))))*INCENTCAPADJ</f>
        <v>0</v>
      </c>
    </row>
    <row r="48" spans="1:44" x14ac:dyDescent="0.25">
      <c r="A48" s="66">
        <f t="shared" si="8"/>
        <v>0</v>
      </c>
      <c r="B48" s="66" t="str">
        <f t="shared" si="9"/>
        <v/>
      </c>
      <c r="C48" s="66" t="str">
        <f>IFERROR(IF(J48&gt;0,INDEX('M03-S02'!$BB$18:$BB$198,2*(ROWS($C$35:C48)-1)+1),""),"")</f>
        <v/>
      </c>
      <c r="D48" t="s">
        <v>1096</v>
      </c>
      <c r="E48" t="str">
        <f>IFERROR(INDEX(PMELIGHTLIN[End Use Category],MATCH(INDEX('M03-S02'!$BA$18:$BA$198,2*(ROWS($E$35:E48)-1)+1),PMELIGHTLIN[Measure Validator],0)),"")</f>
        <v/>
      </c>
      <c r="F48" s="151">
        <f>INDEX('M03-S02'!$AD$18:$AD$198,2*(ROWS($F$35:F48)-1)+1)</f>
        <v>0</v>
      </c>
      <c r="G48">
        <f>INDEX('M03-S02'!$AA$18:$AA$198,2*(ROWS($G$35:G48)-1)+1)</f>
        <v>0</v>
      </c>
      <c r="H48" s="61">
        <f>ROUND(INDEX('M03-S02'!$U$18:$U$198,2*(ROWS($H$35:H48)-1)+1)*INDEX('M03-S02'!$AH$18:$AH$198,2*(ROWS($H$35:H48)-1)+1),2)</f>
        <v>0</v>
      </c>
      <c r="I48" s="61">
        <f>ROUND(INDEX('M03-S02'!$U$18:$U$198,2*(ROWS($I$35:I48)-1)+1)*INDEX('M03-S02'!$AJ$18:$AJ$198,2*(ROWS($I$35:I48)-1)+1),2)</f>
        <v>0</v>
      </c>
      <c r="J48" s="61" t="str">
        <f>INDEX('M03-S02'!$AU$18:$AU$198,2*(ROWS($J$35:J48)-1)+1)</f>
        <v/>
      </c>
      <c r="K48" t="s">
        <v>119</v>
      </c>
      <c r="L48" s="151">
        <f>IF(ISNUMBER(INDEX('M03-S02'!$AO$18:$AO$198,2*(ROWS($M$35:M48)-1)+1)),INDEX('M03-S02'!$U$18:$U$198,2*(ROWS($L$35:L48)-1)+1),0)</f>
        <v>0</v>
      </c>
      <c r="M48" s="151">
        <f>IF(ISNUMBER(INDEX('M03-S02'!$AO$18:$AO$198,2*(ROWS($M$35:M48)-1)+1)),INDEX('M03-S02'!$AL$18:$AL$198,2*(ROWS($M$35:M48)-1)+1),0)</f>
        <v>0</v>
      </c>
      <c r="N48" s="189">
        <f>IF(ISNUMBER(INDEX('M03-S02'!$AO$18:$AO$198,2*(ROWS($M$35:M48)-1)+1)),IFERROR(INDEX('M03-S02'!$AV$18:$AV$198,2*(ROWS($N$35:N48)-1)+1),0),0)</f>
        <v>0</v>
      </c>
      <c r="O48" s="61">
        <f>IF(ISNUMBER(INDEX('M03-S02'!$AO$18:$AO$198,2*(ROWS($M$35:M48)-1)+1)),IFERROR(INDEX('M03-S02'!$AO$18:$AO$198,2*(ROWS($O$35:O48)-1)+1)*INCENTCAPADJ,""),0)</f>
        <v>0</v>
      </c>
      <c r="P48" s="151" t="str">
        <f>IFERROR(IF(NOT(ISNUMBER(INDEX('M03-S02'!$AO$18:$AO$198,2*(ROWS($O$35:O48)-1)+1))),INDEX('M03-S02'!$AL$18:$AL$198,2*(ROWS($M$35:M48)-1)+1),0),0)</f>
        <v/>
      </c>
      <c r="Q48" s="189" t="str">
        <f>IFERROR(IF(NOT(ISNUMBER(INDEX('M03-S02'!$AO$18:$AO$198,2*(ROWS($O$35:O48)-1)+1))),INDEX('M03-S02'!$AV$18:$AV$198,2*(ROWS($N$35:N48)-1)+1),0),0)</f>
        <v/>
      </c>
      <c r="R48" t="str">
        <f>IFERROR(IF(NOT(ISNUMBER(INDEX('M03-S02'!$AO$18:$AO$198,2*(ROWS($O$35:O48)-1)+1))),"Not Eligible",""),"")</f>
        <v>Not Eligible</v>
      </c>
      <c r="S48" s="156" t="str">
        <f>INDEX('M03-S02'!$M$18:$M$198,2*(ROWS($S$35:S48)-1)+1)</f>
        <v/>
      </c>
      <c r="T48" s="156">
        <f>INDEX('M03-S02'!$Y$18:$Y$198,2*(ROWS($T$35:T48)-1)+1)</f>
        <v>0</v>
      </c>
      <c r="U48" s="151">
        <f>INDEX('M03-S02'!$B$18:$B$198,2*(ROWS($U$35:U48)-1)+1)</f>
        <v>14</v>
      </c>
      <c r="V48" s="58">
        <f>INDEX('M03-S02'!$E$18:$E$198,2*(ROWS($V$35:V48)-1)+1)</f>
        <v>0</v>
      </c>
      <c r="W48" s="58">
        <f>IF(INDEX('M03-S02'!$O$18:$O$198,2*(ROWS($W$35:W48)-1)+1)="Fixture","LED Fixture",INDEX('M03-S02'!$O$18:$O$198,2*(ROWS($W$35:W48)-1)+1))</f>
        <v>0</v>
      </c>
      <c r="X48">
        <f>INDEX('M03-S02'!$H$18:$H$198,2*(ROWS($X$35:X48)-1)+1)</f>
        <v>0</v>
      </c>
      <c r="Y48">
        <f>INDEX('M03-S02'!$R$18:$R$198,2*(ROWS($Y$35:Y48)-1)+1)</f>
        <v>0</v>
      </c>
      <c r="Z48" s="61">
        <f>IFERROR(INDEX('M03-S02'!$AF$18:$AF$198,2*(ROWS(Z$35:$Z48)-1)+1)/INDEX('M03-S02'!$AD$18:$AD$198,2*(ROWS(Z$35:$Z48)-1)+1),0)</f>
        <v>0</v>
      </c>
      <c r="AA48" t="str">
        <f>IFERROR(INDEX(CMLIGHTBASE[Measure Subgroup 1],MATCH(INDEX('M03-S02'!$E$18:$E$198,2*(ROWS($V$35:V48)-1)+1),CMLIGHTBASE[Base Desc 1],0)),"")</f>
        <v/>
      </c>
      <c r="AB48" t="str">
        <f>IFERROR(INDEX(CMLIGHTBASE[Measure Subgroup 2],MATCH(INDEX('M03-S02'!$E$18:$E$198,2*(ROWS($V$35:V48)-1)+1),CMLIGHTBASE[Base Desc 1],0)),"")</f>
        <v/>
      </c>
      <c r="AC48" s="135"/>
      <c r="AD48" t="str">
        <f>IF(ISNUMBER(INDEX('M03-S02'!$W$18:$W$198,2*(ROWS($AD$35:AD48)-1)+1)),INDEX('M03-S02'!$W$18:$W$198,2*(ROWS($AD$35:AD48)-1)+1)&amp;" Lamp","")</f>
        <v/>
      </c>
      <c r="AE48" s="151">
        <f>IFERROR(IF(NOT(ISNUMBER(INDEX('M03-S02'!$AO$18:$AO$198,2*(ROWS($O$35:O48)-1)+1))),INDEX('M03-S02'!$U$18:$U$198,2*(ROWS($L$35:L48)-1)+1),0),0)</f>
        <v>0</v>
      </c>
      <c r="AF48" s="151" t="str">
        <f>INDEX('M03-S02'!$AW$18:$AW$198,2*(ROWS($AF$35:AF48)-1)+1)</f>
        <v/>
      </c>
      <c r="AG48" s="151" t="str">
        <f>INDEX('M03-S02'!$AX$18:$AX$198,2*(ROWS($AG$35:AG48)-1)+1)</f>
        <v/>
      </c>
      <c r="AH48" s="151" t="str">
        <f t="shared" si="10"/>
        <v/>
      </c>
      <c r="AI48" s="151" t="str">
        <f t="shared" si="11"/>
        <v/>
      </c>
      <c r="AJ48" s="61" t="str">
        <f t="shared" si="12"/>
        <v/>
      </c>
      <c r="AK48" s="61" t="str">
        <f t="shared" si="13"/>
        <v/>
      </c>
      <c r="AL48" s="61" t="str">
        <f t="shared" si="14"/>
        <v/>
      </c>
      <c r="AM48" s="154"/>
      <c r="AN48" s="61" t="str">
        <f t="shared" si="15"/>
        <v/>
      </c>
      <c r="AO48" s="151">
        <f>INDEX('M03-S02'!$K$18:$K$198,2*(ROWS($AO$35:AO48)-1)+1)</f>
        <v>0</v>
      </c>
      <c r="AP48" s="151">
        <f>INDEX('M03-S02'!$AF$18:$AF$198,2*(ROWS($AP$35:AP48)-1)+1)</f>
        <v>0</v>
      </c>
      <c r="AQ48" s="61" t="str">
        <f>IF(INDEX('M03-S02'!$AL$18:$AL$198,2*(ROWS($AQ$35:AQ48)-1)+1)="","",IF(AND(INDEX('M03-S02'!$AL$18:$AL$198,2*(ROWS($AQ$35:AQ48)-1)+1)&lt;&gt;"",OR(ISNUMBER(SEARCH("AC With",M02S02F32)),M02S02F32="Heat Pump")),LIGHTHEATCOIN,1))</f>
        <v/>
      </c>
      <c r="AR48" s="414">
        <f>(IF(INDEX('M03-S02'!$AO$18:$AO$198,2*(ROWS($O$35:O48)-1)+1)=INDEX('M03-S02'!$BL$18:$BL$198,2*(ROWS($O$35:O48)-1)+1),0,(INDEX('M03-S02'!$BK$18:$BK$198,2*(ROWS($O$35:O48)-1)+1)-INDEX('M03-S02'!$BL$18:$BL$198,2*(ROWS($O$35:O48)-1)+1))))*INCENTCAPADJ</f>
        <v>0</v>
      </c>
    </row>
    <row r="49" spans="1:44" x14ac:dyDescent="0.25">
      <c r="A49" s="66">
        <f t="shared" si="8"/>
        <v>0</v>
      </c>
      <c r="B49" s="66" t="str">
        <f t="shared" si="9"/>
        <v/>
      </c>
      <c r="C49" s="66" t="str">
        <f>IFERROR(IF(J49&gt;0,INDEX('M03-S02'!$BB$18:$BB$198,2*(ROWS($C$35:C49)-1)+1),""),"")</f>
        <v/>
      </c>
      <c r="D49" t="s">
        <v>1096</v>
      </c>
      <c r="E49" t="str">
        <f>IFERROR(INDEX(PMELIGHTLIN[End Use Category],MATCH(INDEX('M03-S02'!$BA$18:$BA$198,2*(ROWS($E$35:E49)-1)+1),PMELIGHTLIN[Measure Validator],0)),"")</f>
        <v/>
      </c>
      <c r="F49" s="151">
        <f>INDEX('M03-S02'!$AD$18:$AD$198,2*(ROWS($F$35:F49)-1)+1)</f>
        <v>0</v>
      </c>
      <c r="G49">
        <f>INDEX('M03-S02'!$AA$18:$AA$198,2*(ROWS($G$35:G49)-1)+1)</f>
        <v>0</v>
      </c>
      <c r="H49" s="61">
        <f>ROUND(INDEX('M03-S02'!$U$18:$U$198,2*(ROWS($H$35:H49)-1)+1)*INDEX('M03-S02'!$AH$18:$AH$198,2*(ROWS($H$35:H49)-1)+1),2)</f>
        <v>0</v>
      </c>
      <c r="I49" s="61">
        <f>ROUND(INDEX('M03-S02'!$U$18:$U$198,2*(ROWS($I$35:I49)-1)+1)*INDEX('M03-S02'!$AJ$18:$AJ$198,2*(ROWS($I$35:I49)-1)+1),2)</f>
        <v>0</v>
      </c>
      <c r="J49" s="61" t="str">
        <f>INDEX('M03-S02'!$AU$18:$AU$198,2*(ROWS($J$35:J49)-1)+1)</f>
        <v/>
      </c>
      <c r="K49" t="s">
        <v>119</v>
      </c>
      <c r="L49" s="151">
        <f>IF(ISNUMBER(INDEX('M03-S02'!$AO$18:$AO$198,2*(ROWS($M$35:M49)-1)+1)),INDEX('M03-S02'!$U$18:$U$198,2*(ROWS($L$35:L49)-1)+1),0)</f>
        <v>0</v>
      </c>
      <c r="M49" s="151">
        <f>IF(ISNUMBER(INDEX('M03-S02'!$AO$18:$AO$198,2*(ROWS($M$35:M49)-1)+1)),INDEX('M03-S02'!$AL$18:$AL$198,2*(ROWS($M$35:M49)-1)+1),0)</f>
        <v>0</v>
      </c>
      <c r="N49" s="189">
        <f>IF(ISNUMBER(INDEX('M03-S02'!$AO$18:$AO$198,2*(ROWS($M$35:M49)-1)+1)),IFERROR(INDEX('M03-S02'!$AV$18:$AV$198,2*(ROWS($N$35:N49)-1)+1),0),0)</f>
        <v>0</v>
      </c>
      <c r="O49" s="61">
        <f>IF(ISNUMBER(INDEX('M03-S02'!$AO$18:$AO$198,2*(ROWS($M$35:M49)-1)+1)),IFERROR(INDEX('M03-S02'!$AO$18:$AO$198,2*(ROWS($O$35:O49)-1)+1)*INCENTCAPADJ,""),0)</f>
        <v>0</v>
      </c>
      <c r="P49" s="151" t="str">
        <f>IFERROR(IF(NOT(ISNUMBER(INDEX('M03-S02'!$AO$18:$AO$198,2*(ROWS($O$35:O49)-1)+1))),INDEX('M03-S02'!$AL$18:$AL$198,2*(ROWS($M$35:M49)-1)+1),0),0)</f>
        <v/>
      </c>
      <c r="Q49" s="189" t="str">
        <f>IFERROR(IF(NOT(ISNUMBER(INDEX('M03-S02'!$AO$18:$AO$198,2*(ROWS($O$35:O49)-1)+1))),INDEX('M03-S02'!$AV$18:$AV$198,2*(ROWS($N$35:N49)-1)+1),0),0)</f>
        <v/>
      </c>
      <c r="R49" t="str">
        <f>IFERROR(IF(NOT(ISNUMBER(INDEX('M03-S02'!$AO$18:$AO$198,2*(ROWS($O$35:O49)-1)+1))),"Not Eligible",""),"")</f>
        <v>Not Eligible</v>
      </c>
      <c r="S49" s="156" t="str">
        <f>INDEX('M03-S02'!$M$18:$M$198,2*(ROWS($S$35:S49)-1)+1)</f>
        <v/>
      </c>
      <c r="T49" s="156">
        <f>INDEX('M03-S02'!$Y$18:$Y$198,2*(ROWS($T$35:T49)-1)+1)</f>
        <v>0</v>
      </c>
      <c r="U49" s="151">
        <f>INDEX('M03-S02'!$B$18:$B$198,2*(ROWS($U$35:U49)-1)+1)</f>
        <v>15</v>
      </c>
      <c r="V49" s="58">
        <f>INDEX('M03-S02'!$E$18:$E$198,2*(ROWS($V$35:V49)-1)+1)</f>
        <v>0</v>
      </c>
      <c r="W49" s="58">
        <f>IF(INDEX('M03-S02'!$O$18:$O$198,2*(ROWS($W$35:W49)-1)+1)="Fixture","LED Fixture",INDEX('M03-S02'!$O$18:$O$198,2*(ROWS($W$35:W49)-1)+1))</f>
        <v>0</v>
      </c>
      <c r="X49">
        <f>INDEX('M03-S02'!$H$18:$H$198,2*(ROWS($X$35:X49)-1)+1)</f>
        <v>0</v>
      </c>
      <c r="Y49">
        <f>INDEX('M03-S02'!$R$18:$R$198,2*(ROWS($Y$35:Y49)-1)+1)</f>
        <v>0</v>
      </c>
      <c r="Z49" s="61">
        <f>IFERROR(INDEX('M03-S02'!$AF$18:$AF$198,2*(ROWS(Z$35:$Z49)-1)+1)/INDEX('M03-S02'!$AD$18:$AD$198,2*(ROWS(Z$35:$Z49)-1)+1),0)</f>
        <v>0</v>
      </c>
      <c r="AA49" t="str">
        <f>IFERROR(INDEX(CMLIGHTBASE[Measure Subgroup 1],MATCH(INDEX('M03-S02'!$E$18:$E$198,2*(ROWS($V$35:V49)-1)+1),CMLIGHTBASE[Base Desc 1],0)),"")</f>
        <v/>
      </c>
      <c r="AB49" t="str">
        <f>IFERROR(INDEX(CMLIGHTBASE[Measure Subgroup 2],MATCH(INDEX('M03-S02'!$E$18:$E$198,2*(ROWS($V$35:V49)-1)+1),CMLIGHTBASE[Base Desc 1],0)),"")</f>
        <v/>
      </c>
      <c r="AC49" s="135"/>
      <c r="AD49" t="str">
        <f>IF(ISNUMBER(INDEX('M03-S02'!$W$18:$W$198,2*(ROWS($AD$35:AD49)-1)+1)),INDEX('M03-S02'!$W$18:$W$198,2*(ROWS($AD$35:AD49)-1)+1)&amp;" Lamp","")</f>
        <v/>
      </c>
      <c r="AE49" s="151">
        <f>IFERROR(IF(NOT(ISNUMBER(INDEX('M03-S02'!$AO$18:$AO$198,2*(ROWS($O$35:O49)-1)+1))),INDEX('M03-S02'!$U$18:$U$198,2*(ROWS($L$35:L49)-1)+1),0),0)</f>
        <v>0</v>
      </c>
      <c r="AF49" s="151" t="str">
        <f>INDEX('M03-S02'!$AW$18:$AW$198,2*(ROWS($AF$35:AF49)-1)+1)</f>
        <v/>
      </c>
      <c r="AG49" s="151" t="str">
        <f>INDEX('M03-S02'!$AX$18:$AX$198,2*(ROWS($AG$35:AG49)-1)+1)</f>
        <v/>
      </c>
      <c r="AH49" s="151" t="str">
        <f t="shared" si="10"/>
        <v/>
      </c>
      <c r="AI49" s="151" t="str">
        <f t="shared" si="11"/>
        <v/>
      </c>
      <c r="AJ49" s="61" t="str">
        <f t="shared" si="12"/>
        <v/>
      </c>
      <c r="AK49" s="61" t="str">
        <f t="shared" si="13"/>
        <v/>
      </c>
      <c r="AL49" s="61" t="str">
        <f t="shared" si="14"/>
        <v/>
      </c>
      <c r="AM49" s="154"/>
      <c r="AN49" s="61" t="str">
        <f t="shared" si="15"/>
        <v/>
      </c>
      <c r="AO49" s="151">
        <f>INDEX('M03-S02'!$K$18:$K$198,2*(ROWS($AO$35:AO49)-1)+1)</f>
        <v>0</v>
      </c>
      <c r="AP49" s="151">
        <f>INDEX('M03-S02'!$AF$18:$AF$198,2*(ROWS($AP$35:AP49)-1)+1)</f>
        <v>0</v>
      </c>
      <c r="AQ49" s="61" t="str">
        <f>IF(INDEX('M03-S02'!$AL$18:$AL$198,2*(ROWS($AQ$35:AQ49)-1)+1)="","",IF(AND(INDEX('M03-S02'!$AL$18:$AL$198,2*(ROWS($AQ$35:AQ49)-1)+1)&lt;&gt;"",OR(ISNUMBER(SEARCH("AC With",M02S02F32)),M02S02F32="Heat Pump")),LIGHTHEATCOIN,1))</f>
        <v/>
      </c>
      <c r="AR49" s="414">
        <f>(IF(INDEX('M03-S02'!$AO$18:$AO$198,2*(ROWS($O$35:O49)-1)+1)=INDEX('M03-S02'!$BL$18:$BL$198,2*(ROWS($O$35:O49)-1)+1),0,(INDEX('M03-S02'!$BK$18:$BK$198,2*(ROWS($O$35:O49)-1)+1)-INDEX('M03-S02'!$BL$18:$BL$198,2*(ROWS($O$35:O49)-1)+1))))*INCENTCAPADJ</f>
        <v>0</v>
      </c>
    </row>
    <row r="50" spans="1:44" x14ac:dyDescent="0.25">
      <c r="A50" s="66">
        <f t="shared" si="8"/>
        <v>0</v>
      </c>
      <c r="B50" s="66" t="str">
        <f t="shared" si="9"/>
        <v/>
      </c>
      <c r="C50" s="66" t="str">
        <f>IFERROR(IF(J50&gt;0,INDEX('M03-S02'!$BB$18:$BB$198,2*(ROWS($C$35:C50)-1)+1),""),"")</f>
        <v/>
      </c>
      <c r="D50" t="s">
        <v>1096</v>
      </c>
      <c r="E50" t="str">
        <f>IFERROR(INDEX(PMELIGHTLIN[End Use Category],MATCH(INDEX('M03-S02'!$BA$18:$BA$198,2*(ROWS($E$35:E50)-1)+1),PMELIGHTLIN[Measure Validator],0)),"")</f>
        <v/>
      </c>
      <c r="F50" s="151">
        <f>INDEX('M03-S02'!$AD$18:$AD$198,2*(ROWS($F$35:F50)-1)+1)</f>
        <v>0</v>
      </c>
      <c r="G50">
        <f>INDEX('M03-S02'!$AA$18:$AA$198,2*(ROWS($G$35:G50)-1)+1)</f>
        <v>0</v>
      </c>
      <c r="H50" s="61">
        <f>ROUND(INDEX('M03-S02'!$U$18:$U$198,2*(ROWS($H$35:H50)-1)+1)*INDEX('M03-S02'!$AH$18:$AH$198,2*(ROWS($H$35:H50)-1)+1),2)</f>
        <v>0</v>
      </c>
      <c r="I50" s="61">
        <f>ROUND(INDEX('M03-S02'!$U$18:$U$198,2*(ROWS($I$35:I50)-1)+1)*INDEX('M03-S02'!$AJ$18:$AJ$198,2*(ROWS($I$35:I50)-1)+1),2)</f>
        <v>0</v>
      </c>
      <c r="J50" s="61" t="str">
        <f>INDEX('M03-S02'!$AU$18:$AU$198,2*(ROWS($J$35:J50)-1)+1)</f>
        <v/>
      </c>
      <c r="K50" t="s">
        <v>119</v>
      </c>
      <c r="L50" s="151">
        <f>IF(ISNUMBER(INDEX('M03-S02'!$AO$18:$AO$198,2*(ROWS($M$35:M50)-1)+1)),INDEX('M03-S02'!$U$18:$U$198,2*(ROWS($L$35:L50)-1)+1),0)</f>
        <v>0</v>
      </c>
      <c r="M50" s="151">
        <f>IF(ISNUMBER(INDEX('M03-S02'!$AO$18:$AO$198,2*(ROWS($M$35:M50)-1)+1)),INDEX('M03-S02'!$AL$18:$AL$198,2*(ROWS($M$35:M50)-1)+1),0)</f>
        <v>0</v>
      </c>
      <c r="N50" s="189">
        <f>IF(ISNUMBER(INDEX('M03-S02'!$AO$18:$AO$198,2*(ROWS($M$35:M50)-1)+1)),IFERROR(INDEX('M03-S02'!$AV$18:$AV$198,2*(ROWS($N$35:N50)-1)+1),0),0)</f>
        <v>0</v>
      </c>
      <c r="O50" s="61">
        <f>IF(ISNUMBER(INDEX('M03-S02'!$AO$18:$AO$198,2*(ROWS($M$35:M50)-1)+1)),IFERROR(INDEX('M03-S02'!$AO$18:$AO$198,2*(ROWS($O$35:O50)-1)+1)*INCENTCAPADJ,""),0)</f>
        <v>0</v>
      </c>
      <c r="P50" s="151" t="str">
        <f>IFERROR(IF(NOT(ISNUMBER(INDEX('M03-S02'!$AO$18:$AO$198,2*(ROWS($O$35:O50)-1)+1))),INDEX('M03-S02'!$AL$18:$AL$198,2*(ROWS($M$35:M50)-1)+1),0),0)</f>
        <v/>
      </c>
      <c r="Q50" s="189" t="str">
        <f>IFERROR(IF(NOT(ISNUMBER(INDEX('M03-S02'!$AO$18:$AO$198,2*(ROWS($O$35:O50)-1)+1))),INDEX('M03-S02'!$AV$18:$AV$198,2*(ROWS($N$35:N50)-1)+1),0),0)</f>
        <v/>
      </c>
      <c r="R50" t="str">
        <f>IFERROR(IF(NOT(ISNUMBER(INDEX('M03-S02'!$AO$18:$AO$198,2*(ROWS($O$35:O50)-1)+1))),"Not Eligible",""),"")</f>
        <v>Not Eligible</v>
      </c>
      <c r="S50" s="156" t="str">
        <f>INDEX('M03-S02'!$M$18:$M$198,2*(ROWS($S$35:S50)-1)+1)</f>
        <v/>
      </c>
      <c r="T50" s="156">
        <f>INDEX('M03-S02'!$Y$18:$Y$198,2*(ROWS($T$35:T50)-1)+1)</f>
        <v>0</v>
      </c>
      <c r="U50" s="151">
        <f>INDEX('M03-S02'!$B$18:$B$198,2*(ROWS($U$35:U50)-1)+1)</f>
        <v>16</v>
      </c>
      <c r="V50" s="58">
        <f>INDEX('M03-S02'!$E$18:$E$198,2*(ROWS($V$35:V50)-1)+1)</f>
        <v>0</v>
      </c>
      <c r="W50" s="58">
        <f>IF(INDEX('M03-S02'!$O$18:$O$198,2*(ROWS($W$35:W50)-1)+1)="Fixture","LED Fixture",INDEX('M03-S02'!$O$18:$O$198,2*(ROWS($W$35:W50)-1)+1))</f>
        <v>0</v>
      </c>
      <c r="X50">
        <f>INDEX('M03-S02'!$H$18:$H$198,2*(ROWS($X$35:X50)-1)+1)</f>
        <v>0</v>
      </c>
      <c r="Y50">
        <f>INDEX('M03-S02'!$R$18:$R$198,2*(ROWS($Y$35:Y50)-1)+1)</f>
        <v>0</v>
      </c>
      <c r="Z50" s="61">
        <f>IFERROR(INDEX('M03-S02'!$AF$18:$AF$198,2*(ROWS(Z$35:$Z50)-1)+1)/INDEX('M03-S02'!$AD$18:$AD$198,2*(ROWS(Z$35:$Z50)-1)+1),0)</f>
        <v>0</v>
      </c>
      <c r="AA50" t="str">
        <f>IFERROR(INDEX(CMLIGHTBASE[Measure Subgroup 1],MATCH(INDEX('M03-S02'!$E$18:$E$198,2*(ROWS($V$35:V50)-1)+1),CMLIGHTBASE[Base Desc 1],0)),"")</f>
        <v/>
      </c>
      <c r="AB50" t="str">
        <f>IFERROR(INDEX(CMLIGHTBASE[Measure Subgroup 2],MATCH(INDEX('M03-S02'!$E$18:$E$198,2*(ROWS($V$35:V50)-1)+1),CMLIGHTBASE[Base Desc 1],0)),"")</f>
        <v/>
      </c>
      <c r="AC50" s="135"/>
      <c r="AD50" t="str">
        <f>IF(ISNUMBER(INDEX('M03-S02'!$W$18:$W$198,2*(ROWS($AD$35:AD50)-1)+1)),INDEX('M03-S02'!$W$18:$W$198,2*(ROWS($AD$35:AD50)-1)+1)&amp;" Lamp","")</f>
        <v/>
      </c>
      <c r="AE50" s="151">
        <f>IFERROR(IF(NOT(ISNUMBER(INDEX('M03-S02'!$AO$18:$AO$198,2*(ROWS($O$35:O50)-1)+1))),INDEX('M03-S02'!$U$18:$U$198,2*(ROWS($L$35:L50)-1)+1),0),0)</f>
        <v>0</v>
      </c>
      <c r="AF50" s="151" t="str">
        <f>INDEX('M03-S02'!$AW$18:$AW$198,2*(ROWS($AF$35:AF50)-1)+1)</f>
        <v/>
      </c>
      <c r="AG50" s="151" t="str">
        <f>INDEX('M03-S02'!$AX$18:$AX$198,2*(ROWS($AG$35:AG50)-1)+1)</f>
        <v/>
      </c>
      <c r="AH50" s="151" t="str">
        <f t="shared" si="10"/>
        <v/>
      </c>
      <c r="AI50" s="151" t="str">
        <f t="shared" si="11"/>
        <v/>
      </c>
      <c r="AJ50" s="61" t="str">
        <f t="shared" si="12"/>
        <v/>
      </c>
      <c r="AK50" s="61" t="str">
        <f t="shared" si="13"/>
        <v/>
      </c>
      <c r="AL50" s="61" t="str">
        <f t="shared" si="14"/>
        <v/>
      </c>
      <c r="AM50" s="154"/>
      <c r="AN50" s="61" t="str">
        <f t="shared" si="15"/>
        <v/>
      </c>
      <c r="AO50" s="151">
        <f>INDEX('M03-S02'!$K$18:$K$198,2*(ROWS($AO$35:AO50)-1)+1)</f>
        <v>0</v>
      </c>
      <c r="AP50" s="151">
        <f>INDEX('M03-S02'!$AF$18:$AF$198,2*(ROWS($AP$35:AP50)-1)+1)</f>
        <v>0</v>
      </c>
      <c r="AQ50" s="61" t="str">
        <f>IF(INDEX('M03-S02'!$AL$18:$AL$198,2*(ROWS($AQ$35:AQ50)-1)+1)="","",IF(AND(INDEX('M03-S02'!$AL$18:$AL$198,2*(ROWS($AQ$35:AQ50)-1)+1)&lt;&gt;"",OR(ISNUMBER(SEARCH("AC With",M02S02F32)),M02S02F32="Heat Pump")),LIGHTHEATCOIN,1))</f>
        <v/>
      </c>
      <c r="AR50" s="414">
        <f>(IF(INDEX('M03-S02'!$AO$18:$AO$198,2*(ROWS($O$35:O50)-1)+1)=INDEX('M03-S02'!$BL$18:$BL$198,2*(ROWS($O$35:O50)-1)+1),0,(INDEX('M03-S02'!$BK$18:$BK$198,2*(ROWS($O$35:O50)-1)+1)-INDEX('M03-S02'!$BL$18:$BL$198,2*(ROWS($O$35:O50)-1)+1))))*INCENTCAPADJ</f>
        <v>0</v>
      </c>
    </row>
    <row r="51" spans="1:44" x14ac:dyDescent="0.25">
      <c r="A51" s="66">
        <f t="shared" si="8"/>
        <v>0</v>
      </c>
      <c r="B51" s="66" t="str">
        <f t="shared" si="9"/>
        <v/>
      </c>
      <c r="C51" s="66" t="str">
        <f>IFERROR(IF(J51&gt;0,INDEX('M03-S02'!$BB$18:$BB$198,2*(ROWS($C$35:C51)-1)+1),""),"")</f>
        <v/>
      </c>
      <c r="D51" t="s">
        <v>1096</v>
      </c>
      <c r="E51" t="str">
        <f>IFERROR(INDEX(PMELIGHTLIN[End Use Category],MATCH(INDEX('M03-S02'!$BA$18:$BA$198,2*(ROWS($E$35:E51)-1)+1),PMELIGHTLIN[Measure Validator],0)),"")</f>
        <v/>
      </c>
      <c r="F51" s="151">
        <f>INDEX('M03-S02'!$AD$18:$AD$198,2*(ROWS($F$35:F51)-1)+1)</f>
        <v>0</v>
      </c>
      <c r="G51">
        <f>INDEX('M03-S02'!$AA$18:$AA$198,2*(ROWS($G$35:G51)-1)+1)</f>
        <v>0</v>
      </c>
      <c r="H51" s="61">
        <f>ROUND(INDEX('M03-S02'!$U$18:$U$198,2*(ROWS($H$35:H51)-1)+1)*INDEX('M03-S02'!$AH$18:$AH$198,2*(ROWS($H$35:H51)-1)+1),2)</f>
        <v>0</v>
      </c>
      <c r="I51" s="61">
        <f>ROUND(INDEX('M03-S02'!$U$18:$U$198,2*(ROWS($I$35:I51)-1)+1)*INDEX('M03-S02'!$AJ$18:$AJ$198,2*(ROWS($I$35:I51)-1)+1),2)</f>
        <v>0</v>
      </c>
      <c r="J51" s="61" t="str">
        <f>INDEX('M03-S02'!$AU$18:$AU$198,2*(ROWS($J$35:J51)-1)+1)</f>
        <v/>
      </c>
      <c r="K51" t="s">
        <v>119</v>
      </c>
      <c r="L51" s="151">
        <f>IF(ISNUMBER(INDEX('M03-S02'!$AO$18:$AO$198,2*(ROWS($M$35:M51)-1)+1)),INDEX('M03-S02'!$U$18:$U$198,2*(ROWS($L$35:L51)-1)+1),0)</f>
        <v>0</v>
      </c>
      <c r="M51" s="151">
        <f>IF(ISNUMBER(INDEX('M03-S02'!$AO$18:$AO$198,2*(ROWS($M$35:M51)-1)+1)),INDEX('M03-S02'!$AL$18:$AL$198,2*(ROWS($M$35:M51)-1)+1),0)</f>
        <v>0</v>
      </c>
      <c r="N51" s="189">
        <f>IF(ISNUMBER(INDEX('M03-S02'!$AO$18:$AO$198,2*(ROWS($M$35:M51)-1)+1)),IFERROR(INDEX('M03-S02'!$AV$18:$AV$198,2*(ROWS($N$35:N51)-1)+1),0),0)</f>
        <v>0</v>
      </c>
      <c r="O51" s="61">
        <f>IF(ISNUMBER(INDEX('M03-S02'!$AO$18:$AO$198,2*(ROWS($M$35:M51)-1)+1)),IFERROR(INDEX('M03-S02'!$AO$18:$AO$198,2*(ROWS($O$35:O51)-1)+1)*INCENTCAPADJ,""),0)</f>
        <v>0</v>
      </c>
      <c r="P51" s="151" t="str">
        <f>IFERROR(IF(NOT(ISNUMBER(INDEX('M03-S02'!$AO$18:$AO$198,2*(ROWS($O$35:O51)-1)+1))),INDEX('M03-S02'!$AL$18:$AL$198,2*(ROWS($M$35:M51)-1)+1),0),0)</f>
        <v/>
      </c>
      <c r="Q51" s="189" t="str">
        <f>IFERROR(IF(NOT(ISNUMBER(INDEX('M03-S02'!$AO$18:$AO$198,2*(ROWS($O$35:O51)-1)+1))),INDEX('M03-S02'!$AV$18:$AV$198,2*(ROWS($N$35:N51)-1)+1),0),0)</f>
        <v/>
      </c>
      <c r="R51" t="str">
        <f>IFERROR(IF(NOT(ISNUMBER(INDEX('M03-S02'!$AO$18:$AO$198,2*(ROWS($O$35:O51)-1)+1))),"Not Eligible",""),"")</f>
        <v>Not Eligible</v>
      </c>
      <c r="S51" s="156" t="str">
        <f>INDEX('M03-S02'!$M$18:$M$198,2*(ROWS($S$35:S51)-1)+1)</f>
        <v/>
      </c>
      <c r="T51" s="156">
        <f>INDEX('M03-S02'!$Y$18:$Y$198,2*(ROWS($T$35:T51)-1)+1)</f>
        <v>0</v>
      </c>
      <c r="U51" s="151">
        <f>INDEX('M03-S02'!$B$18:$B$198,2*(ROWS($U$35:U51)-1)+1)</f>
        <v>17</v>
      </c>
      <c r="V51" s="58">
        <f>INDEX('M03-S02'!$E$18:$E$198,2*(ROWS($V$35:V51)-1)+1)</f>
        <v>0</v>
      </c>
      <c r="W51" s="58">
        <f>IF(INDEX('M03-S02'!$O$18:$O$198,2*(ROWS($W$35:W51)-1)+1)="Fixture","LED Fixture",INDEX('M03-S02'!$O$18:$O$198,2*(ROWS($W$35:W51)-1)+1))</f>
        <v>0</v>
      </c>
      <c r="X51">
        <f>INDEX('M03-S02'!$H$18:$H$198,2*(ROWS($X$35:X51)-1)+1)</f>
        <v>0</v>
      </c>
      <c r="Y51">
        <f>INDEX('M03-S02'!$R$18:$R$198,2*(ROWS($Y$35:Y51)-1)+1)</f>
        <v>0</v>
      </c>
      <c r="Z51" s="61">
        <f>IFERROR(INDEX('M03-S02'!$AF$18:$AF$198,2*(ROWS(Z$35:$Z51)-1)+1)/INDEX('M03-S02'!$AD$18:$AD$198,2*(ROWS(Z$35:$Z51)-1)+1),0)</f>
        <v>0</v>
      </c>
      <c r="AA51" t="str">
        <f>IFERROR(INDEX(CMLIGHTBASE[Measure Subgroup 1],MATCH(INDEX('M03-S02'!$E$18:$E$198,2*(ROWS($V$35:V51)-1)+1),CMLIGHTBASE[Base Desc 1],0)),"")</f>
        <v/>
      </c>
      <c r="AB51" t="str">
        <f>IFERROR(INDEX(CMLIGHTBASE[Measure Subgroup 2],MATCH(INDEX('M03-S02'!$E$18:$E$198,2*(ROWS($V$35:V51)-1)+1),CMLIGHTBASE[Base Desc 1],0)),"")</f>
        <v/>
      </c>
      <c r="AC51" s="135"/>
      <c r="AD51" t="str">
        <f>IF(ISNUMBER(INDEX('M03-S02'!$W$18:$W$198,2*(ROWS($AD$35:AD51)-1)+1)),INDEX('M03-S02'!$W$18:$W$198,2*(ROWS($AD$35:AD51)-1)+1)&amp;" Lamp","")</f>
        <v/>
      </c>
      <c r="AE51" s="151">
        <f>IFERROR(IF(NOT(ISNUMBER(INDEX('M03-S02'!$AO$18:$AO$198,2*(ROWS($O$35:O51)-1)+1))),INDEX('M03-S02'!$U$18:$U$198,2*(ROWS($L$35:L51)-1)+1),0),0)</f>
        <v>0</v>
      </c>
      <c r="AF51" s="151" t="str">
        <f>INDEX('M03-S02'!$AW$18:$AW$198,2*(ROWS($AF$35:AF51)-1)+1)</f>
        <v/>
      </c>
      <c r="AG51" s="151" t="str">
        <f>INDEX('M03-S02'!$AX$18:$AX$198,2*(ROWS($AG$35:AG51)-1)+1)</f>
        <v/>
      </c>
      <c r="AH51" s="151" t="str">
        <f t="shared" si="10"/>
        <v/>
      </c>
      <c r="AI51" s="151" t="str">
        <f t="shared" si="11"/>
        <v/>
      </c>
      <c r="AJ51" s="61" t="str">
        <f t="shared" si="12"/>
        <v/>
      </c>
      <c r="AK51" s="61" t="str">
        <f t="shared" si="13"/>
        <v/>
      </c>
      <c r="AL51" s="61" t="str">
        <f t="shared" si="14"/>
        <v/>
      </c>
      <c r="AM51" s="154"/>
      <c r="AN51" s="61" t="str">
        <f t="shared" si="15"/>
        <v/>
      </c>
      <c r="AO51" s="151">
        <f>INDEX('M03-S02'!$K$18:$K$198,2*(ROWS($AO$35:AO51)-1)+1)</f>
        <v>0</v>
      </c>
      <c r="AP51" s="151">
        <f>INDEX('M03-S02'!$AF$18:$AF$198,2*(ROWS($AP$35:AP51)-1)+1)</f>
        <v>0</v>
      </c>
      <c r="AQ51" s="61" t="str">
        <f>IF(INDEX('M03-S02'!$AL$18:$AL$198,2*(ROWS($AQ$35:AQ51)-1)+1)="","",IF(AND(INDEX('M03-S02'!$AL$18:$AL$198,2*(ROWS($AQ$35:AQ51)-1)+1)&lt;&gt;"",OR(ISNUMBER(SEARCH("AC With",M02S02F32)),M02S02F32="Heat Pump")),LIGHTHEATCOIN,1))</f>
        <v/>
      </c>
      <c r="AR51" s="414">
        <f>(IF(INDEX('M03-S02'!$AO$18:$AO$198,2*(ROWS($O$35:O51)-1)+1)=INDEX('M03-S02'!$BL$18:$BL$198,2*(ROWS($O$35:O51)-1)+1),0,(INDEX('M03-S02'!$BK$18:$BK$198,2*(ROWS($O$35:O51)-1)+1)-INDEX('M03-S02'!$BL$18:$BL$198,2*(ROWS($O$35:O51)-1)+1))))*INCENTCAPADJ</f>
        <v>0</v>
      </c>
    </row>
    <row r="52" spans="1:44" x14ac:dyDescent="0.25">
      <c r="A52" s="66">
        <f t="shared" si="8"/>
        <v>0</v>
      </c>
      <c r="B52" s="66" t="str">
        <f t="shared" si="9"/>
        <v/>
      </c>
      <c r="C52" s="66" t="str">
        <f>IFERROR(IF(J52&gt;0,INDEX('M03-S02'!$BB$18:$BB$198,2*(ROWS($C$35:C52)-1)+1),""),"")</f>
        <v/>
      </c>
      <c r="D52" t="s">
        <v>1096</v>
      </c>
      <c r="E52" t="str">
        <f>IFERROR(INDEX(PMELIGHTLIN[End Use Category],MATCH(INDEX('M03-S02'!$BA$18:$BA$198,2*(ROWS($E$35:E52)-1)+1),PMELIGHTLIN[Measure Validator],0)),"")</f>
        <v/>
      </c>
      <c r="F52" s="151">
        <f>INDEX('M03-S02'!$AD$18:$AD$198,2*(ROWS($F$35:F52)-1)+1)</f>
        <v>0</v>
      </c>
      <c r="G52">
        <f>INDEX('M03-S02'!$AA$18:$AA$198,2*(ROWS($G$35:G52)-1)+1)</f>
        <v>0</v>
      </c>
      <c r="H52" s="61">
        <f>ROUND(INDEX('M03-S02'!$U$18:$U$198,2*(ROWS($H$35:H52)-1)+1)*INDEX('M03-S02'!$AH$18:$AH$198,2*(ROWS($H$35:H52)-1)+1),2)</f>
        <v>0</v>
      </c>
      <c r="I52" s="61">
        <f>ROUND(INDEX('M03-S02'!$U$18:$U$198,2*(ROWS($I$35:I52)-1)+1)*INDEX('M03-S02'!$AJ$18:$AJ$198,2*(ROWS($I$35:I52)-1)+1),2)</f>
        <v>0</v>
      </c>
      <c r="J52" s="61" t="str">
        <f>INDEX('M03-S02'!$AU$18:$AU$198,2*(ROWS($J$35:J52)-1)+1)</f>
        <v/>
      </c>
      <c r="K52" t="s">
        <v>119</v>
      </c>
      <c r="L52" s="151">
        <f>IF(ISNUMBER(INDEX('M03-S02'!$AO$18:$AO$198,2*(ROWS($M$35:M52)-1)+1)),INDEX('M03-S02'!$U$18:$U$198,2*(ROWS($L$35:L52)-1)+1),0)</f>
        <v>0</v>
      </c>
      <c r="M52" s="151">
        <f>IF(ISNUMBER(INDEX('M03-S02'!$AO$18:$AO$198,2*(ROWS($M$35:M52)-1)+1)),INDEX('M03-S02'!$AL$18:$AL$198,2*(ROWS($M$35:M52)-1)+1),0)</f>
        <v>0</v>
      </c>
      <c r="N52" s="189">
        <f>IF(ISNUMBER(INDEX('M03-S02'!$AO$18:$AO$198,2*(ROWS($M$35:M52)-1)+1)),IFERROR(INDEX('M03-S02'!$AV$18:$AV$198,2*(ROWS($N$35:N52)-1)+1),0),0)</f>
        <v>0</v>
      </c>
      <c r="O52" s="61">
        <f>IF(ISNUMBER(INDEX('M03-S02'!$AO$18:$AO$198,2*(ROWS($M$35:M52)-1)+1)),IFERROR(INDEX('M03-S02'!$AO$18:$AO$198,2*(ROWS($O$35:O52)-1)+1)*INCENTCAPADJ,""),0)</f>
        <v>0</v>
      </c>
      <c r="P52" s="151" t="str">
        <f>IFERROR(IF(NOT(ISNUMBER(INDEX('M03-S02'!$AO$18:$AO$198,2*(ROWS($O$35:O52)-1)+1))),INDEX('M03-S02'!$AL$18:$AL$198,2*(ROWS($M$35:M52)-1)+1),0),0)</f>
        <v/>
      </c>
      <c r="Q52" s="189" t="str">
        <f>IFERROR(IF(NOT(ISNUMBER(INDEX('M03-S02'!$AO$18:$AO$198,2*(ROWS($O$35:O52)-1)+1))),INDEX('M03-S02'!$AV$18:$AV$198,2*(ROWS($N$35:N52)-1)+1),0),0)</f>
        <v/>
      </c>
      <c r="R52" t="str">
        <f>IFERROR(IF(NOT(ISNUMBER(INDEX('M03-S02'!$AO$18:$AO$198,2*(ROWS($O$35:O52)-1)+1))),"Not Eligible",""),"")</f>
        <v>Not Eligible</v>
      </c>
      <c r="S52" s="156" t="str">
        <f>INDEX('M03-S02'!$M$18:$M$198,2*(ROWS($S$35:S52)-1)+1)</f>
        <v/>
      </c>
      <c r="T52" s="156">
        <f>INDEX('M03-S02'!$Y$18:$Y$198,2*(ROWS($T$35:T52)-1)+1)</f>
        <v>0</v>
      </c>
      <c r="U52" s="151">
        <f>INDEX('M03-S02'!$B$18:$B$198,2*(ROWS($U$35:U52)-1)+1)</f>
        <v>18</v>
      </c>
      <c r="V52" s="58">
        <f>INDEX('M03-S02'!$E$18:$E$198,2*(ROWS($V$35:V52)-1)+1)</f>
        <v>0</v>
      </c>
      <c r="W52" s="58">
        <f>IF(INDEX('M03-S02'!$O$18:$O$198,2*(ROWS($W$35:W52)-1)+1)="Fixture","LED Fixture",INDEX('M03-S02'!$O$18:$O$198,2*(ROWS($W$35:W52)-1)+1))</f>
        <v>0</v>
      </c>
      <c r="X52">
        <f>INDEX('M03-S02'!$H$18:$H$198,2*(ROWS($X$35:X52)-1)+1)</f>
        <v>0</v>
      </c>
      <c r="Y52">
        <f>INDEX('M03-S02'!$R$18:$R$198,2*(ROWS($Y$35:Y52)-1)+1)</f>
        <v>0</v>
      </c>
      <c r="Z52" s="61">
        <f>IFERROR(INDEX('M03-S02'!$AF$18:$AF$198,2*(ROWS(Z$35:$Z52)-1)+1)/INDEX('M03-S02'!$AD$18:$AD$198,2*(ROWS(Z$35:$Z52)-1)+1),0)</f>
        <v>0</v>
      </c>
      <c r="AA52" t="str">
        <f>IFERROR(INDEX(CMLIGHTBASE[Measure Subgroup 1],MATCH(INDEX('M03-S02'!$E$18:$E$198,2*(ROWS($V$35:V52)-1)+1),CMLIGHTBASE[Base Desc 1],0)),"")</f>
        <v/>
      </c>
      <c r="AB52" t="str">
        <f>IFERROR(INDEX(CMLIGHTBASE[Measure Subgroup 2],MATCH(INDEX('M03-S02'!$E$18:$E$198,2*(ROWS($V$35:V52)-1)+1),CMLIGHTBASE[Base Desc 1],0)),"")</f>
        <v/>
      </c>
      <c r="AC52" s="135"/>
      <c r="AD52" t="str">
        <f>IF(ISNUMBER(INDEX('M03-S02'!$W$18:$W$198,2*(ROWS($AD$35:AD52)-1)+1)),INDEX('M03-S02'!$W$18:$W$198,2*(ROWS($AD$35:AD52)-1)+1)&amp;" Lamp","")</f>
        <v/>
      </c>
      <c r="AE52" s="151">
        <f>IFERROR(IF(NOT(ISNUMBER(INDEX('M03-S02'!$AO$18:$AO$198,2*(ROWS($O$35:O52)-1)+1))),INDEX('M03-S02'!$U$18:$U$198,2*(ROWS($L$35:L52)-1)+1),0),0)</f>
        <v>0</v>
      </c>
      <c r="AF52" s="151" t="str">
        <f>INDEX('M03-S02'!$AW$18:$AW$198,2*(ROWS($AF$35:AF52)-1)+1)</f>
        <v/>
      </c>
      <c r="AG52" s="151" t="str">
        <f>INDEX('M03-S02'!$AX$18:$AX$198,2*(ROWS($AG$35:AG52)-1)+1)</f>
        <v/>
      </c>
      <c r="AH52" s="151" t="str">
        <f t="shared" si="10"/>
        <v/>
      </c>
      <c r="AI52" s="151" t="str">
        <f t="shared" si="11"/>
        <v/>
      </c>
      <c r="AJ52" s="61" t="str">
        <f t="shared" si="12"/>
        <v/>
      </c>
      <c r="AK52" s="61" t="str">
        <f t="shared" si="13"/>
        <v/>
      </c>
      <c r="AL52" s="61" t="str">
        <f t="shared" si="14"/>
        <v/>
      </c>
      <c r="AM52" s="154"/>
      <c r="AN52" s="61" t="str">
        <f t="shared" si="15"/>
        <v/>
      </c>
      <c r="AO52" s="151">
        <f>INDEX('M03-S02'!$K$18:$K$198,2*(ROWS($AO$35:AO52)-1)+1)</f>
        <v>0</v>
      </c>
      <c r="AP52" s="151">
        <f>INDEX('M03-S02'!$AF$18:$AF$198,2*(ROWS($AP$35:AP52)-1)+1)</f>
        <v>0</v>
      </c>
      <c r="AQ52" s="61" t="str">
        <f>IF(INDEX('M03-S02'!$AL$18:$AL$198,2*(ROWS($AQ$35:AQ52)-1)+1)="","",IF(AND(INDEX('M03-S02'!$AL$18:$AL$198,2*(ROWS($AQ$35:AQ52)-1)+1)&lt;&gt;"",OR(ISNUMBER(SEARCH("AC With",M02S02F32)),M02S02F32="Heat Pump")),LIGHTHEATCOIN,1))</f>
        <v/>
      </c>
      <c r="AR52" s="414">
        <f>(IF(INDEX('M03-S02'!$AO$18:$AO$198,2*(ROWS($O$35:O52)-1)+1)=INDEX('M03-S02'!$BL$18:$BL$198,2*(ROWS($O$35:O52)-1)+1),0,(INDEX('M03-S02'!$BK$18:$BK$198,2*(ROWS($O$35:O52)-1)+1)-INDEX('M03-S02'!$BL$18:$BL$198,2*(ROWS($O$35:O52)-1)+1))))*INCENTCAPADJ</f>
        <v>0</v>
      </c>
    </row>
    <row r="53" spans="1:44" x14ac:dyDescent="0.25">
      <c r="A53" s="66">
        <f t="shared" si="8"/>
        <v>0</v>
      </c>
      <c r="B53" s="66" t="str">
        <f t="shared" si="9"/>
        <v/>
      </c>
      <c r="C53" s="66" t="str">
        <f>IFERROR(IF(J53&gt;0,INDEX('M03-S02'!$BB$18:$BB$198,2*(ROWS($C$35:C53)-1)+1),""),"")</f>
        <v/>
      </c>
      <c r="D53" t="s">
        <v>1096</v>
      </c>
      <c r="E53" t="str">
        <f>IFERROR(INDEX(PMELIGHTLIN[End Use Category],MATCH(INDEX('M03-S02'!$BA$18:$BA$198,2*(ROWS($E$35:E53)-1)+1),PMELIGHTLIN[Measure Validator],0)),"")</f>
        <v/>
      </c>
      <c r="F53" s="151">
        <f>INDEX('M03-S02'!$AD$18:$AD$198,2*(ROWS($F$35:F53)-1)+1)</f>
        <v>0</v>
      </c>
      <c r="G53">
        <f>INDEX('M03-S02'!$AA$18:$AA$198,2*(ROWS($G$35:G53)-1)+1)</f>
        <v>0</v>
      </c>
      <c r="H53" s="61">
        <f>ROUND(INDEX('M03-S02'!$U$18:$U$198,2*(ROWS($H$35:H53)-1)+1)*INDEX('M03-S02'!$AH$18:$AH$198,2*(ROWS($H$35:H53)-1)+1),2)</f>
        <v>0</v>
      </c>
      <c r="I53" s="61">
        <f>ROUND(INDEX('M03-S02'!$U$18:$U$198,2*(ROWS($I$35:I53)-1)+1)*INDEX('M03-S02'!$AJ$18:$AJ$198,2*(ROWS($I$35:I53)-1)+1),2)</f>
        <v>0</v>
      </c>
      <c r="J53" s="61" t="str">
        <f>INDEX('M03-S02'!$AU$18:$AU$198,2*(ROWS($J$35:J53)-1)+1)</f>
        <v/>
      </c>
      <c r="K53" t="s">
        <v>119</v>
      </c>
      <c r="L53" s="151">
        <f>IF(ISNUMBER(INDEX('M03-S02'!$AO$18:$AO$198,2*(ROWS($M$35:M53)-1)+1)),INDEX('M03-S02'!$U$18:$U$198,2*(ROWS($L$35:L53)-1)+1),0)</f>
        <v>0</v>
      </c>
      <c r="M53" s="151">
        <f>IF(ISNUMBER(INDEX('M03-S02'!$AO$18:$AO$198,2*(ROWS($M$35:M53)-1)+1)),INDEX('M03-S02'!$AL$18:$AL$198,2*(ROWS($M$35:M53)-1)+1),0)</f>
        <v>0</v>
      </c>
      <c r="N53" s="189">
        <f>IF(ISNUMBER(INDEX('M03-S02'!$AO$18:$AO$198,2*(ROWS($M$35:M53)-1)+1)),IFERROR(INDEX('M03-S02'!$AV$18:$AV$198,2*(ROWS($N$35:N53)-1)+1),0),0)</f>
        <v>0</v>
      </c>
      <c r="O53" s="61">
        <f>IF(ISNUMBER(INDEX('M03-S02'!$AO$18:$AO$198,2*(ROWS($M$35:M53)-1)+1)),IFERROR(INDEX('M03-S02'!$AO$18:$AO$198,2*(ROWS($O$35:O53)-1)+1)*INCENTCAPADJ,""),0)</f>
        <v>0</v>
      </c>
      <c r="P53" s="151" t="str">
        <f>IFERROR(IF(NOT(ISNUMBER(INDEX('M03-S02'!$AO$18:$AO$198,2*(ROWS($O$35:O53)-1)+1))),INDEX('M03-S02'!$AL$18:$AL$198,2*(ROWS($M$35:M53)-1)+1),0),0)</f>
        <v/>
      </c>
      <c r="Q53" s="189" t="str">
        <f>IFERROR(IF(NOT(ISNUMBER(INDEX('M03-S02'!$AO$18:$AO$198,2*(ROWS($O$35:O53)-1)+1))),INDEX('M03-S02'!$AV$18:$AV$198,2*(ROWS($N$35:N53)-1)+1),0),0)</f>
        <v/>
      </c>
      <c r="R53" t="str">
        <f>IFERROR(IF(NOT(ISNUMBER(INDEX('M03-S02'!$AO$18:$AO$198,2*(ROWS($O$35:O53)-1)+1))),"Not Eligible",""),"")</f>
        <v>Not Eligible</v>
      </c>
      <c r="S53" s="156" t="str">
        <f>INDEX('M03-S02'!$M$18:$M$198,2*(ROWS($S$35:S53)-1)+1)</f>
        <v/>
      </c>
      <c r="T53" s="156">
        <f>INDEX('M03-S02'!$Y$18:$Y$198,2*(ROWS($T$35:T53)-1)+1)</f>
        <v>0</v>
      </c>
      <c r="U53" s="151">
        <f>INDEX('M03-S02'!$B$18:$B$198,2*(ROWS($U$35:U53)-1)+1)</f>
        <v>19</v>
      </c>
      <c r="V53" s="58">
        <f>INDEX('M03-S02'!$E$18:$E$198,2*(ROWS($V$35:V53)-1)+1)</f>
        <v>0</v>
      </c>
      <c r="W53" s="58">
        <f>IF(INDEX('M03-S02'!$O$18:$O$198,2*(ROWS($W$35:W53)-1)+1)="Fixture","LED Fixture",INDEX('M03-S02'!$O$18:$O$198,2*(ROWS($W$35:W53)-1)+1))</f>
        <v>0</v>
      </c>
      <c r="X53">
        <f>INDEX('M03-S02'!$H$18:$H$198,2*(ROWS($X$35:X53)-1)+1)</f>
        <v>0</v>
      </c>
      <c r="Y53">
        <f>INDEX('M03-S02'!$R$18:$R$198,2*(ROWS($Y$35:Y53)-1)+1)</f>
        <v>0</v>
      </c>
      <c r="Z53" s="61">
        <f>IFERROR(INDEX('M03-S02'!$AF$18:$AF$198,2*(ROWS(Z$35:$Z53)-1)+1)/INDEX('M03-S02'!$AD$18:$AD$198,2*(ROWS(Z$35:$Z53)-1)+1),0)</f>
        <v>0</v>
      </c>
      <c r="AA53" t="str">
        <f>IFERROR(INDEX(CMLIGHTBASE[Measure Subgroup 1],MATCH(INDEX('M03-S02'!$E$18:$E$198,2*(ROWS($V$35:V53)-1)+1),CMLIGHTBASE[Base Desc 1],0)),"")</f>
        <v/>
      </c>
      <c r="AB53" t="str">
        <f>IFERROR(INDEX(CMLIGHTBASE[Measure Subgroup 2],MATCH(INDEX('M03-S02'!$E$18:$E$198,2*(ROWS($V$35:V53)-1)+1),CMLIGHTBASE[Base Desc 1],0)),"")</f>
        <v/>
      </c>
      <c r="AC53" s="135"/>
      <c r="AD53" t="str">
        <f>IF(ISNUMBER(INDEX('M03-S02'!$W$18:$W$198,2*(ROWS($AD$35:AD53)-1)+1)),INDEX('M03-S02'!$W$18:$W$198,2*(ROWS($AD$35:AD53)-1)+1)&amp;" Lamp","")</f>
        <v/>
      </c>
      <c r="AE53" s="151">
        <f>IFERROR(IF(NOT(ISNUMBER(INDEX('M03-S02'!$AO$18:$AO$198,2*(ROWS($O$35:O53)-1)+1))),INDEX('M03-S02'!$U$18:$U$198,2*(ROWS($L$35:L53)-1)+1),0),0)</f>
        <v>0</v>
      </c>
      <c r="AF53" s="151" t="str">
        <f>INDEX('M03-S02'!$AW$18:$AW$198,2*(ROWS($AF$35:AF53)-1)+1)</f>
        <v/>
      </c>
      <c r="AG53" s="151" t="str">
        <f>INDEX('M03-S02'!$AX$18:$AX$198,2*(ROWS($AG$35:AG53)-1)+1)</f>
        <v/>
      </c>
      <c r="AH53" s="151" t="str">
        <f t="shared" si="10"/>
        <v/>
      </c>
      <c r="AI53" s="151" t="str">
        <f t="shared" si="11"/>
        <v/>
      </c>
      <c r="AJ53" s="61" t="str">
        <f t="shared" si="12"/>
        <v/>
      </c>
      <c r="AK53" s="61" t="str">
        <f t="shared" si="13"/>
        <v/>
      </c>
      <c r="AL53" s="61" t="str">
        <f t="shared" si="14"/>
        <v/>
      </c>
      <c r="AM53" s="154"/>
      <c r="AN53" s="61" t="str">
        <f t="shared" si="15"/>
        <v/>
      </c>
      <c r="AO53" s="151">
        <f>INDEX('M03-S02'!$K$18:$K$198,2*(ROWS($AO$35:AO53)-1)+1)</f>
        <v>0</v>
      </c>
      <c r="AP53" s="151">
        <f>INDEX('M03-S02'!$AF$18:$AF$198,2*(ROWS($AP$35:AP53)-1)+1)</f>
        <v>0</v>
      </c>
      <c r="AQ53" s="61" t="str">
        <f>IF(INDEX('M03-S02'!$AL$18:$AL$198,2*(ROWS($AQ$35:AQ53)-1)+1)="","",IF(AND(INDEX('M03-S02'!$AL$18:$AL$198,2*(ROWS($AQ$35:AQ53)-1)+1)&lt;&gt;"",OR(ISNUMBER(SEARCH("AC With",M02S02F32)),M02S02F32="Heat Pump")),LIGHTHEATCOIN,1))</f>
        <v/>
      </c>
      <c r="AR53" s="414">
        <f>(IF(INDEX('M03-S02'!$AO$18:$AO$198,2*(ROWS($O$35:O53)-1)+1)=INDEX('M03-S02'!$BL$18:$BL$198,2*(ROWS($O$35:O53)-1)+1),0,(INDEX('M03-S02'!$BK$18:$BK$198,2*(ROWS($O$35:O53)-1)+1)-INDEX('M03-S02'!$BL$18:$BL$198,2*(ROWS($O$35:O53)-1)+1))))*INCENTCAPADJ</f>
        <v>0</v>
      </c>
    </row>
    <row r="54" spans="1:44" x14ac:dyDescent="0.25">
      <c r="A54" s="66">
        <f t="shared" si="8"/>
        <v>0</v>
      </c>
      <c r="B54" s="66" t="str">
        <f t="shared" si="9"/>
        <v/>
      </c>
      <c r="C54" s="66" t="str">
        <f>IFERROR(IF(J54&gt;0,INDEX('M03-S02'!$BB$18:$BB$198,2*(ROWS($C$35:C54)-1)+1),""),"")</f>
        <v/>
      </c>
      <c r="D54" t="s">
        <v>1096</v>
      </c>
      <c r="E54" t="str">
        <f>IFERROR(INDEX(PMELIGHTLIN[End Use Category],MATCH(INDEX('M03-S02'!$BA$18:$BA$198,2*(ROWS($E$35:E54)-1)+1),PMELIGHTLIN[Measure Validator],0)),"")</f>
        <v/>
      </c>
      <c r="F54" s="151">
        <f>INDEX('M03-S02'!$AD$18:$AD$198,2*(ROWS($F$35:F54)-1)+1)</f>
        <v>0</v>
      </c>
      <c r="G54">
        <f>INDEX('M03-S02'!$AA$18:$AA$198,2*(ROWS($G$35:G54)-1)+1)</f>
        <v>0</v>
      </c>
      <c r="H54" s="61">
        <f>ROUND(INDEX('M03-S02'!$U$18:$U$198,2*(ROWS($H$35:H54)-1)+1)*INDEX('M03-S02'!$AH$18:$AH$198,2*(ROWS($H$35:H54)-1)+1),2)</f>
        <v>0</v>
      </c>
      <c r="I54" s="61">
        <f>ROUND(INDEX('M03-S02'!$U$18:$U$198,2*(ROWS($I$35:I54)-1)+1)*INDEX('M03-S02'!$AJ$18:$AJ$198,2*(ROWS($I$35:I54)-1)+1),2)</f>
        <v>0</v>
      </c>
      <c r="J54" s="61" t="str">
        <f>INDEX('M03-S02'!$AU$18:$AU$198,2*(ROWS($J$35:J54)-1)+1)</f>
        <v/>
      </c>
      <c r="K54" t="s">
        <v>119</v>
      </c>
      <c r="L54" s="151">
        <f>IF(ISNUMBER(INDEX('M03-S02'!$AO$18:$AO$198,2*(ROWS($M$35:M54)-1)+1)),INDEX('M03-S02'!$U$18:$U$198,2*(ROWS($L$35:L54)-1)+1),0)</f>
        <v>0</v>
      </c>
      <c r="M54" s="151">
        <f>IF(ISNUMBER(INDEX('M03-S02'!$AO$18:$AO$198,2*(ROWS($M$35:M54)-1)+1)),INDEX('M03-S02'!$AL$18:$AL$198,2*(ROWS($M$35:M54)-1)+1),0)</f>
        <v>0</v>
      </c>
      <c r="N54" s="189">
        <f>IF(ISNUMBER(INDEX('M03-S02'!$AO$18:$AO$198,2*(ROWS($M$35:M54)-1)+1)),IFERROR(INDEX('M03-S02'!$AV$18:$AV$198,2*(ROWS($N$35:N54)-1)+1),0),0)</f>
        <v>0</v>
      </c>
      <c r="O54" s="61">
        <f>IF(ISNUMBER(INDEX('M03-S02'!$AO$18:$AO$198,2*(ROWS($M$35:M54)-1)+1)),IFERROR(INDEX('M03-S02'!$AO$18:$AO$198,2*(ROWS($O$35:O54)-1)+1)*INCENTCAPADJ,""),0)</f>
        <v>0</v>
      </c>
      <c r="P54" s="151" t="str">
        <f>IFERROR(IF(NOT(ISNUMBER(INDEX('M03-S02'!$AO$18:$AO$198,2*(ROWS($O$35:O54)-1)+1))),INDEX('M03-S02'!$AL$18:$AL$198,2*(ROWS($M$35:M54)-1)+1),0),0)</f>
        <v/>
      </c>
      <c r="Q54" s="189" t="str">
        <f>IFERROR(IF(NOT(ISNUMBER(INDEX('M03-S02'!$AO$18:$AO$198,2*(ROWS($O$35:O54)-1)+1))),INDEX('M03-S02'!$AV$18:$AV$198,2*(ROWS($N$35:N54)-1)+1),0),0)</f>
        <v/>
      </c>
      <c r="R54" t="str">
        <f>IFERROR(IF(NOT(ISNUMBER(INDEX('M03-S02'!$AO$18:$AO$198,2*(ROWS($O$35:O54)-1)+1))),"Not Eligible",""),"")</f>
        <v>Not Eligible</v>
      </c>
      <c r="S54" s="156" t="str">
        <f>INDEX('M03-S02'!$M$18:$M$198,2*(ROWS($S$35:S54)-1)+1)</f>
        <v/>
      </c>
      <c r="T54" s="156">
        <f>INDEX('M03-S02'!$Y$18:$Y$198,2*(ROWS($T$35:T54)-1)+1)</f>
        <v>0</v>
      </c>
      <c r="U54" s="151">
        <f>INDEX('M03-S02'!$B$18:$B$198,2*(ROWS($U$35:U54)-1)+1)</f>
        <v>20</v>
      </c>
      <c r="V54" s="58">
        <f>INDEX('M03-S02'!$E$18:$E$198,2*(ROWS($V$35:V54)-1)+1)</f>
        <v>0</v>
      </c>
      <c r="W54" s="58">
        <f>IF(INDEX('M03-S02'!$O$18:$O$198,2*(ROWS($W$35:W54)-1)+1)="Fixture","LED Fixture",INDEX('M03-S02'!$O$18:$O$198,2*(ROWS($W$35:W54)-1)+1))</f>
        <v>0</v>
      </c>
      <c r="X54">
        <f>INDEX('M03-S02'!$H$18:$H$198,2*(ROWS($X$35:X54)-1)+1)</f>
        <v>0</v>
      </c>
      <c r="Y54">
        <f>INDEX('M03-S02'!$R$18:$R$198,2*(ROWS($Y$35:Y54)-1)+1)</f>
        <v>0</v>
      </c>
      <c r="Z54" s="61">
        <f>IFERROR(INDEX('M03-S02'!$AF$18:$AF$198,2*(ROWS(Z$35:$Z54)-1)+1)/INDEX('M03-S02'!$AD$18:$AD$198,2*(ROWS(Z$35:$Z54)-1)+1),0)</f>
        <v>0</v>
      </c>
      <c r="AA54" t="str">
        <f>IFERROR(INDEX(CMLIGHTBASE[Measure Subgroup 1],MATCH(INDEX('M03-S02'!$E$18:$E$198,2*(ROWS($V$35:V54)-1)+1),CMLIGHTBASE[Base Desc 1],0)),"")</f>
        <v/>
      </c>
      <c r="AB54" t="str">
        <f>IFERROR(INDEX(CMLIGHTBASE[Measure Subgroup 2],MATCH(INDEX('M03-S02'!$E$18:$E$198,2*(ROWS($V$35:V54)-1)+1),CMLIGHTBASE[Base Desc 1],0)),"")</f>
        <v/>
      </c>
      <c r="AC54" s="135"/>
      <c r="AD54" t="str">
        <f>IF(ISNUMBER(INDEX('M03-S02'!$W$18:$W$198,2*(ROWS($AD$35:AD54)-1)+1)),INDEX('M03-S02'!$W$18:$W$198,2*(ROWS($AD$35:AD54)-1)+1)&amp;" Lamp","")</f>
        <v/>
      </c>
      <c r="AE54" s="151">
        <f>IFERROR(IF(NOT(ISNUMBER(INDEX('M03-S02'!$AO$18:$AO$198,2*(ROWS($O$35:O54)-1)+1))),INDEX('M03-S02'!$U$18:$U$198,2*(ROWS($L$35:L54)-1)+1),0),0)</f>
        <v>0</v>
      </c>
      <c r="AF54" s="151" t="str">
        <f>INDEX('M03-S02'!$AW$18:$AW$198,2*(ROWS($AF$35:AF54)-1)+1)</f>
        <v/>
      </c>
      <c r="AG54" s="151" t="str">
        <f>INDEX('M03-S02'!$AX$18:$AX$198,2*(ROWS($AG$35:AG54)-1)+1)</f>
        <v/>
      </c>
      <c r="AH54" s="151" t="str">
        <f t="shared" si="10"/>
        <v/>
      </c>
      <c r="AI54" s="151" t="str">
        <f t="shared" si="11"/>
        <v/>
      </c>
      <c r="AJ54" s="61" t="str">
        <f t="shared" si="12"/>
        <v/>
      </c>
      <c r="AK54" s="61" t="str">
        <f t="shared" si="13"/>
        <v/>
      </c>
      <c r="AL54" s="61" t="str">
        <f t="shared" si="14"/>
        <v/>
      </c>
      <c r="AM54" s="154"/>
      <c r="AN54" s="61" t="str">
        <f t="shared" si="15"/>
        <v/>
      </c>
      <c r="AO54" s="151">
        <f>INDEX('M03-S02'!$K$18:$K$198,2*(ROWS($AO$35:AO54)-1)+1)</f>
        <v>0</v>
      </c>
      <c r="AP54" s="151">
        <f>INDEX('M03-S02'!$AF$18:$AF$198,2*(ROWS($AP$35:AP54)-1)+1)</f>
        <v>0</v>
      </c>
      <c r="AQ54" s="61" t="str">
        <f>IF(INDEX('M03-S02'!$AL$18:$AL$198,2*(ROWS($AQ$35:AQ54)-1)+1)="","",IF(AND(INDEX('M03-S02'!$AL$18:$AL$198,2*(ROWS($AQ$35:AQ54)-1)+1)&lt;&gt;"",OR(ISNUMBER(SEARCH("AC With",M02S02F32)),M02S02F32="Heat Pump")),LIGHTHEATCOIN,1))</f>
        <v/>
      </c>
      <c r="AR54" s="414">
        <f>(IF(INDEX('M03-S02'!$AO$18:$AO$198,2*(ROWS($O$35:O54)-1)+1)=INDEX('M03-S02'!$BL$18:$BL$198,2*(ROWS($O$35:O54)-1)+1),0,(INDEX('M03-S02'!$BK$18:$BK$198,2*(ROWS($O$35:O54)-1)+1)-INDEX('M03-S02'!$BL$18:$BL$198,2*(ROWS($O$35:O54)-1)+1))))*INCENTCAPADJ</f>
        <v>0</v>
      </c>
    </row>
    <row r="55" spans="1:44" x14ac:dyDescent="0.25">
      <c r="A55" s="66">
        <f t="shared" si="8"/>
        <v>0</v>
      </c>
      <c r="B55" s="66" t="str">
        <f t="shared" si="9"/>
        <v/>
      </c>
      <c r="C55" s="66" t="str">
        <f>IFERROR(IF(J55&gt;0,INDEX('M03-S02'!$BB$18:$BB$198,2*(ROWS($C$35:C55)-1)+1),""),"")</f>
        <v/>
      </c>
      <c r="D55" t="s">
        <v>1096</v>
      </c>
      <c r="E55" t="str">
        <f>IFERROR(INDEX(PMELIGHTLIN[End Use Category],MATCH(INDEX('M03-S02'!$BA$18:$BA$198,2*(ROWS($E$35:E55)-1)+1),PMELIGHTLIN[Measure Validator],0)),"")</f>
        <v/>
      </c>
      <c r="F55" s="151">
        <f>INDEX('M03-S02'!$AD$18:$AD$198,2*(ROWS($F$35:F55)-1)+1)</f>
        <v>0</v>
      </c>
      <c r="G55">
        <f>INDEX('M03-S02'!$AA$18:$AA$198,2*(ROWS($G$35:G55)-1)+1)</f>
        <v>0</v>
      </c>
      <c r="H55" s="61">
        <f>ROUND(INDEX('M03-S02'!$U$18:$U$198,2*(ROWS($H$35:H55)-1)+1)*INDEX('M03-S02'!$AH$18:$AH$198,2*(ROWS($H$35:H55)-1)+1),2)</f>
        <v>0</v>
      </c>
      <c r="I55" s="61">
        <f>ROUND(INDEX('M03-S02'!$U$18:$U$198,2*(ROWS($I$35:I55)-1)+1)*INDEX('M03-S02'!$AJ$18:$AJ$198,2*(ROWS($I$35:I55)-1)+1),2)</f>
        <v>0</v>
      </c>
      <c r="J55" s="61" t="str">
        <f>INDEX('M03-S02'!$AU$18:$AU$198,2*(ROWS($J$35:J55)-1)+1)</f>
        <v/>
      </c>
      <c r="K55" t="s">
        <v>119</v>
      </c>
      <c r="L55" s="151">
        <f>IF(ISNUMBER(INDEX('M03-S02'!$AO$18:$AO$198,2*(ROWS($M$35:M55)-1)+1)),INDEX('M03-S02'!$U$18:$U$198,2*(ROWS($L$35:L55)-1)+1),0)</f>
        <v>0</v>
      </c>
      <c r="M55" s="151">
        <f>IF(ISNUMBER(INDEX('M03-S02'!$AO$18:$AO$198,2*(ROWS($M$35:M55)-1)+1)),INDEX('M03-S02'!$AL$18:$AL$198,2*(ROWS($M$35:M55)-1)+1),0)</f>
        <v>0</v>
      </c>
      <c r="N55" s="189">
        <f>IF(ISNUMBER(INDEX('M03-S02'!$AO$18:$AO$198,2*(ROWS($M$35:M55)-1)+1)),IFERROR(INDEX('M03-S02'!$AV$18:$AV$198,2*(ROWS($N$35:N55)-1)+1),0),0)</f>
        <v>0</v>
      </c>
      <c r="O55" s="61">
        <f>IF(ISNUMBER(INDEX('M03-S02'!$AO$18:$AO$198,2*(ROWS($M$35:M55)-1)+1)),IFERROR(INDEX('M03-S02'!$AO$18:$AO$198,2*(ROWS($O$35:O55)-1)+1)*INCENTCAPADJ,""),0)</f>
        <v>0</v>
      </c>
      <c r="P55" s="151" t="str">
        <f>IFERROR(IF(NOT(ISNUMBER(INDEX('M03-S02'!$AO$18:$AO$198,2*(ROWS($O$35:O55)-1)+1))),INDEX('M03-S02'!$AL$18:$AL$198,2*(ROWS($M$35:M55)-1)+1),0),0)</f>
        <v/>
      </c>
      <c r="Q55" s="189" t="str">
        <f>IFERROR(IF(NOT(ISNUMBER(INDEX('M03-S02'!$AO$18:$AO$198,2*(ROWS($O$35:O55)-1)+1))),INDEX('M03-S02'!$AV$18:$AV$198,2*(ROWS($N$35:N55)-1)+1),0),0)</f>
        <v/>
      </c>
      <c r="R55" t="str">
        <f>IFERROR(IF(NOT(ISNUMBER(INDEX('M03-S02'!$AO$18:$AO$198,2*(ROWS($O$35:O55)-1)+1))),"Not Eligible",""),"")</f>
        <v>Not Eligible</v>
      </c>
      <c r="S55" s="156" t="str">
        <f>INDEX('M03-S02'!$M$18:$M$198,2*(ROWS($S$35:S55)-1)+1)</f>
        <v/>
      </c>
      <c r="T55" s="156">
        <f>INDEX('M03-S02'!$Y$18:$Y$198,2*(ROWS($T$35:T55)-1)+1)</f>
        <v>0</v>
      </c>
      <c r="U55" s="151">
        <f>INDEX('M03-S02'!$B$18:$B$198,2*(ROWS($U$35:U55)-1)+1)</f>
        <v>21</v>
      </c>
      <c r="V55" s="58">
        <f>INDEX('M03-S02'!$E$18:$E$198,2*(ROWS($V$35:V55)-1)+1)</f>
        <v>0</v>
      </c>
      <c r="W55" s="58">
        <f>IF(INDEX('M03-S02'!$O$18:$O$198,2*(ROWS($W$35:W55)-1)+1)="Fixture","LED Fixture",INDEX('M03-S02'!$O$18:$O$198,2*(ROWS($W$35:W55)-1)+1))</f>
        <v>0</v>
      </c>
      <c r="X55">
        <f>INDEX('M03-S02'!$H$18:$H$198,2*(ROWS($X$35:X55)-1)+1)</f>
        <v>0</v>
      </c>
      <c r="Y55">
        <f>INDEX('M03-S02'!$R$18:$R$198,2*(ROWS($Y$35:Y55)-1)+1)</f>
        <v>0</v>
      </c>
      <c r="Z55" s="61">
        <f>IFERROR(INDEX('M03-S02'!$AF$18:$AF$198,2*(ROWS(Z$35:$Z55)-1)+1)/INDEX('M03-S02'!$AD$18:$AD$198,2*(ROWS(Z$35:$Z55)-1)+1),0)</f>
        <v>0</v>
      </c>
      <c r="AA55" t="str">
        <f>IFERROR(INDEX(CMLIGHTBASE[Measure Subgroup 1],MATCH(INDEX('M03-S02'!$E$18:$E$198,2*(ROWS($V$35:V55)-1)+1),CMLIGHTBASE[Base Desc 1],0)),"")</f>
        <v/>
      </c>
      <c r="AB55" t="str">
        <f>IFERROR(INDEX(CMLIGHTBASE[Measure Subgroup 2],MATCH(INDEX('M03-S02'!$E$18:$E$198,2*(ROWS($V$35:V55)-1)+1),CMLIGHTBASE[Base Desc 1],0)),"")</f>
        <v/>
      </c>
      <c r="AC55" s="135"/>
      <c r="AD55" t="str">
        <f>IF(ISNUMBER(INDEX('M03-S02'!$W$18:$W$198,2*(ROWS($AD$35:AD55)-1)+1)),INDEX('M03-S02'!$W$18:$W$198,2*(ROWS($AD$35:AD55)-1)+1)&amp;" Lamp","")</f>
        <v/>
      </c>
      <c r="AE55" s="151">
        <f>IFERROR(IF(NOT(ISNUMBER(INDEX('M03-S02'!$AO$18:$AO$198,2*(ROWS($O$35:O55)-1)+1))),INDEX('M03-S02'!$U$18:$U$198,2*(ROWS($L$35:L55)-1)+1),0),0)</f>
        <v>0</v>
      </c>
      <c r="AF55" s="151" t="str">
        <f>INDEX('M03-S02'!$AW$18:$AW$198,2*(ROWS($AF$35:AF55)-1)+1)</f>
        <v/>
      </c>
      <c r="AG55" s="151" t="str">
        <f>INDEX('M03-S02'!$AX$18:$AX$198,2*(ROWS($AG$35:AG55)-1)+1)</f>
        <v/>
      </c>
      <c r="AH55" s="151" t="str">
        <f t="shared" si="10"/>
        <v/>
      </c>
      <c r="AI55" s="151" t="str">
        <f t="shared" si="11"/>
        <v/>
      </c>
      <c r="AJ55" s="61" t="str">
        <f t="shared" si="12"/>
        <v/>
      </c>
      <c r="AK55" s="61" t="str">
        <f t="shared" si="13"/>
        <v/>
      </c>
      <c r="AL55" s="61" t="str">
        <f t="shared" si="14"/>
        <v/>
      </c>
      <c r="AM55" s="154"/>
      <c r="AN55" s="61" t="str">
        <f t="shared" si="15"/>
        <v/>
      </c>
      <c r="AO55" s="151">
        <f>INDEX('M03-S02'!$K$18:$K$198,2*(ROWS($AO$35:AO55)-1)+1)</f>
        <v>0</v>
      </c>
      <c r="AP55" s="151">
        <f>INDEX('M03-S02'!$AF$18:$AF$198,2*(ROWS($AP$35:AP55)-1)+1)</f>
        <v>0</v>
      </c>
      <c r="AQ55" s="61" t="str">
        <f>IF(INDEX('M03-S02'!$AL$18:$AL$198,2*(ROWS($AQ$35:AQ55)-1)+1)="","",IF(AND(INDEX('M03-S02'!$AL$18:$AL$198,2*(ROWS($AQ$35:AQ55)-1)+1)&lt;&gt;"",OR(ISNUMBER(SEARCH("AC With",M02S02F32)),M02S02F32="Heat Pump")),LIGHTHEATCOIN,1))</f>
        <v/>
      </c>
      <c r="AR55" s="414">
        <f>(IF(INDEX('M03-S02'!$AO$18:$AO$198,2*(ROWS($O$35:O55)-1)+1)=INDEX('M03-S02'!$BL$18:$BL$198,2*(ROWS($O$35:O55)-1)+1),0,(INDEX('M03-S02'!$BK$18:$BK$198,2*(ROWS($O$35:O55)-1)+1)-INDEX('M03-S02'!$BL$18:$BL$198,2*(ROWS($O$35:O55)-1)+1))))*INCENTCAPADJ</f>
        <v>0</v>
      </c>
    </row>
    <row r="56" spans="1:44" x14ac:dyDescent="0.25">
      <c r="A56" s="66">
        <f t="shared" si="8"/>
        <v>0</v>
      </c>
      <c r="B56" s="66" t="str">
        <f t="shared" si="9"/>
        <v/>
      </c>
      <c r="C56" s="66" t="str">
        <f>IFERROR(IF(J56&gt;0,INDEX('M03-S02'!$BB$18:$BB$198,2*(ROWS($C$35:C56)-1)+1),""),"")</f>
        <v/>
      </c>
      <c r="D56" t="s">
        <v>1096</v>
      </c>
      <c r="E56" t="str">
        <f>IFERROR(INDEX(PMELIGHTLIN[End Use Category],MATCH(INDEX('M03-S02'!$BA$18:$BA$198,2*(ROWS($E$35:E56)-1)+1),PMELIGHTLIN[Measure Validator],0)),"")</f>
        <v/>
      </c>
      <c r="F56" s="151">
        <f>INDEX('M03-S02'!$AD$18:$AD$198,2*(ROWS($F$35:F56)-1)+1)</f>
        <v>0</v>
      </c>
      <c r="G56">
        <f>INDEX('M03-S02'!$AA$18:$AA$198,2*(ROWS($G$35:G56)-1)+1)</f>
        <v>0</v>
      </c>
      <c r="H56" s="61">
        <f>ROUND(INDEX('M03-S02'!$U$18:$U$198,2*(ROWS($H$35:H56)-1)+1)*INDEX('M03-S02'!$AH$18:$AH$198,2*(ROWS($H$35:H56)-1)+1),2)</f>
        <v>0</v>
      </c>
      <c r="I56" s="61">
        <f>ROUND(INDEX('M03-S02'!$U$18:$U$198,2*(ROWS($I$35:I56)-1)+1)*INDEX('M03-S02'!$AJ$18:$AJ$198,2*(ROWS($I$35:I56)-1)+1),2)</f>
        <v>0</v>
      </c>
      <c r="J56" s="61" t="str">
        <f>INDEX('M03-S02'!$AU$18:$AU$198,2*(ROWS($J$35:J56)-1)+1)</f>
        <v/>
      </c>
      <c r="K56" t="s">
        <v>119</v>
      </c>
      <c r="L56" s="151">
        <f>IF(ISNUMBER(INDEX('M03-S02'!$AO$18:$AO$198,2*(ROWS($M$35:M56)-1)+1)),INDEX('M03-S02'!$U$18:$U$198,2*(ROWS($L$35:L56)-1)+1),0)</f>
        <v>0</v>
      </c>
      <c r="M56" s="151">
        <f>IF(ISNUMBER(INDEX('M03-S02'!$AO$18:$AO$198,2*(ROWS($M$35:M56)-1)+1)),INDEX('M03-S02'!$AL$18:$AL$198,2*(ROWS($M$35:M56)-1)+1),0)</f>
        <v>0</v>
      </c>
      <c r="N56" s="189">
        <f>IF(ISNUMBER(INDEX('M03-S02'!$AO$18:$AO$198,2*(ROWS($M$35:M56)-1)+1)),IFERROR(INDEX('M03-S02'!$AV$18:$AV$198,2*(ROWS($N$35:N56)-1)+1),0),0)</f>
        <v>0</v>
      </c>
      <c r="O56" s="61">
        <f>IF(ISNUMBER(INDEX('M03-S02'!$AO$18:$AO$198,2*(ROWS($M$35:M56)-1)+1)),IFERROR(INDEX('M03-S02'!$AO$18:$AO$198,2*(ROWS($O$35:O56)-1)+1)*INCENTCAPADJ,""),0)</f>
        <v>0</v>
      </c>
      <c r="P56" s="151" t="str">
        <f>IFERROR(IF(NOT(ISNUMBER(INDEX('M03-S02'!$AO$18:$AO$198,2*(ROWS($O$35:O56)-1)+1))),INDEX('M03-S02'!$AL$18:$AL$198,2*(ROWS($M$35:M56)-1)+1),0),0)</f>
        <v/>
      </c>
      <c r="Q56" s="189" t="str">
        <f>IFERROR(IF(NOT(ISNUMBER(INDEX('M03-S02'!$AO$18:$AO$198,2*(ROWS($O$35:O56)-1)+1))),INDEX('M03-S02'!$AV$18:$AV$198,2*(ROWS($N$35:N56)-1)+1),0),0)</f>
        <v/>
      </c>
      <c r="R56" t="str">
        <f>IFERROR(IF(NOT(ISNUMBER(INDEX('M03-S02'!$AO$18:$AO$198,2*(ROWS($O$35:O56)-1)+1))),"Not Eligible",""),"")</f>
        <v>Not Eligible</v>
      </c>
      <c r="S56" s="156" t="str">
        <f>INDEX('M03-S02'!$M$18:$M$198,2*(ROWS($S$35:S56)-1)+1)</f>
        <v/>
      </c>
      <c r="T56" s="156">
        <f>INDEX('M03-S02'!$Y$18:$Y$198,2*(ROWS($T$35:T56)-1)+1)</f>
        <v>0</v>
      </c>
      <c r="U56" s="151">
        <f>INDEX('M03-S02'!$B$18:$B$198,2*(ROWS($U$35:U56)-1)+1)</f>
        <v>22</v>
      </c>
      <c r="V56" s="58">
        <f>INDEX('M03-S02'!$E$18:$E$198,2*(ROWS($V$35:V56)-1)+1)</f>
        <v>0</v>
      </c>
      <c r="W56" s="58">
        <f>IF(INDEX('M03-S02'!$O$18:$O$198,2*(ROWS($W$35:W56)-1)+1)="Fixture","LED Fixture",INDEX('M03-S02'!$O$18:$O$198,2*(ROWS($W$35:W56)-1)+1))</f>
        <v>0</v>
      </c>
      <c r="X56">
        <f>INDEX('M03-S02'!$H$18:$H$198,2*(ROWS($X$35:X56)-1)+1)</f>
        <v>0</v>
      </c>
      <c r="Y56">
        <f>INDEX('M03-S02'!$R$18:$R$198,2*(ROWS($Y$35:Y56)-1)+1)</f>
        <v>0</v>
      </c>
      <c r="Z56" s="61">
        <f>IFERROR(INDEX('M03-S02'!$AF$18:$AF$198,2*(ROWS(Z$35:$Z56)-1)+1)/INDEX('M03-S02'!$AD$18:$AD$198,2*(ROWS(Z$35:$Z56)-1)+1),0)</f>
        <v>0</v>
      </c>
      <c r="AA56" t="str">
        <f>IFERROR(INDEX(CMLIGHTBASE[Measure Subgroup 1],MATCH(INDEX('M03-S02'!$E$18:$E$198,2*(ROWS($V$35:V56)-1)+1),CMLIGHTBASE[Base Desc 1],0)),"")</f>
        <v/>
      </c>
      <c r="AB56" t="str">
        <f>IFERROR(INDEX(CMLIGHTBASE[Measure Subgroup 2],MATCH(INDEX('M03-S02'!$E$18:$E$198,2*(ROWS($V$35:V56)-1)+1),CMLIGHTBASE[Base Desc 1],0)),"")</f>
        <v/>
      </c>
      <c r="AC56" s="135"/>
      <c r="AD56" t="str">
        <f>IF(ISNUMBER(INDEX('M03-S02'!$W$18:$W$198,2*(ROWS($AD$35:AD56)-1)+1)),INDEX('M03-S02'!$W$18:$W$198,2*(ROWS($AD$35:AD56)-1)+1)&amp;" Lamp","")</f>
        <v/>
      </c>
      <c r="AE56" s="151">
        <f>IFERROR(IF(NOT(ISNUMBER(INDEX('M03-S02'!$AO$18:$AO$198,2*(ROWS($O$35:O56)-1)+1))),INDEX('M03-S02'!$U$18:$U$198,2*(ROWS($L$35:L56)-1)+1),0),0)</f>
        <v>0</v>
      </c>
      <c r="AF56" s="151" t="str">
        <f>INDEX('M03-S02'!$AW$18:$AW$198,2*(ROWS($AF$35:AF56)-1)+1)</f>
        <v/>
      </c>
      <c r="AG56" s="151" t="str">
        <f>INDEX('M03-S02'!$AX$18:$AX$198,2*(ROWS($AG$35:AG56)-1)+1)</f>
        <v/>
      </c>
      <c r="AH56" s="151" t="str">
        <f t="shared" si="10"/>
        <v/>
      </c>
      <c r="AI56" s="151" t="str">
        <f t="shared" si="11"/>
        <v/>
      </c>
      <c r="AJ56" s="61" t="str">
        <f t="shared" si="12"/>
        <v/>
      </c>
      <c r="AK56" s="61" t="str">
        <f t="shared" si="13"/>
        <v/>
      </c>
      <c r="AL56" s="61" t="str">
        <f t="shared" si="14"/>
        <v/>
      </c>
      <c r="AM56" s="154"/>
      <c r="AN56" s="61" t="str">
        <f t="shared" si="15"/>
        <v/>
      </c>
      <c r="AO56" s="151">
        <f>INDEX('M03-S02'!$K$18:$K$198,2*(ROWS($AO$35:AO56)-1)+1)</f>
        <v>0</v>
      </c>
      <c r="AP56" s="151">
        <f>INDEX('M03-S02'!$AF$18:$AF$198,2*(ROWS($AP$35:AP56)-1)+1)</f>
        <v>0</v>
      </c>
      <c r="AQ56" s="61" t="str">
        <f>IF(INDEX('M03-S02'!$AL$18:$AL$198,2*(ROWS($AQ$35:AQ56)-1)+1)="","",IF(AND(INDEX('M03-S02'!$AL$18:$AL$198,2*(ROWS($AQ$35:AQ56)-1)+1)&lt;&gt;"",OR(ISNUMBER(SEARCH("AC With",M02S02F32)),M02S02F32="Heat Pump")),LIGHTHEATCOIN,1))</f>
        <v/>
      </c>
      <c r="AR56" s="414">
        <f>(IF(INDEX('M03-S02'!$AO$18:$AO$198,2*(ROWS($O$35:O56)-1)+1)=INDEX('M03-S02'!$BL$18:$BL$198,2*(ROWS($O$35:O56)-1)+1),0,(INDEX('M03-S02'!$BK$18:$BK$198,2*(ROWS($O$35:O56)-1)+1)-INDEX('M03-S02'!$BL$18:$BL$198,2*(ROWS($O$35:O56)-1)+1))))*INCENTCAPADJ</f>
        <v>0</v>
      </c>
    </row>
    <row r="57" spans="1:44" x14ac:dyDescent="0.25">
      <c r="A57" s="66">
        <f t="shared" si="8"/>
        <v>0</v>
      </c>
      <c r="B57" s="66" t="str">
        <f t="shared" si="9"/>
        <v/>
      </c>
      <c r="C57" s="66" t="str">
        <f>IFERROR(IF(J57&gt;0,INDEX('M03-S02'!$BB$18:$BB$198,2*(ROWS($C$35:C57)-1)+1),""),"")</f>
        <v/>
      </c>
      <c r="D57" t="s">
        <v>1096</v>
      </c>
      <c r="E57" t="str">
        <f>IFERROR(INDEX(PMELIGHTLIN[End Use Category],MATCH(INDEX('M03-S02'!$BA$18:$BA$198,2*(ROWS($E$35:E57)-1)+1),PMELIGHTLIN[Measure Validator],0)),"")</f>
        <v/>
      </c>
      <c r="F57" s="151">
        <f>INDEX('M03-S02'!$AD$18:$AD$198,2*(ROWS($F$35:F57)-1)+1)</f>
        <v>0</v>
      </c>
      <c r="G57">
        <f>INDEX('M03-S02'!$AA$18:$AA$198,2*(ROWS($G$35:G57)-1)+1)</f>
        <v>0</v>
      </c>
      <c r="H57" s="61">
        <f>ROUND(INDEX('M03-S02'!$U$18:$U$198,2*(ROWS($H$35:H57)-1)+1)*INDEX('M03-S02'!$AH$18:$AH$198,2*(ROWS($H$35:H57)-1)+1),2)</f>
        <v>0</v>
      </c>
      <c r="I57" s="61">
        <f>ROUND(INDEX('M03-S02'!$U$18:$U$198,2*(ROWS($I$35:I57)-1)+1)*INDEX('M03-S02'!$AJ$18:$AJ$198,2*(ROWS($I$35:I57)-1)+1),2)</f>
        <v>0</v>
      </c>
      <c r="J57" s="61" t="str">
        <f>INDEX('M03-S02'!$AU$18:$AU$198,2*(ROWS($J$35:J57)-1)+1)</f>
        <v/>
      </c>
      <c r="K57" t="s">
        <v>119</v>
      </c>
      <c r="L57" s="151">
        <f>IF(ISNUMBER(INDEX('M03-S02'!$AO$18:$AO$198,2*(ROWS($M$35:M57)-1)+1)),INDEX('M03-S02'!$U$18:$U$198,2*(ROWS($L$35:L57)-1)+1),0)</f>
        <v>0</v>
      </c>
      <c r="M57" s="151">
        <f>IF(ISNUMBER(INDEX('M03-S02'!$AO$18:$AO$198,2*(ROWS($M$35:M57)-1)+1)),INDEX('M03-S02'!$AL$18:$AL$198,2*(ROWS($M$35:M57)-1)+1),0)</f>
        <v>0</v>
      </c>
      <c r="N57" s="189">
        <f>IF(ISNUMBER(INDEX('M03-S02'!$AO$18:$AO$198,2*(ROWS($M$35:M57)-1)+1)),IFERROR(INDEX('M03-S02'!$AV$18:$AV$198,2*(ROWS($N$35:N57)-1)+1),0),0)</f>
        <v>0</v>
      </c>
      <c r="O57" s="61">
        <f>IF(ISNUMBER(INDEX('M03-S02'!$AO$18:$AO$198,2*(ROWS($M$35:M57)-1)+1)),IFERROR(INDEX('M03-S02'!$AO$18:$AO$198,2*(ROWS($O$35:O57)-1)+1)*INCENTCAPADJ,""),0)</f>
        <v>0</v>
      </c>
      <c r="P57" s="151" t="str">
        <f>IFERROR(IF(NOT(ISNUMBER(INDEX('M03-S02'!$AO$18:$AO$198,2*(ROWS($O$35:O57)-1)+1))),INDEX('M03-S02'!$AL$18:$AL$198,2*(ROWS($M$35:M57)-1)+1),0),0)</f>
        <v/>
      </c>
      <c r="Q57" s="189" t="str">
        <f>IFERROR(IF(NOT(ISNUMBER(INDEX('M03-S02'!$AO$18:$AO$198,2*(ROWS($O$35:O57)-1)+1))),INDEX('M03-S02'!$AV$18:$AV$198,2*(ROWS($N$35:N57)-1)+1),0),0)</f>
        <v/>
      </c>
      <c r="R57" t="str">
        <f>IFERROR(IF(NOT(ISNUMBER(INDEX('M03-S02'!$AO$18:$AO$198,2*(ROWS($O$35:O57)-1)+1))),"Not Eligible",""),"")</f>
        <v>Not Eligible</v>
      </c>
      <c r="S57" s="156" t="str">
        <f>INDEX('M03-S02'!$M$18:$M$198,2*(ROWS($S$35:S57)-1)+1)</f>
        <v/>
      </c>
      <c r="T57" s="156">
        <f>INDEX('M03-S02'!$Y$18:$Y$198,2*(ROWS($T$35:T57)-1)+1)</f>
        <v>0</v>
      </c>
      <c r="U57" s="151">
        <f>INDEX('M03-S02'!$B$18:$B$198,2*(ROWS($U$35:U57)-1)+1)</f>
        <v>23</v>
      </c>
      <c r="V57" s="58">
        <f>INDEX('M03-S02'!$E$18:$E$198,2*(ROWS($V$35:V57)-1)+1)</f>
        <v>0</v>
      </c>
      <c r="W57" s="58">
        <f>IF(INDEX('M03-S02'!$O$18:$O$198,2*(ROWS($W$35:W57)-1)+1)="Fixture","LED Fixture",INDEX('M03-S02'!$O$18:$O$198,2*(ROWS($W$35:W57)-1)+1))</f>
        <v>0</v>
      </c>
      <c r="X57">
        <f>INDEX('M03-S02'!$H$18:$H$198,2*(ROWS($X$35:X57)-1)+1)</f>
        <v>0</v>
      </c>
      <c r="Y57">
        <f>INDEX('M03-S02'!$R$18:$R$198,2*(ROWS($Y$35:Y57)-1)+1)</f>
        <v>0</v>
      </c>
      <c r="Z57" s="61">
        <f>IFERROR(INDEX('M03-S02'!$AF$18:$AF$198,2*(ROWS(Z$35:$Z57)-1)+1)/INDEX('M03-S02'!$AD$18:$AD$198,2*(ROWS(Z$35:$Z57)-1)+1),0)</f>
        <v>0</v>
      </c>
      <c r="AA57" t="str">
        <f>IFERROR(INDEX(CMLIGHTBASE[Measure Subgroup 1],MATCH(INDEX('M03-S02'!$E$18:$E$198,2*(ROWS($V$35:V57)-1)+1),CMLIGHTBASE[Base Desc 1],0)),"")</f>
        <v/>
      </c>
      <c r="AB57" t="str">
        <f>IFERROR(INDEX(CMLIGHTBASE[Measure Subgroup 2],MATCH(INDEX('M03-S02'!$E$18:$E$198,2*(ROWS($V$35:V57)-1)+1),CMLIGHTBASE[Base Desc 1],0)),"")</f>
        <v/>
      </c>
      <c r="AC57" s="135"/>
      <c r="AD57" t="str">
        <f>IF(ISNUMBER(INDEX('M03-S02'!$W$18:$W$198,2*(ROWS($AD$35:AD57)-1)+1)),INDEX('M03-S02'!$W$18:$W$198,2*(ROWS($AD$35:AD57)-1)+1)&amp;" Lamp","")</f>
        <v/>
      </c>
      <c r="AE57" s="151">
        <f>IFERROR(IF(NOT(ISNUMBER(INDEX('M03-S02'!$AO$18:$AO$198,2*(ROWS($O$35:O57)-1)+1))),INDEX('M03-S02'!$U$18:$U$198,2*(ROWS($L$35:L57)-1)+1),0),0)</f>
        <v>0</v>
      </c>
      <c r="AF57" s="151" t="str">
        <f>INDEX('M03-S02'!$AW$18:$AW$198,2*(ROWS($AF$35:AF57)-1)+1)</f>
        <v/>
      </c>
      <c r="AG57" s="151" t="str">
        <f>INDEX('M03-S02'!$AX$18:$AX$198,2*(ROWS($AG$35:AG57)-1)+1)</f>
        <v/>
      </c>
      <c r="AH57" s="151" t="str">
        <f t="shared" si="10"/>
        <v/>
      </c>
      <c r="AI57" s="151" t="str">
        <f t="shared" si="11"/>
        <v/>
      </c>
      <c r="AJ57" s="61" t="str">
        <f t="shared" si="12"/>
        <v/>
      </c>
      <c r="AK57" s="61" t="str">
        <f t="shared" si="13"/>
        <v/>
      </c>
      <c r="AL57" s="61" t="str">
        <f t="shared" si="14"/>
        <v/>
      </c>
      <c r="AM57" s="154"/>
      <c r="AN57" s="61" t="str">
        <f t="shared" si="15"/>
        <v/>
      </c>
      <c r="AO57" s="151">
        <f>INDEX('M03-S02'!$K$18:$K$198,2*(ROWS($AO$35:AO57)-1)+1)</f>
        <v>0</v>
      </c>
      <c r="AP57" s="151">
        <f>INDEX('M03-S02'!$AF$18:$AF$198,2*(ROWS($AP$35:AP57)-1)+1)</f>
        <v>0</v>
      </c>
      <c r="AQ57" s="61" t="str">
        <f>IF(INDEX('M03-S02'!$AL$18:$AL$198,2*(ROWS($AQ$35:AQ57)-1)+1)="","",IF(AND(INDEX('M03-S02'!$AL$18:$AL$198,2*(ROWS($AQ$35:AQ57)-1)+1)&lt;&gt;"",OR(ISNUMBER(SEARCH("AC With",M02S02F32)),M02S02F32="Heat Pump")),LIGHTHEATCOIN,1))</f>
        <v/>
      </c>
      <c r="AR57" s="414">
        <f>(IF(INDEX('M03-S02'!$AO$18:$AO$198,2*(ROWS($O$35:O57)-1)+1)=INDEX('M03-S02'!$BL$18:$BL$198,2*(ROWS($O$35:O57)-1)+1),0,(INDEX('M03-S02'!$BK$18:$BK$198,2*(ROWS($O$35:O57)-1)+1)-INDEX('M03-S02'!$BL$18:$BL$198,2*(ROWS($O$35:O57)-1)+1))))*INCENTCAPADJ</f>
        <v>0</v>
      </c>
    </row>
    <row r="58" spans="1:44" x14ac:dyDescent="0.25">
      <c r="A58" s="66">
        <f t="shared" si="8"/>
        <v>0</v>
      </c>
      <c r="B58" s="66" t="str">
        <f t="shared" si="9"/>
        <v/>
      </c>
      <c r="C58" s="66" t="str">
        <f>IFERROR(IF(J58&gt;0,INDEX('M03-S02'!$BB$18:$BB$198,2*(ROWS($C$35:C58)-1)+1),""),"")</f>
        <v/>
      </c>
      <c r="D58" t="s">
        <v>1096</v>
      </c>
      <c r="E58" t="str">
        <f>IFERROR(INDEX(PMELIGHTLIN[End Use Category],MATCH(INDEX('M03-S02'!$BA$18:$BA$198,2*(ROWS($E$35:E58)-1)+1),PMELIGHTLIN[Measure Validator],0)),"")</f>
        <v/>
      </c>
      <c r="F58" s="151">
        <f>INDEX('M03-S02'!$AD$18:$AD$198,2*(ROWS($F$35:F58)-1)+1)</f>
        <v>0</v>
      </c>
      <c r="G58">
        <f>INDEX('M03-S02'!$AA$18:$AA$198,2*(ROWS($G$35:G58)-1)+1)</f>
        <v>0</v>
      </c>
      <c r="H58" s="61">
        <f>ROUND(INDEX('M03-S02'!$U$18:$U$198,2*(ROWS($H$35:H58)-1)+1)*INDEX('M03-S02'!$AH$18:$AH$198,2*(ROWS($H$35:H58)-1)+1),2)</f>
        <v>0</v>
      </c>
      <c r="I58" s="61">
        <f>ROUND(INDEX('M03-S02'!$U$18:$U$198,2*(ROWS($I$35:I58)-1)+1)*INDEX('M03-S02'!$AJ$18:$AJ$198,2*(ROWS($I$35:I58)-1)+1),2)</f>
        <v>0</v>
      </c>
      <c r="J58" s="61" t="str">
        <f>INDEX('M03-S02'!$AU$18:$AU$198,2*(ROWS($J$35:J58)-1)+1)</f>
        <v/>
      </c>
      <c r="K58" t="s">
        <v>119</v>
      </c>
      <c r="L58" s="151">
        <f>IF(ISNUMBER(INDEX('M03-S02'!$AO$18:$AO$198,2*(ROWS($M$35:M58)-1)+1)),INDEX('M03-S02'!$U$18:$U$198,2*(ROWS($L$35:L58)-1)+1),0)</f>
        <v>0</v>
      </c>
      <c r="M58" s="151">
        <f>IF(ISNUMBER(INDEX('M03-S02'!$AO$18:$AO$198,2*(ROWS($M$35:M58)-1)+1)),INDEX('M03-S02'!$AL$18:$AL$198,2*(ROWS($M$35:M58)-1)+1),0)</f>
        <v>0</v>
      </c>
      <c r="N58" s="189">
        <f>IF(ISNUMBER(INDEX('M03-S02'!$AO$18:$AO$198,2*(ROWS($M$35:M58)-1)+1)),IFERROR(INDEX('M03-S02'!$AV$18:$AV$198,2*(ROWS($N$35:N58)-1)+1),0),0)</f>
        <v>0</v>
      </c>
      <c r="O58" s="61">
        <f>IF(ISNUMBER(INDEX('M03-S02'!$AO$18:$AO$198,2*(ROWS($M$35:M58)-1)+1)),IFERROR(INDEX('M03-S02'!$AO$18:$AO$198,2*(ROWS($O$35:O58)-1)+1)*INCENTCAPADJ,""),0)</f>
        <v>0</v>
      </c>
      <c r="P58" s="151" t="str">
        <f>IFERROR(IF(NOT(ISNUMBER(INDEX('M03-S02'!$AO$18:$AO$198,2*(ROWS($O$35:O58)-1)+1))),INDEX('M03-S02'!$AL$18:$AL$198,2*(ROWS($M$35:M58)-1)+1),0),0)</f>
        <v/>
      </c>
      <c r="Q58" s="189" t="str">
        <f>IFERROR(IF(NOT(ISNUMBER(INDEX('M03-S02'!$AO$18:$AO$198,2*(ROWS($O$35:O58)-1)+1))),INDEX('M03-S02'!$AV$18:$AV$198,2*(ROWS($N$35:N58)-1)+1),0),0)</f>
        <v/>
      </c>
      <c r="R58" t="str">
        <f>IFERROR(IF(NOT(ISNUMBER(INDEX('M03-S02'!$AO$18:$AO$198,2*(ROWS($O$35:O58)-1)+1))),"Not Eligible",""),"")</f>
        <v>Not Eligible</v>
      </c>
      <c r="S58" s="156" t="str">
        <f>INDEX('M03-S02'!$M$18:$M$198,2*(ROWS($S$35:S58)-1)+1)</f>
        <v/>
      </c>
      <c r="T58" s="156">
        <f>INDEX('M03-S02'!$Y$18:$Y$198,2*(ROWS($T$35:T58)-1)+1)</f>
        <v>0</v>
      </c>
      <c r="U58" s="151">
        <f>INDEX('M03-S02'!$B$18:$B$198,2*(ROWS($U$35:U58)-1)+1)</f>
        <v>24</v>
      </c>
      <c r="V58" s="58">
        <f>INDEX('M03-S02'!$E$18:$E$198,2*(ROWS($V$35:V58)-1)+1)</f>
        <v>0</v>
      </c>
      <c r="W58" s="58">
        <f>IF(INDEX('M03-S02'!$O$18:$O$198,2*(ROWS($W$35:W58)-1)+1)="Fixture","LED Fixture",INDEX('M03-S02'!$O$18:$O$198,2*(ROWS($W$35:W58)-1)+1))</f>
        <v>0</v>
      </c>
      <c r="X58">
        <f>INDEX('M03-S02'!$H$18:$H$198,2*(ROWS($X$35:X58)-1)+1)</f>
        <v>0</v>
      </c>
      <c r="Y58">
        <f>INDEX('M03-S02'!$R$18:$R$198,2*(ROWS($Y$35:Y58)-1)+1)</f>
        <v>0</v>
      </c>
      <c r="Z58" s="61">
        <f>IFERROR(INDEX('M03-S02'!$AF$18:$AF$198,2*(ROWS(Z$35:$Z58)-1)+1)/INDEX('M03-S02'!$AD$18:$AD$198,2*(ROWS(Z$35:$Z58)-1)+1),0)</f>
        <v>0</v>
      </c>
      <c r="AA58" t="str">
        <f>IFERROR(INDEX(CMLIGHTBASE[Measure Subgroup 1],MATCH(INDEX('M03-S02'!$E$18:$E$198,2*(ROWS($V$35:V58)-1)+1),CMLIGHTBASE[Base Desc 1],0)),"")</f>
        <v/>
      </c>
      <c r="AB58" t="str">
        <f>IFERROR(INDEX(CMLIGHTBASE[Measure Subgroup 2],MATCH(INDEX('M03-S02'!$E$18:$E$198,2*(ROWS($V$35:V58)-1)+1),CMLIGHTBASE[Base Desc 1],0)),"")</f>
        <v/>
      </c>
      <c r="AC58" s="135"/>
      <c r="AD58" t="str">
        <f>IF(ISNUMBER(INDEX('M03-S02'!$W$18:$W$198,2*(ROWS($AD$35:AD58)-1)+1)),INDEX('M03-S02'!$W$18:$W$198,2*(ROWS($AD$35:AD58)-1)+1)&amp;" Lamp","")</f>
        <v/>
      </c>
      <c r="AE58" s="151">
        <f>IFERROR(IF(NOT(ISNUMBER(INDEX('M03-S02'!$AO$18:$AO$198,2*(ROWS($O$35:O58)-1)+1))),INDEX('M03-S02'!$U$18:$U$198,2*(ROWS($L$35:L58)-1)+1),0),0)</f>
        <v>0</v>
      </c>
      <c r="AF58" s="151" t="str">
        <f>INDEX('M03-S02'!$AW$18:$AW$198,2*(ROWS($AF$35:AF58)-1)+1)</f>
        <v/>
      </c>
      <c r="AG58" s="151" t="str">
        <f>INDEX('M03-S02'!$AX$18:$AX$198,2*(ROWS($AG$35:AG58)-1)+1)</f>
        <v/>
      </c>
      <c r="AH58" s="151" t="str">
        <f t="shared" si="10"/>
        <v/>
      </c>
      <c r="AI58" s="151" t="str">
        <f t="shared" si="11"/>
        <v/>
      </c>
      <c r="AJ58" s="61" t="str">
        <f t="shared" si="12"/>
        <v/>
      </c>
      <c r="AK58" s="61" t="str">
        <f t="shared" si="13"/>
        <v/>
      </c>
      <c r="AL58" s="61" t="str">
        <f t="shared" si="14"/>
        <v/>
      </c>
      <c r="AM58" s="154"/>
      <c r="AN58" s="61" t="str">
        <f t="shared" si="15"/>
        <v/>
      </c>
      <c r="AO58" s="151">
        <f>INDEX('M03-S02'!$K$18:$K$198,2*(ROWS($AO$35:AO58)-1)+1)</f>
        <v>0</v>
      </c>
      <c r="AP58" s="151">
        <f>INDEX('M03-S02'!$AF$18:$AF$198,2*(ROWS($AP$35:AP58)-1)+1)</f>
        <v>0</v>
      </c>
      <c r="AQ58" s="61" t="str">
        <f>IF(INDEX('M03-S02'!$AL$18:$AL$198,2*(ROWS($AQ$35:AQ58)-1)+1)="","",IF(AND(INDEX('M03-S02'!$AL$18:$AL$198,2*(ROWS($AQ$35:AQ58)-1)+1)&lt;&gt;"",OR(ISNUMBER(SEARCH("AC With",M02S02F32)),M02S02F32="Heat Pump")),LIGHTHEATCOIN,1))</f>
        <v/>
      </c>
      <c r="AR58" s="414">
        <f>(IF(INDEX('M03-S02'!$AO$18:$AO$198,2*(ROWS($O$35:O58)-1)+1)=INDEX('M03-S02'!$BL$18:$BL$198,2*(ROWS($O$35:O58)-1)+1),0,(INDEX('M03-S02'!$BK$18:$BK$198,2*(ROWS($O$35:O58)-1)+1)-INDEX('M03-S02'!$BL$18:$BL$198,2*(ROWS($O$35:O58)-1)+1))))*INCENTCAPADJ</f>
        <v>0</v>
      </c>
    </row>
    <row r="59" spans="1:44" x14ac:dyDescent="0.25">
      <c r="A59" s="66">
        <f t="shared" si="8"/>
        <v>0</v>
      </c>
      <c r="B59" s="66" t="str">
        <f t="shared" si="9"/>
        <v/>
      </c>
      <c r="C59" s="66" t="str">
        <f>IFERROR(IF(J59&gt;0,INDEX('M03-S02'!$BB$18:$BB$198,2*(ROWS($C$35:C59)-1)+1),""),"")</f>
        <v/>
      </c>
      <c r="D59" t="s">
        <v>1096</v>
      </c>
      <c r="E59" t="str">
        <f>IFERROR(INDEX(PMELIGHTLIN[End Use Category],MATCH(INDEX('M03-S02'!$BA$18:$BA$198,2*(ROWS($E$35:E59)-1)+1),PMELIGHTLIN[Measure Validator],0)),"")</f>
        <v/>
      </c>
      <c r="F59" s="151">
        <f>INDEX('M03-S02'!$AD$18:$AD$198,2*(ROWS($F$35:F59)-1)+1)</f>
        <v>0</v>
      </c>
      <c r="G59">
        <f>INDEX('M03-S02'!$AA$18:$AA$198,2*(ROWS($G$35:G59)-1)+1)</f>
        <v>0</v>
      </c>
      <c r="H59" s="61">
        <f>ROUND(INDEX('M03-S02'!$U$18:$U$198,2*(ROWS($H$35:H59)-1)+1)*INDEX('M03-S02'!$AH$18:$AH$198,2*(ROWS($H$35:H59)-1)+1),2)</f>
        <v>0</v>
      </c>
      <c r="I59" s="61">
        <f>ROUND(INDEX('M03-S02'!$U$18:$U$198,2*(ROWS($I$35:I59)-1)+1)*INDEX('M03-S02'!$AJ$18:$AJ$198,2*(ROWS($I$35:I59)-1)+1),2)</f>
        <v>0</v>
      </c>
      <c r="J59" s="61" t="str">
        <f>INDEX('M03-S02'!$AU$18:$AU$198,2*(ROWS($J$35:J59)-1)+1)</f>
        <v/>
      </c>
      <c r="K59" t="s">
        <v>119</v>
      </c>
      <c r="L59" s="151">
        <f>IF(ISNUMBER(INDEX('M03-S02'!$AO$18:$AO$198,2*(ROWS($M$35:M59)-1)+1)),INDEX('M03-S02'!$U$18:$U$198,2*(ROWS($L$35:L59)-1)+1),0)</f>
        <v>0</v>
      </c>
      <c r="M59" s="151">
        <f>IF(ISNUMBER(INDEX('M03-S02'!$AO$18:$AO$198,2*(ROWS($M$35:M59)-1)+1)),INDEX('M03-S02'!$AL$18:$AL$198,2*(ROWS($M$35:M59)-1)+1),0)</f>
        <v>0</v>
      </c>
      <c r="N59" s="189">
        <f>IF(ISNUMBER(INDEX('M03-S02'!$AO$18:$AO$198,2*(ROWS($M$35:M59)-1)+1)),IFERROR(INDEX('M03-S02'!$AV$18:$AV$198,2*(ROWS($N$35:N59)-1)+1),0),0)</f>
        <v>0</v>
      </c>
      <c r="O59" s="61">
        <f>IF(ISNUMBER(INDEX('M03-S02'!$AO$18:$AO$198,2*(ROWS($M$35:M59)-1)+1)),IFERROR(INDEX('M03-S02'!$AO$18:$AO$198,2*(ROWS($O$35:O59)-1)+1)*INCENTCAPADJ,""),0)</f>
        <v>0</v>
      </c>
      <c r="P59" s="151" t="str">
        <f>IFERROR(IF(NOT(ISNUMBER(INDEX('M03-S02'!$AO$18:$AO$198,2*(ROWS($O$35:O59)-1)+1))),INDEX('M03-S02'!$AL$18:$AL$198,2*(ROWS($M$35:M59)-1)+1),0),0)</f>
        <v/>
      </c>
      <c r="Q59" s="189" t="str">
        <f>IFERROR(IF(NOT(ISNUMBER(INDEX('M03-S02'!$AO$18:$AO$198,2*(ROWS($O$35:O59)-1)+1))),INDEX('M03-S02'!$AV$18:$AV$198,2*(ROWS($N$35:N59)-1)+1),0),0)</f>
        <v/>
      </c>
      <c r="R59" t="str">
        <f>IFERROR(IF(NOT(ISNUMBER(INDEX('M03-S02'!$AO$18:$AO$198,2*(ROWS($O$35:O59)-1)+1))),"Not Eligible",""),"")</f>
        <v>Not Eligible</v>
      </c>
      <c r="S59" s="156" t="str">
        <f>INDEX('M03-S02'!$M$18:$M$198,2*(ROWS($S$35:S59)-1)+1)</f>
        <v/>
      </c>
      <c r="T59" s="156">
        <f>INDEX('M03-S02'!$Y$18:$Y$198,2*(ROWS($T$35:T59)-1)+1)</f>
        <v>0</v>
      </c>
      <c r="U59" s="151">
        <f>INDEX('M03-S02'!$B$18:$B$198,2*(ROWS($U$35:U59)-1)+1)</f>
        <v>25</v>
      </c>
      <c r="V59" s="58">
        <f>INDEX('M03-S02'!$E$18:$E$198,2*(ROWS($V$35:V59)-1)+1)</f>
        <v>0</v>
      </c>
      <c r="W59" s="58">
        <f>IF(INDEX('M03-S02'!$O$18:$O$198,2*(ROWS($W$35:W59)-1)+1)="Fixture","LED Fixture",INDEX('M03-S02'!$O$18:$O$198,2*(ROWS($W$35:W59)-1)+1))</f>
        <v>0</v>
      </c>
      <c r="X59">
        <f>INDEX('M03-S02'!$H$18:$H$198,2*(ROWS($X$35:X59)-1)+1)</f>
        <v>0</v>
      </c>
      <c r="Y59">
        <f>INDEX('M03-S02'!$R$18:$R$198,2*(ROWS($Y$35:Y59)-1)+1)</f>
        <v>0</v>
      </c>
      <c r="Z59" s="61">
        <f>IFERROR(INDEX('M03-S02'!$AF$18:$AF$198,2*(ROWS(Z$35:$Z59)-1)+1)/INDEX('M03-S02'!$AD$18:$AD$198,2*(ROWS(Z$35:$Z59)-1)+1),0)</f>
        <v>0</v>
      </c>
      <c r="AA59" t="str">
        <f>IFERROR(INDEX(CMLIGHTBASE[Measure Subgroup 1],MATCH(INDEX('M03-S02'!$E$18:$E$198,2*(ROWS($V$35:V59)-1)+1),CMLIGHTBASE[Base Desc 1],0)),"")</f>
        <v/>
      </c>
      <c r="AB59" t="str">
        <f>IFERROR(INDEX(CMLIGHTBASE[Measure Subgroup 2],MATCH(INDEX('M03-S02'!$E$18:$E$198,2*(ROWS($V$35:V59)-1)+1),CMLIGHTBASE[Base Desc 1],0)),"")</f>
        <v/>
      </c>
      <c r="AC59" s="135"/>
      <c r="AD59" t="str">
        <f>IF(ISNUMBER(INDEX('M03-S02'!$W$18:$W$198,2*(ROWS($AD$35:AD59)-1)+1)),INDEX('M03-S02'!$W$18:$W$198,2*(ROWS($AD$35:AD59)-1)+1)&amp;" Lamp","")</f>
        <v/>
      </c>
      <c r="AE59" s="151">
        <f>IFERROR(IF(NOT(ISNUMBER(INDEX('M03-S02'!$AO$18:$AO$198,2*(ROWS($O$35:O59)-1)+1))),INDEX('M03-S02'!$U$18:$U$198,2*(ROWS($L$35:L59)-1)+1),0),0)</f>
        <v>0</v>
      </c>
      <c r="AF59" s="151" t="str">
        <f>INDEX('M03-S02'!$AW$18:$AW$198,2*(ROWS($AF$35:AF59)-1)+1)</f>
        <v/>
      </c>
      <c r="AG59" s="151" t="str">
        <f>INDEX('M03-S02'!$AX$18:$AX$198,2*(ROWS($AG$35:AG59)-1)+1)</f>
        <v/>
      </c>
      <c r="AH59" s="151" t="str">
        <f t="shared" si="10"/>
        <v/>
      </c>
      <c r="AI59" s="151" t="str">
        <f t="shared" si="11"/>
        <v/>
      </c>
      <c r="AJ59" s="61" t="str">
        <f t="shared" si="12"/>
        <v/>
      </c>
      <c r="AK59" s="61" t="str">
        <f t="shared" si="13"/>
        <v/>
      </c>
      <c r="AL59" s="61" t="str">
        <f t="shared" si="14"/>
        <v/>
      </c>
      <c r="AM59" s="154"/>
      <c r="AN59" s="61" t="str">
        <f t="shared" si="15"/>
        <v/>
      </c>
      <c r="AO59" s="151">
        <f>INDEX('M03-S02'!$K$18:$K$198,2*(ROWS($AO$35:AO59)-1)+1)</f>
        <v>0</v>
      </c>
      <c r="AP59" s="151">
        <f>INDEX('M03-S02'!$AF$18:$AF$198,2*(ROWS($AP$35:AP59)-1)+1)</f>
        <v>0</v>
      </c>
      <c r="AQ59" s="61" t="str">
        <f>IF(INDEX('M03-S02'!$AL$18:$AL$198,2*(ROWS($AQ$35:AQ59)-1)+1)="","",IF(AND(INDEX('M03-S02'!$AL$18:$AL$198,2*(ROWS($AQ$35:AQ59)-1)+1)&lt;&gt;"",OR(ISNUMBER(SEARCH("AC With",M02S02F32)),M02S02F32="Heat Pump")),LIGHTHEATCOIN,1))</f>
        <v/>
      </c>
      <c r="AR59" s="414">
        <f>(IF(INDEX('M03-S02'!$AO$18:$AO$198,2*(ROWS($O$35:O59)-1)+1)=INDEX('M03-S02'!$BL$18:$BL$198,2*(ROWS($O$35:O59)-1)+1),0,(INDEX('M03-S02'!$BK$18:$BK$198,2*(ROWS($O$35:O59)-1)+1)-INDEX('M03-S02'!$BL$18:$BL$198,2*(ROWS($O$35:O59)-1)+1))))*INCENTCAPADJ</f>
        <v>0</v>
      </c>
    </row>
    <row r="60" spans="1:44" x14ac:dyDescent="0.25">
      <c r="A60" s="66">
        <f t="shared" si="8"/>
        <v>0</v>
      </c>
      <c r="B60" s="66" t="str">
        <f t="shared" si="9"/>
        <v/>
      </c>
      <c r="C60" s="66" t="str">
        <f>IFERROR(IF(J60&gt;0,INDEX('M03-S02'!$BB$18:$BB$198,2*(ROWS($C$35:C60)-1)+1),""),"")</f>
        <v/>
      </c>
      <c r="D60" t="s">
        <v>1096</v>
      </c>
      <c r="E60" t="str">
        <f>IFERROR(INDEX(PMELIGHTLIN[End Use Category],MATCH(INDEX('M03-S02'!$BA$18:$BA$198,2*(ROWS($E$35:E60)-1)+1),PMELIGHTLIN[Measure Validator],0)),"")</f>
        <v/>
      </c>
      <c r="F60" s="151">
        <f>INDEX('M03-S02'!$AD$18:$AD$198,2*(ROWS($F$35:F60)-1)+1)</f>
        <v>0</v>
      </c>
      <c r="G60">
        <f>INDEX('M03-S02'!$AA$18:$AA$198,2*(ROWS($G$35:G60)-1)+1)</f>
        <v>0</v>
      </c>
      <c r="H60" s="61">
        <f>ROUND(INDEX('M03-S02'!$U$18:$U$198,2*(ROWS($H$35:H60)-1)+1)*INDEX('M03-S02'!$AH$18:$AH$198,2*(ROWS($H$35:H60)-1)+1),2)</f>
        <v>0</v>
      </c>
      <c r="I60" s="61">
        <f>ROUND(INDEX('M03-S02'!$U$18:$U$198,2*(ROWS($I$35:I60)-1)+1)*INDEX('M03-S02'!$AJ$18:$AJ$198,2*(ROWS($I$35:I60)-1)+1),2)</f>
        <v>0</v>
      </c>
      <c r="J60" s="61" t="str">
        <f>INDEX('M03-S02'!$AU$18:$AU$198,2*(ROWS($J$35:J60)-1)+1)</f>
        <v/>
      </c>
      <c r="K60" t="s">
        <v>119</v>
      </c>
      <c r="L60" s="151">
        <f>IF(ISNUMBER(INDEX('M03-S02'!$AO$18:$AO$198,2*(ROWS($M$35:M60)-1)+1)),INDEX('M03-S02'!$U$18:$U$198,2*(ROWS($L$35:L60)-1)+1),0)</f>
        <v>0</v>
      </c>
      <c r="M60" s="151">
        <f>IF(ISNUMBER(INDEX('M03-S02'!$AO$18:$AO$198,2*(ROWS($M$35:M60)-1)+1)),INDEX('M03-S02'!$AL$18:$AL$198,2*(ROWS($M$35:M60)-1)+1),0)</f>
        <v>0</v>
      </c>
      <c r="N60" s="189">
        <f>IF(ISNUMBER(INDEX('M03-S02'!$AO$18:$AO$198,2*(ROWS($M$35:M60)-1)+1)),IFERROR(INDEX('M03-S02'!$AV$18:$AV$198,2*(ROWS($N$35:N60)-1)+1),0),0)</f>
        <v>0</v>
      </c>
      <c r="O60" s="61">
        <f>IF(ISNUMBER(INDEX('M03-S02'!$AO$18:$AO$198,2*(ROWS($M$35:M60)-1)+1)),IFERROR(INDEX('M03-S02'!$AO$18:$AO$198,2*(ROWS($O$35:O60)-1)+1)*INCENTCAPADJ,""),0)</f>
        <v>0</v>
      </c>
      <c r="P60" s="151" t="str">
        <f>IFERROR(IF(NOT(ISNUMBER(INDEX('M03-S02'!$AO$18:$AO$198,2*(ROWS($O$35:O60)-1)+1))),INDEX('M03-S02'!$AL$18:$AL$198,2*(ROWS($M$35:M60)-1)+1),0),0)</f>
        <v/>
      </c>
      <c r="Q60" s="189" t="str">
        <f>IFERROR(IF(NOT(ISNUMBER(INDEX('M03-S02'!$AO$18:$AO$198,2*(ROWS($O$35:O60)-1)+1))),INDEX('M03-S02'!$AV$18:$AV$198,2*(ROWS($N$35:N60)-1)+1),0),0)</f>
        <v/>
      </c>
      <c r="R60" t="str">
        <f>IFERROR(IF(NOT(ISNUMBER(INDEX('M03-S02'!$AO$18:$AO$198,2*(ROWS($O$35:O60)-1)+1))),"Not Eligible",""),"")</f>
        <v>Not Eligible</v>
      </c>
      <c r="S60" s="156" t="str">
        <f>INDEX('M03-S02'!$M$18:$M$198,2*(ROWS($S$35:S60)-1)+1)</f>
        <v/>
      </c>
      <c r="T60" s="156">
        <f>INDEX('M03-S02'!$Y$18:$Y$198,2*(ROWS($T$35:T60)-1)+1)</f>
        <v>0</v>
      </c>
      <c r="U60" s="151">
        <f>INDEX('M03-S02'!$B$18:$B$198,2*(ROWS($U$35:U60)-1)+1)</f>
        <v>26</v>
      </c>
      <c r="V60" s="58">
        <f>INDEX('M03-S02'!$E$18:$E$198,2*(ROWS($V$35:V60)-1)+1)</f>
        <v>0</v>
      </c>
      <c r="W60" s="58">
        <f>IF(INDEX('M03-S02'!$O$18:$O$198,2*(ROWS($W$35:W60)-1)+1)="Fixture","LED Fixture",INDEX('M03-S02'!$O$18:$O$198,2*(ROWS($W$35:W60)-1)+1))</f>
        <v>0</v>
      </c>
      <c r="X60">
        <f>INDEX('M03-S02'!$H$18:$H$198,2*(ROWS($X$35:X60)-1)+1)</f>
        <v>0</v>
      </c>
      <c r="Y60">
        <f>INDEX('M03-S02'!$R$18:$R$198,2*(ROWS($Y$35:Y60)-1)+1)</f>
        <v>0</v>
      </c>
      <c r="Z60" s="61">
        <f>IFERROR(INDEX('M03-S02'!$AF$18:$AF$198,2*(ROWS(Z$35:$Z60)-1)+1)/INDEX('M03-S02'!$AD$18:$AD$198,2*(ROWS(Z$35:$Z60)-1)+1),0)</f>
        <v>0</v>
      </c>
      <c r="AA60" t="str">
        <f>IFERROR(INDEX(CMLIGHTBASE[Measure Subgroup 1],MATCH(INDEX('M03-S02'!$E$18:$E$198,2*(ROWS($V$35:V60)-1)+1),CMLIGHTBASE[Base Desc 1],0)),"")</f>
        <v/>
      </c>
      <c r="AB60" t="str">
        <f>IFERROR(INDEX(CMLIGHTBASE[Measure Subgroup 2],MATCH(INDEX('M03-S02'!$E$18:$E$198,2*(ROWS($V$35:V60)-1)+1),CMLIGHTBASE[Base Desc 1],0)),"")</f>
        <v/>
      </c>
      <c r="AC60" s="135"/>
      <c r="AD60" t="str">
        <f>IF(ISNUMBER(INDEX('M03-S02'!$W$18:$W$198,2*(ROWS($AD$35:AD60)-1)+1)),INDEX('M03-S02'!$W$18:$W$198,2*(ROWS($AD$35:AD60)-1)+1)&amp;" Lamp","")</f>
        <v/>
      </c>
      <c r="AE60" s="151">
        <f>IFERROR(IF(NOT(ISNUMBER(INDEX('M03-S02'!$AO$18:$AO$198,2*(ROWS($O$35:O60)-1)+1))),INDEX('M03-S02'!$U$18:$U$198,2*(ROWS($L$35:L60)-1)+1),0),0)</f>
        <v>0</v>
      </c>
      <c r="AF60" s="151" t="str">
        <f>INDEX('M03-S02'!$AW$18:$AW$198,2*(ROWS($AF$35:AF60)-1)+1)</f>
        <v/>
      </c>
      <c r="AG60" s="151" t="str">
        <f>INDEX('M03-S02'!$AX$18:$AX$198,2*(ROWS($AG$35:AG60)-1)+1)</f>
        <v/>
      </c>
      <c r="AH60" s="151" t="str">
        <f t="shared" si="10"/>
        <v/>
      </c>
      <c r="AI60" s="151" t="str">
        <f t="shared" si="11"/>
        <v/>
      </c>
      <c r="AJ60" s="61" t="str">
        <f t="shared" si="12"/>
        <v/>
      </c>
      <c r="AK60" s="61" t="str">
        <f t="shared" si="13"/>
        <v/>
      </c>
      <c r="AL60" s="61" t="str">
        <f t="shared" si="14"/>
        <v/>
      </c>
      <c r="AM60" s="154"/>
      <c r="AN60" s="61" t="str">
        <f t="shared" si="15"/>
        <v/>
      </c>
      <c r="AO60" s="151">
        <f>INDEX('M03-S02'!$K$18:$K$198,2*(ROWS($AO$35:AO60)-1)+1)</f>
        <v>0</v>
      </c>
      <c r="AP60" s="151">
        <f>INDEX('M03-S02'!$AF$18:$AF$198,2*(ROWS($AP$35:AP60)-1)+1)</f>
        <v>0</v>
      </c>
      <c r="AQ60" s="61" t="str">
        <f>IF(INDEX('M03-S02'!$AL$18:$AL$198,2*(ROWS($AQ$35:AQ60)-1)+1)="","",IF(AND(INDEX('M03-S02'!$AL$18:$AL$198,2*(ROWS($AQ$35:AQ60)-1)+1)&lt;&gt;"",OR(ISNUMBER(SEARCH("AC With",M02S02F32)),M02S02F32="Heat Pump")),LIGHTHEATCOIN,1))</f>
        <v/>
      </c>
      <c r="AR60" s="414">
        <f>(IF(INDEX('M03-S02'!$AO$18:$AO$198,2*(ROWS($O$35:O60)-1)+1)=INDEX('M03-S02'!$BL$18:$BL$198,2*(ROWS($O$35:O60)-1)+1),0,(INDEX('M03-S02'!$BK$18:$BK$198,2*(ROWS($O$35:O60)-1)+1)-INDEX('M03-S02'!$BL$18:$BL$198,2*(ROWS($O$35:O60)-1)+1))))*INCENTCAPADJ</f>
        <v>0</v>
      </c>
    </row>
    <row r="61" spans="1:44" x14ac:dyDescent="0.25">
      <c r="A61" s="66">
        <f t="shared" si="8"/>
        <v>0</v>
      </c>
      <c r="B61" s="66" t="str">
        <f t="shared" si="9"/>
        <v/>
      </c>
      <c r="C61" s="66" t="str">
        <f>IFERROR(IF(J61&gt;0,INDEX('M03-S02'!$BB$18:$BB$198,2*(ROWS($C$35:C61)-1)+1),""),"")</f>
        <v/>
      </c>
      <c r="D61" t="s">
        <v>1096</v>
      </c>
      <c r="E61" t="str">
        <f>IFERROR(INDEX(PMELIGHTLIN[End Use Category],MATCH(INDEX('M03-S02'!$BA$18:$BA$198,2*(ROWS($E$35:E61)-1)+1),PMELIGHTLIN[Measure Validator],0)),"")</f>
        <v/>
      </c>
      <c r="F61" s="151">
        <f>INDEX('M03-S02'!$AD$18:$AD$198,2*(ROWS($F$35:F61)-1)+1)</f>
        <v>0</v>
      </c>
      <c r="G61">
        <f>INDEX('M03-S02'!$AA$18:$AA$198,2*(ROWS($G$35:G61)-1)+1)</f>
        <v>0</v>
      </c>
      <c r="H61" s="61">
        <f>ROUND(INDEX('M03-S02'!$U$18:$U$198,2*(ROWS($H$35:H61)-1)+1)*INDEX('M03-S02'!$AH$18:$AH$198,2*(ROWS($H$35:H61)-1)+1),2)</f>
        <v>0</v>
      </c>
      <c r="I61" s="61">
        <f>ROUND(INDEX('M03-S02'!$U$18:$U$198,2*(ROWS($I$35:I61)-1)+1)*INDEX('M03-S02'!$AJ$18:$AJ$198,2*(ROWS($I$35:I61)-1)+1),2)</f>
        <v>0</v>
      </c>
      <c r="J61" s="61" t="str">
        <f>INDEX('M03-S02'!$AU$18:$AU$198,2*(ROWS($J$35:J61)-1)+1)</f>
        <v/>
      </c>
      <c r="K61" t="s">
        <v>119</v>
      </c>
      <c r="L61" s="151">
        <f>IF(ISNUMBER(INDEX('M03-S02'!$AO$18:$AO$198,2*(ROWS($M$35:M61)-1)+1)),INDEX('M03-S02'!$U$18:$U$198,2*(ROWS($L$35:L61)-1)+1),0)</f>
        <v>0</v>
      </c>
      <c r="M61" s="151">
        <f>IF(ISNUMBER(INDEX('M03-S02'!$AO$18:$AO$198,2*(ROWS($M$35:M61)-1)+1)),INDEX('M03-S02'!$AL$18:$AL$198,2*(ROWS($M$35:M61)-1)+1),0)</f>
        <v>0</v>
      </c>
      <c r="N61" s="189">
        <f>IF(ISNUMBER(INDEX('M03-S02'!$AO$18:$AO$198,2*(ROWS($M$35:M61)-1)+1)),IFERROR(INDEX('M03-S02'!$AV$18:$AV$198,2*(ROWS($N$35:N61)-1)+1),0),0)</f>
        <v>0</v>
      </c>
      <c r="O61" s="61">
        <f>IF(ISNUMBER(INDEX('M03-S02'!$AO$18:$AO$198,2*(ROWS($M$35:M61)-1)+1)),IFERROR(INDEX('M03-S02'!$AO$18:$AO$198,2*(ROWS($O$35:O61)-1)+1)*INCENTCAPADJ,""),0)</f>
        <v>0</v>
      </c>
      <c r="P61" s="151" t="str">
        <f>IFERROR(IF(NOT(ISNUMBER(INDEX('M03-S02'!$AO$18:$AO$198,2*(ROWS($O$35:O61)-1)+1))),INDEX('M03-S02'!$AL$18:$AL$198,2*(ROWS($M$35:M61)-1)+1),0),0)</f>
        <v/>
      </c>
      <c r="Q61" s="189" t="str">
        <f>IFERROR(IF(NOT(ISNUMBER(INDEX('M03-S02'!$AO$18:$AO$198,2*(ROWS($O$35:O61)-1)+1))),INDEX('M03-S02'!$AV$18:$AV$198,2*(ROWS($N$35:N61)-1)+1),0),0)</f>
        <v/>
      </c>
      <c r="R61" t="str">
        <f>IFERROR(IF(NOT(ISNUMBER(INDEX('M03-S02'!$AO$18:$AO$198,2*(ROWS($O$35:O61)-1)+1))),"Not Eligible",""),"")</f>
        <v>Not Eligible</v>
      </c>
      <c r="S61" s="156" t="str">
        <f>INDEX('M03-S02'!$M$18:$M$198,2*(ROWS($S$35:S61)-1)+1)</f>
        <v/>
      </c>
      <c r="T61" s="156">
        <f>INDEX('M03-S02'!$Y$18:$Y$198,2*(ROWS($T$35:T61)-1)+1)</f>
        <v>0</v>
      </c>
      <c r="U61" s="151">
        <f>INDEX('M03-S02'!$B$18:$B$198,2*(ROWS($U$35:U61)-1)+1)</f>
        <v>27</v>
      </c>
      <c r="V61" s="58">
        <f>INDEX('M03-S02'!$E$18:$E$198,2*(ROWS($V$35:V61)-1)+1)</f>
        <v>0</v>
      </c>
      <c r="W61" s="58">
        <f>IF(INDEX('M03-S02'!$O$18:$O$198,2*(ROWS($W$35:W61)-1)+1)="Fixture","LED Fixture",INDEX('M03-S02'!$O$18:$O$198,2*(ROWS($W$35:W61)-1)+1))</f>
        <v>0</v>
      </c>
      <c r="X61">
        <f>INDEX('M03-S02'!$H$18:$H$198,2*(ROWS($X$35:X61)-1)+1)</f>
        <v>0</v>
      </c>
      <c r="Y61">
        <f>INDEX('M03-S02'!$R$18:$R$198,2*(ROWS($Y$35:Y61)-1)+1)</f>
        <v>0</v>
      </c>
      <c r="Z61" s="61">
        <f>IFERROR(INDEX('M03-S02'!$AF$18:$AF$198,2*(ROWS(Z$35:$Z61)-1)+1)/INDEX('M03-S02'!$AD$18:$AD$198,2*(ROWS(Z$35:$Z61)-1)+1),0)</f>
        <v>0</v>
      </c>
      <c r="AA61" t="str">
        <f>IFERROR(INDEX(CMLIGHTBASE[Measure Subgroup 1],MATCH(INDEX('M03-S02'!$E$18:$E$198,2*(ROWS($V$35:V61)-1)+1),CMLIGHTBASE[Base Desc 1],0)),"")</f>
        <v/>
      </c>
      <c r="AB61" t="str">
        <f>IFERROR(INDEX(CMLIGHTBASE[Measure Subgroup 2],MATCH(INDEX('M03-S02'!$E$18:$E$198,2*(ROWS($V$35:V61)-1)+1),CMLIGHTBASE[Base Desc 1],0)),"")</f>
        <v/>
      </c>
      <c r="AC61" s="135"/>
      <c r="AD61" t="str">
        <f>IF(ISNUMBER(INDEX('M03-S02'!$W$18:$W$198,2*(ROWS($AD$35:AD61)-1)+1)),INDEX('M03-S02'!$W$18:$W$198,2*(ROWS($AD$35:AD61)-1)+1)&amp;" Lamp","")</f>
        <v/>
      </c>
      <c r="AE61" s="151">
        <f>IFERROR(IF(NOT(ISNUMBER(INDEX('M03-S02'!$AO$18:$AO$198,2*(ROWS($O$35:O61)-1)+1))),INDEX('M03-S02'!$U$18:$U$198,2*(ROWS($L$35:L61)-1)+1),0),0)</f>
        <v>0</v>
      </c>
      <c r="AF61" s="151" t="str">
        <f>INDEX('M03-S02'!$AW$18:$AW$198,2*(ROWS($AF$35:AF61)-1)+1)</f>
        <v/>
      </c>
      <c r="AG61" s="151" t="str">
        <f>INDEX('M03-S02'!$AX$18:$AX$198,2*(ROWS($AG$35:AG61)-1)+1)</f>
        <v/>
      </c>
      <c r="AH61" s="151" t="str">
        <f t="shared" si="10"/>
        <v/>
      </c>
      <c r="AI61" s="151" t="str">
        <f t="shared" si="11"/>
        <v/>
      </c>
      <c r="AJ61" s="61" t="str">
        <f t="shared" si="12"/>
        <v/>
      </c>
      <c r="AK61" s="61" t="str">
        <f t="shared" si="13"/>
        <v/>
      </c>
      <c r="AL61" s="61" t="str">
        <f t="shared" si="14"/>
        <v/>
      </c>
      <c r="AM61" s="154"/>
      <c r="AN61" s="61" t="str">
        <f t="shared" si="15"/>
        <v/>
      </c>
      <c r="AO61" s="151">
        <f>INDEX('M03-S02'!$K$18:$K$198,2*(ROWS($AO$35:AO61)-1)+1)</f>
        <v>0</v>
      </c>
      <c r="AP61" s="151">
        <f>INDEX('M03-S02'!$AF$18:$AF$198,2*(ROWS($AP$35:AP61)-1)+1)</f>
        <v>0</v>
      </c>
      <c r="AQ61" s="61" t="str">
        <f>IF(INDEX('M03-S02'!$AL$18:$AL$198,2*(ROWS($AQ$35:AQ61)-1)+1)="","",IF(AND(INDEX('M03-S02'!$AL$18:$AL$198,2*(ROWS($AQ$35:AQ61)-1)+1)&lt;&gt;"",OR(ISNUMBER(SEARCH("AC With",M02S02F32)),M02S02F32="Heat Pump")),LIGHTHEATCOIN,1))</f>
        <v/>
      </c>
      <c r="AR61" s="414">
        <f>(IF(INDEX('M03-S02'!$AO$18:$AO$198,2*(ROWS($O$35:O61)-1)+1)=INDEX('M03-S02'!$BL$18:$BL$198,2*(ROWS($O$35:O61)-1)+1),0,(INDEX('M03-S02'!$BK$18:$BK$198,2*(ROWS($O$35:O61)-1)+1)-INDEX('M03-S02'!$BL$18:$BL$198,2*(ROWS($O$35:O61)-1)+1))))*INCENTCAPADJ</f>
        <v>0</v>
      </c>
    </row>
    <row r="62" spans="1:44" x14ac:dyDescent="0.25">
      <c r="A62" s="66">
        <f t="shared" si="8"/>
        <v>0</v>
      </c>
      <c r="B62" s="66" t="str">
        <f t="shared" si="9"/>
        <v/>
      </c>
      <c r="C62" s="66" t="str">
        <f>IFERROR(IF(J62&gt;0,INDEX('M03-S02'!$BB$18:$BB$198,2*(ROWS($C$35:C62)-1)+1),""),"")</f>
        <v/>
      </c>
      <c r="D62" t="s">
        <v>1096</v>
      </c>
      <c r="E62" t="str">
        <f>IFERROR(INDEX(PMELIGHTLIN[End Use Category],MATCH(INDEX('M03-S02'!$BA$18:$BA$198,2*(ROWS($E$35:E62)-1)+1),PMELIGHTLIN[Measure Validator],0)),"")</f>
        <v/>
      </c>
      <c r="F62" s="151">
        <f>INDEX('M03-S02'!$AD$18:$AD$198,2*(ROWS($F$35:F62)-1)+1)</f>
        <v>0</v>
      </c>
      <c r="G62">
        <f>INDEX('M03-S02'!$AA$18:$AA$198,2*(ROWS($G$35:G62)-1)+1)</f>
        <v>0</v>
      </c>
      <c r="H62" s="61">
        <f>ROUND(INDEX('M03-S02'!$U$18:$U$198,2*(ROWS($H$35:H62)-1)+1)*INDEX('M03-S02'!$AH$18:$AH$198,2*(ROWS($H$35:H62)-1)+1),2)</f>
        <v>0</v>
      </c>
      <c r="I62" s="61">
        <f>ROUND(INDEX('M03-S02'!$U$18:$U$198,2*(ROWS($I$35:I62)-1)+1)*INDEX('M03-S02'!$AJ$18:$AJ$198,2*(ROWS($I$35:I62)-1)+1),2)</f>
        <v>0</v>
      </c>
      <c r="J62" s="61" t="str">
        <f>INDEX('M03-S02'!$AU$18:$AU$198,2*(ROWS($J$35:J62)-1)+1)</f>
        <v/>
      </c>
      <c r="K62" t="s">
        <v>119</v>
      </c>
      <c r="L62" s="151">
        <f>IF(ISNUMBER(INDEX('M03-S02'!$AO$18:$AO$198,2*(ROWS($M$35:M62)-1)+1)),INDEX('M03-S02'!$U$18:$U$198,2*(ROWS($L$35:L62)-1)+1),0)</f>
        <v>0</v>
      </c>
      <c r="M62" s="151">
        <f>IF(ISNUMBER(INDEX('M03-S02'!$AO$18:$AO$198,2*(ROWS($M$35:M62)-1)+1)),INDEX('M03-S02'!$AL$18:$AL$198,2*(ROWS($M$35:M62)-1)+1),0)</f>
        <v>0</v>
      </c>
      <c r="N62" s="189">
        <f>IF(ISNUMBER(INDEX('M03-S02'!$AO$18:$AO$198,2*(ROWS($M$35:M62)-1)+1)),IFERROR(INDEX('M03-S02'!$AV$18:$AV$198,2*(ROWS($N$35:N62)-1)+1),0),0)</f>
        <v>0</v>
      </c>
      <c r="O62" s="61">
        <f>IF(ISNUMBER(INDEX('M03-S02'!$AO$18:$AO$198,2*(ROWS($M$35:M62)-1)+1)),IFERROR(INDEX('M03-S02'!$AO$18:$AO$198,2*(ROWS($O$35:O62)-1)+1)*INCENTCAPADJ,""),0)</f>
        <v>0</v>
      </c>
      <c r="P62" s="151" t="str">
        <f>IFERROR(IF(NOT(ISNUMBER(INDEX('M03-S02'!$AO$18:$AO$198,2*(ROWS($O$35:O62)-1)+1))),INDEX('M03-S02'!$AL$18:$AL$198,2*(ROWS($M$35:M62)-1)+1),0),0)</f>
        <v/>
      </c>
      <c r="Q62" s="189" t="str">
        <f>IFERROR(IF(NOT(ISNUMBER(INDEX('M03-S02'!$AO$18:$AO$198,2*(ROWS($O$35:O62)-1)+1))),INDEX('M03-S02'!$AV$18:$AV$198,2*(ROWS($N$35:N62)-1)+1),0),0)</f>
        <v/>
      </c>
      <c r="R62" t="str">
        <f>IFERROR(IF(NOT(ISNUMBER(INDEX('M03-S02'!$AO$18:$AO$198,2*(ROWS($O$35:O62)-1)+1))),"Not Eligible",""),"")</f>
        <v>Not Eligible</v>
      </c>
      <c r="S62" s="156" t="str">
        <f>INDEX('M03-S02'!$M$18:$M$198,2*(ROWS($S$35:S62)-1)+1)</f>
        <v/>
      </c>
      <c r="T62" s="156">
        <f>INDEX('M03-S02'!$Y$18:$Y$198,2*(ROWS($T$35:T62)-1)+1)</f>
        <v>0</v>
      </c>
      <c r="U62" s="151">
        <f>INDEX('M03-S02'!$B$18:$B$198,2*(ROWS($U$35:U62)-1)+1)</f>
        <v>28</v>
      </c>
      <c r="V62" s="58">
        <f>INDEX('M03-S02'!$E$18:$E$198,2*(ROWS($V$35:V62)-1)+1)</f>
        <v>0</v>
      </c>
      <c r="W62" s="58">
        <f>IF(INDEX('M03-S02'!$O$18:$O$198,2*(ROWS($W$35:W62)-1)+1)="Fixture","LED Fixture",INDEX('M03-S02'!$O$18:$O$198,2*(ROWS($W$35:W62)-1)+1))</f>
        <v>0</v>
      </c>
      <c r="X62">
        <f>INDEX('M03-S02'!$H$18:$H$198,2*(ROWS($X$35:X62)-1)+1)</f>
        <v>0</v>
      </c>
      <c r="Y62">
        <f>INDEX('M03-S02'!$R$18:$R$198,2*(ROWS($Y$35:Y62)-1)+1)</f>
        <v>0</v>
      </c>
      <c r="Z62" s="61">
        <f>IFERROR(INDEX('M03-S02'!$AF$18:$AF$198,2*(ROWS(Z$35:$Z62)-1)+1)/INDEX('M03-S02'!$AD$18:$AD$198,2*(ROWS(Z$35:$Z62)-1)+1),0)</f>
        <v>0</v>
      </c>
      <c r="AA62" t="str">
        <f>IFERROR(INDEX(CMLIGHTBASE[Measure Subgroup 1],MATCH(INDEX('M03-S02'!$E$18:$E$198,2*(ROWS($V$35:V62)-1)+1),CMLIGHTBASE[Base Desc 1],0)),"")</f>
        <v/>
      </c>
      <c r="AB62" t="str">
        <f>IFERROR(INDEX(CMLIGHTBASE[Measure Subgroup 2],MATCH(INDEX('M03-S02'!$E$18:$E$198,2*(ROWS($V$35:V62)-1)+1),CMLIGHTBASE[Base Desc 1],0)),"")</f>
        <v/>
      </c>
      <c r="AC62" s="135"/>
      <c r="AD62" t="str">
        <f>IF(ISNUMBER(INDEX('M03-S02'!$W$18:$W$198,2*(ROWS($AD$35:AD62)-1)+1)),INDEX('M03-S02'!$W$18:$W$198,2*(ROWS($AD$35:AD62)-1)+1)&amp;" Lamp","")</f>
        <v/>
      </c>
      <c r="AE62" s="151">
        <f>IFERROR(IF(NOT(ISNUMBER(INDEX('M03-S02'!$AO$18:$AO$198,2*(ROWS($O$35:O62)-1)+1))),INDEX('M03-S02'!$U$18:$U$198,2*(ROWS($L$35:L62)-1)+1),0),0)</f>
        <v>0</v>
      </c>
      <c r="AF62" s="151" t="str">
        <f>INDEX('M03-S02'!$AW$18:$AW$198,2*(ROWS($AF$35:AF62)-1)+1)</f>
        <v/>
      </c>
      <c r="AG62" s="151" t="str">
        <f>INDEX('M03-S02'!$AX$18:$AX$198,2*(ROWS($AG$35:AG62)-1)+1)</f>
        <v/>
      </c>
      <c r="AH62" s="151" t="str">
        <f t="shared" si="10"/>
        <v/>
      </c>
      <c r="AI62" s="151" t="str">
        <f t="shared" si="11"/>
        <v/>
      </c>
      <c r="AJ62" s="61" t="str">
        <f t="shared" si="12"/>
        <v/>
      </c>
      <c r="AK62" s="61" t="str">
        <f t="shared" si="13"/>
        <v/>
      </c>
      <c r="AL62" s="61" t="str">
        <f t="shared" si="14"/>
        <v/>
      </c>
      <c r="AM62" s="154"/>
      <c r="AN62" s="61" t="str">
        <f t="shared" si="15"/>
        <v/>
      </c>
      <c r="AO62" s="151">
        <f>INDEX('M03-S02'!$K$18:$K$198,2*(ROWS($AO$35:AO62)-1)+1)</f>
        <v>0</v>
      </c>
      <c r="AP62" s="151">
        <f>INDEX('M03-S02'!$AF$18:$AF$198,2*(ROWS($AP$35:AP62)-1)+1)</f>
        <v>0</v>
      </c>
      <c r="AQ62" s="61" t="str">
        <f>IF(INDEX('M03-S02'!$AL$18:$AL$198,2*(ROWS($AQ$35:AQ62)-1)+1)="","",IF(AND(INDEX('M03-S02'!$AL$18:$AL$198,2*(ROWS($AQ$35:AQ62)-1)+1)&lt;&gt;"",OR(ISNUMBER(SEARCH("AC With",M02S02F32)),M02S02F32="Heat Pump")),LIGHTHEATCOIN,1))</f>
        <v/>
      </c>
      <c r="AR62" s="414">
        <f>(IF(INDEX('M03-S02'!$AO$18:$AO$198,2*(ROWS($O$35:O62)-1)+1)=INDEX('M03-S02'!$BL$18:$BL$198,2*(ROWS($O$35:O62)-1)+1),0,(INDEX('M03-S02'!$BK$18:$BK$198,2*(ROWS($O$35:O62)-1)+1)-INDEX('M03-S02'!$BL$18:$BL$198,2*(ROWS($O$35:O62)-1)+1))))*INCENTCAPADJ</f>
        <v>0</v>
      </c>
    </row>
    <row r="63" spans="1:44" x14ac:dyDescent="0.25">
      <c r="A63" s="66">
        <f t="shared" si="8"/>
        <v>0</v>
      </c>
      <c r="B63" s="66" t="str">
        <f t="shared" si="9"/>
        <v/>
      </c>
      <c r="C63" s="66" t="str">
        <f>IFERROR(IF(J63&gt;0,INDEX('M03-S02'!$BB$18:$BB$198,2*(ROWS($C$35:C63)-1)+1),""),"")</f>
        <v/>
      </c>
      <c r="D63" t="s">
        <v>1096</v>
      </c>
      <c r="E63" t="str">
        <f>IFERROR(INDEX(PMELIGHTLIN[End Use Category],MATCH(INDEX('M03-S02'!$BA$18:$BA$198,2*(ROWS($E$35:E63)-1)+1),PMELIGHTLIN[Measure Validator],0)),"")</f>
        <v/>
      </c>
      <c r="F63" s="151">
        <f>INDEX('M03-S02'!$AD$18:$AD$198,2*(ROWS($F$35:F63)-1)+1)</f>
        <v>0</v>
      </c>
      <c r="G63">
        <f>INDEX('M03-S02'!$AA$18:$AA$198,2*(ROWS($G$35:G63)-1)+1)</f>
        <v>0</v>
      </c>
      <c r="H63" s="61">
        <f>ROUND(INDEX('M03-S02'!$U$18:$U$198,2*(ROWS($H$35:H63)-1)+1)*INDEX('M03-S02'!$AH$18:$AH$198,2*(ROWS($H$35:H63)-1)+1),2)</f>
        <v>0</v>
      </c>
      <c r="I63" s="61">
        <f>ROUND(INDEX('M03-S02'!$U$18:$U$198,2*(ROWS($I$35:I63)-1)+1)*INDEX('M03-S02'!$AJ$18:$AJ$198,2*(ROWS($I$35:I63)-1)+1),2)</f>
        <v>0</v>
      </c>
      <c r="J63" s="61" t="str">
        <f>INDEX('M03-S02'!$AU$18:$AU$198,2*(ROWS($J$35:J63)-1)+1)</f>
        <v/>
      </c>
      <c r="K63" t="s">
        <v>119</v>
      </c>
      <c r="L63" s="151">
        <f>IF(ISNUMBER(INDEX('M03-S02'!$AO$18:$AO$198,2*(ROWS($M$35:M63)-1)+1)),INDEX('M03-S02'!$U$18:$U$198,2*(ROWS($L$35:L63)-1)+1),0)</f>
        <v>0</v>
      </c>
      <c r="M63" s="151">
        <f>IF(ISNUMBER(INDEX('M03-S02'!$AO$18:$AO$198,2*(ROWS($M$35:M63)-1)+1)),INDEX('M03-S02'!$AL$18:$AL$198,2*(ROWS($M$35:M63)-1)+1),0)</f>
        <v>0</v>
      </c>
      <c r="N63" s="189">
        <f>IF(ISNUMBER(INDEX('M03-S02'!$AO$18:$AO$198,2*(ROWS($M$35:M63)-1)+1)),IFERROR(INDEX('M03-S02'!$AV$18:$AV$198,2*(ROWS($N$35:N63)-1)+1),0),0)</f>
        <v>0</v>
      </c>
      <c r="O63" s="61">
        <f>IF(ISNUMBER(INDEX('M03-S02'!$AO$18:$AO$198,2*(ROWS($M$35:M63)-1)+1)),IFERROR(INDEX('M03-S02'!$AO$18:$AO$198,2*(ROWS($O$35:O63)-1)+1)*INCENTCAPADJ,""),0)</f>
        <v>0</v>
      </c>
      <c r="P63" s="151" t="str">
        <f>IFERROR(IF(NOT(ISNUMBER(INDEX('M03-S02'!$AO$18:$AO$198,2*(ROWS($O$35:O63)-1)+1))),INDEX('M03-S02'!$AL$18:$AL$198,2*(ROWS($M$35:M63)-1)+1),0),0)</f>
        <v/>
      </c>
      <c r="Q63" s="189" t="str">
        <f>IFERROR(IF(NOT(ISNUMBER(INDEX('M03-S02'!$AO$18:$AO$198,2*(ROWS($O$35:O63)-1)+1))),INDEX('M03-S02'!$AV$18:$AV$198,2*(ROWS($N$35:N63)-1)+1),0),0)</f>
        <v/>
      </c>
      <c r="R63" t="str">
        <f>IFERROR(IF(NOT(ISNUMBER(INDEX('M03-S02'!$AO$18:$AO$198,2*(ROWS($O$35:O63)-1)+1))),"Not Eligible",""),"")</f>
        <v>Not Eligible</v>
      </c>
      <c r="S63" s="156" t="str">
        <f>INDEX('M03-S02'!$M$18:$M$198,2*(ROWS($S$35:S63)-1)+1)</f>
        <v/>
      </c>
      <c r="T63" s="156">
        <f>INDEX('M03-S02'!$Y$18:$Y$198,2*(ROWS($T$35:T63)-1)+1)</f>
        <v>0</v>
      </c>
      <c r="U63" s="151">
        <f>INDEX('M03-S02'!$B$18:$B$198,2*(ROWS($U$35:U63)-1)+1)</f>
        <v>29</v>
      </c>
      <c r="V63" s="58">
        <f>INDEX('M03-S02'!$E$18:$E$198,2*(ROWS($V$35:V63)-1)+1)</f>
        <v>0</v>
      </c>
      <c r="W63" s="58">
        <f>IF(INDEX('M03-S02'!$O$18:$O$198,2*(ROWS($W$35:W63)-1)+1)="Fixture","LED Fixture",INDEX('M03-S02'!$O$18:$O$198,2*(ROWS($W$35:W63)-1)+1))</f>
        <v>0</v>
      </c>
      <c r="X63">
        <f>INDEX('M03-S02'!$H$18:$H$198,2*(ROWS($X$35:X63)-1)+1)</f>
        <v>0</v>
      </c>
      <c r="Y63">
        <f>INDEX('M03-S02'!$R$18:$R$198,2*(ROWS($Y$35:Y63)-1)+1)</f>
        <v>0</v>
      </c>
      <c r="Z63" s="61">
        <f>IFERROR(INDEX('M03-S02'!$AF$18:$AF$198,2*(ROWS(Z$35:$Z63)-1)+1)/INDEX('M03-S02'!$AD$18:$AD$198,2*(ROWS(Z$35:$Z63)-1)+1),0)</f>
        <v>0</v>
      </c>
      <c r="AA63" t="str">
        <f>IFERROR(INDEX(CMLIGHTBASE[Measure Subgroup 1],MATCH(INDEX('M03-S02'!$E$18:$E$198,2*(ROWS($V$35:V63)-1)+1),CMLIGHTBASE[Base Desc 1],0)),"")</f>
        <v/>
      </c>
      <c r="AB63" t="str">
        <f>IFERROR(INDEX(CMLIGHTBASE[Measure Subgroup 2],MATCH(INDEX('M03-S02'!$E$18:$E$198,2*(ROWS($V$35:V63)-1)+1),CMLIGHTBASE[Base Desc 1],0)),"")</f>
        <v/>
      </c>
      <c r="AC63" s="135"/>
      <c r="AD63" t="str">
        <f>IF(ISNUMBER(INDEX('M03-S02'!$W$18:$W$198,2*(ROWS($AD$35:AD63)-1)+1)),INDEX('M03-S02'!$W$18:$W$198,2*(ROWS($AD$35:AD63)-1)+1)&amp;" Lamp","")</f>
        <v/>
      </c>
      <c r="AE63" s="151">
        <f>IFERROR(IF(NOT(ISNUMBER(INDEX('M03-S02'!$AO$18:$AO$198,2*(ROWS($O$35:O63)-1)+1))),INDEX('M03-S02'!$U$18:$U$198,2*(ROWS($L$35:L63)-1)+1),0),0)</f>
        <v>0</v>
      </c>
      <c r="AF63" s="151" t="str">
        <f>INDEX('M03-S02'!$AW$18:$AW$198,2*(ROWS($AF$35:AF63)-1)+1)</f>
        <v/>
      </c>
      <c r="AG63" s="151" t="str">
        <f>INDEX('M03-S02'!$AX$18:$AX$198,2*(ROWS($AG$35:AG63)-1)+1)</f>
        <v/>
      </c>
      <c r="AH63" s="151" t="str">
        <f t="shared" si="10"/>
        <v/>
      </c>
      <c r="AI63" s="151" t="str">
        <f t="shared" si="11"/>
        <v/>
      </c>
      <c r="AJ63" s="61" t="str">
        <f t="shared" si="12"/>
        <v/>
      </c>
      <c r="AK63" s="61" t="str">
        <f t="shared" si="13"/>
        <v/>
      </c>
      <c r="AL63" s="61" t="str">
        <f t="shared" si="14"/>
        <v/>
      </c>
      <c r="AM63" s="154"/>
      <c r="AN63" s="61" t="str">
        <f t="shared" si="15"/>
        <v/>
      </c>
      <c r="AO63" s="151">
        <f>INDEX('M03-S02'!$K$18:$K$198,2*(ROWS($AO$35:AO63)-1)+1)</f>
        <v>0</v>
      </c>
      <c r="AP63" s="151">
        <f>INDEX('M03-S02'!$AF$18:$AF$198,2*(ROWS($AP$35:AP63)-1)+1)</f>
        <v>0</v>
      </c>
      <c r="AQ63" s="61" t="str">
        <f>IF(INDEX('M03-S02'!$AL$18:$AL$198,2*(ROWS($AQ$35:AQ63)-1)+1)="","",IF(AND(INDEX('M03-S02'!$AL$18:$AL$198,2*(ROWS($AQ$35:AQ63)-1)+1)&lt;&gt;"",OR(ISNUMBER(SEARCH("AC With",M02S02F32)),M02S02F32="Heat Pump")),LIGHTHEATCOIN,1))</f>
        <v/>
      </c>
      <c r="AR63" s="414">
        <f>(IF(INDEX('M03-S02'!$AO$18:$AO$198,2*(ROWS($O$35:O63)-1)+1)=INDEX('M03-S02'!$BL$18:$BL$198,2*(ROWS($O$35:O63)-1)+1),0,(INDEX('M03-S02'!$BK$18:$BK$198,2*(ROWS($O$35:O63)-1)+1)-INDEX('M03-S02'!$BL$18:$BL$198,2*(ROWS($O$35:O63)-1)+1))))*INCENTCAPADJ</f>
        <v>0</v>
      </c>
    </row>
    <row r="64" spans="1:44" x14ac:dyDescent="0.25">
      <c r="A64" s="66">
        <f t="shared" si="8"/>
        <v>0</v>
      </c>
      <c r="B64" s="66" t="str">
        <f t="shared" si="9"/>
        <v/>
      </c>
      <c r="C64" s="66" t="str">
        <f>IFERROR(IF(J64&gt;0,INDEX('M03-S02'!$BB$18:$BB$198,2*(ROWS($C$35:C64)-1)+1),""),"")</f>
        <v/>
      </c>
      <c r="D64" t="s">
        <v>1096</v>
      </c>
      <c r="E64" t="str">
        <f>IFERROR(INDEX(PMELIGHTLIN[End Use Category],MATCH(INDEX('M03-S02'!$BA$18:$BA$198,2*(ROWS($E$35:E64)-1)+1),PMELIGHTLIN[Measure Validator],0)),"")</f>
        <v/>
      </c>
      <c r="F64" s="151">
        <f>INDEX('M03-S02'!$AD$18:$AD$198,2*(ROWS($F$35:F64)-1)+1)</f>
        <v>0</v>
      </c>
      <c r="G64">
        <f>INDEX('M03-S02'!$AA$18:$AA$198,2*(ROWS($G$35:G64)-1)+1)</f>
        <v>0</v>
      </c>
      <c r="H64" s="61">
        <f>ROUND(INDEX('M03-S02'!$U$18:$U$198,2*(ROWS($H$35:H64)-1)+1)*INDEX('M03-S02'!$AH$18:$AH$198,2*(ROWS($H$35:H64)-1)+1),2)</f>
        <v>0</v>
      </c>
      <c r="I64" s="61">
        <f>ROUND(INDEX('M03-S02'!$U$18:$U$198,2*(ROWS($I$35:I64)-1)+1)*INDEX('M03-S02'!$AJ$18:$AJ$198,2*(ROWS($I$35:I64)-1)+1),2)</f>
        <v>0</v>
      </c>
      <c r="J64" s="61" t="str">
        <f>INDEX('M03-S02'!$AU$18:$AU$198,2*(ROWS($J$35:J64)-1)+1)</f>
        <v/>
      </c>
      <c r="K64" t="s">
        <v>119</v>
      </c>
      <c r="L64" s="151">
        <f>IF(ISNUMBER(INDEX('M03-S02'!$AO$18:$AO$198,2*(ROWS($M$35:M64)-1)+1)),INDEX('M03-S02'!$U$18:$U$198,2*(ROWS($L$35:L64)-1)+1),0)</f>
        <v>0</v>
      </c>
      <c r="M64" s="151">
        <f>IF(ISNUMBER(INDEX('M03-S02'!$AO$18:$AO$198,2*(ROWS($M$35:M64)-1)+1)),INDEX('M03-S02'!$AL$18:$AL$198,2*(ROWS($M$35:M64)-1)+1),0)</f>
        <v>0</v>
      </c>
      <c r="N64" s="189">
        <f>IF(ISNUMBER(INDEX('M03-S02'!$AO$18:$AO$198,2*(ROWS($M$35:M64)-1)+1)),IFERROR(INDEX('M03-S02'!$AV$18:$AV$198,2*(ROWS($N$35:N64)-1)+1),0),0)</f>
        <v>0</v>
      </c>
      <c r="O64" s="61">
        <f>IF(ISNUMBER(INDEX('M03-S02'!$AO$18:$AO$198,2*(ROWS($M$35:M64)-1)+1)),IFERROR(INDEX('M03-S02'!$AO$18:$AO$198,2*(ROWS($O$35:O64)-1)+1)*INCENTCAPADJ,""),0)</f>
        <v>0</v>
      </c>
      <c r="P64" s="151" t="str">
        <f>IFERROR(IF(NOT(ISNUMBER(INDEX('M03-S02'!$AO$18:$AO$198,2*(ROWS($O$35:O64)-1)+1))),INDEX('M03-S02'!$AL$18:$AL$198,2*(ROWS($M$35:M64)-1)+1),0),0)</f>
        <v/>
      </c>
      <c r="Q64" s="189" t="str">
        <f>IFERROR(IF(NOT(ISNUMBER(INDEX('M03-S02'!$AO$18:$AO$198,2*(ROWS($O$35:O64)-1)+1))),INDEX('M03-S02'!$AV$18:$AV$198,2*(ROWS($N$35:N64)-1)+1),0),0)</f>
        <v/>
      </c>
      <c r="R64" t="str">
        <f>IFERROR(IF(NOT(ISNUMBER(INDEX('M03-S02'!$AO$18:$AO$198,2*(ROWS($O$35:O64)-1)+1))),"Not Eligible",""),"")</f>
        <v>Not Eligible</v>
      </c>
      <c r="S64" s="156" t="str">
        <f>INDEX('M03-S02'!$M$18:$M$198,2*(ROWS($S$35:S64)-1)+1)</f>
        <v/>
      </c>
      <c r="T64" s="156">
        <f>INDEX('M03-S02'!$Y$18:$Y$198,2*(ROWS($T$35:T64)-1)+1)</f>
        <v>0</v>
      </c>
      <c r="U64" s="151">
        <f>INDEX('M03-S02'!$B$18:$B$198,2*(ROWS($U$35:U64)-1)+1)</f>
        <v>30</v>
      </c>
      <c r="V64" s="58">
        <f>INDEX('M03-S02'!$E$18:$E$198,2*(ROWS($V$35:V64)-1)+1)</f>
        <v>0</v>
      </c>
      <c r="W64" s="58">
        <f>IF(INDEX('M03-S02'!$O$18:$O$198,2*(ROWS($W$35:W64)-1)+1)="Fixture","LED Fixture",INDEX('M03-S02'!$O$18:$O$198,2*(ROWS($W$35:W64)-1)+1))</f>
        <v>0</v>
      </c>
      <c r="X64">
        <f>INDEX('M03-S02'!$H$18:$H$198,2*(ROWS($X$35:X64)-1)+1)</f>
        <v>0</v>
      </c>
      <c r="Y64">
        <f>INDEX('M03-S02'!$R$18:$R$198,2*(ROWS($Y$35:Y64)-1)+1)</f>
        <v>0</v>
      </c>
      <c r="Z64" s="61">
        <f>IFERROR(INDEX('M03-S02'!$AF$18:$AF$198,2*(ROWS(Z$35:$Z64)-1)+1)/INDEX('M03-S02'!$AD$18:$AD$198,2*(ROWS(Z$35:$Z64)-1)+1),0)</f>
        <v>0</v>
      </c>
      <c r="AA64" t="str">
        <f>IFERROR(INDEX(CMLIGHTBASE[Measure Subgroup 1],MATCH(INDEX('M03-S02'!$E$18:$E$198,2*(ROWS($V$35:V64)-1)+1),CMLIGHTBASE[Base Desc 1],0)),"")</f>
        <v/>
      </c>
      <c r="AB64" t="str">
        <f>IFERROR(INDEX(CMLIGHTBASE[Measure Subgroup 2],MATCH(INDEX('M03-S02'!$E$18:$E$198,2*(ROWS($V$35:V64)-1)+1),CMLIGHTBASE[Base Desc 1],0)),"")</f>
        <v/>
      </c>
      <c r="AC64" s="135"/>
      <c r="AD64" t="str">
        <f>IF(ISNUMBER(INDEX('M03-S02'!$W$18:$W$198,2*(ROWS($AD$35:AD64)-1)+1)),INDEX('M03-S02'!$W$18:$W$198,2*(ROWS($AD$35:AD64)-1)+1)&amp;" Lamp","")</f>
        <v/>
      </c>
      <c r="AE64" s="151">
        <f>IFERROR(IF(NOT(ISNUMBER(INDEX('M03-S02'!$AO$18:$AO$198,2*(ROWS($O$35:O64)-1)+1))),INDEX('M03-S02'!$U$18:$U$198,2*(ROWS($L$35:L64)-1)+1),0),0)</f>
        <v>0</v>
      </c>
      <c r="AF64" s="151" t="str">
        <f>INDEX('M03-S02'!$AW$18:$AW$198,2*(ROWS($AF$35:AF64)-1)+1)</f>
        <v/>
      </c>
      <c r="AG64" s="151" t="str">
        <f>INDEX('M03-S02'!$AX$18:$AX$198,2*(ROWS($AG$35:AG64)-1)+1)</f>
        <v/>
      </c>
      <c r="AH64" s="151" t="str">
        <f t="shared" si="10"/>
        <v/>
      </c>
      <c r="AI64" s="151" t="str">
        <f t="shared" si="11"/>
        <v/>
      </c>
      <c r="AJ64" s="61" t="str">
        <f t="shared" si="12"/>
        <v/>
      </c>
      <c r="AK64" s="61" t="str">
        <f t="shared" si="13"/>
        <v/>
      </c>
      <c r="AL64" s="61" t="str">
        <f t="shared" si="14"/>
        <v/>
      </c>
      <c r="AM64" s="154"/>
      <c r="AN64" s="61" t="str">
        <f t="shared" si="15"/>
        <v/>
      </c>
      <c r="AO64" s="151">
        <f>INDEX('M03-S02'!$K$18:$K$198,2*(ROWS($AO$35:AO64)-1)+1)</f>
        <v>0</v>
      </c>
      <c r="AP64" s="151">
        <f>INDEX('M03-S02'!$AF$18:$AF$198,2*(ROWS($AP$35:AP64)-1)+1)</f>
        <v>0</v>
      </c>
      <c r="AQ64" s="61" t="str">
        <f>IF(INDEX('M03-S02'!$AL$18:$AL$198,2*(ROWS($AQ$35:AQ64)-1)+1)="","",IF(AND(INDEX('M03-S02'!$AL$18:$AL$198,2*(ROWS($AQ$35:AQ64)-1)+1)&lt;&gt;"",OR(ISNUMBER(SEARCH("AC With",M02S02F32)),M02S02F32="Heat Pump")),LIGHTHEATCOIN,1))</f>
        <v/>
      </c>
      <c r="AR64" s="414">
        <f>(IF(INDEX('M03-S02'!$AO$18:$AO$198,2*(ROWS($O$35:O64)-1)+1)=INDEX('M03-S02'!$BL$18:$BL$198,2*(ROWS($O$35:O64)-1)+1),0,(INDEX('M03-S02'!$BK$18:$BK$198,2*(ROWS($O$35:O64)-1)+1)-INDEX('M03-S02'!$BL$18:$BL$198,2*(ROWS($O$35:O64)-1)+1))))*INCENTCAPADJ</f>
        <v>0</v>
      </c>
    </row>
    <row r="65" spans="1:44" x14ac:dyDescent="0.25">
      <c r="A65" s="207" t="str">
        <f>CONCATENATE(MAIN3," ",M3S3)</f>
        <v>LIGHTING MEASURES Interior HID to LED</v>
      </c>
      <c r="B65" s="209"/>
      <c r="C65" s="209"/>
      <c r="D65" s="164"/>
      <c r="E65" s="164"/>
      <c r="F65" s="170"/>
      <c r="G65" s="164"/>
      <c r="H65" s="171"/>
      <c r="I65" s="171"/>
      <c r="J65" s="171"/>
      <c r="K65" s="164"/>
      <c r="L65" s="170"/>
      <c r="M65" s="170"/>
      <c r="N65" s="191"/>
      <c r="O65" s="170"/>
      <c r="P65" s="170"/>
      <c r="Q65" s="191"/>
      <c r="R65" s="164"/>
      <c r="S65" s="172"/>
      <c r="T65" s="172"/>
      <c r="U65" s="170"/>
      <c r="V65" s="164"/>
      <c r="W65" s="173"/>
      <c r="X65" s="164"/>
      <c r="Y65" s="164"/>
      <c r="Z65" s="164"/>
      <c r="AA65" s="164"/>
      <c r="AB65" s="164"/>
      <c r="AC65" s="164"/>
      <c r="AD65" s="164"/>
      <c r="AE65" s="170"/>
      <c r="AF65" s="170"/>
      <c r="AG65" s="170"/>
      <c r="AH65" s="170"/>
      <c r="AI65" s="170"/>
      <c r="AJ65" s="171" t="str">
        <f>IFERROR(O65/M65,"")</f>
        <v/>
      </c>
      <c r="AK65" s="171" t="str">
        <f>IFERROR(O65/N65,"")</f>
        <v/>
      </c>
      <c r="AL65" s="171" t="str">
        <f>IFERROR(O65/L65,"")</f>
        <v/>
      </c>
      <c r="AM65" s="171"/>
      <c r="AN65" s="171" t="str">
        <f>IFERROR(J65/M65/M02S02F35,"")</f>
        <v/>
      </c>
      <c r="AO65" s="170"/>
      <c r="AP65" s="170"/>
      <c r="AQ65" s="170"/>
      <c r="AR65" s="412"/>
    </row>
    <row r="66" spans="1:44" x14ac:dyDescent="0.25">
      <c r="A66" s="66">
        <f t="shared" ref="A66:A95" si="16">PROJID</f>
        <v>0</v>
      </c>
      <c r="B66" s="66" t="str">
        <f>IF(C66="","",CONCATENATE(ROW(),"-",C66))</f>
        <v/>
      </c>
      <c r="C66" s="66" t="str">
        <f>IFERROR(IF(J66&gt;0,INDEX('M03-S03'!$BB$18:$BB$198,2*(ROWS($C$66:C66)-1)+1),""),"")</f>
        <v/>
      </c>
      <c r="D66" t="s">
        <v>1096</v>
      </c>
      <c r="E66" t="str">
        <f>IFERROR(INDEX(PMELIGHTHID[End Use Category],MATCH(INDEX('M03-S03'!$BA$18:$BA$198,2*(ROWS($E$66:E66)-1)+1),PMELIGHTHID[Measure Validator],0)),"")</f>
        <v/>
      </c>
      <c r="F66" s="151">
        <f>INDEX('M03-S03'!$AB$18:$AB$198,2*(ROWS($F$66:F66)-1)+1)</f>
        <v>0</v>
      </c>
      <c r="G66">
        <f>INDEX('M03-S03'!$Y$18:$Y$198,2*(ROWS($G$66:G66)-1)+1)</f>
        <v>0</v>
      </c>
      <c r="H66" s="61">
        <f>ROUND(INDEX('M03-S03'!$U$18:$U$198,2*(ROWS($H$66:H66)-1)+1)*INDEX('M03-S03'!$AF$18:$AF$198,2*(ROWS($H$66:H66)-1)+1),2)</f>
        <v>0</v>
      </c>
      <c r="I66" s="61">
        <f>ROUND(INDEX('M03-S03'!$U$18:$U$198,2*(ROWS($H$66:H66)-1)+1)*INDEX('M03-S03'!$AH$18:$AH$198,2*(ROWS($H$66:H66)-1)+1),2)</f>
        <v>0</v>
      </c>
      <c r="J66" s="61" t="str">
        <f>INDEX('M03-S03'!$AU$18:$AU$198,2*(ROWS($J$66:J66)-1)+1)</f>
        <v/>
      </c>
      <c r="K66" t="s">
        <v>119</v>
      </c>
      <c r="L66" s="151">
        <f>IF(ISNUMBER(INDEX('M03-S03'!$AN$18:$AN$198,2*(ROWS($L$66:L66)-1)+1)),INDEX('M03-S03'!$U$18:$U$198,2*(ROWS($L$66:L66)-1)+1),0)</f>
        <v>0</v>
      </c>
      <c r="M66" s="151">
        <f>IF(ISNUMBER(INDEX('M03-S03'!$AN$18:$AN$198,2*(ROWS($M$66:M66)-1)+1)),INDEX('M03-S03'!$AJ$18:$AJ$198,2*(ROWS($M$66:M66)-1)+1),0)</f>
        <v>0</v>
      </c>
      <c r="N66" s="189">
        <f>IF(ISNUMBER(INDEX('M03-S03'!$AN$18:$AN$198,2*(ROWS($M$66:M66)-1)+1)),IFERROR(INDEX('M03-S03'!$AV$18:$AV$198,2*(ROWS($N$66:N66)-1)+1),0),0)</f>
        <v>0</v>
      </c>
      <c r="O66" s="61">
        <f>IF(ISNUMBER(INDEX('M03-S03'!$AN$18:$AN$198,2*(ROWS($M$66:M66)-1)+1)),IFERROR(INDEX('M03-S03'!$AN$18:$AN$198,2*(ROWS($O$66:O66)-1)+1)*INCENTCAPADJ,""),0)</f>
        <v>0</v>
      </c>
      <c r="P66" s="151" t="str">
        <f>IFERROR(IF(NOT(ISNUMBER(INDEX('M03-S03'!$AN$18:$AN$198,2*(ROWS($O$66:O66)-1)+1))),INDEX('M03-S03'!$AJ$18:$AJ$198,2*(ROWS($M66:M$66)-1)+1),0),0)</f>
        <v/>
      </c>
      <c r="Q66" s="189" t="str">
        <f>IFERROR(IF(NOT(ISNUMBER(INDEX('M03-S03'!$AN$18:$AN$198,2*(ROWS($O$66:O66)-1)+1))),INDEX('M03-S03'!$AV$18:$AV$198,2*(ROWS($N$66:N66)-1)+1),0),0)</f>
        <v/>
      </c>
      <c r="R66" t="str">
        <f>IFERROR(IF(NOT(ISNUMBER(INDEX('M03-S03'!$AN$18:$AN$198,2*(ROWS($O$66:O66)-1)+1))),"Not Eligible",""),"")</f>
        <v>Not Eligible</v>
      </c>
      <c r="S66" s="156" t="str">
        <f>INDEX('M03-S03'!$K$18:$K$198,2*(ROWS($S$66:S66)-1)+1)</f>
        <v/>
      </c>
      <c r="T66" s="156">
        <f>INDEX('M03-S03'!$W$18:$W$198,2*(ROWS($T$66:T66)-1)+1)</f>
        <v>0</v>
      </c>
      <c r="U66" s="151">
        <f>INDEX('M03-S03'!$B$18:$B$198,2*(ROWS($U$66:U66)-1)+1)</f>
        <v>1</v>
      </c>
      <c r="V66" s="58">
        <f>INDEX('M03-S03'!$C$18:$C$198,2*(ROWS($V$66:V66)-1)+1)</f>
        <v>0</v>
      </c>
      <c r="W66" s="58">
        <f>INDEX('M03-S03'!$M$18:$M$198,2*(ROWS($V$66:V66)-1)+1)</f>
        <v>0</v>
      </c>
      <c r="X66" s="135"/>
      <c r="Y66">
        <f>INDEX('M03-S03'!$Q$18:$Q$198,2*(ROWS($Y$66:Y66)-1)+1)</f>
        <v>0</v>
      </c>
      <c r="Z66" s="61">
        <f>IFERROR(INDEX('M03-S03'!$AD$18:$AD$198,2*(ROWS(Z66:$Z$66)-1)+1)/INDEX('M03-S03'!$AB$18:$AB$198,2*(ROWS(Z66:$Z$66)-1)+1),0)</f>
        <v>0</v>
      </c>
      <c r="AA66" s="135"/>
      <c r="AB66" s="135"/>
      <c r="AC66" s="135"/>
      <c r="AD66" s="135"/>
      <c r="AE66" s="151">
        <f>IFERROR(IF(NOT(ISNUMBER(INDEX('M03-S03'!$AN$18:$AN$198,2*(ROWS($AE$66:AE66)-1)+1))),INDEX('M03-S03'!$U$18:$U$198,2*(ROWS($AE$66:AE66)-1)+1),0),0)</f>
        <v>0</v>
      </c>
      <c r="AF66" s="151" t="str">
        <f>INDEX('M03-S03'!$AW$18:$AW$198,2*(ROWS($AF$66:AF66)-1)+1)</f>
        <v/>
      </c>
      <c r="AG66" s="151" t="str">
        <f>INDEX('M03-S03'!$AX$18:$AX$198,2*(ROWS($AG$66:AG66)-1)+1)</f>
        <v/>
      </c>
      <c r="AH66" s="151" t="str">
        <f>IFERROR(AF66/AO66,"")</f>
        <v/>
      </c>
      <c r="AI66" s="151" t="str">
        <f>IFERROR(AG66/L66,"")</f>
        <v/>
      </c>
      <c r="AJ66" s="61" t="str">
        <f>IFERROR(O66/M66,"")</f>
        <v/>
      </c>
      <c r="AK66" s="61" t="str">
        <f>IFERROR(O66/N66,"")</f>
        <v/>
      </c>
      <c r="AL66" s="61" t="str">
        <f>IFERROR(O66/L66,"")</f>
        <v/>
      </c>
      <c r="AM66" s="154"/>
      <c r="AN66" s="61" t="str">
        <f>IFERROR(J66/M66/M02S02F35,"")</f>
        <v/>
      </c>
      <c r="AO66" s="151">
        <f>INDEX('M03-S03'!$G$18:$G$198,2*(ROWS($AO$66:AO66)-1)+1)</f>
        <v>0</v>
      </c>
      <c r="AP66" s="151">
        <f>INDEX('M03-S03'!$AD$18:$AD$198,2*(ROWS($AP66:AP$66)-1)+1)</f>
        <v>0</v>
      </c>
      <c r="AQ66" s="61" t="str">
        <f>IF(INDEX('M03-S03'!$AJ$18:$AJ$198,2*(ROWS($AQ$66:AQ66)-1)+1)="","",IF(AND(INDEX('M03-S03'!$AJ$18:$AJ$198,2*(ROWS($AQ$66:AQ66)-1)+1)&lt;&gt;"",OR(ISNUMBER(SEARCH("AC With",M02S02F32)),M02S02F32="Heat Pump")),LIGHTHEATCOIN,1))</f>
        <v/>
      </c>
      <c r="AR66" s="414">
        <f>(IF(INDEX('M03-S03'!$AN$18:$AN$198,2*(ROWS($O$66:O66)-1)+1)=INDEX('M03-S03'!$BJ$18:$BJ$198,2*(ROWS($O$66:O66)-1)+1),0,(INDEX('M03-S03'!$BI$18:$BI$198,2*(ROWS($O$66:O66)-1)+1)-INDEX('M03-S03'!$BJ$18:$BJ$198,2*(ROWS($O$66:O66)-1)+1))))*INCENTCAPADJ</f>
        <v>0</v>
      </c>
    </row>
    <row r="67" spans="1:44" x14ac:dyDescent="0.25">
      <c r="A67" s="66">
        <f t="shared" si="16"/>
        <v>0</v>
      </c>
      <c r="B67" s="66" t="str">
        <f t="shared" ref="B67:B95" si="17">IF(C67="","",CONCATENATE(ROW(),"-",C67))</f>
        <v/>
      </c>
      <c r="C67" s="66" t="str">
        <f>IFERROR(IF(J67&gt;0,INDEX('M03-S03'!$BB$18:$BB$198,2*(ROWS($C$66:C67)-1)+1),""),"")</f>
        <v/>
      </c>
      <c r="D67" t="s">
        <v>1096</v>
      </c>
      <c r="E67" t="str">
        <f>IFERROR(INDEX(PMELIGHTHID[End Use Category],MATCH(INDEX('M03-S03'!$BA$18:$BA$198,2*(ROWS($E$66:E67)-1)+1),PMELIGHTHID[Measure Validator],0)),"")</f>
        <v/>
      </c>
      <c r="F67" s="151">
        <f>INDEX('M03-S03'!$AB$18:$AB$198,2*(ROWS($F$66:F67)-1)+1)</f>
        <v>0</v>
      </c>
      <c r="G67">
        <f>INDEX('M03-S03'!$Y$18:$Y$198,2*(ROWS($G$66:G67)-1)+1)</f>
        <v>0</v>
      </c>
      <c r="H67" s="61">
        <f>ROUND(INDEX('M03-S03'!$U$18:$U$198,2*(ROWS($H$66:H67)-1)+1)*INDEX('M03-S03'!$AF$18:$AF$198,2*(ROWS($H$66:H67)-1)+1),2)</f>
        <v>0</v>
      </c>
      <c r="I67" s="61">
        <f>ROUND(INDEX('M03-S03'!$U$18:$U$198,2*(ROWS($H$66:H67)-1)+1)*INDEX('M03-S03'!$AH$18:$AH$198,2*(ROWS($H$66:H67)-1)+1),2)</f>
        <v>0</v>
      </c>
      <c r="J67" s="61" t="str">
        <f>INDEX('M03-S03'!$AU$18:$AU$198,2*(ROWS($J$66:J67)-1)+1)</f>
        <v/>
      </c>
      <c r="K67" t="s">
        <v>119</v>
      </c>
      <c r="L67" s="151">
        <f>IF(ISNUMBER(INDEX('M03-S03'!$AN$18:$AN$198,2*(ROWS($L$66:L67)-1)+1)),INDEX('M03-S03'!$U$18:$U$198,2*(ROWS($L$66:L67)-1)+1),0)</f>
        <v>0</v>
      </c>
      <c r="M67" s="151">
        <f>IF(ISNUMBER(INDEX('M03-S03'!$AN$18:$AN$198,2*(ROWS($M$66:M67)-1)+1)),INDEX('M03-S03'!$AJ$18:$AJ$198,2*(ROWS($M$66:M67)-1)+1),0)</f>
        <v>0</v>
      </c>
      <c r="N67" s="189">
        <f>IF(ISNUMBER(INDEX('M03-S03'!$AN$18:$AN$198,2*(ROWS($M$66:M67)-1)+1)),IFERROR(INDEX('M03-S03'!$AV$18:$AV$198,2*(ROWS($N$66:N67)-1)+1),0),0)</f>
        <v>0</v>
      </c>
      <c r="O67" s="61">
        <f>IF(ISNUMBER(INDEX('M03-S03'!$AN$18:$AN$198,2*(ROWS($M$66:M67)-1)+1)),IFERROR(INDEX('M03-S03'!$AN$18:$AN$198,2*(ROWS($O$66:O67)-1)+1)*INCENTCAPADJ,""),0)</f>
        <v>0</v>
      </c>
      <c r="P67" s="151" t="str">
        <f>IFERROR(IF(NOT(ISNUMBER(INDEX('M03-S03'!$AN$18:$AN$198,2*(ROWS($O$66:O67)-1)+1))),INDEX('M03-S03'!$AJ$18:$AJ$198,2*(ROWS($M$66:M67)-1)+1),0),0)</f>
        <v/>
      </c>
      <c r="Q67" s="189" t="str">
        <f>IFERROR(IF(NOT(ISNUMBER(INDEX('M03-S03'!$AN$18:$AN$198,2*(ROWS($O$66:O67)-1)+1))),INDEX('M03-S03'!$AV$18:$AV$198,2*(ROWS($N$66:N67)-1)+1),0),0)</f>
        <v/>
      </c>
      <c r="R67" t="str">
        <f>IFERROR(IF(NOT(ISNUMBER(INDEX('M03-S03'!$AN$18:$AN$198,2*(ROWS($O$66:O67)-1)+1))),"Not Eligible",""),"")</f>
        <v>Not Eligible</v>
      </c>
      <c r="S67" s="156" t="str">
        <f>INDEX('M03-S03'!$K$18:$K$198,2*(ROWS($S$66:S67)-1)+1)</f>
        <v/>
      </c>
      <c r="T67" s="156">
        <f>INDEX('M03-S03'!$W$18:$W$198,2*(ROWS($T$66:T67)-1)+1)</f>
        <v>0</v>
      </c>
      <c r="U67" s="151">
        <f>INDEX('M03-S03'!$B$18:$B$198,2*(ROWS($U$66:U67)-1)+1)</f>
        <v>2</v>
      </c>
      <c r="V67" s="58">
        <f>INDEX('M03-S03'!$C$18:$C$198,2*(ROWS($V$66:V67)-1)+1)</f>
        <v>0</v>
      </c>
      <c r="W67" s="58">
        <f>INDEX('M03-S03'!$M$18:$M$198,2*(ROWS($V$66:V67)-1)+1)</f>
        <v>0</v>
      </c>
      <c r="X67" s="135"/>
      <c r="Y67">
        <f>INDEX('M03-S03'!$Q$18:$Q$198,2*(ROWS($Y$66:Y67)-1)+1)</f>
        <v>0</v>
      </c>
      <c r="Z67" s="61">
        <f>IFERROR(INDEX('M03-S03'!$AD$18:$AD$198,2*(ROWS(Z$66:$Z67)-1)+1)/INDEX('M03-S03'!$AB$18:$AB$198,2*(ROWS(Z$66:$Z67)-1)+1),0)</f>
        <v>0</v>
      </c>
      <c r="AA67" s="135"/>
      <c r="AB67" s="135"/>
      <c r="AC67" s="135"/>
      <c r="AD67" s="135"/>
      <c r="AE67" s="151">
        <f>IFERROR(IF(NOT(ISNUMBER(INDEX('M03-S03'!$AN$18:$AN$198,2*(ROWS($AE$66:AE67)-1)+1))),INDEX('M03-S03'!$U$18:$U$198,2*(ROWS($AE$66:AE67)-1)+1),0),0)</f>
        <v>0</v>
      </c>
      <c r="AF67" s="151" t="str">
        <f>INDEX('M03-S03'!$AW$18:$AW$198,2*(ROWS($AF$66:AF67)-1)+1)</f>
        <v/>
      </c>
      <c r="AG67" s="151" t="str">
        <f>INDEX('M03-S03'!$AX$18:$AX$198,2*(ROWS($AG$66:AG67)-1)+1)</f>
        <v/>
      </c>
      <c r="AH67" s="151" t="str">
        <f t="shared" ref="AH67:AH95" si="18">IFERROR(AF67/AO67,"")</f>
        <v/>
      </c>
      <c r="AI67" s="151" t="str">
        <f t="shared" ref="AI67:AI95" si="19">IFERROR(AG67/L67,"")</f>
        <v/>
      </c>
      <c r="AJ67" s="61" t="str">
        <f t="shared" ref="AJ67:AJ95" si="20">IFERROR(O67/M67,"")</f>
        <v/>
      </c>
      <c r="AK67" s="61" t="str">
        <f t="shared" ref="AK67:AK95" si="21">IFERROR(O67/N67,"")</f>
        <v/>
      </c>
      <c r="AL67" s="61" t="str">
        <f t="shared" ref="AL67:AL95" si="22">IFERROR(O67/L67,"")</f>
        <v/>
      </c>
      <c r="AM67" s="154"/>
      <c r="AN67" s="61" t="str">
        <f t="shared" ref="AN67:AN95" si="23">IFERROR(J67/M67/M02S02F35,"")</f>
        <v/>
      </c>
      <c r="AO67" s="151">
        <f>INDEX('M03-S03'!$G$18:$G$198,2*(ROWS($AO$66:AO67)-1)+1)</f>
        <v>0</v>
      </c>
      <c r="AP67" s="151">
        <f>INDEX('M03-S03'!$AD$18:$AD$198,2*(ROWS($AP$66:AP67)-1)+1)</f>
        <v>0</v>
      </c>
      <c r="AQ67" s="61" t="str">
        <f>IF(INDEX('M03-S03'!$AJ$18:$AJ$198,2*(ROWS($AQ$66:AQ67)-1)+1)="","",IF(AND(INDEX('M03-S03'!$AJ$18:$AJ$198,2*(ROWS($AQ$66:AQ67)-1)+1)&lt;&gt;"",OR(ISNUMBER(SEARCH("AC With",M02S02F32)),M02S02F32="Heat Pump")),LIGHTHEATCOIN,1))</f>
        <v/>
      </c>
      <c r="AR67" s="414">
        <f>(IF(INDEX('M03-S03'!$AN$18:$AN$198,2*(ROWS($O$66:O67)-1)+1)=INDEX('M03-S03'!$BJ$18:$BJ$198,2*(ROWS($O$66:O67)-1)+1),0,(INDEX('M03-S03'!$BI$18:$BI$198,2*(ROWS($O$66:O67)-1)+1)-INDEX('M03-S03'!$BJ$18:$BJ$198,2*(ROWS($O$66:O67)-1)+1))))*INCENTCAPADJ</f>
        <v>0</v>
      </c>
    </row>
    <row r="68" spans="1:44" x14ac:dyDescent="0.25">
      <c r="A68" s="66">
        <f t="shared" si="16"/>
        <v>0</v>
      </c>
      <c r="B68" s="66" t="str">
        <f t="shared" si="17"/>
        <v/>
      </c>
      <c r="C68" s="66" t="str">
        <f>IFERROR(IF(J68&gt;0,INDEX('M03-S03'!$BB$18:$BB$198,2*(ROWS($C$66:C68)-1)+1),""),"")</f>
        <v/>
      </c>
      <c r="D68" t="s">
        <v>1096</v>
      </c>
      <c r="E68" t="str">
        <f>IFERROR(INDEX(PMELIGHTHID[End Use Category],MATCH(INDEX('M03-S03'!$BA$18:$BA$198,2*(ROWS($E$66:E68)-1)+1),PMELIGHTHID[Measure Validator],0)),"")</f>
        <v/>
      </c>
      <c r="F68" s="151">
        <f>INDEX('M03-S03'!$AB$18:$AB$198,2*(ROWS($F$66:F68)-1)+1)</f>
        <v>0</v>
      </c>
      <c r="G68">
        <f>INDEX('M03-S03'!$Y$18:$Y$198,2*(ROWS($G$66:G68)-1)+1)</f>
        <v>0</v>
      </c>
      <c r="H68" s="61">
        <f>ROUND(INDEX('M03-S03'!$U$18:$U$198,2*(ROWS($H$66:H68)-1)+1)*INDEX('M03-S03'!$AF$18:$AF$198,2*(ROWS($H$66:H68)-1)+1),2)</f>
        <v>0</v>
      </c>
      <c r="I68" s="61">
        <f>ROUND(INDEX('M03-S03'!$U$18:$U$198,2*(ROWS($H$66:H68)-1)+1)*INDEX('M03-S03'!$AH$18:$AH$198,2*(ROWS($H$66:H68)-1)+1),2)</f>
        <v>0</v>
      </c>
      <c r="J68" s="61" t="str">
        <f>INDEX('M03-S03'!$AU$18:$AU$198,2*(ROWS($J$66:J68)-1)+1)</f>
        <v/>
      </c>
      <c r="K68" t="s">
        <v>119</v>
      </c>
      <c r="L68" s="151">
        <f>IF(ISNUMBER(INDEX('M03-S03'!$AN$18:$AN$198,2*(ROWS($L$66:L68)-1)+1)),INDEX('M03-S03'!$U$18:$U$198,2*(ROWS($L$66:L68)-1)+1),0)</f>
        <v>0</v>
      </c>
      <c r="M68" s="151">
        <f>IF(ISNUMBER(INDEX('M03-S03'!$AN$18:$AN$198,2*(ROWS($M$66:M68)-1)+1)),INDEX('M03-S03'!$AJ$18:$AJ$198,2*(ROWS($M$66:M68)-1)+1),0)</f>
        <v>0</v>
      </c>
      <c r="N68" s="189">
        <f>IF(ISNUMBER(INDEX('M03-S03'!$AN$18:$AN$198,2*(ROWS($M$66:M68)-1)+1)),IFERROR(INDEX('M03-S03'!$AV$18:$AV$198,2*(ROWS($N$66:N68)-1)+1),0),0)</f>
        <v>0</v>
      </c>
      <c r="O68" s="61">
        <f>IF(ISNUMBER(INDEX('M03-S03'!$AN$18:$AN$198,2*(ROWS($M$66:M68)-1)+1)),IFERROR(INDEX('M03-S03'!$AN$18:$AN$198,2*(ROWS($O$66:O68)-1)+1)*INCENTCAPADJ,""),0)</f>
        <v>0</v>
      </c>
      <c r="P68" s="151" t="str">
        <f>IFERROR(IF(NOT(ISNUMBER(INDEX('M03-S03'!$AN$18:$AN$198,2*(ROWS($O$66:O68)-1)+1))),INDEX('M03-S03'!$AJ$18:$AJ$198,2*(ROWS($M$66:M68)-1)+1),0),0)</f>
        <v/>
      </c>
      <c r="Q68" s="189" t="str">
        <f>IFERROR(IF(NOT(ISNUMBER(INDEX('M03-S03'!$AN$18:$AN$198,2*(ROWS($O$66:O68)-1)+1))),INDEX('M03-S03'!$AV$18:$AV$198,2*(ROWS($N$66:N68)-1)+1),0),0)</f>
        <v/>
      </c>
      <c r="R68" t="str">
        <f>IFERROR(IF(NOT(ISNUMBER(INDEX('M03-S03'!$AN$18:$AN$198,2*(ROWS($O$66:O68)-1)+1))),"Not Eligible",""),"")</f>
        <v>Not Eligible</v>
      </c>
      <c r="S68" s="156" t="str">
        <f>INDEX('M03-S03'!$K$18:$K$198,2*(ROWS($S$66:S68)-1)+1)</f>
        <v/>
      </c>
      <c r="T68" s="156">
        <f>INDEX('M03-S03'!$W$18:$W$198,2*(ROWS($T$66:T68)-1)+1)</f>
        <v>0</v>
      </c>
      <c r="U68" s="151">
        <f>INDEX('M03-S03'!$B$18:$B$198,2*(ROWS($U$66:U68)-1)+1)</f>
        <v>3</v>
      </c>
      <c r="V68" s="58">
        <f>INDEX('M03-S03'!$C$18:$C$198,2*(ROWS($V$66:V68)-1)+1)</f>
        <v>0</v>
      </c>
      <c r="W68" s="58">
        <f>INDEX('M03-S03'!$M$18:$M$198,2*(ROWS($V$66:V68)-1)+1)</f>
        <v>0</v>
      </c>
      <c r="X68" s="135"/>
      <c r="Y68">
        <f>INDEX('M03-S03'!$Q$18:$Q$198,2*(ROWS($Y$66:Y68)-1)+1)</f>
        <v>0</v>
      </c>
      <c r="Z68" s="61">
        <f>IFERROR(INDEX('M03-S03'!$AD$18:$AD$198,2*(ROWS(Z$66:$Z68)-1)+1)/INDEX('M03-S03'!$AB$18:$AB$198,2*(ROWS(Z$66:$Z68)-1)+1),0)</f>
        <v>0</v>
      </c>
      <c r="AA68" s="135"/>
      <c r="AB68" s="135"/>
      <c r="AC68" s="135"/>
      <c r="AD68" s="135"/>
      <c r="AE68" s="151">
        <f>IFERROR(IF(NOT(ISNUMBER(INDEX('M03-S03'!$AN$18:$AN$198,2*(ROWS($AE$66:AE68)-1)+1))),INDEX('M03-S03'!$U$18:$U$198,2*(ROWS($AE$66:AE68)-1)+1),0),0)</f>
        <v>0</v>
      </c>
      <c r="AF68" s="151" t="str">
        <f>INDEX('M03-S03'!$AW$18:$AW$198,2*(ROWS($AF$66:AF68)-1)+1)</f>
        <v/>
      </c>
      <c r="AG68" s="151" t="str">
        <f>INDEX('M03-S03'!$AX$18:$AX$198,2*(ROWS($AG$66:AG68)-1)+1)</f>
        <v/>
      </c>
      <c r="AH68" s="151" t="str">
        <f t="shared" si="18"/>
        <v/>
      </c>
      <c r="AI68" s="151" t="str">
        <f t="shared" si="19"/>
        <v/>
      </c>
      <c r="AJ68" s="61" t="str">
        <f t="shared" si="20"/>
        <v/>
      </c>
      <c r="AK68" s="61" t="str">
        <f t="shared" si="21"/>
        <v/>
      </c>
      <c r="AL68" s="61" t="str">
        <f t="shared" si="22"/>
        <v/>
      </c>
      <c r="AM68" s="154"/>
      <c r="AN68" s="61" t="str">
        <f t="shared" si="23"/>
        <v/>
      </c>
      <c r="AO68" s="151">
        <f>INDEX('M03-S03'!$G$18:$G$198,2*(ROWS($AO$66:AO68)-1)+1)</f>
        <v>0</v>
      </c>
      <c r="AP68" s="151">
        <f>INDEX('M03-S03'!$AD$18:$AD$198,2*(ROWS($AP$66:AP68)-1)+1)</f>
        <v>0</v>
      </c>
      <c r="AQ68" s="61" t="str">
        <f>IF(INDEX('M03-S03'!$AJ$18:$AJ$198,2*(ROWS($AQ$66:AQ68)-1)+1)="","",IF(AND(INDEX('M03-S03'!$AJ$18:$AJ$198,2*(ROWS($AQ$66:AQ68)-1)+1)&lt;&gt;"",OR(ISNUMBER(SEARCH("AC With",M02S02F32)),M02S02F32="Heat Pump")),LIGHTHEATCOIN,1))</f>
        <v/>
      </c>
      <c r="AR68" s="414">
        <f>(IF(INDEX('M03-S03'!$AN$18:$AN$198,2*(ROWS($O$66:O68)-1)+1)=INDEX('M03-S03'!$BJ$18:$BJ$198,2*(ROWS($O$66:O68)-1)+1),0,(INDEX('M03-S03'!$BI$18:$BI$198,2*(ROWS($O$66:O68)-1)+1)-INDEX('M03-S03'!$BJ$18:$BJ$198,2*(ROWS($O$66:O68)-1)+1))))*INCENTCAPADJ</f>
        <v>0</v>
      </c>
    </row>
    <row r="69" spans="1:44" x14ac:dyDescent="0.25">
      <c r="A69" s="66">
        <f t="shared" si="16"/>
        <v>0</v>
      </c>
      <c r="B69" s="66" t="str">
        <f t="shared" si="17"/>
        <v/>
      </c>
      <c r="C69" s="66" t="str">
        <f>IFERROR(IF(J69&gt;0,INDEX('M03-S03'!$BB$18:$BB$198,2*(ROWS($C$66:C69)-1)+1),""),"")</f>
        <v/>
      </c>
      <c r="D69" t="s">
        <v>1096</v>
      </c>
      <c r="E69" t="str">
        <f>IFERROR(INDEX(PMELIGHTHID[End Use Category],MATCH(INDEX('M03-S03'!$BA$18:$BA$198,2*(ROWS($E$66:E69)-1)+1),PMELIGHTHID[Measure Validator],0)),"")</f>
        <v/>
      </c>
      <c r="F69" s="151">
        <f>INDEX('M03-S03'!$AB$18:$AB$198,2*(ROWS($F$66:F69)-1)+1)</f>
        <v>0</v>
      </c>
      <c r="G69">
        <f>INDEX('M03-S03'!$Y$18:$Y$198,2*(ROWS($G$66:G69)-1)+1)</f>
        <v>0</v>
      </c>
      <c r="H69" s="61">
        <f>ROUND(INDEX('M03-S03'!$U$18:$U$198,2*(ROWS($H$66:H69)-1)+1)*INDEX('M03-S03'!$AF$18:$AF$198,2*(ROWS($H$66:H69)-1)+1),2)</f>
        <v>0</v>
      </c>
      <c r="I69" s="61">
        <f>ROUND(INDEX('M03-S03'!$U$18:$U$198,2*(ROWS($H$66:H69)-1)+1)*INDEX('M03-S03'!$AH$18:$AH$198,2*(ROWS($H$66:H69)-1)+1),2)</f>
        <v>0</v>
      </c>
      <c r="J69" s="61" t="str">
        <f>INDEX('M03-S03'!$AU$18:$AU$198,2*(ROWS($J$66:J69)-1)+1)</f>
        <v/>
      </c>
      <c r="K69" t="s">
        <v>119</v>
      </c>
      <c r="L69" s="151">
        <f>IF(ISNUMBER(INDEX('M03-S03'!$AN$18:$AN$198,2*(ROWS($L$66:L69)-1)+1)),INDEX('M03-S03'!$U$18:$U$198,2*(ROWS($L$66:L69)-1)+1),0)</f>
        <v>0</v>
      </c>
      <c r="M69" s="151">
        <f>IF(ISNUMBER(INDEX('M03-S03'!$AN$18:$AN$198,2*(ROWS($M$66:M69)-1)+1)),INDEX('M03-S03'!$AJ$18:$AJ$198,2*(ROWS($M$66:M69)-1)+1),0)</f>
        <v>0</v>
      </c>
      <c r="N69" s="189">
        <f>IF(ISNUMBER(INDEX('M03-S03'!$AN$18:$AN$198,2*(ROWS($M$66:M69)-1)+1)),IFERROR(INDEX('M03-S03'!$AV$18:$AV$198,2*(ROWS($N$66:N69)-1)+1),0),0)</f>
        <v>0</v>
      </c>
      <c r="O69" s="61">
        <f>IF(ISNUMBER(INDEX('M03-S03'!$AN$18:$AN$198,2*(ROWS($M$66:M69)-1)+1)),IFERROR(INDEX('M03-S03'!$AN$18:$AN$198,2*(ROWS($O$66:O69)-1)+1)*INCENTCAPADJ,""),0)</f>
        <v>0</v>
      </c>
      <c r="P69" s="151" t="str">
        <f>IFERROR(IF(NOT(ISNUMBER(INDEX('M03-S03'!$AN$18:$AN$198,2*(ROWS($O$66:O69)-1)+1))),INDEX('M03-S03'!$AJ$18:$AJ$198,2*(ROWS($M$66:M69)-1)+1),0),0)</f>
        <v/>
      </c>
      <c r="Q69" s="189" t="str">
        <f>IFERROR(IF(NOT(ISNUMBER(INDEX('M03-S03'!$AN$18:$AN$198,2*(ROWS($O$66:O69)-1)+1))),INDEX('M03-S03'!$AV$18:$AV$198,2*(ROWS($N$66:N69)-1)+1),0),0)</f>
        <v/>
      </c>
      <c r="R69" t="str">
        <f>IFERROR(IF(NOT(ISNUMBER(INDEX('M03-S03'!$AN$18:$AN$198,2*(ROWS($O$66:O69)-1)+1))),"Not Eligible",""),"")</f>
        <v>Not Eligible</v>
      </c>
      <c r="S69" s="156" t="str">
        <f>INDEX('M03-S03'!$K$18:$K$198,2*(ROWS($S$66:S69)-1)+1)</f>
        <v/>
      </c>
      <c r="T69" s="156">
        <f>INDEX('M03-S03'!$W$18:$W$198,2*(ROWS($T$66:T69)-1)+1)</f>
        <v>0</v>
      </c>
      <c r="U69" s="151">
        <f>INDEX('M03-S03'!$B$18:$B$198,2*(ROWS($U$66:U69)-1)+1)</f>
        <v>4</v>
      </c>
      <c r="V69" s="58">
        <f>INDEX('M03-S03'!$C$18:$C$198,2*(ROWS($V$66:V69)-1)+1)</f>
        <v>0</v>
      </c>
      <c r="W69" s="58">
        <f>INDEX('M03-S03'!$M$18:$M$198,2*(ROWS($V$66:V69)-1)+1)</f>
        <v>0</v>
      </c>
      <c r="X69" s="135"/>
      <c r="Y69">
        <f>INDEX('M03-S03'!$Q$18:$Q$198,2*(ROWS($Y$66:Y69)-1)+1)</f>
        <v>0</v>
      </c>
      <c r="Z69" s="61">
        <f>IFERROR(INDEX('M03-S03'!$AD$18:$AD$198,2*(ROWS(Z$66:$Z69)-1)+1)/INDEX('M03-S03'!$AB$18:$AB$198,2*(ROWS(Z$66:$Z69)-1)+1),0)</f>
        <v>0</v>
      </c>
      <c r="AA69" s="135"/>
      <c r="AB69" s="135"/>
      <c r="AC69" s="135"/>
      <c r="AD69" s="135"/>
      <c r="AE69" s="151">
        <f>IFERROR(IF(NOT(ISNUMBER(INDEX('M03-S03'!$AN$18:$AN$198,2*(ROWS($AE$66:AE69)-1)+1))),INDEX('M03-S03'!$U$18:$U$198,2*(ROWS($AE$66:AE69)-1)+1),0),0)</f>
        <v>0</v>
      </c>
      <c r="AF69" s="151" t="str">
        <f>INDEX('M03-S03'!$AW$18:$AW$198,2*(ROWS($AF$66:AF69)-1)+1)</f>
        <v/>
      </c>
      <c r="AG69" s="151" t="str">
        <f>INDEX('M03-S03'!$AX$18:$AX$198,2*(ROWS($AG$66:AG69)-1)+1)</f>
        <v/>
      </c>
      <c r="AH69" s="151" t="str">
        <f t="shared" si="18"/>
        <v/>
      </c>
      <c r="AI69" s="151" t="str">
        <f t="shared" si="19"/>
        <v/>
      </c>
      <c r="AJ69" s="61" t="str">
        <f t="shared" si="20"/>
        <v/>
      </c>
      <c r="AK69" s="61" t="str">
        <f t="shared" si="21"/>
        <v/>
      </c>
      <c r="AL69" s="61" t="str">
        <f t="shared" si="22"/>
        <v/>
      </c>
      <c r="AM69" s="154"/>
      <c r="AN69" s="61" t="str">
        <f t="shared" si="23"/>
        <v/>
      </c>
      <c r="AO69" s="151">
        <f>INDEX('M03-S03'!$G$18:$G$198,2*(ROWS($AO$66:AO69)-1)+1)</f>
        <v>0</v>
      </c>
      <c r="AP69" s="151">
        <f>INDEX('M03-S03'!$AD$18:$AD$198,2*(ROWS($AP$66:AP69)-1)+1)</f>
        <v>0</v>
      </c>
      <c r="AQ69" s="61" t="str">
        <f>IF(INDEX('M03-S03'!$AJ$18:$AJ$198,2*(ROWS($AQ$66:AQ69)-1)+1)="","",IF(AND(INDEX('M03-S03'!$AJ$18:$AJ$198,2*(ROWS($AQ$66:AQ69)-1)+1)&lt;&gt;"",OR(ISNUMBER(SEARCH("AC With",M02S02F32)),M02S02F32="Heat Pump")),LIGHTHEATCOIN,1))</f>
        <v/>
      </c>
      <c r="AR69" s="414">
        <f>(IF(INDEX('M03-S03'!$AN$18:$AN$198,2*(ROWS($O$66:O69)-1)+1)=INDEX('M03-S03'!$BJ$18:$BJ$198,2*(ROWS($O$66:O69)-1)+1),0,(INDEX('M03-S03'!$BI$18:$BI$198,2*(ROWS($O$66:O69)-1)+1)-INDEX('M03-S03'!$BJ$18:$BJ$198,2*(ROWS($O$66:O69)-1)+1))))*INCENTCAPADJ</f>
        <v>0</v>
      </c>
    </row>
    <row r="70" spans="1:44" x14ac:dyDescent="0.25">
      <c r="A70" s="66">
        <f t="shared" si="16"/>
        <v>0</v>
      </c>
      <c r="B70" s="66" t="str">
        <f t="shared" si="17"/>
        <v/>
      </c>
      <c r="C70" s="66" t="str">
        <f>IFERROR(IF(J70&gt;0,INDEX('M03-S03'!$BB$18:$BB$198,2*(ROWS($C$66:C70)-1)+1),""),"")</f>
        <v/>
      </c>
      <c r="D70" t="s">
        <v>1096</v>
      </c>
      <c r="E70" t="str">
        <f>IFERROR(INDEX(PMELIGHTHID[End Use Category],MATCH(INDEX('M03-S03'!$BA$18:$BA$198,2*(ROWS($E$66:E70)-1)+1),PMELIGHTHID[Measure Validator],0)),"")</f>
        <v/>
      </c>
      <c r="F70" s="151">
        <f>INDEX('M03-S03'!$AB$18:$AB$198,2*(ROWS($F$66:F70)-1)+1)</f>
        <v>0</v>
      </c>
      <c r="G70">
        <f>INDEX('M03-S03'!$Y$18:$Y$198,2*(ROWS($G$66:G70)-1)+1)</f>
        <v>0</v>
      </c>
      <c r="H70" s="61">
        <f>ROUND(INDEX('M03-S03'!$U$18:$U$198,2*(ROWS($H$66:H70)-1)+1)*INDEX('M03-S03'!$AF$18:$AF$198,2*(ROWS($H$66:H70)-1)+1),2)</f>
        <v>0</v>
      </c>
      <c r="I70" s="61">
        <f>ROUND(INDEX('M03-S03'!$U$18:$U$198,2*(ROWS($H$66:H70)-1)+1)*INDEX('M03-S03'!$AH$18:$AH$198,2*(ROWS($H$66:H70)-1)+1),2)</f>
        <v>0</v>
      </c>
      <c r="J70" s="61" t="str">
        <f>INDEX('M03-S03'!$AU$18:$AU$198,2*(ROWS($J$66:J70)-1)+1)</f>
        <v/>
      </c>
      <c r="K70" t="s">
        <v>119</v>
      </c>
      <c r="L70" s="151">
        <f>IF(ISNUMBER(INDEX('M03-S03'!$AN$18:$AN$198,2*(ROWS($L$66:L70)-1)+1)),INDEX('M03-S03'!$U$18:$U$198,2*(ROWS($L$66:L70)-1)+1),0)</f>
        <v>0</v>
      </c>
      <c r="M70" s="151">
        <f>IF(ISNUMBER(INDEX('M03-S03'!$AN$18:$AN$198,2*(ROWS($M$66:M70)-1)+1)),INDEX('M03-S03'!$AJ$18:$AJ$198,2*(ROWS($M$66:M70)-1)+1),0)</f>
        <v>0</v>
      </c>
      <c r="N70" s="189">
        <f>IF(ISNUMBER(INDEX('M03-S03'!$AN$18:$AN$198,2*(ROWS($M$66:M70)-1)+1)),IFERROR(INDEX('M03-S03'!$AV$18:$AV$198,2*(ROWS($N$66:N70)-1)+1),0),0)</f>
        <v>0</v>
      </c>
      <c r="O70" s="61">
        <f>IF(ISNUMBER(INDEX('M03-S03'!$AN$18:$AN$198,2*(ROWS($M$66:M70)-1)+1)),IFERROR(INDEX('M03-S03'!$AN$18:$AN$198,2*(ROWS($O$66:O70)-1)+1)*INCENTCAPADJ,""),0)</f>
        <v>0</v>
      </c>
      <c r="P70" s="151" t="str">
        <f>IFERROR(IF(NOT(ISNUMBER(INDEX('M03-S03'!$AN$18:$AN$198,2*(ROWS($O$66:O70)-1)+1))),INDEX('M03-S03'!$AJ$18:$AJ$198,2*(ROWS($M$66:M70)-1)+1),0),0)</f>
        <v/>
      </c>
      <c r="Q70" s="189" t="str">
        <f>IFERROR(IF(NOT(ISNUMBER(INDEX('M03-S03'!$AN$18:$AN$198,2*(ROWS($O$66:O70)-1)+1))),INDEX('M03-S03'!$AV$18:$AV$198,2*(ROWS($N$66:N70)-1)+1),0),0)</f>
        <v/>
      </c>
      <c r="R70" t="str">
        <f>IFERROR(IF(NOT(ISNUMBER(INDEX('M03-S03'!$AN$18:$AN$198,2*(ROWS($O$66:O70)-1)+1))),"Not Eligible",""),"")</f>
        <v>Not Eligible</v>
      </c>
      <c r="S70" s="156" t="str">
        <f>INDEX('M03-S03'!$K$18:$K$198,2*(ROWS($S$66:S70)-1)+1)</f>
        <v/>
      </c>
      <c r="T70" s="156">
        <f>INDEX('M03-S03'!$W$18:$W$198,2*(ROWS($T$66:T70)-1)+1)</f>
        <v>0</v>
      </c>
      <c r="U70" s="151">
        <f>INDEX('M03-S03'!$B$18:$B$198,2*(ROWS($U$66:U70)-1)+1)</f>
        <v>5</v>
      </c>
      <c r="V70" s="58">
        <f>INDEX('M03-S03'!$C$18:$C$198,2*(ROWS($V$66:V70)-1)+1)</f>
        <v>0</v>
      </c>
      <c r="W70" s="58">
        <f>INDEX('M03-S03'!$M$18:$M$198,2*(ROWS($V$66:V70)-1)+1)</f>
        <v>0</v>
      </c>
      <c r="X70" s="135"/>
      <c r="Y70">
        <f>INDEX('M03-S03'!$Q$18:$Q$198,2*(ROWS($Y$66:Y70)-1)+1)</f>
        <v>0</v>
      </c>
      <c r="Z70" s="61">
        <f>IFERROR(INDEX('M03-S03'!$AD$18:$AD$198,2*(ROWS(Z$66:$Z70)-1)+1)/INDEX('M03-S03'!$AB$18:$AB$198,2*(ROWS(Z$66:$Z70)-1)+1),0)</f>
        <v>0</v>
      </c>
      <c r="AA70" s="135"/>
      <c r="AB70" s="135"/>
      <c r="AC70" s="135"/>
      <c r="AD70" s="135"/>
      <c r="AE70" s="151">
        <f>IFERROR(IF(NOT(ISNUMBER(INDEX('M03-S03'!$AN$18:$AN$198,2*(ROWS($AE$66:AE70)-1)+1))),INDEX('M03-S03'!$U$18:$U$198,2*(ROWS($AE$66:AE70)-1)+1),0),0)</f>
        <v>0</v>
      </c>
      <c r="AF70" s="151" t="str">
        <f>INDEX('M03-S03'!$AW$18:$AW$198,2*(ROWS($AF$66:AF70)-1)+1)</f>
        <v/>
      </c>
      <c r="AG70" s="151" t="str">
        <f>INDEX('M03-S03'!$AX$18:$AX$198,2*(ROWS($AG$66:AG70)-1)+1)</f>
        <v/>
      </c>
      <c r="AH70" s="151" t="str">
        <f t="shared" si="18"/>
        <v/>
      </c>
      <c r="AI70" s="151" t="str">
        <f t="shared" si="19"/>
        <v/>
      </c>
      <c r="AJ70" s="61" t="str">
        <f t="shared" si="20"/>
        <v/>
      </c>
      <c r="AK70" s="61" t="str">
        <f t="shared" si="21"/>
        <v/>
      </c>
      <c r="AL70" s="61" t="str">
        <f t="shared" si="22"/>
        <v/>
      </c>
      <c r="AM70" s="154"/>
      <c r="AN70" s="61" t="str">
        <f t="shared" si="23"/>
        <v/>
      </c>
      <c r="AO70" s="151">
        <f>INDEX('M03-S03'!$G$18:$G$198,2*(ROWS($AO$66:AO70)-1)+1)</f>
        <v>0</v>
      </c>
      <c r="AP70" s="151">
        <f>INDEX('M03-S03'!$AD$18:$AD$198,2*(ROWS($AP$66:AP70)-1)+1)</f>
        <v>0</v>
      </c>
      <c r="AQ70" s="61" t="str">
        <f>IF(INDEX('M03-S03'!$AJ$18:$AJ$198,2*(ROWS($AQ$66:AQ70)-1)+1)="","",IF(AND(INDEX('M03-S03'!$AJ$18:$AJ$198,2*(ROWS($AQ$66:AQ70)-1)+1)&lt;&gt;"",OR(ISNUMBER(SEARCH("AC With",M02S02F32)),M02S02F32="Heat Pump")),LIGHTHEATCOIN,1))</f>
        <v/>
      </c>
      <c r="AR70" s="414">
        <f>(IF(INDEX('M03-S03'!$AN$18:$AN$198,2*(ROWS($O$66:O70)-1)+1)=INDEX('M03-S03'!$BJ$18:$BJ$198,2*(ROWS($O$66:O70)-1)+1),0,(INDEX('M03-S03'!$BI$18:$BI$198,2*(ROWS($O$66:O70)-1)+1)-INDEX('M03-S03'!$BJ$18:$BJ$198,2*(ROWS($O$66:O70)-1)+1))))*INCENTCAPADJ</f>
        <v>0</v>
      </c>
    </row>
    <row r="71" spans="1:44" x14ac:dyDescent="0.25">
      <c r="A71" s="66">
        <f t="shared" si="16"/>
        <v>0</v>
      </c>
      <c r="B71" s="66" t="str">
        <f t="shared" si="17"/>
        <v/>
      </c>
      <c r="C71" s="66" t="str">
        <f>IFERROR(IF(J71&gt;0,INDEX('M03-S03'!$BB$18:$BB$198,2*(ROWS($C$66:C71)-1)+1),""),"")</f>
        <v/>
      </c>
      <c r="D71" t="s">
        <v>1096</v>
      </c>
      <c r="E71" t="str">
        <f>IFERROR(INDEX(PMELIGHTHID[End Use Category],MATCH(INDEX('M03-S03'!$BA$18:$BA$198,2*(ROWS($E$66:E71)-1)+1),PMELIGHTHID[Measure Validator],0)),"")</f>
        <v/>
      </c>
      <c r="F71" s="151">
        <f>INDEX('M03-S03'!$AB$18:$AB$198,2*(ROWS($F$66:F71)-1)+1)</f>
        <v>0</v>
      </c>
      <c r="G71">
        <f>INDEX('M03-S03'!$Y$18:$Y$198,2*(ROWS($G$66:G71)-1)+1)</f>
        <v>0</v>
      </c>
      <c r="H71" s="61">
        <f>ROUND(INDEX('M03-S03'!$U$18:$U$198,2*(ROWS($H$66:H71)-1)+1)*INDEX('M03-S03'!$AF$18:$AF$198,2*(ROWS($H$66:H71)-1)+1),2)</f>
        <v>0</v>
      </c>
      <c r="I71" s="61">
        <f>ROUND(INDEX('M03-S03'!$U$18:$U$198,2*(ROWS($H$66:H71)-1)+1)*INDEX('M03-S03'!$AH$18:$AH$198,2*(ROWS($H$66:H71)-1)+1),2)</f>
        <v>0</v>
      </c>
      <c r="J71" s="61" t="str">
        <f>INDEX('M03-S03'!$AU$18:$AU$198,2*(ROWS($J$66:J71)-1)+1)</f>
        <v/>
      </c>
      <c r="K71" t="s">
        <v>119</v>
      </c>
      <c r="L71" s="151">
        <f>IF(ISNUMBER(INDEX('M03-S03'!$AN$18:$AN$198,2*(ROWS($L$66:L71)-1)+1)),INDEX('M03-S03'!$U$18:$U$198,2*(ROWS($L$66:L71)-1)+1),0)</f>
        <v>0</v>
      </c>
      <c r="M71" s="151">
        <f>IF(ISNUMBER(INDEX('M03-S03'!$AN$18:$AN$198,2*(ROWS($M$66:M71)-1)+1)),INDEX('M03-S03'!$AJ$18:$AJ$198,2*(ROWS($M$66:M71)-1)+1),0)</f>
        <v>0</v>
      </c>
      <c r="N71" s="189">
        <f>IF(ISNUMBER(INDEX('M03-S03'!$AN$18:$AN$198,2*(ROWS($M$66:M71)-1)+1)),IFERROR(INDEX('M03-S03'!$AV$18:$AV$198,2*(ROWS($N$66:N71)-1)+1),0),0)</f>
        <v>0</v>
      </c>
      <c r="O71" s="61">
        <f>IF(ISNUMBER(INDEX('M03-S03'!$AN$18:$AN$198,2*(ROWS($M$66:M71)-1)+1)),IFERROR(INDEX('M03-S03'!$AN$18:$AN$198,2*(ROWS($O$66:O71)-1)+1)*INCENTCAPADJ,""),0)</f>
        <v>0</v>
      </c>
      <c r="P71" s="151" t="str">
        <f>IFERROR(IF(NOT(ISNUMBER(INDEX('M03-S03'!$AN$18:$AN$198,2*(ROWS($O$66:O71)-1)+1))),INDEX('M03-S03'!$AJ$18:$AJ$198,2*(ROWS($M$66:M71)-1)+1),0),0)</f>
        <v/>
      </c>
      <c r="Q71" s="189" t="str">
        <f>IFERROR(IF(NOT(ISNUMBER(INDEX('M03-S03'!$AN$18:$AN$198,2*(ROWS($O$66:O71)-1)+1))),INDEX('M03-S03'!$AV$18:$AV$198,2*(ROWS($N$66:N71)-1)+1),0),0)</f>
        <v/>
      </c>
      <c r="R71" t="str">
        <f>IFERROR(IF(NOT(ISNUMBER(INDEX('M03-S03'!$AN$18:$AN$198,2*(ROWS($O$66:O71)-1)+1))),"Not Eligible",""),"")</f>
        <v>Not Eligible</v>
      </c>
      <c r="S71" s="156" t="str">
        <f>INDEX('M03-S03'!$K$18:$K$198,2*(ROWS($S$66:S71)-1)+1)</f>
        <v/>
      </c>
      <c r="T71" s="156">
        <f>INDEX('M03-S03'!$W$18:$W$198,2*(ROWS($T$66:T71)-1)+1)</f>
        <v>0</v>
      </c>
      <c r="U71" s="151">
        <f>INDEX('M03-S03'!$B$18:$B$198,2*(ROWS($U$66:U71)-1)+1)</f>
        <v>6</v>
      </c>
      <c r="V71" s="58">
        <f>INDEX('M03-S03'!$C$18:$C$198,2*(ROWS($V$66:V71)-1)+1)</f>
        <v>0</v>
      </c>
      <c r="W71" s="58">
        <f>INDEX('M03-S03'!$M$18:$M$198,2*(ROWS($V$66:V71)-1)+1)</f>
        <v>0</v>
      </c>
      <c r="X71" s="135"/>
      <c r="Y71">
        <f>INDEX('M03-S03'!$Q$18:$Q$198,2*(ROWS($Y$66:Y71)-1)+1)</f>
        <v>0</v>
      </c>
      <c r="Z71" s="61">
        <f>IFERROR(INDEX('M03-S03'!$AD$18:$AD$198,2*(ROWS(Z$66:$Z71)-1)+1)/INDEX('M03-S03'!$AB$18:$AB$198,2*(ROWS(Z$66:$Z71)-1)+1),0)</f>
        <v>0</v>
      </c>
      <c r="AA71" s="135"/>
      <c r="AB71" s="135"/>
      <c r="AC71" s="135"/>
      <c r="AD71" s="135"/>
      <c r="AE71" s="151">
        <f>IFERROR(IF(NOT(ISNUMBER(INDEX('M03-S03'!$AN$18:$AN$198,2*(ROWS($AE$66:AE71)-1)+1))),INDEX('M03-S03'!$U$18:$U$198,2*(ROWS($AE$66:AE71)-1)+1),0),0)</f>
        <v>0</v>
      </c>
      <c r="AF71" s="151" t="str">
        <f>INDEX('M03-S03'!$AW$18:$AW$198,2*(ROWS($AF$66:AF71)-1)+1)</f>
        <v/>
      </c>
      <c r="AG71" s="151" t="str">
        <f>INDEX('M03-S03'!$AX$18:$AX$198,2*(ROWS($AG$66:AG71)-1)+1)</f>
        <v/>
      </c>
      <c r="AH71" s="151" t="str">
        <f t="shared" si="18"/>
        <v/>
      </c>
      <c r="AI71" s="151" t="str">
        <f t="shared" si="19"/>
        <v/>
      </c>
      <c r="AJ71" s="61" t="str">
        <f t="shared" si="20"/>
        <v/>
      </c>
      <c r="AK71" s="61" t="str">
        <f t="shared" si="21"/>
        <v/>
      </c>
      <c r="AL71" s="61" t="str">
        <f t="shared" si="22"/>
        <v/>
      </c>
      <c r="AM71" s="154"/>
      <c r="AN71" s="61" t="str">
        <f t="shared" si="23"/>
        <v/>
      </c>
      <c r="AO71" s="151">
        <f>INDEX('M03-S03'!$G$18:$G$198,2*(ROWS($AO$66:AO71)-1)+1)</f>
        <v>0</v>
      </c>
      <c r="AP71" s="151">
        <f>INDEX('M03-S03'!$AD$18:$AD$198,2*(ROWS($AP$66:AP71)-1)+1)</f>
        <v>0</v>
      </c>
      <c r="AQ71" s="61" t="str">
        <f>IF(INDEX('M03-S03'!$AJ$18:$AJ$198,2*(ROWS($AQ$66:AQ71)-1)+1)="","",IF(AND(INDEX('M03-S03'!$AJ$18:$AJ$198,2*(ROWS($AQ$66:AQ71)-1)+1)&lt;&gt;"",OR(ISNUMBER(SEARCH("AC With",M02S02F32)),M02S02F32="Heat Pump")),LIGHTHEATCOIN,1))</f>
        <v/>
      </c>
      <c r="AR71" s="414">
        <f>(IF(INDEX('M03-S03'!$AN$18:$AN$198,2*(ROWS($O$66:O71)-1)+1)=INDEX('M03-S03'!$BJ$18:$BJ$198,2*(ROWS($O$66:O71)-1)+1),0,(INDEX('M03-S03'!$BI$18:$BI$198,2*(ROWS($O$66:O71)-1)+1)-INDEX('M03-S03'!$BJ$18:$BJ$198,2*(ROWS($O$66:O71)-1)+1))))*INCENTCAPADJ</f>
        <v>0</v>
      </c>
    </row>
    <row r="72" spans="1:44" x14ac:dyDescent="0.25">
      <c r="A72" s="66">
        <f t="shared" si="16"/>
        <v>0</v>
      </c>
      <c r="B72" s="66" t="str">
        <f t="shared" si="17"/>
        <v/>
      </c>
      <c r="C72" s="66" t="str">
        <f>IFERROR(IF(J72&gt;0,INDEX('M03-S03'!$BB$18:$BB$198,2*(ROWS($C$66:C72)-1)+1),""),"")</f>
        <v/>
      </c>
      <c r="D72" t="s">
        <v>1096</v>
      </c>
      <c r="E72" t="str">
        <f>IFERROR(INDEX(PMELIGHTHID[End Use Category],MATCH(INDEX('M03-S03'!$BA$18:$BA$198,2*(ROWS($E$66:E72)-1)+1),PMELIGHTHID[Measure Validator],0)),"")</f>
        <v/>
      </c>
      <c r="F72" s="151">
        <f>INDEX('M03-S03'!$AB$18:$AB$198,2*(ROWS($F$66:F72)-1)+1)</f>
        <v>0</v>
      </c>
      <c r="G72">
        <f>INDEX('M03-S03'!$Y$18:$Y$198,2*(ROWS($G$66:G72)-1)+1)</f>
        <v>0</v>
      </c>
      <c r="H72" s="61">
        <f>ROUND(INDEX('M03-S03'!$U$18:$U$198,2*(ROWS($H$66:H72)-1)+1)*INDEX('M03-S03'!$AF$18:$AF$198,2*(ROWS($H$66:H72)-1)+1),2)</f>
        <v>0</v>
      </c>
      <c r="I72" s="61">
        <f>ROUND(INDEX('M03-S03'!$U$18:$U$198,2*(ROWS($H$66:H72)-1)+1)*INDEX('M03-S03'!$AH$18:$AH$198,2*(ROWS($H$66:H72)-1)+1),2)</f>
        <v>0</v>
      </c>
      <c r="J72" s="61" t="str">
        <f>INDEX('M03-S03'!$AU$18:$AU$198,2*(ROWS($J$66:J72)-1)+1)</f>
        <v/>
      </c>
      <c r="K72" t="s">
        <v>119</v>
      </c>
      <c r="L72" s="151">
        <f>IF(ISNUMBER(INDEX('M03-S03'!$AN$18:$AN$198,2*(ROWS($L$66:L72)-1)+1)),INDEX('M03-S03'!$U$18:$U$198,2*(ROWS($L$66:L72)-1)+1),0)</f>
        <v>0</v>
      </c>
      <c r="M72" s="151">
        <f>IF(ISNUMBER(INDEX('M03-S03'!$AN$18:$AN$198,2*(ROWS($M$66:M72)-1)+1)),INDEX('M03-S03'!$AJ$18:$AJ$198,2*(ROWS($M$66:M72)-1)+1),0)</f>
        <v>0</v>
      </c>
      <c r="N72" s="189">
        <f>IF(ISNUMBER(INDEX('M03-S03'!$AN$18:$AN$198,2*(ROWS($M$66:M72)-1)+1)),IFERROR(INDEX('M03-S03'!$AV$18:$AV$198,2*(ROWS($N$66:N72)-1)+1),0),0)</f>
        <v>0</v>
      </c>
      <c r="O72" s="61">
        <f>IF(ISNUMBER(INDEX('M03-S03'!$AN$18:$AN$198,2*(ROWS($M$66:M72)-1)+1)),IFERROR(INDEX('M03-S03'!$AN$18:$AN$198,2*(ROWS($O$66:O72)-1)+1)*INCENTCAPADJ,""),0)</f>
        <v>0</v>
      </c>
      <c r="P72" s="151" t="str">
        <f>IFERROR(IF(NOT(ISNUMBER(INDEX('M03-S03'!$AN$18:$AN$198,2*(ROWS($O$66:O72)-1)+1))),INDEX('M03-S03'!$AJ$18:$AJ$198,2*(ROWS($M$66:M72)-1)+1),0),0)</f>
        <v/>
      </c>
      <c r="Q72" s="189" t="str">
        <f>IFERROR(IF(NOT(ISNUMBER(INDEX('M03-S03'!$AN$18:$AN$198,2*(ROWS($O$66:O72)-1)+1))),INDEX('M03-S03'!$AV$18:$AV$198,2*(ROWS($N$66:N72)-1)+1),0),0)</f>
        <v/>
      </c>
      <c r="R72" t="str">
        <f>IFERROR(IF(NOT(ISNUMBER(INDEX('M03-S03'!$AN$18:$AN$198,2*(ROWS($O$66:O72)-1)+1))),"Not Eligible",""),"")</f>
        <v>Not Eligible</v>
      </c>
      <c r="S72" s="156" t="str">
        <f>INDEX('M03-S03'!$K$18:$K$198,2*(ROWS($S$66:S72)-1)+1)</f>
        <v/>
      </c>
      <c r="T72" s="156">
        <f>INDEX('M03-S03'!$W$18:$W$198,2*(ROWS($T$66:T72)-1)+1)</f>
        <v>0</v>
      </c>
      <c r="U72" s="151">
        <f>INDEX('M03-S03'!$B$18:$B$198,2*(ROWS($U$66:U72)-1)+1)</f>
        <v>7</v>
      </c>
      <c r="V72" s="58">
        <f>INDEX('M03-S03'!$C$18:$C$198,2*(ROWS($V$66:V72)-1)+1)</f>
        <v>0</v>
      </c>
      <c r="W72" s="58">
        <f>INDEX('M03-S03'!$M$18:$M$198,2*(ROWS($V$66:V72)-1)+1)</f>
        <v>0</v>
      </c>
      <c r="X72" s="135"/>
      <c r="Y72">
        <f>INDEX('M03-S03'!$Q$18:$Q$198,2*(ROWS($Y$66:Y72)-1)+1)</f>
        <v>0</v>
      </c>
      <c r="Z72" s="61">
        <f>IFERROR(INDEX('M03-S03'!$AD$18:$AD$198,2*(ROWS(Z$66:$Z72)-1)+1)/INDEX('M03-S03'!$AB$18:$AB$198,2*(ROWS(Z$66:$Z72)-1)+1),0)</f>
        <v>0</v>
      </c>
      <c r="AA72" s="135"/>
      <c r="AB72" s="135"/>
      <c r="AC72" s="135"/>
      <c r="AD72" s="135"/>
      <c r="AE72" s="151">
        <f>IFERROR(IF(NOT(ISNUMBER(INDEX('M03-S03'!$AN$18:$AN$198,2*(ROWS($AE$66:AE72)-1)+1))),INDEX('M03-S03'!$U$18:$U$198,2*(ROWS($AE$66:AE72)-1)+1),0),0)</f>
        <v>0</v>
      </c>
      <c r="AF72" s="151" t="str">
        <f>INDEX('M03-S03'!$AW$18:$AW$198,2*(ROWS($AF$66:AF72)-1)+1)</f>
        <v/>
      </c>
      <c r="AG72" s="151" t="str">
        <f>INDEX('M03-S03'!$AX$18:$AX$198,2*(ROWS($AG$66:AG72)-1)+1)</f>
        <v/>
      </c>
      <c r="AH72" s="151" t="str">
        <f t="shared" si="18"/>
        <v/>
      </c>
      <c r="AI72" s="151" t="str">
        <f t="shared" si="19"/>
        <v/>
      </c>
      <c r="AJ72" s="61" t="str">
        <f t="shared" si="20"/>
        <v/>
      </c>
      <c r="AK72" s="61" t="str">
        <f t="shared" si="21"/>
        <v/>
      </c>
      <c r="AL72" s="61" t="str">
        <f t="shared" si="22"/>
        <v/>
      </c>
      <c r="AM72" s="154"/>
      <c r="AN72" s="61" t="str">
        <f t="shared" si="23"/>
        <v/>
      </c>
      <c r="AO72" s="151">
        <f>INDEX('M03-S03'!$G$18:$G$198,2*(ROWS($AO$66:AO72)-1)+1)</f>
        <v>0</v>
      </c>
      <c r="AP72" s="151">
        <f>INDEX('M03-S03'!$AD$18:$AD$198,2*(ROWS($AP$66:AP72)-1)+1)</f>
        <v>0</v>
      </c>
      <c r="AQ72" s="61" t="str">
        <f>IF(INDEX('M03-S03'!$AJ$18:$AJ$198,2*(ROWS($AQ$66:AQ72)-1)+1)="","",IF(AND(INDEX('M03-S03'!$AJ$18:$AJ$198,2*(ROWS($AQ$66:AQ72)-1)+1)&lt;&gt;"",OR(ISNUMBER(SEARCH("AC With",M02S02F32)),M02S02F32="Heat Pump")),LIGHTHEATCOIN,1))</f>
        <v/>
      </c>
      <c r="AR72" s="414">
        <f>(IF(INDEX('M03-S03'!$AN$18:$AN$198,2*(ROWS($O$66:O72)-1)+1)=INDEX('M03-S03'!$BJ$18:$BJ$198,2*(ROWS($O$66:O72)-1)+1),0,(INDEX('M03-S03'!$BI$18:$BI$198,2*(ROWS($O$66:O72)-1)+1)-INDEX('M03-S03'!$BJ$18:$BJ$198,2*(ROWS($O$66:O72)-1)+1))))*INCENTCAPADJ</f>
        <v>0</v>
      </c>
    </row>
    <row r="73" spans="1:44" x14ac:dyDescent="0.25">
      <c r="A73" s="66">
        <f t="shared" si="16"/>
        <v>0</v>
      </c>
      <c r="B73" s="66" t="str">
        <f t="shared" si="17"/>
        <v/>
      </c>
      <c r="C73" s="66" t="str">
        <f>IFERROR(IF(J73&gt;0,INDEX('M03-S03'!$BB$18:$BB$198,2*(ROWS($C$66:C73)-1)+1),""),"")</f>
        <v/>
      </c>
      <c r="D73" t="s">
        <v>1096</v>
      </c>
      <c r="E73" t="str">
        <f>IFERROR(INDEX(PMELIGHTHID[End Use Category],MATCH(INDEX('M03-S03'!$BA$18:$BA$198,2*(ROWS($E$66:E73)-1)+1),PMELIGHTHID[Measure Validator],0)),"")</f>
        <v/>
      </c>
      <c r="F73" s="151">
        <f>INDEX('M03-S03'!$AB$18:$AB$198,2*(ROWS($F$66:F73)-1)+1)</f>
        <v>0</v>
      </c>
      <c r="G73">
        <f>INDEX('M03-S03'!$Y$18:$Y$198,2*(ROWS($G$66:G73)-1)+1)</f>
        <v>0</v>
      </c>
      <c r="H73" s="61">
        <f>ROUND(INDEX('M03-S03'!$U$18:$U$198,2*(ROWS($H$66:H73)-1)+1)*INDEX('M03-S03'!$AF$18:$AF$198,2*(ROWS($H$66:H73)-1)+1),2)</f>
        <v>0</v>
      </c>
      <c r="I73" s="61">
        <f>ROUND(INDEX('M03-S03'!$U$18:$U$198,2*(ROWS($H$66:H73)-1)+1)*INDEX('M03-S03'!$AH$18:$AH$198,2*(ROWS($H$66:H73)-1)+1),2)</f>
        <v>0</v>
      </c>
      <c r="J73" s="61" t="str">
        <f>INDEX('M03-S03'!$AU$18:$AU$198,2*(ROWS($J$66:J73)-1)+1)</f>
        <v/>
      </c>
      <c r="K73" t="s">
        <v>119</v>
      </c>
      <c r="L73" s="151">
        <f>IF(ISNUMBER(INDEX('M03-S03'!$AN$18:$AN$198,2*(ROWS($L$66:L73)-1)+1)),INDEX('M03-S03'!$U$18:$U$198,2*(ROWS($L$66:L73)-1)+1),0)</f>
        <v>0</v>
      </c>
      <c r="M73" s="151">
        <f>IF(ISNUMBER(INDEX('M03-S03'!$AN$18:$AN$198,2*(ROWS($M$66:M73)-1)+1)),INDEX('M03-S03'!$AJ$18:$AJ$198,2*(ROWS($M$66:M73)-1)+1),0)</f>
        <v>0</v>
      </c>
      <c r="N73" s="189">
        <f>IF(ISNUMBER(INDEX('M03-S03'!$AN$18:$AN$198,2*(ROWS($M$66:M73)-1)+1)),IFERROR(INDEX('M03-S03'!$AV$18:$AV$198,2*(ROWS($N$66:N73)-1)+1),0),0)</f>
        <v>0</v>
      </c>
      <c r="O73" s="61">
        <f>IF(ISNUMBER(INDEX('M03-S03'!$AN$18:$AN$198,2*(ROWS($M$66:M73)-1)+1)),IFERROR(INDEX('M03-S03'!$AN$18:$AN$198,2*(ROWS($O$66:O73)-1)+1)*INCENTCAPADJ,""),0)</f>
        <v>0</v>
      </c>
      <c r="P73" s="151" t="str">
        <f>IFERROR(IF(NOT(ISNUMBER(INDEX('M03-S03'!$AN$18:$AN$198,2*(ROWS($O$66:O73)-1)+1))),INDEX('M03-S03'!$AJ$18:$AJ$198,2*(ROWS($M$66:M73)-1)+1),0),0)</f>
        <v/>
      </c>
      <c r="Q73" s="189" t="str">
        <f>IFERROR(IF(NOT(ISNUMBER(INDEX('M03-S03'!$AN$18:$AN$198,2*(ROWS($O$66:O73)-1)+1))),INDEX('M03-S03'!$AV$18:$AV$198,2*(ROWS($N$66:N73)-1)+1),0),0)</f>
        <v/>
      </c>
      <c r="R73" t="str">
        <f>IFERROR(IF(NOT(ISNUMBER(INDEX('M03-S03'!$AN$18:$AN$198,2*(ROWS($O$66:O73)-1)+1))),"Not Eligible",""),"")</f>
        <v>Not Eligible</v>
      </c>
      <c r="S73" s="156" t="str">
        <f>INDEX('M03-S03'!$K$18:$K$198,2*(ROWS($S$66:S73)-1)+1)</f>
        <v/>
      </c>
      <c r="T73" s="156">
        <f>INDEX('M03-S03'!$W$18:$W$198,2*(ROWS($T$66:T73)-1)+1)</f>
        <v>0</v>
      </c>
      <c r="U73" s="151">
        <f>INDEX('M03-S03'!$B$18:$B$198,2*(ROWS($U$66:U73)-1)+1)</f>
        <v>8</v>
      </c>
      <c r="V73" s="58">
        <f>INDEX('M03-S03'!$C$18:$C$198,2*(ROWS($V$66:V73)-1)+1)</f>
        <v>0</v>
      </c>
      <c r="W73" s="58">
        <f>INDEX('M03-S03'!$M$18:$M$198,2*(ROWS($V$66:V73)-1)+1)</f>
        <v>0</v>
      </c>
      <c r="X73" s="135"/>
      <c r="Y73">
        <f>INDEX('M03-S03'!$Q$18:$Q$198,2*(ROWS($Y$66:Y73)-1)+1)</f>
        <v>0</v>
      </c>
      <c r="Z73" s="61">
        <f>IFERROR(INDEX('M03-S03'!$AD$18:$AD$198,2*(ROWS(Z$66:$Z73)-1)+1)/INDEX('M03-S03'!$AB$18:$AB$198,2*(ROWS(Z$66:$Z73)-1)+1),0)</f>
        <v>0</v>
      </c>
      <c r="AA73" s="135"/>
      <c r="AB73" s="135"/>
      <c r="AC73" s="135"/>
      <c r="AD73" s="135"/>
      <c r="AE73" s="151">
        <f>IFERROR(IF(NOT(ISNUMBER(INDEX('M03-S03'!$AN$18:$AN$198,2*(ROWS($AE$66:AE73)-1)+1))),INDEX('M03-S03'!$U$18:$U$198,2*(ROWS($AE$66:AE73)-1)+1),0),0)</f>
        <v>0</v>
      </c>
      <c r="AF73" s="151" t="str">
        <f>INDEX('M03-S03'!$AW$18:$AW$198,2*(ROWS($AF$66:AF73)-1)+1)</f>
        <v/>
      </c>
      <c r="AG73" s="151" t="str">
        <f>INDEX('M03-S03'!$AX$18:$AX$198,2*(ROWS($AG$66:AG73)-1)+1)</f>
        <v/>
      </c>
      <c r="AH73" s="151" t="str">
        <f t="shared" si="18"/>
        <v/>
      </c>
      <c r="AI73" s="151" t="str">
        <f t="shared" si="19"/>
        <v/>
      </c>
      <c r="AJ73" s="61" t="str">
        <f t="shared" si="20"/>
        <v/>
      </c>
      <c r="AK73" s="61" t="str">
        <f t="shared" si="21"/>
        <v/>
      </c>
      <c r="AL73" s="61" t="str">
        <f t="shared" si="22"/>
        <v/>
      </c>
      <c r="AM73" s="154"/>
      <c r="AN73" s="61" t="str">
        <f t="shared" si="23"/>
        <v/>
      </c>
      <c r="AO73" s="151">
        <f>INDEX('M03-S03'!$G$18:$G$198,2*(ROWS($AO$66:AO73)-1)+1)</f>
        <v>0</v>
      </c>
      <c r="AP73" s="151">
        <f>INDEX('M03-S03'!$AD$18:$AD$198,2*(ROWS($AP$66:AP73)-1)+1)</f>
        <v>0</v>
      </c>
      <c r="AQ73" s="61" t="str">
        <f>IF(INDEX('M03-S03'!$AJ$18:$AJ$198,2*(ROWS($AQ$66:AQ73)-1)+1)="","",IF(AND(INDEX('M03-S03'!$AJ$18:$AJ$198,2*(ROWS($AQ$66:AQ73)-1)+1)&lt;&gt;"",OR(ISNUMBER(SEARCH("AC With",M02S02F32)),M02S02F32="Heat Pump")),LIGHTHEATCOIN,1))</f>
        <v/>
      </c>
      <c r="AR73" s="414">
        <f>(IF(INDEX('M03-S03'!$AN$18:$AN$198,2*(ROWS($O$66:O73)-1)+1)=INDEX('M03-S03'!$BJ$18:$BJ$198,2*(ROWS($O$66:O73)-1)+1),0,(INDEX('M03-S03'!$BI$18:$BI$198,2*(ROWS($O$66:O73)-1)+1)-INDEX('M03-S03'!$BJ$18:$BJ$198,2*(ROWS($O$66:O73)-1)+1))))*INCENTCAPADJ</f>
        <v>0</v>
      </c>
    </row>
    <row r="74" spans="1:44" x14ac:dyDescent="0.25">
      <c r="A74" s="66">
        <f t="shared" si="16"/>
        <v>0</v>
      </c>
      <c r="B74" s="66" t="str">
        <f t="shared" si="17"/>
        <v/>
      </c>
      <c r="C74" s="66" t="str">
        <f>IFERROR(IF(J74&gt;0,INDEX('M03-S03'!$BB$18:$BB$198,2*(ROWS($C$66:C74)-1)+1),""),"")</f>
        <v/>
      </c>
      <c r="D74" t="s">
        <v>1096</v>
      </c>
      <c r="E74" t="str">
        <f>IFERROR(INDEX(PMELIGHTHID[End Use Category],MATCH(INDEX('M03-S03'!$BA$18:$BA$198,2*(ROWS($E$66:E74)-1)+1),PMELIGHTHID[Measure Validator],0)),"")</f>
        <v/>
      </c>
      <c r="F74" s="151">
        <f>INDEX('M03-S03'!$AB$18:$AB$198,2*(ROWS($F$66:F74)-1)+1)</f>
        <v>0</v>
      </c>
      <c r="G74">
        <f>INDEX('M03-S03'!$Y$18:$Y$198,2*(ROWS($G$66:G74)-1)+1)</f>
        <v>0</v>
      </c>
      <c r="H74" s="61">
        <f>ROUND(INDEX('M03-S03'!$U$18:$U$198,2*(ROWS($H$66:H74)-1)+1)*INDEX('M03-S03'!$AF$18:$AF$198,2*(ROWS($H$66:H74)-1)+1),2)</f>
        <v>0</v>
      </c>
      <c r="I74" s="61">
        <f>ROUND(INDEX('M03-S03'!$U$18:$U$198,2*(ROWS($H$66:H74)-1)+1)*INDEX('M03-S03'!$AH$18:$AH$198,2*(ROWS($H$66:H74)-1)+1),2)</f>
        <v>0</v>
      </c>
      <c r="J74" s="61" t="str">
        <f>INDEX('M03-S03'!$AU$18:$AU$198,2*(ROWS($J$66:J74)-1)+1)</f>
        <v/>
      </c>
      <c r="K74" t="s">
        <v>119</v>
      </c>
      <c r="L74" s="151">
        <f>IF(ISNUMBER(INDEX('M03-S03'!$AN$18:$AN$198,2*(ROWS($L$66:L74)-1)+1)),INDEX('M03-S03'!$U$18:$U$198,2*(ROWS($L$66:L74)-1)+1),0)</f>
        <v>0</v>
      </c>
      <c r="M74" s="151">
        <f>IF(ISNUMBER(INDEX('M03-S03'!$AN$18:$AN$198,2*(ROWS($M$66:M74)-1)+1)),INDEX('M03-S03'!$AJ$18:$AJ$198,2*(ROWS($M$66:M74)-1)+1),0)</f>
        <v>0</v>
      </c>
      <c r="N74" s="189">
        <f>IF(ISNUMBER(INDEX('M03-S03'!$AN$18:$AN$198,2*(ROWS($M$66:M74)-1)+1)),IFERROR(INDEX('M03-S03'!$AV$18:$AV$198,2*(ROWS($N$66:N74)-1)+1),0),0)</f>
        <v>0</v>
      </c>
      <c r="O74" s="61">
        <f>IF(ISNUMBER(INDEX('M03-S03'!$AN$18:$AN$198,2*(ROWS($M$66:M74)-1)+1)),IFERROR(INDEX('M03-S03'!$AN$18:$AN$198,2*(ROWS($O$66:O74)-1)+1)*INCENTCAPADJ,""),0)</f>
        <v>0</v>
      </c>
      <c r="P74" s="151" t="str">
        <f>IFERROR(IF(NOT(ISNUMBER(INDEX('M03-S03'!$AN$18:$AN$198,2*(ROWS($O$66:O74)-1)+1))),INDEX('M03-S03'!$AJ$18:$AJ$198,2*(ROWS($M$66:M74)-1)+1),0),0)</f>
        <v/>
      </c>
      <c r="Q74" s="189" t="str">
        <f>IFERROR(IF(NOT(ISNUMBER(INDEX('M03-S03'!$AN$18:$AN$198,2*(ROWS($O$66:O74)-1)+1))),INDEX('M03-S03'!$AV$18:$AV$198,2*(ROWS($N$66:N74)-1)+1),0),0)</f>
        <v/>
      </c>
      <c r="R74" t="str">
        <f>IFERROR(IF(NOT(ISNUMBER(INDEX('M03-S03'!$AN$18:$AN$198,2*(ROWS($O$66:O74)-1)+1))),"Not Eligible",""),"")</f>
        <v>Not Eligible</v>
      </c>
      <c r="S74" s="156" t="str">
        <f>INDEX('M03-S03'!$K$18:$K$198,2*(ROWS($S$66:S74)-1)+1)</f>
        <v/>
      </c>
      <c r="T74" s="156">
        <f>INDEX('M03-S03'!$W$18:$W$198,2*(ROWS($T$66:T74)-1)+1)</f>
        <v>0</v>
      </c>
      <c r="U74" s="151">
        <f>INDEX('M03-S03'!$B$18:$B$198,2*(ROWS($U$66:U74)-1)+1)</f>
        <v>9</v>
      </c>
      <c r="V74" s="58">
        <f>INDEX('M03-S03'!$C$18:$C$198,2*(ROWS($V$66:V74)-1)+1)</f>
        <v>0</v>
      </c>
      <c r="W74" s="58">
        <f>INDEX('M03-S03'!$M$18:$M$198,2*(ROWS($V$66:V74)-1)+1)</f>
        <v>0</v>
      </c>
      <c r="X74" s="135"/>
      <c r="Y74">
        <f>INDEX('M03-S03'!$Q$18:$Q$198,2*(ROWS($Y$66:Y74)-1)+1)</f>
        <v>0</v>
      </c>
      <c r="Z74" s="61">
        <f>IFERROR(INDEX('M03-S03'!$AD$18:$AD$198,2*(ROWS(Z$66:$Z74)-1)+1)/INDEX('M03-S03'!$AB$18:$AB$198,2*(ROWS(Z$66:$Z74)-1)+1),0)</f>
        <v>0</v>
      </c>
      <c r="AA74" s="135"/>
      <c r="AB74" s="135"/>
      <c r="AC74" s="135"/>
      <c r="AD74" s="135"/>
      <c r="AE74" s="151">
        <f>IFERROR(IF(NOT(ISNUMBER(INDEX('M03-S03'!$AN$18:$AN$198,2*(ROWS($AE$66:AE74)-1)+1))),INDEX('M03-S03'!$U$18:$U$198,2*(ROWS($AE$66:AE74)-1)+1),0),0)</f>
        <v>0</v>
      </c>
      <c r="AF74" s="151" t="str">
        <f>INDEX('M03-S03'!$AW$18:$AW$198,2*(ROWS($AF$66:AF74)-1)+1)</f>
        <v/>
      </c>
      <c r="AG74" s="151" t="str">
        <f>INDEX('M03-S03'!$AX$18:$AX$198,2*(ROWS($AG$66:AG74)-1)+1)</f>
        <v/>
      </c>
      <c r="AH74" s="151" t="str">
        <f t="shared" si="18"/>
        <v/>
      </c>
      <c r="AI74" s="151" t="str">
        <f t="shared" si="19"/>
        <v/>
      </c>
      <c r="AJ74" s="61" t="str">
        <f t="shared" si="20"/>
        <v/>
      </c>
      <c r="AK74" s="61" t="str">
        <f t="shared" si="21"/>
        <v/>
      </c>
      <c r="AL74" s="61" t="str">
        <f t="shared" si="22"/>
        <v/>
      </c>
      <c r="AM74" s="154"/>
      <c r="AN74" s="61" t="str">
        <f t="shared" si="23"/>
        <v/>
      </c>
      <c r="AO74" s="151">
        <f>INDEX('M03-S03'!$G$18:$G$198,2*(ROWS($AO$66:AO74)-1)+1)</f>
        <v>0</v>
      </c>
      <c r="AP74" s="151">
        <f>INDEX('M03-S03'!$AD$18:$AD$198,2*(ROWS($AP$66:AP74)-1)+1)</f>
        <v>0</v>
      </c>
      <c r="AQ74" s="61" t="str">
        <f>IF(INDEX('M03-S03'!$AJ$18:$AJ$198,2*(ROWS($AQ$66:AQ74)-1)+1)="","",IF(AND(INDEX('M03-S03'!$AJ$18:$AJ$198,2*(ROWS($AQ$66:AQ74)-1)+1)&lt;&gt;"",OR(ISNUMBER(SEARCH("AC With",M02S02F32)),M02S02F32="Heat Pump")),LIGHTHEATCOIN,1))</f>
        <v/>
      </c>
      <c r="AR74" s="414">
        <f>(IF(INDEX('M03-S03'!$AN$18:$AN$198,2*(ROWS($O$66:O74)-1)+1)=INDEX('M03-S03'!$BJ$18:$BJ$198,2*(ROWS($O$66:O74)-1)+1),0,(INDEX('M03-S03'!$BI$18:$BI$198,2*(ROWS($O$66:O74)-1)+1)-INDEX('M03-S03'!$BJ$18:$BJ$198,2*(ROWS($O$66:O74)-1)+1))))*INCENTCAPADJ</f>
        <v>0</v>
      </c>
    </row>
    <row r="75" spans="1:44" x14ac:dyDescent="0.25">
      <c r="A75" s="66">
        <f t="shared" si="16"/>
        <v>0</v>
      </c>
      <c r="B75" s="66" t="str">
        <f t="shared" si="17"/>
        <v/>
      </c>
      <c r="C75" s="66" t="str">
        <f>IFERROR(IF(J75&gt;0,INDEX('M03-S03'!$BB$18:$BB$198,2*(ROWS($C$66:C75)-1)+1),""),"")</f>
        <v/>
      </c>
      <c r="D75" t="s">
        <v>1096</v>
      </c>
      <c r="E75" t="str">
        <f>IFERROR(INDEX(PMELIGHTHID[End Use Category],MATCH(INDEX('M03-S03'!$BA$18:$BA$198,2*(ROWS($E$66:E75)-1)+1),PMELIGHTHID[Measure Validator],0)),"")</f>
        <v/>
      </c>
      <c r="F75" s="151">
        <f>INDEX('M03-S03'!$AB$18:$AB$198,2*(ROWS($F$66:F75)-1)+1)</f>
        <v>0</v>
      </c>
      <c r="G75">
        <f>INDEX('M03-S03'!$Y$18:$Y$198,2*(ROWS($G$66:G75)-1)+1)</f>
        <v>0</v>
      </c>
      <c r="H75" s="61">
        <f>ROUND(INDEX('M03-S03'!$U$18:$U$198,2*(ROWS($H$66:H75)-1)+1)*INDEX('M03-S03'!$AF$18:$AF$198,2*(ROWS($H$66:H75)-1)+1),2)</f>
        <v>0</v>
      </c>
      <c r="I75" s="61">
        <f>ROUND(INDEX('M03-S03'!$U$18:$U$198,2*(ROWS($H$66:H75)-1)+1)*INDEX('M03-S03'!$AH$18:$AH$198,2*(ROWS($H$66:H75)-1)+1),2)</f>
        <v>0</v>
      </c>
      <c r="J75" s="61" t="str">
        <f>INDEX('M03-S03'!$AU$18:$AU$198,2*(ROWS($J$66:J75)-1)+1)</f>
        <v/>
      </c>
      <c r="K75" t="s">
        <v>119</v>
      </c>
      <c r="L75" s="151">
        <f>IF(ISNUMBER(INDEX('M03-S03'!$AN$18:$AN$198,2*(ROWS($L$66:L75)-1)+1)),INDEX('M03-S03'!$U$18:$U$198,2*(ROWS($L$66:L75)-1)+1),0)</f>
        <v>0</v>
      </c>
      <c r="M75" s="151">
        <f>IF(ISNUMBER(INDEX('M03-S03'!$AN$18:$AN$198,2*(ROWS($M$66:M75)-1)+1)),INDEX('M03-S03'!$AJ$18:$AJ$198,2*(ROWS($M$66:M75)-1)+1),0)</f>
        <v>0</v>
      </c>
      <c r="N75" s="189">
        <f>IF(ISNUMBER(INDEX('M03-S03'!$AN$18:$AN$198,2*(ROWS($M$66:M75)-1)+1)),IFERROR(INDEX('M03-S03'!$AV$18:$AV$198,2*(ROWS($N$66:N75)-1)+1),0),0)</f>
        <v>0</v>
      </c>
      <c r="O75" s="61">
        <f>IF(ISNUMBER(INDEX('M03-S03'!$AN$18:$AN$198,2*(ROWS($M$66:M75)-1)+1)),IFERROR(INDEX('M03-S03'!$AN$18:$AN$198,2*(ROWS($O$66:O75)-1)+1)*INCENTCAPADJ,""),0)</f>
        <v>0</v>
      </c>
      <c r="P75" s="151" t="str">
        <f>IFERROR(IF(NOT(ISNUMBER(INDEX('M03-S03'!$AN$18:$AN$198,2*(ROWS($O$66:O75)-1)+1))),INDEX('M03-S03'!$AJ$18:$AJ$198,2*(ROWS($M$66:M75)-1)+1),0),0)</f>
        <v/>
      </c>
      <c r="Q75" s="189" t="str">
        <f>IFERROR(IF(NOT(ISNUMBER(INDEX('M03-S03'!$AN$18:$AN$198,2*(ROWS($O$66:O75)-1)+1))),INDEX('M03-S03'!$AV$18:$AV$198,2*(ROWS($N$66:N75)-1)+1),0),0)</f>
        <v/>
      </c>
      <c r="R75" t="str">
        <f>IFERROR(IF(NOT(ISNUMBER(INDEX('M03-S03'!$AN$18:$AN$198,2*(ROWS($O$66:O75)-1)+1))),"Not Eligible",""),"")</f>
        <v>Not Eligible</v>
      </c>
      <c r="S75" s="156" t="str">
        <f>INDEX('M03-S03'!$K$18:$K$198,2*(ROWS($S$66:S75)-1)+1)</f>
        <v/>
      </c>
      <c r="T75" s="156">
        <f>INDEX('M03-S03'!$W$18:$W$198,2*(ROWS($T$66:T75)-1)+1)</f>
        <v>0</v>
      </c>
      <c r="U75" s="151">
        <f>INDEX('M03-S03'!$B$18:$B$198,2*(ROWS($U$66:U75)-1)+1)</f>
        <v>10</v>
      </c>
      <c r="V75" s="58">
        <f>INDEX('M03-S03'!$C$18:$C$198,2*(ROWS($V$66:V75)-1)+1)</f>
        <v>0</v>
      </c>
      <c r="W75" s="58">
        <f>INDEX('M03-S03'!$M$18:$M$198,2*(ROWS($V$66:V75)-1)+1)</f>
        <v>0</v>
      </c>
      <c r="X75" s="135"/>
      <c r="Y75">
        <f>INDEX('M03-S03'!$Q$18:$Q$198,2*(ROWS($Y$66:Y75)-1)+1)</f>
        <v>0</v>
      </c>
      <c r="Z75" s="61">
        <f>IFERROR(INDEX('M03-S03'!$AD$18:$AD$198,2*(ROWS(Z$66:$Z75)-1)+1)/INDEX('M03-S03'!$AB$18:$AB$198,2*(ROWS(Z$66:$Z75)-1)+1),0)</f>
        <v>0</v>
      </c>
      <c r="AA75" s="135"/>
      <c r="AB75" s="135"/>
      <c r="AC75" s="135"/>
      <c r="AD75" s="135"/>
      <c r="AE75" s="151">
        <f>IFERROR(IF(NOT(ISNUMBER(INDEX('M03-S03'!$AN$18:$AN$198,2*(ROWS($AE$66:AE75)-1)+1))),INDEX('M03-S03'!$U$18:$U$198,2*(ROWS($AE$66:AE75)-1)+1),0),0)</f>
        <v>0</v>
      </c>
      <c r="AF75" s="151" t="str">
        <f>INDEX('M03-S03'!$AW$18:$AW$198,2*(ROWS($AF$66:AF75)-1)+1)</f>
        <v/>
      </c>
      <c r="AG75" s="151" t="str">
        <f>INDEX('M03-S03'!$AX$18:$AX$198,2*(ROWS($AG$66:AG75)-1)+1)</f>
        <v/>
      </c>
      <c r="AH75" s="151" t="str">
        <f t="shared" si="18"/>
        <v/>
      </c>
      <c r="AI75" s="151" t="str">
        <f t="shared" si="19"/>
        <v/>
      </c>
      <c r="AJ75" s="61" t="str">
        <f t="shared" si="20"/>
        <v/>
      </c>
      <c r="AK75" s="61" t="str">
        <f t="shared" si="21"/>
        <v/>
      </c>
      <c r="AL75" s="61" t="str">
        <f t="shared" si="22"/>
        <v/>
      </c>
      <c r="AM75" s="154"/>
      <c r="AN75" s="61" t="str">
        <f t="shared" si="23"/>
        <v/>
      </c>
      <c r="AO75" s="151">
        <f>INDEX('M03-S03'!$G$18:$G$198,2*(ROWS($AO$66:AO75)-1)+1)</f>
        <v>0</v>
      </c>
      <c r="AP75" s="151">
        <f>INDEX('M03-S03'!$AD$18:$AD$198,2*(ROWS($AP$66:AP75)-1)+1)</f>
        <v>0</v>
      </c>
      <c r="AQ75" s="61" t="str">
        <f>IF(INDEX('M03-S03'!$AJ$18:$AJ$198,2*(ROWS($AQ$66:AQ75)-1)+1)="","",IF(AND(INDEX('M03-S03'!$AJ$18:$AJ$198,2*(ROWS($AQ$66:AQ75)-1)+1)&lt;&gt;"",OR(ISNUMBER(SEARCH("AC With",M02S02F32)),M02S02F32="Heat Pump")),LIGHTHEATCOIN,1))</f>
        <v/>
      </c>
      <c r="AR75" s="414">
        <f>(IF(INDEX('M03-S03'!$AN$18:$AN$198,2*(ROWS($O$66:O75)-1)+1)=INDEX('M03-S03'!$BJ$18:$BJ$198,2*(ROWS($O$66:O75)-1)+1),0,(INDEX('M03-S03'!$BI$18:$BI$198,2*(ROWS($O$66:O75)-1)+1)-INDEX('M03-S03'!$BJ$18:$BJ$198,2*(ROWS($O$66:O75)-1)+1))))*INCENTCAPADJ</f>
        <v>0</v>
      </c>
    </row>
    <row r="76" spans="1:44" x14ac:dyDescent="0.25">
      <c r="A76" s="66">
        <f t="shared" si="16"/>
        <v>0</v>
      </c>
      <c r="B76" s="66" t="str">
        <f t="shared" si="17"/>
        <v/>
      </c>
      <c r="C76" s="66" t="str">
        <f>IFERROR(IF(J76&gt;0,INDEX('M03-S03'!$BB$18:$BB$198,2*(ROWS($C$66:C76)-1)+1),""),"")</f>
        <v/>
      </c>
      <c r="D76" t="s">
        <v>1096</v>
      </c>
      <c r="E76" t="str">
        <f>IFERROR(INDEX(PMELIGHTHID[End Use Category],MATCH(INDEX('M03-S03'!$BA$18:$BA$198,2*(ROWS($E$66:E76)-1)+1),PMELIGHTHID[Measure Validator],0)),"")</f>
        <v/>
      </c>
      <c r="F76" s="151">
        <f>INDEX('M03-S03'!$AB$18:$AB$198,2*(ROWS($F$66:F76)-1)+1)</f>
        <v>0</v>
      </c>
      <c r="G76">
        <f>INDEX('M03-S03'!$Y$18:$Y$198,2*(ROWS($G$66:G76)-1)+1)</f>
        <v>0</v>
      </c>
      <c r="H76" s="61">
        <f>ROUND(INDEX('M03-S03'!$U$18:$U$198,2*(ROWS($H$66:H76)-1)+1)*INDEX('M03-S03'!$AF$18:$AF$198,2*(ROWS($H$66:H76)-1)+1),2)</f>
        <v>0</v>
      </c>
      <c r="I76" s="61">
        <f>ROUND(INDEX('M03-S03'!$U$18:$U$198,2*(ROWS($H$66:H76)-1)+1)*INDEX('M03-S03'!$AH$18:$AH$198,2*(ROWS($H$66:H76)-1)+1),2)</f>
        <v>0</v>
      </c>
      <c r="J76" s="61" t="str">
        <f>INDEX('M03-S03'!$AU$18:$AU$198,2*(ROWS($J$66:J76)-1)+1)</f>
        <v/>
      </c>
      <c r="K76" t="s">
        <v>119</v>
      </c>
      <c r="L76" s="151">
        <f>IF(ISNUMBER(INDEX('M03-S03'!$AN$18:$AN$198,2*(ROWS($L$66:L76)-1)+1)),INDEX('M03-S03'!$U$18:$U$198,2*(ROWS($L$66:L76)-1)+1),0)</f>
        <v>0</v>
      </c>
      <c r="M76" s="151">
        <f>IF(ISNUMBER(INDEX('M03-S03'!$AN$18:$AN$198,2*(ROWS($M$66:M76)-1)+1)),INDEX('M03-S03'!$AJ$18:$AJ$198,2*(ROWS($M$66:M76)-1)+1),0)</f>
        <v>0</v>
      </c>
      <c r="N76" s="189">
        <f>IF(ISNUMBER(INDEX('M03-S03'!$AN$18:$AN$198,2*(ROWS($M$66:M76)-1)+1)),IFERROR(INDEX('M03-S03'!$AV$18:$AV$198,2*(ROWS($N$66:N76)-1)+1),0),0)</f>
        <v>0</v>
      </c>
      <c r="O76" s="61">
        <f>IF(ISNUMBER(INDEX('M03-S03'!$AN$18:$AN$198,2*(ROWS($M$66:M76)-1)+1)),IFERROR(INDEX('M03-S03'!$AN$18:$AN$198,2*(ROWS($O$66:O76)-1)+1)*INCENTCAPADJ,""),0)</f>
        <v>0</v>
      </c>
      <c r="P76" s="151" t="str">
        <f>IFERROR(IF(NOT(ISNUMBER(INDEX('M03-S03'!$AN$18:$AN$198,2*(ROWS($O$66:O76)-1)+1))),INDEX('M03-S03'!$AJ$18:$AJ$198,2*(ROWS($M$66:M76)-1)+1),0),0)</f>
        <v/>
      </c>
      <c r="Q76" s="189" t="str">
        <f>IFERROR(IF(NOT(ISNUMBER(INDEX('M03-S03'!$AN$18:$AN$198,2*(ROWS($O$66:O76)-1)+1))),INDEX('M03-S03'!$AV$18:$AV$198,2*(ROWS($N$66:N76)-1)+1),0),0)</f>
        <v/>
      </c>
      <c r="R76" t="str">
        <f>IFERROR(IF(NOT(ISNUMBER(INDEX('M03-S03'!$AN$18:$AN$198,2*(ROWS($O$66:O76)-1)+1))),"Not Eligible",""),"")</f>
        <v>Not Eligible</v>
      </c>
      <c r="S76" s="156" t="str">
        <f>INDEX('M03-S03'!$K$18:$K$198,2*(ROWS($S$66:S76)-1)+1)</f>
        <v/>
      </c>
      <c r="T76" s="156">
        <f>INDEX('M03-S03'!$W$18:$W$198,2*(ROWS($T$66:T76)-1)+1)</f>
        <v>0</v>
      </c>
      <c r="U76" s="151">
        <f>INDEX('M03-S03'!$B$18:$B$198,2*(ROWS($U$66:U76)-1)+1)</f>
        <v>11</v>
      </c>
      <c r="V76" s="58">
        <f>INDEX('M03-S03'!$C$18:$C$198,2*(ROWS($V$66:V76)-1)+1)</f>
        <v>0</v>
      </c>
      <c r="W76" s="58">
        <f>INDEX('M03-S03'!$M$18:$M$198,2*(ROWS($V$66:V76)-1)+1)</f>
        <v>0</v>
      </c>
      <c r="X76" s="135"/>
      <c r="Y76">
        <f>INDEX('M03-S03'!$Q$18:$Q$198,2*(ROWS($Y$66:Y76)-1)+1)</f>
        <v>0</v>
      </c>
      <c r="Z76" s="61">
        <f>IFERROR(INDEX('M03-S03'!$AD$18:$AD$198,2*(ROWS(Z$66:$Z76)-1)+1)/INDEX('M03-S03'!$AB$18:$AB$198,2*(ROWS(Z$66:$Z76)-1)+1),0)</f>
        <v>0</v>
      </c>
      <c r="AA76" s="135"/>
      <c r="AB76" s="135"/>
      <c r="AC76" s="135"/>
      <c r="AD76" s="135"/>
      <c r="AE76" s="151">
        <f>IFERROR(IF(NOT(ISNUMBER(INDEX('M03-S03'!$AN$18:$AN$198,2*(ROWS($AE$66:AE76)-1)+1))),INDEX('M03-S03'!$U$18:$U$198,2*(ROWS($AE$66:AE76)-1)+1),0),0)</f>
        <v>0</v>
      </c>
      <c r="AF76" s="151" t="str">
        <f>INDEX('M03-S03'!$AW$18:$AW$198,2*(ROWS($AF$66:AF76)-1)+1)</f>
        <v/>
      </c>
      <c r="AG76" s="151" t="str">
        <f>INDEX('M03-S03'!$AX$18:$AX$198,2*(ROWS($AG$66:AG76)-1)+1)</f>
        <v/>
      </c>
      <c r="AH76" s="151" t="str">
        <f t="shared" si="18"/>
        <v/>
      </c>
      <c r="AI76" s="151" t="str">
        <f t="shared" si="19"/>
        <v/>
      </c>
      <c r="AJ76" s="61" t="str">
        <f t="shared" si="20"/>
        <v/>
      </c>
      <c r="AK76" s="61" t="str">
        <f t="shared" si="21"/>
        <v/>
      </c>
      <c r="AL76" s="61" t="str">
        <f t="shared" si="22"/>
        <v/>
      </c>
      <c r="AM76" s="154"/>
      <c r="AN76" s="61" t="str">
        <f t="shared" si="23"/>
        <v/>
      </c>
      <c r="AO76" s="151">
        <f>INDEX('M03-S03'!$G$18:$G$198,2*(ROWS($AO$66:AO76)-1)+1)</f>
        <v>0</v>
      </c>
      <c r="AP76" s="151">
        <f>INDEX('M03-S03'!$AD$18:$AD$198,2*(ROWS($AP$66:AP76)-1)+1)</f>
        <v>0</v>
      </c>
      <c r="AQ76" s="61" t="str">
        <f>IF(INDEX('M03-S03'!$AJ$18:$AJ$198,2*(ROWS($AQ$66:AQ76)-1)+1)="","",IF(AND(INDEX('M03-S03'!$AJ$18:$AJ$198,2*(ROWS($AQ$66:AQ76)-1)+1)&lt;&gt;"",OR(ISNUMBER(SEARCH("AC With",M02S02F32)),M02S02F32="Heat Pump")),LIGHTHEATCOIN,1))</f>
        <v/>
      </c>
      <c r="AR76" s="414">
        <f>(IF(INDEX('M03-S03'!$AN$18:$AN$198,2*(ROWS($O$66:O76)-1)+1)=INDEX('M03-S03'!$BJ$18:$BJ$198,2*(ROWS($O$66:O76)-1)+1),0,(INDEX('M03-S03'!$BI$18:$BI$198,2*(ROWS($O$66:O76)-1)+1)-INDEX('M03-S03'!$BJ$18:$BJ$198,2*(ROWS($O$66:O76)-1)+1))))*INCENTCAPADJ</f>
        <v>0</v>
      </c>
    </row>
    <row r="77" spans="1:44" x14ac:dyDescent="0.25">
      <c r="A77" s="66">
        <f t="shared" si="16"/>
        <v>0</v>
      </c>
      <c r="B77" s="66" t="str">
        <f t="shared" si="17"/>
        <v/>
      </c>
      <c r="C77" s="66" t="str">
        <f>IFERROR(IF(J77&gt;0,INDEX('M03-S03'!$BB$18:$BB$198,2*(ROWS($C$66:C77)-1)+1),""),"")</f>
        <v/>
      </c>
      <c r="D77" t="s">
        <v>1096</v>
      </c>
      <c r="E77" t="str">
        <f>IFERROR(INDEX(PMELIGHTHID[End Use Category],MATCH(INDEX('M03-S03'!$BA$18:$BA$198,2*(ROWS($E$66:E77)-1)+1),PMELIGHTHID[Measure Validator],0)),"")</f>
        <v/>
      </c>
      <c r="F77" s="151">
        <f>INDEX('M03-S03'!$AB$18:$AB$198,2*(ROWS($F$66:F77)-1)+1)</f>
        <v>0</v>
      </c>
      <c r="G77">
        <f>INDEX('M03-S03'!$Y$18:$Y$198,2*(ROWS($G$66:G77)-1)+1)</f>
        <v>0</v>
      </c>
      <c r="H77" s="61">
        <f>ROUND(INDEX('M03-S03'!$U$18:$U$198,2*(ROWS($H$66:H77)-1)+1)*INDEX('M03-S03'!$AF$18:$AF$198,2*(ROWS($H$66:H77)-1)+1),2)</f>
        <v>0</v>
      </c>
      <c r="I77" s="61">
        <f>ROUND(INDEX('M03-S03'!$U$18:$U$198,2*(ROWS($H$66:H77)-1)+1)*INDEX('M03-S03'!$AH$18:$AH$198,2*(ROWS($H$66:H77)-1)+1),2)</f>
        <v>0</v>
      </c>
      <c r="J77" s="61" t="str">
        <f>INDEX('M03-S03'!$AU$18:$AU$198,2*(ROWS($J$66:J77)-1)+1)</f>
        <v/>
      </c>
      <c r="K77" t="s">
        <v>119</v>
      </c>
      <c r="L77" s="151">
        <f>IF(ISNUMBER(INDEX('M03-S03'!$AN$18:$AN$198,2*(ROWS($L$66:L77)-1)+1)),INDEX('M03-S03'!$U$18:$U$198,2*(ROWS($L$66:L77)-1)+1),0)</f>
        <v>0</v>
      </c>
      <c r="M77" s="151">
        <f>IF(ISNUMBER(INDEX('M03-S03'!$AN$18:$AN$198,2*(ROWS($M$66:M77)-1)+1)),INDEX('M03-S03'!$AJ$18:$AJ$198,2*(ROWS($M$66:M77)-1)+1),0)</f>
        <v>0</v>
      </c>
      <c r="N77" s="189">
        <f>IF(ISNUMBER(INDEX('M03-S03'!$AN$18:$AN$198,2*(ROWS($M$66:M77)-1)+1)),IFERROR(INDEX('M03-S03'!$AV$18:$AV$198,2*(ROWS($N$66:N77)-1)+1),0),0)</f>
        <v>0</v>
      </c>
      <c r="O77" s="61">
        <f>IF(ISNUMBER(INDEX('M03-S03'!$AN$18:$AN$198,2*(ROWS($M$66:M77)-1)+1)),IFERROR(INDEX('M03-S03'!$AN$18:$AN$198,2*(ROWS($O$66:O77)-1)+1)*INCENTCAPADJ,""),0)</f>
        <v>0</v>
      </c>
      <c r="P77" s="151" t="str">
        <f>IFERROR(IF(NOT(ISNUMBER(INDEX('M03-S03'!$AN$18:$AN$198,2*(ROWS($O$66:O77)-1)+1))),INDEX('M03-S03'!$AJ$18:$AJ$198,2*(ROWS($M$66:M77)-1)+1),0),0)</f>
        <v/>
      </c>
      <c r="Q77" s="189" t="str">
        <f>IFERROR(IF(NOT(ISNUMBER(INDEX('M03-S03'!$AN$18:$AN$198,2*(ROWS($O$66:O77)-1)+1))),INDEX('M03-S03'!$AV$18:$AV$198,2*(ROWS($N$66:N77)-1)+1),0),0)</f>
        <v/>
      </c>
      <c r="R77" t="str">
        <f>IFERROR(IF(NOT(ISNUMBER(INDEX('M03-S03'!$AN$18:$AN$198,2*(ROWS($O$66:O77)-1)+1))),"Not Eligible",""),"")</f>
        <v>Not Eligible</v>
      </c>
      <c r="S77" s="156" t="str">
        <f>INDEX('M03-S03'!$K$18:$K$198,2*(ROWS($S$66:S77)-1)+1)</f>
        <v/>
      </c>
      <c r="T77" s="156">
        <f>INDEX('M03-S03'!$W$18:$W$198,2*(ROWS($T$66:T77)-1)+1)</f>
        <v>0</v>
      </c>
      <c r="U77" s="151">
        <f>INDEX('M03-S03'!$B$18:$B$198,2*(ROWS($U$66:U77)-1)+1)</f>
        <v>12</v>
      </c>
      <c r="V77" s="58">
        <f>INDEX('M03-S03'!$C$18:$C$198,2*(ROWS($V$66:V77)-1)+1)</f>
        <v>0</v>
      </c>
      <c r="W77" s="58">
        <f>INDEX('M03-S03'!$M$18:$M$198,2*(ROWS($V$66:V77)-1)+1)</f>
        <v>0</v>
      </c>
      <c r="X77" s="135"/>
      <c r="Y77">
        <f>INDEX('M03-S03'!$Q$18:$Q$198,2*(ROWS($Y$66:Y77)-1)+1)</f>
        <v>0</v>
      </c>
      <c r="Z77" s="61">
        <f>IFERROR(INDEX('M03-S03'!$AD$18:$AD$198,2*(ROWS(Z$66:$Z77)-1)+1)/INDEX('M03-S03'!$AB$18:$AB$198,2*(ROWS(Z$66:$Z77)-1)+1),0)</f>
        <v>0</v>
      </c>
      <c r="AA77" s="135"/>
      <c r="AB77" s="135"/>
      <c r="AC77" s="135"/>
      <c r="AD77" s="135"/>
      <c r="AE77" s="151">
        <f>IFERROR(IF(NOT(ISNUMBER(INDEX('M03-S03'!$AN$18:$AN$198,2*(ROWS($AE$66:AE77)-1)+1))),INDEX('M03-S03'!$U$18:$U$198,2*(ROWS($AE$66:AE77)-1)+1),0),0)</f>
        <v>0</v>
      </c>
      <c r="AF77" s="151" t="str">
        <f>INDEX('M03-S03'!$AW$18:$AW$198,2*(ROWS($AF$66:AF77)-1)+1)</f>
        <v/>
      </c>
      <c r="AG77" s="151" t="str">
        <f>INDEX('M03-S03'!$AX$18:$AX$198,2*(ROWS($AG$66:AG77)-1)+1)</f>
        <v/>
      </c>
      <c r="AH77" s="151" t="str">
        <f t="shared" si="18"/>
        <v/>
      </c>
      <c r="AI77" s="151" t="str">
        <f t="shared" si="19"/>
        <v/>
      </c>
      <c r="AJ77" s="61" t="str">
        <f t="shared" si="20"/>
        <v/>
      </c>
      <c r="AK77" s="61" t="str">
        <f t="shared" si="21"/>
        <v/>
      </c>
      <c r="AL77" s="61" t="str">
        <f t="shared" si="22"/>
        <v/>
      </c>
      <c r="AM77" s="154"/>
      <c r="AN77" s="61" t="str">
        <f t="shared" si="23"/>
        <v/>
      </c>
      <c r="AO77" s="151">
        <f>INDEX('M03-S03'!$G$18:$G$198,2*(ROWS($AO$66:AO77)-1)+1)</f>
        <v>0</v>
      </c>
      <c r="AP77" s="151">
        <f>INDEX('M03-S03'!$AD$18:$AD$198,2*(ROWS($AP$66:AP77)-1)+1)</f>
        <v>0</v>
      </c>
      <c r="AQ77" s="61" t="str">
        <f>IF(INDEX('M03-S03'!$AJ$18:$AJ$198,2*(ROWS($AQ$66:AQ77)-1)+1)="","",IF(AND(INDEX('M03-S03'!$AJ$18:$AJ$198,2*(ROWS($AQ$66:AQ77)-1)+1)&lt;&gt;"",OR(ISNUMBER(SEARCH("AC With",M02S02F32)),M02S02F32="Heat Pump")),LIGHTHEATCOIN,1))</f>
        <v/>
      </c>
      <c r="AR77" s="414">
        <f>(IF(INDEX('M03-S03'!$AN$18:$AN$198,2*(ROWS($O$66:O77)-1)+1)=INDEX('M03-S03'!$BJ$18:$BJ$198,2*(ROWS($O$66:O77)-1)+1),0,(INDEX('M03-S03'!$BI$18:$BI$198,2*(ROWS($O$66:O77)-1)+1)-INDEX('M03-S03'!$BJ$18:$BJ$198,2*(ROWS($O$66:O77)-1)+1))))*INCENTCAPADJ</f>
        <v>0</v>
      </c>
    </row>
    <row r="78" spans="1:44" x14ac:dyDescent="0.25">
      <c r="A78" s="66">
        <f t="shared" si="16"/>
        <v>0</v>
      </c>
      <c r="B78" s="66" t="str">
        <f t="shared" si="17"/>
        <v/>
      </c>
      <c r="C78" s="66" t="str">
        <f>IFERROR(IF(J78&gt;0,INDEX('M03-S03'!$BB$18:$BB$198,2*(ROWS($C$66:C78)-1)+1),""),"")</f>
        <v/>
      </c>
      <c r="D78" t="s">
        <v>1096</v>
      </c>
      <c r="E78" t="str">
        <f>IFERROR(INDEX(PMELIGHTHID[End Use Category],MATCH(INDEX('M03-S03'!$BA$18:$BA$198,2*(ROWS($E$66:E78)-1)+1),PMELIGHTHID[Measure Validator],0)),"")</f>
        <v/>
      </c>
      <c r="F78" s="151">
        <f>INDEX('M03-S03'!$AB$18:$AB$198,2*(ROWS($F$66:F78)-1)+1)</f>
        <v>0</v>
      </c>
      <c r="G78">
        <f>INDEX('M03-S03'!$Y$18:$Y$198,2*(ROWS($G$66:G78)-1)+1)</f>
        <v>0</v>
      </c>
      <c r="H78" s="61">
        <f>ROUND(INDEX('M03-S03'!$U$18:$U$198,2*(ROWS($H$66:H78)-1)+1)*INDEX('M03-S03'!$AF$18:$AF$198,2*(ROWS($H$66:H78)-1)+1),2)</f>
        <v>0</v>
      </c>
      <c r="I78" s="61">
        <f>ROUND(INDEX('M03-S03'!$U$18:$U$198,2*(ROWS($H$66:H78)-1)+1)*INDEX('M03-S03'!$AH$18:$AH$198,2*(ROWS($H$66:H78)-1)+1),2)</f>
        <v>0</v>
      </c>
      <c r="J78" s="61" t="str">
        <f>INDEX('M03-S03'!$AU$18:$AU$198,2*(ROWS($J$66:J78)-1)+1)</f>
        <v/>
      </c>
      <c r="K78" t="s">
        <v>119</v>
      </c>
      <c r="L78" s="151">
        <f>IF(ISNUMBER(INDEX('M03-S03'!$AN$18:$AN$198,2*(ROWS($L$66:L78)-1)+1)),INDEX('M03-S03'!$U$18:$U$198,2*(ROWS($L$66:L78)-1)+1),0)</f>
        <v>0</v>
      </c>
      <c r="M78" s="151">
        <f>IF(ISNUMBER(INDEX('M03-S03'!$AN$18:$AN$198,2*(ROWS($M$66:M78)-1)+1)),INDEX('M03-S03'!$AJ$18:$AJ$198,2*(ROWS($M$66:M78)-1)+1),0)</f>
        <v>0</v>
      </c>
      <c r="N78" s="189">
        <f>IF(ISNUMBER(INDEX('M03-S03'!$AN$18:$AN$198,2*(ROWS($M$66:M78)-1)+1)),IFERROR(INDEX('M03-S03'!$AV$18:$AV$198,2*(ROWS($N$66:N78)-1)+1),0),0)</f>
        <v>0</v>
      </c>
      <c r="O78" s="61">
        <f>IF(ISNUMBER(INDEX('M03-S03'!$AN$18:$AN$198,2*(ROWS($M$66:M78)-1)+1)),IFERROR(INDEX('M03-S03'!$AN$18:$AN$198,2*(ROWS($O$66:O78)-1)+1)*INCENTCAPADJ,""),0)</f>
        <v>0</v>
      </c>
      <c r="P78" s="151" t="str">
        <f>IFERROR(IF(NOT(ISNUMBER(INDEX('M03-S03'!$AN$18:$AN$198,2*(ROWS($O$66:O78)-1)+1))),INDEX('M03-S03'!$AJ$18:$AJ$198,2*(ROWS($M$66:M78)-1)+1),0),0)</f>
        <v/>
      </c>
      <c r="Q78" s="189" t="str">
        <f>IFERROR(IF(NOT(ISNUMBER(INDEX('M03-S03'!$AN$18:$AN$198,2*(ROWS($O$66:O78)-1)+1))),INDEX('M03-S03'!$AV$18:$AV$198,2*(ROWS($N$66:N78)-1)+1),0),0)</f>
        <v/>
      </c>
      <c r="R78" t="str">
        <f>IFERROR(IF(NOT(ISNUMBER(INDEX('M03-S03'!$AN$18:$AN$198,2*(ROWS($O$66:O78)-1)+1))),"Not Eligible",""),"")</f>
        <v>Not Eligible</v>
      </c>
      <c r="S78" s="156" t="str">
        <f>INDEX('M03-S03'!$K$18:$K$198,2*(ROWS($S$66:S78)-1)+1)</f>
        <v/>
      </c>
      <c r="T78" s="156">
        <f>INDEX('M03-S03'!$W$18:$W$198,2*(ROWS($T$66:T78)-1)+1)</f>
        <v>0</v>
      </c>
      <c r="U78" s="151">
        <f>INDEX('M03-S03'!$B$18:$B$198,2*(ROWS($U$66:U78)-1)+1)</f>
        <v>13</v>
      </c>
      <c r="V78" s="58">
        <f>INDEX('M03-S03'!$C$18:$C$198,2*(ROWS($V$66:V78)-1)+1)</f>
        <v>0</v>
      </c>
      <c r="W78" s="58">
        <f>INDEX('M03-S03'!$M$18:$M$198,2*(ROWS($V$66:V78)-1)+1)</f>
        <v>0</v>
      </c>
      <c r="X78" s="135"/>
      <c r="Y78">
        <f>INDEX('M03-S03'!$Q$18:$Q$198,2*(ROWS($Y$66:Y78)-1)+1)</f>
        <v>0</v>
      </c>
      <c r="Z78" s="61">
        <f>IFERROR(INDEX('M03-S03'!$AD$18:$AD$198,2*(ROWS(Z$66:$Z78)-1)+1)/INDEX('M03-S03'!$AB$18:$AB$198,2*(ROWS(Z$66:$Z78)-1)+1),0)</f>
        <v>0</v>
      </c>
      <c r="AA78" s="135"/>
      <c r="AB78" s="135"/>
      <c r="AC78" s="135"/>
      <c r="AD78" s="135"/>
      <c r="AE78" s="151">
        <f>IFERROR(IF(NOT(ISNUMBER(INDEX('M03-S03'!$AN$18:$AN$198,2*(ROWS($AE$66:AE78)-1)+1))),INDEX('M03-S03'!$U$18:$U$198,2*(ROWS($AE$66:AE78)-1)+1),0),0)</f>
        <v>0</v>
      </c>
      <c r="AF78" s="151" t="str">
        <f>INDEX('M03-S03'!$AW$18:$AW$198,2*(ROWS($AF$66:AF78)-1)+1)</f>
        <v/>
      </c>
      <c r="AG78" s="151" t="str">
        <f>INDEX('M03-S03'!$AX$18:$AX$198,2*(ROWS($AG$66:AG78)-1)+1)</f>
        <v/>
      </c>
      <c r="AH78" s="151" t="str">
        <f t="shared" si="18"/>
        <v/>
      </c>
      <c r="AI78" s="151" t="str">
        <f t="shared" si="19"/>
        <v/>
      </c>
      <c r="AJ78" s="61" t="str">
        <f t="shared" si="20"/>
        <v/>
      </c>
      <c r="AK78" s="61" t="str">
        <f t="shared" si="21"/>
        <v/>
      </c>
      <c r="AL78" s="61" t="str">
        <f t="shared" si="22"/>
        <v/>
      </c>
      <c r="AM78" s="154"/>
      <c r="AN78" s="61" t="str">
        <f t="shared" si="23"/>
        <v/>
      </c>
      <c r="AO78" s="151">
        <f>INDEX('M03-S03'!$G$18:$G$198,2*(ROWS($AO$66:AO78)-1)+1)</f>
        <v>0</v>
      </c>
      <c r="AP78" s="151">
        <f>INDEX('M03-S03'!$AD$18:$AD$198,2*(ROWS($AP$66:AP78)-1)+1)</f>
        <v>0</v>
      </c>
      <c r="AQ78" s="61" t="str">
        <f>IF(INDEX('M03-S03'!$AJ$18:$AJ$198,2*(ROWS($AQ$66:AQ78)-1)+1)="","",IF(AND(INDEX('M03-S03'!$AJ$18:$AJ$198,2*(ROWS($AQ$66:AQ78)-1)+1)&lt;&gt;"",OR(ISNUMBER(SEARCH("AC With",M02S02F32)),M02S02F32="Heat Pump")),LIGHTHEATCOIN,1))</f>
        <v/>
      </c>
      <c r="AR78" s="414">
        <f>(IF(INDEX('M03-S03'!$AN$18:$AN$198,2*(ROWS($O$66:O78)-1)+1)=INDEX('M03-S03'!$BJ$18:$BJ$198,2*(ROWS($O$66:O78)-1)+1),0,(INDEX('M03-S03'!$BI$18:$BI$198,2*(ROWS($O$66:O78)-1)+1)-INDEX('M03-S03'!$BJ$18:$BJ$198,2*(ROWS($O$66:O78)-1)+1))))*INCENTCAPADJ</f>
        <v>0</v>
      </c>
    </row>
    <row r="79" spans="1:44" x14ac:dyDescent="0.25">
      <c r="A79" s="66">
        <f t="shared" si="16"/>
        <v>0</v>
      </c>
      <c r="B79" s="66" t="str">
        <f t="shared" si="17"/>
        <v/>
      </c>
      <c r="C79" s="66" t="str">
        <f>IFERROR(IF(J79&gt;0,INDEX('M03-S03'!$BB$18:$BB$198,2*(ROWS($C$66:C79)-1)+1),""),"")</f>
        <v/>
      </c>
      <c r="D79" t="s">
        <v>1096</v>
      </c>
      <c r="E79" t="str">
        <f>IFERROR(INDEX(PMELIGHTHID[End Use Category],MATCH(INDEX('M03-S03'!$BA$18:$BA$198,2*(ROWS($E$66:E79)-1)+1),PMELIGHTHID[Measure Validator],0)),"")</f>
        <v/>
      </c>
      <c r="F79" s="151">
        <f>INDEX('M03-S03'!$AB$18:$AB$198,2*(ROWS($F$66:F79)-1)+1)</f>
        <v>0</v>
      </c>
      <c r="G79">
        <f>INDEX('M03-S03'!$Y$18:$Y$198,2*(ROWS($G$66:G79)-1)+1)</f>
        <v>0</v>
      </c>
      <c r="H79" s="61">
        <f>ROUND(INDEX('M03-S03'!$U$18:$U$198,2*(ROWS($H$66:H79)-1)+1)*INDEX('M03-S03'!$AF$18:$AF$198,2*(ROWS($H$66:H79)-1)+1),2)</f>
        <v>0</v>
      </c>
      <c r="I79" s="61">
        <f>ROUND(INDEX('M03-S03'!$U$18:$U$198,2*(ROWS($H$66:H79)-1)+1)*INDEX('M03-S03'!$AH$18:$AH$198,2*(ROWS($H$66:H79)-1)+1),2)</f>
        <v>0</v>
      </c>
      <c r="J79" s="61" t="str">
        <f>INDEX('M03-S03'!$AU$18:$AU$198,2*(ROWS($J$66:J79)-1)+1)</f>
        <v/>
      </c>
      <c r="K79" t="s">
        <v>119</v>
      </c>
      <c r="L79" s="151">
        <f>IF(ISNUMBER(INDEX('M03-S03'!$AN$18:$AN$198,2*(ROWS($L$66:L79)-1)+1)),INDEX('M03-S03'!$U$18:$U$198,2*(ROWS($L$66:L79)-1)+1),0)</f>
        <v>0</v>
      </c>
      <c r="M79" s="151">
        <f>IF(ISNUMBER(INDEX('M03-S03'!$AN$18:$AN$198,2*(ROWS($M$66:M79)-1)+1)),INDEX('M03-S03'!$AJ$18:$AJ$198,2*(ROWS($M$66:M79)-1)+1),0)</f>
        <v>0</v>
      </c>
      <c r="N79" s="189">
        <f>IF(ISNUMBER(INDEX('M03-S03'!$AN$18:$AN$198,2*(ROWS($M$66:M79)-1)+1)),IFERROR(INDEX('M03-S03'!$AV$18:$AV$198,2*(ROWS($N$66:N79)-1)+1),0),0)</f>
        <v>0</v>
      </c>
      <c r="O79" s="61">
        <f>IF(ISNUMBER(INDEX('M03-S03'!$AN$18:$AN$198,2*(ROWS($M$66:M79)-1)+1)),IFERROR(INDEX('M03-S03'!$AN$18:$AN$198,2*(ROWS($O$66:O79)-1)+1)*INCENTCAPADJ,""),0)</f>
        <v>0</v>
      </c>
      <c r="P79" s="151" t="str">
        <f>IFERROR(IF(NOT(ISNUMBER(INDEX('M03-S03'!$AN$18:$AN$198,2*(ROWS($O$66:O79)-1)+1))),INDEX('M03-S03'!$AJ$18:$AJ$198,2*(ROWS($M$66:M79)-1)+1),0),0)</f>
        <v/>
      </c>
      <c r="Q79" s="189" t="str">
        <f>IFERROR(IF(NOT(ISNUMBER(INDEX('M03-S03'!$AN$18:$AN$198,2*(ROWS($O$66:O79)-1)+1))),INDEX('M03-S03'!$AV$18:$AV$198,2*(ROWS($N$66:N79)-1)+1),0),0)</f>
        <v/>
      </c>
      <c r="R79" t="str">
        <f>IFERROR(IF(NOT(ISNUMBER(INDEX('M03-S03'!$AN$18:$AN$198,2*(ROWS($O$66:O79)-1)+1))),"Not Eligible",""),"")</f>
        <v>Not Eligible</v>
      </c>
      <c r="S79" s="156" t="str">
        <f>INDEX('M03-S03'!$K$18:$K$198,2*(ROWS($S$66:S79)-1)+1)</f>
        <v/>
      </c>
      <c r="T79" s="156">
        <f>INDEX('M03-S03'!$W$18:$W$198,2*(ROWS($T$66:T79)-1)+1)</f>
        <v>0</v>
      </c>
      <c r="U79" s="151">
        <f>INDEX('M03-S03'!$B$18:$B$198,2*(ROWS($U$66:U79)-1)+1)</f>
        <v>14</v>
      </c>
      <c r="V79" s="58">
        <f>INDEX('M03-S03'!$C$18:$C$198,2*(ROWS($V$66:V79)-1)+1)</f>
        <v>0</v>
      </c>
      <c r="W79" s="58">
        <f>INDEX('M03-S03'!$M$18:$M$198,2*(ROWS($V$66:V79)-1)+1)</f>
        <v>0</v>
      </c>
      <c r="X79" s="135"/>
      <c r="Y79">
        <f>INDEX('M03-S03'!$Q$18:$Q$198,2*(ROWS($Y$66:Y79)-1)+1)</f>
        <v>0</v>
      </c>
      <c r="Z79" s="61">
        <f>IFERROR(INDEX('M03-S03'!$AD$18:$AD$198,2*(ROWS(Z$66:$Z79)-1)+1)/INDEX('M03-S03'!$AB$18:$AB$198,2*(ROWS(Z$66:$Z79)-1)+1),0)</f>
        <v>0</v>
      </c>
      <c r="AA79" s="135"/>
      <c r="AB79" s="135"/>
      <c r="AC79" s="135"/>
      <c r="AD79" s="135"/>
      <c r="AE79" s="151">
        <f>IFERROR(IF(NOT(ISNUMBER(INDEX('M03-S03'!$AN$18:$AN$198,2*(ROWS($AE$66:AE79)-1)+1))),INDEX('M03-S03'!$U$18:$U$198,2*(ROWS($AE$66:AE79)-1)+1),0),0)</f>
        <v>0</v>
      </c>
      <c r="AF79" s="151" t="str">
        <f>INDEX('M03-S03'!$AW$18:$AW$198,2*(ROWS($AF$66:AF79)-1)+1)</f>
        <v/>
      </c>
      <c r="AG79" s="151" t="str">
        <f>INDEX('M03-S03'!$AX$18:$AX$198,2*(ROWS($AG$66:AG79)-1)+1)</f>
        <v/>
      </c>
      <c r="AH79" s="151" t="str">
        <f t="shared" si="18"/>
        <v/>
      </c>
      <c r="AI79" s="151" t="str">
        <f t="shared" si="19"/>
        <v/>
      </c>
      <c r="AJ79" s="61" t="str">
        <f t="shared" si="20"/>
        <v/>
      </c>
      <c r="AK79" s="61" t="str">
        <f t="shared" si="21"/>
        <v/>
      </c>
      <c r="AL79" s="61" t="str">
        <f t="shared" si="22"/>
        <v/>
      </c>
      <c r="AM79" s="154"/>
      <c r="AN79" s="61" t="str">
        <f t="shared" si="23"/>
        <v/>
      </c>
      <c r="AO79" s="151">
        <f>INDEX('M03-S03'!$G$18:$G$198,2*(ROWS($AO$66:AO79)-1)+1)</f>
        <v>0</v>
      </c>
      <c r="AP79" s="151">
        <f>INDEX('M03-S03'!$AD$18:$AD$198,2*(ROWS($AP$66:AP79)-1)+1)</f>
        <v>0</v>
      </c>
      <c r="AQ79" s="61" t="str">
        <f>IF(INDEX('M03-S03'!$AJ$18:$AJ$198,2*(ROWS($AQ$66:AQ79)-1)+1)="","",IF(AND(INDEX('M03-S03'!$AJ$18:$AJ$198,2*(ROWS($AQ$66:AQ79)-1)+1)&lt;&gt;"",OR(ISNUMBER(SEARCH("AC With",M02S02F32)),M02S02F32="Heat Pump")),LIGHTHEATCOIN,1))</f>
        <v/>
      </c>
      <c r="AR79" s="414">
        <f>(IF(INDEX('M03-S03'!$AN$18:$AN$198,2*(ROWS($O$66:O79)-1)+1)=INDEX('M03-S03'!$BJ$18:$BJ$198,2*(ROWS($O$66:O79)-1)+1),0,(INDEX('M03-S03'!$BI$18:$BI$198,2*(ROWS($O$66:O79)-1)+1)-INDEX('M03-S03'!$BJ$18:$BJ$198,2*(ROWS($O$66:O79)-1)+1))))*INCENTCAPADJ</f>
        <v>0</v>
      </c>
    </row>
    <row r="80" spans="1:44" x14ac:dyDescent="0.25">
      <c r="A80" s="66">
        <f t="shared" si="16"/>
        <v>0</v>
      </c>
      <c r="B80" s="66" t="str">
        <f t="shared" si="17"/>
        <v/>
      </c>
      <c r="C80" s="66" t="str">
        <f>IFERROR(IF(J80&gt;0,INDEX('M03-S03'!$BB$18:$BB$198,2*(ROWS($C$66:C80)-1)+1),""),"")</f>
        <v/>
      </c>
      <c r="D80" t="s">
        <v>1096</v>
      </c>
      <c r="E80" t="str">
        <f>IFERROR(INDEX(PMELIGHTHID[End Use Category],MATCH(INDEX('M03-S03'!$BA$18:$BA$198,2*(ROWS($E$66:E80)-1)+1),PMELIGHTHID[Measure Validator],0)),"")</f>
        <v/>
      </c>
      <c r="F80" s="151">
        <f>INDEX('M03-S03'!$AB$18:$AB$198,2*(ROWS($F$66:F80)-1)+1)</f>
        <v>0</v>
      </c>
      <c r="G80">
        <f>INDEX('M03-S03'!$Y$18:$Y$198,2*(ROWS($G$66:G80)-1)+1)</f>
        <v>0</v>
      </c>
      <c r="H80" s="61">
        <f>ROUND(INDEX('M03-S03'!$U$18:$U$198,2*(ROWS($H$66:H80)-1)+1)*INDEX('M03-S03'!$AF$18:$AF$198,2*(ROWS($H$66:H80)-1)+1),2)</f>
        <v>0</v>
      </c>
      <c r="I80" s="61">
        <f>ROUND(INDEX('M03-S03'!$U$18:$U$198,2*(ROWS($H$66:H80)-1)+1)*INDEX('M03-S03'!$AH$18:$AH$198,2*(ROWS($H$66:H80)-1)+1),2)</f>
        <v>0</v>
      </c>
      <c r="J80" s="61" t="str">
        <f>INDEX('M03-S03'!$AU$18:$AU$198,2*(ROWS($J$66:J80)-1)+1)</f>
        <v/>
      </c>
      <c r="K80" t="s">
        <v>119</v>
      </c>
      <c r="L80" s="151">
        <f>IF(ISNUMBER(INDEX('M03-S03'!$AN$18:$AN$198,2*(ROWS($L$66:L80)-1)+1)),INDEX('M03-S03'!$U$18:$U$198,2*(ROWS($L$66:L80)-1)+1),0)</f>
        <v>0</v>
      </c>
      <c r="M80" s="151">
        <f>IF(ISNUMBER(INDEX('M03-S03'!$AN$18:$AN$198,2*(ROWS($M$66:M80)-1)+1)),INDEX('M03-S03'!$AJ$18:$AJ$198,2*(ROWS($M$66:M80)-1)+1),0)</f>
        <v>0</v>
      </c>
      <c r="N80" s="189">
        <f>IF(ISNUMBER(INDEX('M03-S03'!$AN$18:$AN$198,2*(ROWS($M$66:M80)-1)+1)),IFERROR(INDEX('M03-S03'!$AV$18:$AV$198,2*(ROWS($N$66:N80)-1)+1),0),0)</f>
        <v>0</v>
      </c>
      <c r="O80" s="61">
        <f>IF(ISNUMBER(INDEX('M03-S03'!$AN$18:$AN$198,2*(ROWS($M$66:M80)-1)+1)),IFERROR(INDEX('M03-S03'!$AN$18:$AN$198,2*(ROWS($O$66:O80)-1)+1)*INCENTCAPADJ,""),0)</f>
        <v>0</v>
      </c>
      <c r="P80" s="151" t="str">
        <f>IFERROR(IF(NOT(ISNUMBER(INDEX('M03-S03'!$AN$18:$AN$198,2*(ROWS($O$66:O80)-1)+1))),INDEX('M03-S03'!$AJ$18:$AJ$198,2*(ROWS($M$66:M80)-1)+1),0),0)</f>
        <v/>
      </c>
      <c r="Q80" s="189" t="str">
        <f>IFERROR(IF(NOT(ISNUMBER(INDEX('M03-S03'!$AN$18:$AN$198,2*(ROWS($O$66:O80)-1)+1))),INDEX('M03-S03'!$AV$18:$AV$198,2*(ROWS($N$66:N80)-1)+1),0),0)</f>
        <v/>
      </c>
      <c r="R80" t="str">
        <f>IFERROR(IF(NOT(ISNUMBER(INDEX('M03-S03'!$AN$18:$AN$198,2*(ROWS($O$66:O80)-1)+1))),"Not Eligible",""),"")</f>
        <v>Not Eligible</v>
      </c>
      <c r="S80" s="156" t="str">
        <f>INDEX('M03-S03'!$K$18:$K$198,2*(ROWS($S$66:S80)-1)+1)</f>
        <v/>
      </c>
      <c r="T80" s="156">
        <f>INDEX('M03-S03'!$W$18:$W$198,2*(ROWS($T$66:T80)-1)+1)</f>
        <v>0</v>
      </c>
      <c r="U80" s="151">
        <f>INDEX('M03-S03'!$B$18:$B$198,2*(ROWS($U$66:U80)-1)+1)</f>
        <v>15</v>
      </c>
      <c r="V80" s="58">
        <f>INDEX('M03-S03'!$C$18:$C$198,2*(ROWS($V$66:V80)-1)+1)</f>
        <v>0</v>
      </c>
      <c r="W80" s="58">
        <f>INDEX('M03-S03'!$M$18:$M$198,2*(ROWS($V$66:V80)-1)+1)</f>
        <v>0</v>
      </c>
      <c r="X80" s="135"/>
      <c r="Y80">
        <f>INDEX('M03-S03'!$Q$18:$Q$198,2*(ROWS($Y$66:Y80)-1)+1)</f>
        <v>0</v>
      </c>
      <c r="Z80" s="61">
        <f>IFERROR(INDEX('M03-S03'!$AD$18:$AD$198,2*(ROWS(Z$66:$Z80)-1)+1)/INDEX('M03-S03'!$AB$18:$AB$198,2*(ROWS(Z$66:$Z80)-1)+1),0)</f>
        <v>0</v>
      </c>
      <c r="AA80" s="135"/>
      <c r="AB80" s="135"/>
      <c r="AC80" s="135"/>
      <c r="AD80" s="135"/>
      <c r="AE80" s="151">
        <f>IFERROR(IF(NOT(ISNUMBER(INDEX('M03-S03'!$AN$18:$AN$198,2*(ROWS($AE$66:AE80)-1)+1))),INDEX('M03-S03'!$U$18:$U$198,2*(ROWS($AE$66:AE80)-1)+1),0),0)</f>
        <v>0</v>
      </c>
      <c r="AF80" s="151" t="str">
        <f>INDEX('M03-S03'!$AW$18:$AW$198,2*(ROWS($AF$66:AF80)-1)+1)</f>
        <v/>
      </c>
      <c r="AG80" s="151" t="str">
        <f>INDEX('M03-S03'!$AX$18:$AX$198,2*(ROWS($AG$66:AG80)-1)+1)</f>
        <v/>
      </c>
      <c r="AH80" s="151" t="str">
        <f t="shared" si="18"/>
        <v/>
      </c>
      <c r="AI80" s="151" t="str">
        <f t="shared" si="19"/>
        <v/>
      </c>
      <c r="AJ80" s="61" t="str">
        <f t="shared" si="20"/>
        <v/>
      </c>
      <c r="AK80" s="61" t="str">
        <f t="shared" si="21"/>
        <v/>
      </c>
      <c r="AL80" s="61" t="str">
        <f t="shared" si="22"/>
        <v/>
      </c>
      <c r="AM80" s="154"/>
      <c r="AN80" s="61" t="str">
        <f t="shared" si="23"/>
        <v/>
      </c>
      <c r="AO80" s="151">
        <f>INDEX('M03-S03'!$G$18:$G$198,2*(ROWS($AO$66:AO80)-1)+1)</f>
        <v>0</v>
      </c>
      <c r="AP80" s="151">
        <f>INDEX('M03-S03'!$AD$18:$AD$198,2*(ROWS($AP$66:AP80)-1)+1)</f>
        <v>0</v>
      </c>
      <c r="AQ80" s="61" t="str">
        <f>IF(INDEX('M03-S03'!$AJ$18:$AJ$198,2*(ROWS($AQ$66:AQ80)-1)+1)="","",IF(AND(INDEX('M03-S03'!$AJ$18:$AJ$198,2*(ROWS($AQ$66:AQ80)-1)+1)&lt;&gt;"",OR(ISNUMBER(SEARCH("AC With",M02S02F32)),M02S02F32="Heat Pump")),LIGHTHEATCOIN,1))</f>
        <v/>
      </c>
      <c r="AR80" s="414">
        <f>(IF(INDEX('M03-S03'!$AN$18:$AN$198,2*(ROWS($O$66:O80)-1)+1)=INDEX('M03-S03'!$BJ$18:$BJ$198,2*(ROWS($O$66:O80)-1)+1),0,(INDEX('M03-S03'!$BI$18:$BI$198,2*(ROWS($O$66:O80)-1)+1)-INDEX('M03-S03'!$BJ$18:$BJ$198,2*(ROWS($O$66:O80)-1)+1))))*INCENTCAPADJ</f>
        <v>0</v>
      </c>
    </row>
    <row r="81" spans="1:44" x14ac:dyDescent="0.25">
      <c r="A81" s="66">
        <f t="shared" si="16"/>
        <v>0</v>
      </c>
      <c r="B81" s="66" t="str">
        <f t="shared" si="17"/>
        <v/>
      </c>
      <c r="C81" s="66" t="str">
        <f>IFERROR(IF(J81&gt;0,INDEX('M03-S03'!$BB$18:$BB$198,2*(ROWS($C$66:C81)-1)+1),""),"")</f>
        <v/>
      </c>
      <c r="D81" t="s">
        <v>1096</v>
      </c>
      <c r="E81" t="str">
        <f>IFERROR(INDEX(PMELIGHTHID[End Use Category],MATCH(INDEX('M03-S03'!$BA$18:$BA$198,2*(ROWS($E$66:E81)-1)+1),PMELIGHTHID[Measure Validator],0)),"")</f>
        <v/>
      </c>
      <c r="F81" s="151">
        <f>INDEX('M03-S03'!$AB$18:$AB$198,2*(ROWS($F$66:F81)-1)+1)</f>
        <v>0</v>
      </c>
      <c r="G81">
        <f>INDEX('M03-S03'!$Y$18:$Y$198,2*(ROWS($G$66:G81)-1)+1)</f>
        <v>0</v>
      </c>
      <c r="H81" s="61">
        <f>ROUND(INDEX('M03-S03'!$U$18:$U$198,2*(ROWS($H$66:H81)-1)+1)*INDEX('M03-S03'!$AF$18:$AF$198,2*(ROWS($H$66:H81)-1)+1),2)</f>
        <v>0</v>
      </c>
      <c r="I81" s="61">
        <f>ROUND(INDEX('M03-S03'!$U$18:$U$198,2*(ROWS($H$66:H81)-1)+1)*INDEX('M03-S03'!$AH$18:$AH$198,2*(ROWS($H$66:H81)-1)+1),2)</f>
        <v>0</v>
      </c>
      <c r="J81" s="61" t="str">
        <f>INDEX('M03-S03'!$AU$18:$AU$198,2*(ROWS($J$66:J81)-1)+1)</f>
        <v/>
      </c>
      <c r="K81" t="s">
        <v>119</v>
      </c>
      <c r="L81" s="151">
        <f>IF(ISNUMBER(INDEX('M03-S03'!$AN$18:$AN$198,2*(ROWS($L$66:L81)-1)+1)),INDEX('M03-S03'!$U$18:$U$198,2*(ROWS($L$66:L81)-1)+1),0)</f>
        <v>0</v>
      </c>
      <c r="M81" s="151">
        <f>IF(ISNUMBER(INDEX('M03-S03'!$AN$18:$AN$198,2*(ROWS($M$66:M81)-1)+1)),INDEX('M03-S03'!$AJ$18:$AJ$198,2*(ROWS($M$66:M81)-1)+1),0)</f>
        <v>0</v>
      </c>
      <c r="N81" s="189">
        <f>IF(ISNUMBER(INDEX('M03-S03'!$AN$18:$AN$198,2*(ROWS($M$66:M81)-1)+1)),IFERROR(INDEX('M03-S03'!$AV$18:$AV$198,2*(ROWS($N$66:N81)-1)+1),0),0)</f>
        <v>0</v>
      </c>
      <c r="O81" s="61">
        <f>IF(ISNUMBER(INDEX('M03-S03'!$AN$18:$AN$198,2*(ROWS($M$66:M81)-1)+1)),IFERROR(INDEX('M03-S03'!$AN$18:$AN$198,2*(ROWS($O$66:O81)-1)+1)*INCENTCAPADJ,""),0)</f>
        <v>0</v>
      </c>
      <c r="P81" s="151" t="str">
        <f>IFERROR(IF(NOT(ISNUMBER(INDEX('M03-S03'!$AN$18:$AN$198,2*(ROWS($O$66:O81)-1)+1))),INDEX('M03-S03'!$AJ$18:$AJ$198,2*(ROWS($M$66:M81)-1)+1),0),0)</f>
        <v/>
      </c>
      <c r="Q81" s="189" t="str">
        <f>IFERROR(IF(NOT(ISNUMBER(INDEX('M03-S03'!$AN$18:$AN$198,2*(ROWS($O$66:O81)-1)+1))),INDEX('M03-S03'!$AV$18:$AV$198,2*(ROWS($N$66:N81)-1)+1),0),0)</f>
        <v/>
      </c>
      <c r="R81" t="str">
        <f>IFERROR(IF(NOT(ISNUMBER(INDEX('M03-S03'!$AN$18:$AN$198,2*(ROWS($O$66:O81)-1)+1))),"Not Eligible",""),"")</f>
        <v>Not Eligible</v>
      </c>
      <c r="S81" s="156" t="str">
        <f>INDEX('M03-S03'!$K$18:$K$198,2*(ROWS($S$66:S81)-1)+1)</f>
        <v/>
      </c>
      <c r="T81" s="156">
        <f>INDEX('M03-S03'!$W$18:$W$198,2*(ROWS($T$66:T81)-1)+1)</f>
        <v>0</v>
      </c>
      <c r="U81" s="151">
        <f>INDEX('M03-S03'!$B$18:$B$198,2*(ROWS($U$66:U81)-1)+1)</f>
        <v>16</v>
      </c>
      <c r="V81" s="58">
        <f>INDEX('M03-S03'!$C$18:$C$198,2*(ROWS($V$66:V81)-1)+1)</f>
        <v>0</v>
      </c>
      <c r="W81" s="58">
        <f>INDEX('M03-S03'!$M$18:$M$198,2*(ROWS($V$66:V81)-1)+1)</f>
        <v>0</v>
      </c>
      <c r="X81" s="135"/>
      <c r="Y81">
        <f>INDEX('M03-S03'!$Q$18:$Q$198,2*(ROWS($Y$66:Y81)-1)+1)</f>
        <v>0</v>
      </c>
      <c r="Z81" s="61">
        <f>IFERROR(INDEX('M03-S03'!$AD$18:$AD$198,2*(ROWS(Z$66:$Z81)-1)+1)/INDEX('M03-S03'!$AB$18:$AB$198,2*(ROWS(Z$66:$Z81)-1)+1),0)</f>
        <v>0</v>
      </c>
      <c r="AA81" s="135"/>
      <c r="AB81" s="135"/>
      <c r="AC81" s="135"/>
      <c r="AD81" s="135"/>
      <c r="AE81" s="151">
        <f>IFERROR(IF(NOT(ISNUMBER(INDEX('M03-S03'!$AN$18:$AN$198,2*(ROWS($AE$66:AE81)-1)+1))),INDEX('M03-S03'!$U$18:$U$198,2*(ROWS($AE$66:AE81)-1)+1),0),0)</f>
        <v>0</v>
      </c>
      <c r="AF81" s="151" t="str">
        <f>INDEX('M03-S03'!$AW$18:$AW$198,2*(ROWS($AF$66:AF81)-1)+1)</f>
        <v/>
      </c>
      <c r="AG81" s="151" t="str">
        <f>INDEX('M03-S03'!$AX$18:$AX$198,2*(ROWS($AG$66:AG81)-1)+1)</f>
        <v/>
      </c>
      <c r="AH81" s="151" t="str">
        <f t="shared" si="18"/>
        <v/>
      </c>
      <c r="AI81" s="151" t="str">
        <f t="shared" si="19"/>
        <v/>
      </c>
      <c r="AJ81" s="61" t="str">
        <f t="shared" si="20"/>
        <v/>
      </c>
      <c r="AK81" s="61" t="str">
        <f t="shared" si="21"/>
        <v/>
      </c>
      <c r="AL81" s="61" t="str">
        <f t="shared" si="22"/>
        <v/>
      </c>
      <c r="AM81" s="154"/>
      <c r="AN81" s="61" t="str">
        <f t="shared" si="23"/>
        <v/>
      </c>
      <c r="AO81" s="151">
        <f>INDEX('M03-S03'!$G$18:$G$198,2*(ROWS($AO$66:AO81)-1)+1)</f>
        <v>0</v>
      </c>
      <c r="AP81" s="151">
        <f>INDEX('M03-S03'!$AD$18:$AD$198,2*(ROWS($AP$66:AP81)-1)+1)</f>
        <v>0</v>
      </c>
      <c r="AQ81" s="61" t="str">
        <f>IF(INDEX('M03-S03'!$AJ$18:$AJ$198,2*(ROWS($AQ$66:AQ81)-1)+1)="","",IF(AND(INDEX('M03-S03'!$AJ$18:$AJ$198,2*(ROWS($AQ$66:AQ81)-1)+1)&lt;&gt;"",OR(ISNUMBER(SEARCH("AC With",M02S02F32)),M02S02F32="Heat Pump")),LIGHTHEATCOIN,1))</f>
        <v/>
      </c>
      <c r="AR81" s="414">
        <f>(IF(INDEX('M03-S03'!$AN$18:$AN$198,2*(ROWS($O$66:O81)-1)+1)=INDEX('M03-S03'!$BJ$18:$BJ$198,2*(ROWS($O$66:O81)-1)+1),0,(INDEX('M03-S03'!$BI$18:$BI$198,2*(ROWS($O$66:O81)-1)+1)-INDEX('M03-S03'!$BJ$18:$BJ$198,2*(ROWS($O$66:O81)-1)+1))))*INCENTCAPADJ</f>
        <v>0</v>
      </c>
    </row>
    <row r="82" spans="1:44" x14ac:dyDescent="0.25">
      <c r="A82" s="66">
        <f t="shared" si="16"/>
        <v>0</v>
      </c>
      <c r="B82" s="66" t="str">
        <f t="shared" si="17"/>
        <v/>
      </c>
      <c r="C82" s="66" t="str">
        <f>IFERROR(IF(J82&gt;0,INDEX('M03-S03'!$BB$18:$BB$198,2*(ROWS($C$66:C82)-1)+1),""),"")</f>
        <v/>
      </c>
      <c r="D82" t="s">
        <v>1096</v>
      </c>
      <c r="E82" t="str">
        <f>IFERROR(INDEX(PMELIGHTHID[End Use Category],MATCH(INDEX('M03-S03'!$BA$18:$BA$198,2*(ROWS($E$66:E82)-1)+1),PMELIGHTHID[Measure Validator],0)),"")</f>
        <v/>
      </c>
      <c r="F82" s="151">
        <f>INDEX('M03-S03'!$AB$18:$AB$198,2*(ROWS($F$66:F82)-1)+1)</f>
        <v>0</v>
      </c>
      <c r="G82">
        <f>INDEX('M03-S03'!$Y$18:$Y$198,2*(ROWS($G$66:G82)-1)+1)</f>
        <v>0</v>
      </c>
      <c r="H82" s="61">
        <f>ROUND(INDEX('M03-S03'!$U$18:$U$198,2*(ROWS($H$66:H82)-1)+1)*INDEX('M03-S03'!$AF$18:$AF$198,2*(ROWS($H$66:H82)-1)+1),2)</f>
        <v>0</v>
      </c>
      <c r="I82" s="61">
        <f>ROUND(INDEX('M03-S03'!$U$18:$U$198,2*(ROWS($H$66:H82)-1)+1)*INDEX('M03-S03'!$AH$18:$AH$198,2*(ROWS($H$66:H82)-1)+1),2)</f>
        <v>0</v>
      </c>
      <c r="J82" s="61" t="str">
        <f>INDEX('M03-S03'!$AU$18:$AU$198,2*(ROWS($J$66:J82)-1)+1)</f>
        <v/>
      </c>
      <c r="K82" t="s">
        <v>119</v>
      </c>
      <c r="L82" s="151">
        <f>IF(ISNUMBER(INDEX('M03-S03'!$AN$18:$AN$198,2*(ROWS($L$66:L82)-1)+1)),INDEX('M03-S03'!$U$18:$U$198,2*(ROWS($L$66:L82)-1)+1),0)</f>
        <v>0</v>
      </c>
      <c r="M82" s="151">
        <f>IF(ISNUMBER(INDEX('M03-S03'!$AN$18:$AN$198,2*(ROWS($M$66:M82)-1)+1)),INDEX('M03-S03'!$AJ$18:$AJ$198,2*(ROWS($M$66:M82)-1)+1),0)</f>
        <v>0</v>
      </c>
      <c r="N82" s="189">
        <f>IF(ISNUMBER(INDEX('M03-S03'!$AN$18:$AN$198,2*(ROWS($M$66:M82)-1)+1)),IFERROR(INDEX('M03-S03'!$AV$18:$AV$198,2*(ROWS($N$66:N82)-1)+1),0),0)</f>
        <v>0</v>
      </c>
      <c r="O82" s="61">
        <f>IF(ISNUMBER(INDEX('M03-S03'!$AN$18:$AN$198,2*(ROWS($M$66:M82)-1)+1)),IFERROR(INDEX('M03-S03'!$AN$18:$AN$198,2*(ROWS($O$66:O82)-1)+1)*INCENTCAPADJ,""),0)</f>
        <v>0</v>
      </c>
      <c r="P82" s="151" t="str">
        <f>IFERROR(IF(NOT(ISNUMBER(INDEX('M03-S03'!$AN$18:$AN$198,2*(ROWS($O$66:O82)-1)+1))),INDEX('M03-S03'!$AJ$18:$AJ$198,2*(ROWS($M$66:M82)-1)+1),0),0)</f>
        <v/>
      </c>
      <c r="Q82" s="189" t="str">
        <f>IFERROR(IF(NOT(ISNUMBER(INDEX('M03-S03'!$AN$18:$AN$198,2*(ROWS($O$66:O82)-1)+1))),INDEX('M03-S03'!$AV$18:$AV$198,2*(ROWS($N$66:N82)-1)+1),0),0)</f>
        <v/>
      </c>
      <c r="R82" t="str">
        <f>IFERROR(IF(NOT(ISNUMBER(INDEX('M03-S03'!$AN$18:$AN$198,2*(ROWS($O$66:O82)-1)+1))),"Not Eligible",""),"")</f>
        <v>Not Eligible</v>
      </c>
      <c r="S82" s="156" t="str">
        <f>INDEX('M03-S03'!$K$18:$K$198,2*(ROWS($S$66:S82)-1)+1)</f>
        <v/>
      </c>
      <c r="T82" s="156">
        <f>INDEX('M03-S03'!$W$18:$W$198,2*(ROWS($T$66:T82)-1)+1)</f>
        <v>0</v>
      </c>
      <c r="U82" s="151">
        <f>INDEX('M03-S03'!$B$18:$B$198,2*(ROWS($U$66:U82)-1)+1)</f>
        <v>17</v>
      </c>
      <c r="V82" s="58">
        <f>INDEX('M03-S03'!$C$18:$C$198,2*(ROWS($V$66:V82)-1)+1)</f>
        <v>0</v>
      </c>
      <c r="W82" s="58">
        <f>INDEX('M03-S03'!$M$18:$M$198,2*(ROWS($V$66:V82)-1)+1)</f>
        <v>0</v>
      </c>
      <c r="X82" s="135"/>
      <c r="Y82">
        <f>INDEX('M03-S03'!$Q$18:$Q$198,2*(ROWS($Y$66:Y82)-1)+1)</f>
        <v>0</v>
      </c>
      <c r="Z82" s="61">
        <f>IFERROR(INDEX('M03-S03'!$AD$18:$AD$198,2*(ROWS(Z$66:$Z82)-1)+1)/INDEX('M03-S03'!$AB$18:$AB$198,2*(ROWS(Z$66:$Z82)-1)+1),0)</f>
        <v>0</v>
      </c>
      <c r="AA82" s="135"/>
      <c r="AB82" s="135"/>
      <c r="AC82" s="135"/>
      <c r="AD82" s="135"/>
      <c r="AE82" s="151">
        <f>IFERROR(IF(NOT(ISNUMBER(INDEX('M03-S03'!$AN$18:$AN$198,2*(ROWS($AE$66:AE82)-1)+1))),INDEX('M03-S03'!$U$18:$U$198,2*(ROWS($AE$66:AE82)-1)+1),0),0)</f>
        <v>0</v>
      </c>
      <c r="AF82" s="151" t="str">
        <f>INDEX('M03-S03'!$AW$18:$AW$198,2*(ROWS($AF$66:AF82)-1)+1)</f>
        <v/>
      </c>
      <c r="AG82" s="151" t="str">
        <f>INDEX('M03-S03'!$AX$18:$AX$198,2*(ROWS($AG$66:AG82)-1)+1)</f>
        <v/>
      </c>
      <c r="AH82" s="151" t="str">
        <f t="shared" si="18"/>
        <v/>
      </c>
      <c r="AI82" s="151" t="str">
        <f t="shared" si="19"/>
        <v/>
      </c>
      <c r="AJ82" s="61" t="str">
        <f t="shared" si="20"/>
        <v/>
      </c>
      <c r="AK82" s="61" t="str">
        <f t="shared" si="21"/>
        <v/>
      </c>
      <c r="AL82" s="61" t="str">
        <f t="shared" si="22"/>
        <v/>
      </c>
      <c r="AM82" s="154"/>
      <c r="AN82" s="61" t="str">
        <f t="shared" si="23"/>
        <v/>
      </c>
      <c r="AO82" s="151">
        <f>INDEX('M03-S03'!$G$18:$G$198,2*(ROWS($AO$66:AO82)-1)+1)</f>
        <v>0</v>
      </c>
      <c r="AP82" s="151">
        <f>INDEX('M03-S03'!$AD$18:$AD$198,2*(ROWS($AP$66:AP82)-1)+1)</f>
        <v>0</v>
      </c>
      <c r="AQ82" s="61" t="str">
        <f>IF(INDEX('M03-S03'!$AJ$18:$AJ$198,2*(ROWS($AQ$66:AQ82)-1)+1)="","",IF(AND(INDEX('M03-S03'!$AJ$18:$AJ$198,2*(ROWS($AQ$66:AQ82)-1)+1)&lt;&gt;"",OR(ISNUMBER(SEARCH("AC With",M02S02F32)),M02S02F32="Heat Pump")),LIGHTHEATCOIN,1))</f>
        <v/>
      </c>
      <c r="AR82" s="414">
        <f>(IF(INDEX('M03-S03'!$AN$18:$AN$198,2*(ROWS($O$66:O82)-1)+1)=INDEX('M03-S03'!$BJ$18:$BJ$198,2*(ROWS($O$66:O82)-1)+1),0,(INDEX('M03-S03'!$BI$18:$BI$198,2*(ROWS($O$66:O82)-1)+1)-INDEX('M03-S03'!$BJ$18:$BJ$198,2*(ROWS($O$66:O82)-1)+1))))*INCENTCAPADJ</f>
        <v>0</v>
      </c>
    </row>
    <row r="83" spans="1:44" x14ac:dyDescent="0.25">
      <c r="A83" s="66">
        <f t="shared" si="16"/>
        <v>0</v>
      </c>
      <c r="B83" s="66" t="str">
        <f t="shared" si="17"/>
        <v/>
      </c>
      <c r="C83" s="66" t="str">
        <f>IFERROR(IF(J83&gt;0,INDEX('M03-S03'!$BB$18:$BB$198,2*(ROWS($C$66:C83)-1)+1),""),"")</f>
        <v/>
      </c>
      <c r="D83" t="s">
        <v>1096</v>
      </c>
      <c r="E83" t="str">
        <f>IFERROR(INDEX(PMELIGHTHID[End Use Category],MATCH(INDEX('M03-S03'!$BA$18:$BA$198,2*(ROWS($E$66:E83)-1)+1),PMELIGHTHID[Measure Validator],0)),"")</f>
        <v/>
      </c>
      <c r="F83" s="151">
        <f>INDEX('M03-S03'!$AB$18:$AB$198,2*(ROWS($F$66:F83)-1)+1)</f>
        <v>0</v>
      </c>
      <c r="G83">
        <f>INDEX('M03-S03'!$Y$18:$Y$198,2*(ROWS($G$66:G83)-1)+1)</f>
        <v>0</v>
      </c>
      <c r="H83" s="61">
        <f>ROUND(INDEX('M03-S03'!$U$18:$U$198,2*(ROWS($H$66:H83)-1)+1)*INDEX('M03-S03'!$AF$18:$AF$198,2*(ROWS($H$66:H83)-1)+1),2)</f>
        <v>0</v>
      </c>
      <c r="I83" s="61">
        <f>ROUND(INDEX('M03-S03'!$U$18:$U$198,2*(ROWS($H$66:H83)-1)+1)*INDEX('M03-S03'!$AH$18:$AH$198,2*(ROWS($H$66:H83)-1)+1),2)</f>
        <v>0</v>
      </c>
      <c r="J83" s="61" t="str">
        <f>INDEX('M03-S03'!$AU$18:$AU$198,2*(ROWS($J$66:J83)-1)+1)</f>
        <v/>
      </c>
      <c r="K83" t="s">
        <v>119</v>
      </c>
      <c r="L83" s="151">
        <f>IF(ISNUMBER(INDEX('M03-S03'!$AN$18:$AN$198,2*(ROWS($L$66:L83)-1)+1)),INDEX('M03-S03'!$U$18:$U$198,2*(ROWS($L$66:L83)-1)+1),0)</f>
        <v>0</v>
      </c>
      <c r="M83" s="151">
        <f>IF(ISNUMBER(INDEX('M03-S03'!$AN$18:$AN$198,2*(ROWS($M$66:M83)-1)+1)),INDEX('M03-S03'!$AJ$18:$AJ$198,2*(ROWS($M$66:M83)-1)+1),0)</f>
        <v>0</v>
      </c>
      <c r="N83" s="189">
        <f>IF(ISNUMBER(INDEX('M03-S03'!$AN$18:$AN$198,2*(ROWS($M$66:M83)-1)+1)),IFERROR(INDEX('M03-S03'!$AV$18:$AV$198,2*(ROWS($N$66:N83)-1)+1),0),0)</f>
        <v>0</v>
      </c>
      <c r="O83" s="61">
        <f>IF(ISNUMBER(INDEX('M03-S03'!$AN$18:$AN$198,2*(ROWS($M$66:M83)-1)+1)),IFERROR(INDEX('M03-S03'!$AN$18:$AN$198,2*(ROWS($O$66:O83)-1)+1)*INCENTCAPADJ,""),0)</f>
        <v>0</v>
      </c>
      <c r="P83" s="151" t="str">
        <f>IFERROR(IF(NOT(ISNUMBER(INDEX('M03-S03'!$AN$18:$AN$198,2*(ROWS($O$66:O83)-1)+1))),INDEX('M03-S03'!$AJ$18:$AJ$198,2*(ROWS($M$66:M83)-1)+1),0),0)</f>
        <v/>
      </c>
      <c r="Q83" s="189" t="str">
        <f>IFERROR(IF(NOT(ISNUMBER(INDEX('M03-S03'!$AN$18:$AN$198,2*(ROWS($O$66:O83)-1)+1))),INDEX('M03-S03'!$AV$18:$AV$198,2*(ROWS($N$66:N83)-1)+1),0),0)</f>
        <v/>
      </c>
      <c r="R83" t="str">
        <f>IFERROR(IF(NOT(ISNUMBER(INDEX('M03-S03'!$AN$18:$AN$198,2*(ROWS($O$66:O83)-1)+1))),"Not Eligible",""),"")</f>
        <v>Not Eligible</v>
      </c>
      <c r="S83" s="156" t="str">
        <f>INDEX('M03-S03'!$K$18:$K$198,2*(ROWS($S$66:S83)-1)+1)</f>
        <v/>
      </c>
      <c r="T83" s="156">
        <f>INDEX('M03-S03'!$W$18:$W$198,2*(ROWS($T$66:T83)-1)+1)</f>
        <v>0</v>
      </c>
      <c r="U83" s="151">
        <f>INDEX('M03-S03'!$B$18:$B$198,2*(ROWS($U$66:U83)-1)+1)</f>
        <v>18</v>
      </c>
      <c r="V83" s="58">
        <f>INDEX('M03-S03'!$C$18:$C$198,2*(ROWS($V$66:V83)-1)+1)</f>
        <v>0</v>
      </c>
      <c r="W83" s="58">
        <f>INDEX('M03-S03'!$M$18:$M$198,2*(ROWS($V$66:V83)-1)+1)</f>
        <v>0</v>
      </c>
      <c r="X83" s="135"/>
      <c r="Y83">
        <f>INDEX('M03-S03'!$Q$18:$Q$198,2*(ROWS($Y$66:Y83)-1)+1)</f>
        <v>0</v>
      </c>
      <c r="Z83" s="61">
        <f>IFERROR(INDEX('M03-S03'!$AD$18:$AD$198,2*(ROWS(Z$66:$Z83)-1)+1)/INDEX('M03-S03'!$AB$18:$AB$198,2*(ROWS(Z$66:$Z83)-1)+1),0)</f>
        <v>0</v>
      </c>
      <c r="AA83" s="135"/>
      <c r="AB83" s="135"/>
      <c r="AC83" s="135"/>
      <c r="AD83" s="135"/>
      <c r="AE83" s="151">
        <f>IFERROR(IF(NOT(ISNUMBER(INDEX('M03-S03'!$AN$18:$AN$198,2*(ROWS($AE$66:AE83)-1)+1))),INDEX('M03-S03'!$U$18:$U$198,2*(ROWS($AE$66:AE83)-1)+1),0),0)</f>
        <v>0</v>
      </c>
      <c r="AF83" s="151" t="str">
        <f>INDEX('M03-S03'!$AW$18:$AW$198,2*(ROWS($AF$66:AF83)-1)+1)</f>
        <v/>
      </c>
      <c r="AG83" s="151" t="str">
        <f>INDEX('M03-S03'!$AX$18:$AX$198,2*(ROWS($AG$66:AG83)-1)+1)</f>
        <v/>
      </c>
      <c r="AH83" s="151" t="str">
        <f t="shared" si="18"/>
        <v/>
      </c>
      <c r="AI83" s="151" t="str">
        <f t="shared" si="19"/>
        <v/>
      </c>
      <c r="AJ83" s="61" t="str">
        <f t="shared" si="20"/>
        <v/>
      </c>
      <c r="AK83" s="61" t="str">
        <f t="shared" si="21"/>
        <v/>
      </c>
      <c r="AL83" s="61" t="str">
        <f t="shared" si="22"/>
        <v/>
      </c>
      <c r="AM83" s="154"/>
      <c r="AN83" s="61" t="str">
        <f t="shared" si="23"/>
        <v/>
      </c>
      <c r="AO83" s="151">
        <f>INDEX('M03-S03'!$G$18:$G$198,2*(ROWS($AO$66:AO83)-1)+1)</f>
        <v>0</v>
      </c>
      <c r="AP83" s="151">
        <f>INDEX('M03-S03'!$AD$18:$AD$198,2*(ROWS($AP$66:AP83)-1)+1)</f>
        <v>0</v>
      </c>
      <c r="AQ83" s="61" t="str">
        <f>IF(INDEX('M03-S03'!$AJ$18:$AJ$198,2*(ROWS($AQ$66:AQ83)-1)+1)="","",IF(AND(INDEX('M03-S03'!$AJ$18:$AJ$198,2*(ROWS($AQ$66:AQ83)-1)+1)&lt;&gt;"",OR(ISNUMBER(SEARCH("AC With",M02S02F32)),M02S02F32="Heat Pump")),LIGHTHEATCOIN,1))</f>
        <v/>
      </c>
      <c r="AR83" s="414">
        <f>(IF(INDEX('M03-S03'!$AN$18:$AN$198,2*(ROWS($O$66:O83)-1)+1)=INDEX('M03-S03'!$BJ$18:$BJ$198,2*(ROWS($O$66:O83)-1)+1),0,(INDEX('M03-S03'!$BI$18:$BI$198,2*(ROWS($O$66:O83)-1)+1)-INDEX('M03-S03'!$BJ$18:$BJ$198,2*(ROWS($O$66:O83)-1)+1))))*INCENTCAPADJ</f>
        <v>0</v>
      </c>
    </row>
    <row r="84" spans="1:44" x14ac:dyDescent="0.25">
      <c r="A84" s="66">
        <f t="shared" si="16"/>
        <v>0</v>
      </c>
      <c r="B84" s="66" t="str">
        <f t="shared" si="17"/>
        <v/>
      </c>
      <c r="C84" s="66" t="str">
        <f>IFERROR(IF(J84&gt;0,INDEX('M03-S03'!$BB$18:$BB$198,2*(ROWS($C$66:C84)-1)+1),""),"")</f>
        <v/>
      </c>
      <c r="D84" t="s">
        <v>1096</v>
      </c>
      <c r="E84" t="str">
        <f>IFERROR(INDEX(PMELIGHTHID[End Use Category],MATCH(INDEX('M03-S03'!$BA$18:$BA$198,2*(ROWS($E$66:E84)-1)+1),PMELIGHTHID[Measure Validator],0)),"")</f>
        <v/>
      </c>
      <c r="F84" s="151">
        <f>INDEX('M03-S03'!$AB$18:$AB$198,2*(ROWS($F$66:F84)-1)+1)</f>
        <v>0</v>
      </c>
      <c r="G84">
        <f>INDEX('M03-S03'!$Y$18:$Y$198,2*(ROWS($G$66:G84)-1)+1)</f>
        <v>0</v>
      </c>
      <c r="H84" s="61">
        <f>ROUND(INDEX('M03-S03'!$U$18:$U$198,2*(ROWS($H$66:H84)-1)+1)*INDEX('M03-S03'!$AF$18:$AF$198,2*(ROWS($H$66:H84)-1)+1),2)</f>
        <v>0</v>
      </c>
      <c r="I84" s="61">
        <f>ROUND(INDEX('M03-S03'!$U$18:$U$198,2*(ROWS($H$66:H84)-1)+1)*INDEX('M03-S03'!$AH$18:$AH$198,2*(ROWS($H$66:H84)-1)+1),2)</f>
        <v>0</v>
      </c>
      <c r="J84" s="61" t="str">
        <f>INDEX('M03-S03'!$AU$18:$AU$198,2*(ROWS($J$66:J84)-1)+1)</f>
        <v/>
      </c>
      <c r="K84" t="s">
        <v>119</v>
      </c>
      <c r="L84" s="151">
        <f>IF(ISNUMBER(INDEX('M03-S03'!$AN$18:$AN$198,2*(ROWS($L$66:L84)-1)+1)),INDEX('M03-S03'!$U$18:$U$198,2*(ROWS($L$66:L84)-1)+1),0)</f>
        <v>0</v>
      </c>
      <c r="M84" s="151">
        <f>IF(ISNUMBER(INDEX('M03-S03'!$AN$18:$AN$198,2*(ROWS($M$66:M84)-1)+1)),INDEX('M03-S03'!$AJ$18:$AJ$198,2*(ROWS($M$66:M84)-1)+1),0)</f>
        <v>0</v>
      </c>
      <c r="N84" s="189">
        <f>IF(ISNUMBER(INDEX('M03-S03'!$AN$18:$AN$198,2*(ROWS($M$66:M84)-1)+1)),IFERROR(INDEX('M03-S03'!$AV$18:$AV$198,2*(ROWS($N$66:N84)-1)+1),0),0)</f>
        <v>0</v>
      </c>
      <c r="O84" s="61">
        <f>IF(ISNUMBER(INDEX('M03-S03'!$AN$18:$AN$198,2*(ROWS($M$66:M84)-1)+1)),IFERROR(INDEX('M03-S03'!$AN$18:$AN$198,2*(ROWS($O$66:O84)-1)+1)*INCENTCAPADJ,""),0)</f>
        <v>0</v>
      </c>
      <c r="P84" s="151" t="str">
        <f>IFERROR(IF(NOT(ISNUMBER(INDEX('M03-S03'!$AN$18:$AN$198,2*(ROWS($O$66:O84)-1)+1))),INDEX('M03-S03'!$AJ$18:$AJ$198,2*(ROWS($M$66:M84)-1)+1),0),0)</f>
        <v/>
      </c>
      <c r="Q84" s="189" t="str">
        <f>IFERROR(IF(NOT(ISNUMBER(INDEX('M03-S03'!$AN$18:$AN$198,2*(ROWS($O$66:O84)-1)+1))),INDEX('M03-S03'!$AV$18:$AV$198,2*(ROWS($N$66:N84)-1)+1),0),0)</f>
        <v/>
      </c>
      <c r="R84" t="str">
        <f>IFERROR(IF(NOT(ISNUMBER(INDEX('M03-S03'!$AN$18:$AN$198,2*(ROWS($O$66:O84)-1)+1))),"Not Eligible",""),"")</f>
        <v>Not Eligible</v>
      </c>
      <c r="S84" s="156" t="str">
        <f>INDEX('M03-S03'!$K$18:$K$198,2*(ROWS($S$66:S84)-1)+1)</f>
        <v/>
      </c>
      <c r="T84" s="156">
        <f>INDEX('M03-S03'!$W$18:$W$198,2*(ROWS($T$66:T84)-1)+1)</f>
        <v>0</v>
      </c>
      <c r="U84" s="151">
        <f>INDEX('M03-S03'!$B$18:$B$198,2*(ROWS($U$66:U84)-1)+1)</f>
        <v>19</v>
      </c>
      <c r="V84" s="58">
        <f>INDEX('M03-S03'!$C$18:$C$198,2*(ROWS($V$66:V84)-1)+1)</f>
        <v>0</v>
      </c>
      <c r="W84" s="58">
        <f>INDEX('M03-S03'!$M$18:$M$198,2*(ROWS($V$66:V84)-1)+1)</f>
        <v>0</v>
      </c>
      <c r="X84" s="135"/>
      <c r="Y84">
        <f>INDEX('M03-S03'!$Q$18:$Q$198,2*(ROWS($Y$66:Y84)-1)+1)</f>
        <v>0</v>
      </c>
      <c r="Z84" s="61">
        <f>IFERROR(INDEX('M03-S03'!$AD$18:$AD$198,2*(ROWS(Z$66:$Z84)-1)+1)/INDEX('M03-S03'!$AB$18:$AB$198,2*(ROWS(Z$66:$Z84)-1)+1),0)</f>
        <v>0</v>
      </c>
      <c r="AA84" s="135"/>
      <c r="AB84" s="135"/>
      <c r="AC84" s="135"/>
      <c r="AD84" s="135"/>
      <c r="AE84" s="151">
        <f>IFERROR(IF(NOT(ISNUMBER(INDEX('M03-S03'!$AN$18:$AN$198,2*(ROWS($AE$66:AE84)-1)+1))),INDEX('M03-S03'!$U$18:$U$198,2*(ROWS($AE$66:AE84)-1)+1),0),0)</f>
        <v>0</v>
      </c>
      <c r="AF84" s="151" t="str">
        <f>INDEX('M03-S03'!$AW$18:$AW$198,2*(ROWS($AF$66:AF84)-1)+1)</f>
        <v/>
      </c>
      <c r="AG84" s="151" t="str">
        <f>INDEX('M03-S03'!$AX$18:$AX$198,2*(ROWS($AG$66:AG84)-1)+1)</f>
        <v/>
      </c>
      <c r="AH84" s="151" t="str">
        <f t="shared" si="18"/>
        <v/>
      </c>
      <c r="AI84" s="151" t="str">
        <f t="shared" si="19"/>
        <v/>
      </c>
      <c r="AJ84" s="61" t="str">
        <f t="shared" si="20"/>
        <v/>
      </c>
      <c r="AK84" s="61" t="str">
        <f t="shared" si="21"/>
        <v/>
      </c>
      <c r="AL84" s="61" t="str">
        <f t="shared" si="22"/>
        <v/>
      </c>
      <c r="AM84" s="154"/>
      <c r="AN84" s="61" t="str">
        <f t="shared" si="23"/>
        <v/>
      </c>
      <c r="AO84" s="151">
        <f>INDEX('M03-S03'!$G$18:$G$198,2*(ROWS($AO$66:AO84)-1)+1)</f>
        <v>0</v>
      </c>
      <c r="AP84" s="151">
        <f>INDEX('M03-S03'!$AD$18:$AD$198,2*(ROWS($AP$66:AP84)-1)+1)</f>
        <v>0</v>
      </c>
      <c r="AQ84" s="61" t="str">
        <f>IF(INDEX('M03-S03'!$AJ$18:$AJ$198,2*(ROWS($AQ$66:AQ84)-1)+1)="","",IF(AND(INDEX('M03-S03'!$AJ$18:$AJ$198,2*(ROWS($AQ$66:AQ84)-1)+1)&lt;&gt;"",OR(ISNUMBER(SEARCH("AC With",M02S02F32)),M02S02F32="Heat Pump")),LIGHTHEATCOIN,1))</f>
        <v/>
      </c>
      <c r="AR84" s="414">
        <f>(IF(INDEX('M03-S03'!$AN$18:$AN$198,2*(ROWS($O$66:O84)-1)+1)=INDEX('M03-S03'!$BJ$18:$BJ$198,2*(ROWS($O$66:O84)-1)+1),0,(INDEX('M03-S03'!$BI$18:$BI$198,2*(ROWS($O$66:O84)-1)+1)-INDEX('M03-S03'!$BJ$18:$BJ$198,2*(ROWS($O$66:O84)-1)+1))))*INCENTCAPADJ</f>
        <v>0</v>
      </c>
    </row>
    <row r="85" spans="1:44" x14ac:dyDescent="0.25">
      <c r="A85" s="66">
        <f t="shared" si="16"/>
        <v>0</v>
      </c>
      <c r="B85" s="66" t="str">
        <f t="shared" si="17"/>
        <v/>
      </c>
      <c r="C85" s="66" t="str">
        <f>IFERROR(IF(J85&gt;0,INDEX('M03-S03'!$BB$18:$BB$198,2*(ROWS($C$66:C85)-1)+1),""),"")</f>
        <v/>
      </c>
      <c r="D85" t="s">
        <v>1096</v>
      </c>
      <c r="E85" t="str">
        <f>IFERROR(INDEX(PMELIGHTHID[End Use Category],MATCH(INDEX('M03-S03'!$BA$18:$BA$198,2*(ROWS($E$66:E85)-1)+1),PMELIGHTHID[Measure Validator],0)),"")</f>
        <v/>
      </c>
      <c r="F85" s="151">
        <f>INDEX('M03-S03'!$AB$18:$AB$198,2*(ROWS($F$66:F85)-1)+1)</f>
        <v>0</v>
      </c>
      <c r="G85">
        <f>INDEX('M03-S03'!$Y$18:$Y$198,2*(ROWS($G$66:G85)-1)+1)</f>
        <v>0</v>
      </c>
      <c r="H85" s="61">
        <f>ROUND(INDEX('M03-S03'!$U$18:$U$198,2*(ROWS($H$66:H85)-1)+1)*INDEX('M03-S03'!$AF$18:$AF$198,2*(ROWS($H$66:H85)-1)+1),2)</f>
        <v>0</v>
      </c>
      <c r="I85" s="61">
        <f>ROUND(INDEX('M03-S03'!$U$18:$U$198,2*(ROWS($H$66:H85)-1)+1)*INDEX('M03-S03'!$AH$18:$AH$198,2*(ROWS($H$66:H85)-1)+1),2)</f>
        <v>0</v>
      </c>
      <c r="J85" s="61" t="str">
        <f>INDEX('M03-S03'!$AU$18:$AU$198,2*(ROWS($J$66:J85)-1)+1)</f>
        <v/>
      </c>
      <c r="K85" t="s">
        <v>119</v>
      </c>
      <c r="L85" s="151">
        <f>IF(ISNUMBER(INDEX('M03-S03'!$AN$18:$AN$198,2*(ROWS($L$66:L85)-1)+1)),INDEX('M03-S03'!$U$18:$U$198,2*(ROWS($L$66:L85)-1)+1),0)</f>
        <v>0</v>
      </c>
      <c r="M85" s="151">
        <f>IF(ISNUMBER(INDEX('M03-S03'!$AN$18:$AN$198,2*(ROWS($M$66:M85)-1)+1)),INDEX('M03-S03'!$AJ$18:$AJ$198,2*(ROWS($M$66:M85)-1)+1),0)</f>
        <v>0</v>
      </c>
      <c r="N85" s="189">
        <f>IF(ISNUMBER(INDEX('M03-S03'!$AN$18:$AN$198,2*(ROWS($M$66:M85)-1)+1)),IFERROR(INDEX('M03-S03'!$AV$18:$AV$198,2*(ROWS($N$66:N85)-1)+1),0),0)</f>
        <v>0</v>
      </c>
      <c r="O85" s="61">
        <f>IF(ISNUMBER(INDEX('M03-S03'!$AN$18:$AN$198,2*(ROWS($M$66:M85)-1)+1)),IFERROR(INDEX('M03-S03'!$AN$18:$AN$198,2*(ROWS($O$66:O85)-1)+1)*INCENTCAPADJ,""),0)</f>
        <v>0</v>
      </c>
      <c r="P85" s="151" t="str">
        <f>IFERROR(IF(NOT(ISNUMBER(INDEX('M03-S03'!$AN$18:$AN$198,2*(ROWS($O$66:O85)-1)+1))),INDEX('M03-S03'!$AJ$18:$AJ$198,2*(ROWS($M$66:M85)-1)+1),0),0)</f>
        <v/>
      </c>
      <c r="Q85" s="189" t="str">
        <f>IFERROR(IF(NOT(ISNUMBER(INDEX('M03-S03'!$AN$18:$AN$198,2*(ROWS($O$66:O85)-1)+1))),INDEX('M03-S03'!$AV$18:$AV$198,2*(ROWS($N$66:N85)-1)+1),0),0)</f>
        <v/>
      </c>
      <c r="R85" t="str">
        <f>IFERROR(IF(NOT(ISNUMBER(INDEX('M03-S03'!$AN$18:$AN$198,2*(ROWS($O$66:O85)-1)+1))),"Not Eligible",""),"")</f>
        <v>Not Eligible</v>
      </c>
      <c r="S85" s="156" t="str">
        <f>INDEX('M03-S03'!$K$18:$K$198,2*(ROWS($S$66:S85)-1)+1)</f>
        <v/>
      </c>
      <c r="T85" s="156">
        <f>INDEX('M03-S03'!$W$18:$W$198,2*(ROWS($T$66:T85)-1)+1)</f>
        <v>0</v>
      </c>
      <c r="U85" s="151">
        <f>INDEX('M03-S03'!$B$18:$B$198,2*(ROWS($U$66:U85)-1)+1)</f>
        <v>20</v>
      </c>
      <c r="V85" s="58">
        <f>INDEX('M03-S03'!$C$18:$C$198,2*(ROWS($V$66:V85)-1)+1)</f>
        <v>0</v>
      </c>
      <c r="W85" s="58">
        <f>INDEX('M03-S03'!$M$18:$M$198,2*(ROWS($V$66:V85)-1)+1)</f>
        <v>0</v>
      </c>
      <c r="X85" s="135"/>
      <c r="Y85">
        <f>INDEX('M03-S03'!$Q$18:$Q$198,2*(ROWS($Y$66:Y85)-1)+1)</f>
        <v>0</v>
      </c>
      <c r="Z85" s="61">
        <f>IFERROR(INDEX('M03-S03'!$AD$18:$AD$198,2*(ROWS(Z$66:$Z85)-1)+1)/INDEX('M03-S03'!$AB$18:$AB$198,2*(ROWS(Z$66:$Z85)-1)+1),0)</f>
        <v>0</v>
      </c>
      <c r="AA85" s="135"/>
      <c r="AB85" s="135"/>
      <c r="AC85" s="135"/>
      <c r="AD85" s="135"/>
      <c r="AE85" s="151">
        <f>IFERROR(IF(NOT(ISNUMBER(INDEX('M03-S03'!$AN$18:$AN$198,2*(ROWS($AE$66:AE85)-1)+1))),INDEX('M03-S03'!$U$18:$U$198,2*(ROWS($AE$66:AE85)-1)+1),0),0)</f>
        <v>0</v>
      </c>
      <c r="AF85" s="151" t="str">
        <f>INDEX('M03-S03'!$AW$18:$AW$198,2*(ROWS($AF$66:AF85)-1)+1)</f>
        <v/>
      </c>
      <c r="AG85" s="151" t="str">
        <f>INDEX('M03-S03'!$AX$18:$AX$198,2*(ROWS($AG$66:AG85)-1)+1)</f>
        <v/>
      </c>
      <c r="AH85" s="151" t="str">
        <f t="shared" si="18"/>
        <v/>
      </c>
      <c r="AI85" s="151" t="str">
        <f t="shared" si="19"/>
        <v/>
      </c>
      <c r="AJ85" s="61" t="str">
        <f t="shared" si="20"/>
        <v/>
      </c>
      <c r="AK85" s="61" t="str">
        <f t="shared" si="21"/>
        <v/>
      </c>
      <c r="AL85" s="61" t="str">
        <f t="shared" si="22"/>
        <v/>
      </c>
      <c r="AM85" s="154"/>
      <c r="AN85" s="61" t="str">
        <f t="shared" si="23"/>
        <v/>
      </c>
      <c r="AO85" s="151">
        <f>INDEX('M03-S03'!$G$18:$G$198,2*(ROWS($AO$66:AO85)-1)+1)</f>
        <v>0</v>
      </c>
      <c r="AP85" s="151">
        <f>INDEX('M03-S03'!$AD$18:$AD$198,2*(ROWS($AP$66:AP85)-1)+1)</f>
        <v>0</v>
      </c>
      <c r="AQ85" s="61" t="str">
        <f>IF(INDEX('M03-S03'!$AJ$18:$AJ$198,2*(ROWS($AQ$66:AQ85)-1)+1)="","",IF(AND(INDEX('M03-S03'!$AJ$18:$AJ$198,2*(ROWS($AQ$66:AQ85)-1)+1)&lt;&gt;"",OR(ISNUMBER(SEARCH("AC With",M02S02F32)),M02S02F32="Heat Pump")),LIGHTHEATCOIN,1))</f>
        <v/>
      </c>
      <c r="AR85" s="414">
        <f>(IF(INDEX('M03-S03'!$AN$18:$AN$198,2*(ROWS($O$66:O85)-1)+1)=INDEX('M03-S03'!$BJ$18:$BJ$198,2*(ROWS($O$66:O85)-1)+1),0,(INDEX('M03-S03'!$BI$18:$BI$198,2*(ROWS($O$66:O85)-1)+1)-INDEX('M03-S03'!$BJ$18:$BJ$198,2*(ROWS($O$66:O85)-1)+1))))*INCENTCAPADJ</f>
        <v>0</v>
      </c>
    </row>
    <row r="86" spans="1:44" x14ac:dyDescent="0.25">
      <c r="A86" s="66">
        <f t="shared" si="16"/>
        <v>0</v>
      </c>
      <c r="B86" s="66" t="str">
        <f t="shared" si="17"/>
        <v/>
      </c>
      <c r="C86" s="66" t="str">
        <f>IFERROR(IF(J86&gt;0,INDEX('M03-S03'!$BB$18:$BB$198,2*(ROWS($C$66:C86)-1)+1),""),"")</f>
        <v/>
      </c>
      <c r="D86" t="s">
        <v>1096</v>
      </c>
      <c r="E86" t="str">
        <f>IFERROR(INDEX(PMELIGHTHID[End Use Category],MATCH(INDEX('M03-S03'!$BA$18:$BA$198,2*(ROWS($E$66:E86)-1)+1),PMELIGHTHID[Measure Validator],0)),"")</f>
        <v/>
      </c>
      <c r="F86" s="151">
        <f>INDEX('M03-S03'!$AB$18:$AB$198,2*(ROWS($F$66:F86)-1)+1)</f>
        <v>0</v>
      </c>
      <c r="G86">
        <f>INDEX('M03-S03'!$Y$18:$Y$198,2*(ROWS($G$66:G86)-1)+1)</f>
        <v>0</v>
      </c>
      <c r="H86" s="61">
        <f>ROUND(INDEX('M03-S03'!$U$18:$U$198,2*(ROWS($H$66:H86)-1)+1)*INDEX('M03-S03'!$AF$18:$AF$198,2*(ROWS($H$66:H86)-1)+1),2)</f>
        <v>0</v>
      </c>
      <c r="I86" s="61">
        <f>ROUND(INDEX('M03-S03'!$U$18:$U$198,2*(ROWS($H$66:H86)-1)+1)*INDEX('M03-S03'!$AH$18:$AH$198,2*(ROWS($H$66:H86)-1)+1),2)</f>
        <v>0</v>
      </c>
      <c r="J86" s="61" t="str">
        <f>INDEX('M03-S03'!$AU$18:$AU$198,2*(ROWS($J$66:J86)-1)+1)</f>
        <v/>
      </c>
      <c r="K86" t="s">
        <v>119</v>
      </c>
      <c r="L86" s="151">
        <f>IF(ISNUMBER(INDEX('M03-S03'!$AN$18:$AN$198,2*(ROWS($L$66:L86)-1)+1)),INDEX('M03-S03'!$U$18:$U$198,2*(ROWS($L$66:L86)-1)+1),0)</f>
        <v>0</v>
      </c>
      <c r="M86" s="151">
        <f>IF(ISNUMBER(INDEX('M03-S03'!$AN$18:$AN$198,2*(ROWS($M$66:M86)-1)+1)),INDEX('M03-S03'!$AJ$18:$AJ$198,2*(ROWS($M$66:M86)-1)+1),0)</f>
        <v>0</v>
      </c>
      <c r="N86" s="189">
        <f>IF(ISNUMBER(INDEX('M03-S03'!$AN$18:$AN$198,2*(ROWS($M$66:M86)-1)+1)),IFERROR(INDEX('M03-S03'!$AV$18:$AV$198,2*(ROWS($N$66:N86)-1)+1),0),0)</f>
        <v>0</v>
      </c>
      <c r="O86" s="61">
        <f>IF(ISNUMBER(INDEX('M03-S03'!$AN$18:$AN$198,2*(ROWS($M$66:M86)-1)+1)),IFERROR(INDEX('M03-S03'!$AN$18:$AN$198,2*(ROWS($O$66:O86)-1)+1)*INCENTCAPADJ,""),0)</f>
        <v>0</v>
      </c>
      <c r="P86" s="151" t="str">
        <f>IFERROR(IF(NOT(ISNUMBER(INDEX('M03-S03'!$AN$18:$AN$198,2*(ROWS($O$66:O86)-1)+1))),INDEX('M03-S03'!$AJ$18:$AJ$198,2*(ROWS($M$66:M86)-1)+1),0),0)</f>
        <v/>
      </c>
      <c r="Q86" s="189" t="str">
        <f>IFERROR(IF(NOT(ISNUMBER(INDEX('M03-S03'!$AN$18:$AN$198,2*(ROWS($O$66:O86)-1)+1))),INDEX('M03-S03'!$AV$18:$AV$198,2*(ROWS($N$66:N86)-1)+1),0),0)</f>
        <v/>
      </c>
      <c r="R86" t="str">
        <f>IFERROR(IF(NOT(ISNUMBER(INDEX('M03-S03'!$AN$18:$AN$198,2*(ROWS($O$66:O86)-1)+1))),"Not Eligible",""),"")</f>
        <v>Not Eligible</v>
      </c>
      <c r="S86" s="156" t="str">
        <f>INDEX('M03-S03'!$K$18:$K$198,2*(ROWS($S$66:S86)-1)+1)</f>
        <v/>
      </c>
      <c r="T86" s="156">
        <f>INDEX('M03-S03'!$W$18:$W$198,2*(ROWS($T$66:T86)-1)+1)</f>
        <v>0</v>
      </c>
      <c r="U86" s="151">
        <f>INDEX('M03-S03'!$B$18:$B$198,2*(ROWS($U$66:U86)-1)+1)</f>
        <v>21</v>
      </c>
      <c r="V86" s="58">
        <f>INDEX('M03-S03'!$C$18:$C$198,2*(ROWS($V$66:V86)-1)+1)</f>
        <v>0</v>
      </c>
      <c r="W86" s="58">
        <f>INDEX('M03-S03'!$M$18:$M$198,2*(ROWS($V$66:V86)-1)+1)</f>
        <v>0</v>
      </c>
      <c r="X86" s="135"/>
      <c r="Y86">
        <f>INDEX('M03-S03'!$Q$18:$Q$198,2*(ROWS($Y$66:Y86)-1)+1)</f>
        <v>0</v>
      </c>
      <c r="Z86" s="61">
        <f>IFERROR(INDEX('M03-S03'!$AD$18:$AD$198,2*(ROWS(Z$66:$Z86)-1)+1)/INDEX('M03-S03'!$AB$18:$AB$198,2*(ROWS(Z$66:$Z86)-1)+1),0)</f>
        <v>0</v>
      </c>
      <c r="AA86" s="135"/>
      <c r="AB86" s="135"/>
      <c r="AC86" s="135"/>
      <c r="AD86" s="135"/>
      <c r="AE86" s="151">
        <f>IFERROR(IF(NOT(ISNUMBER(INDEX('M03-S03'!$AN$18:$AN$198,2*(ROWS($AE$66:AE86)-1)+1))),INDEX('M03-S03'!$U$18:$U$198,2*(ROWS($AE$66:AE86)-1)+1),0),0)</f>
        <v>0</v>
      </c>
      <c r="AF86" s="151" t="str">
        <f>INDEX('M03-S03'!$AW$18:$AW$198,2*(ROWS($AF$66:AF86)-1)+1)</f>
        <v/>
      </c>
      <c r="AG86" s="151" t="str">
        <f>INDEX('M03-S03'!$AX$18:$AX$198,2*(ROWS($AG$66:AG86)-1)+1)</f>
        <v/>
      </c>
      <c r="AH86" s="151" t="str">
        <f t="shared" si="18"/>
        <v/>
      </c>
      <c r="AI86" s="151" t="str">
        <f t="shared" si="19"/>
        <v/>
      </c>
      <c r="AJ86" s="61" t="str">
        <f t="shared" si="20"/>
        <v/>
      </c>
      <c r="AK86" s="61" t="str">
        <f t="shared" si="21"/>
        <v/>
      </c>
      <c r="AL86" s="61" t="str">
        <f t="shared" si="22"/>
        <v/>
      </c>
      <c r="AM86" s="154"/>
      <c r="AN86" s="61" t="str">
        <f t="shared" si="23"/>
        <v/>
      </c>
      <c r="AO86" s="151">
        <f>INDEX('M03-S03'!$G$18:$G$198,2*(ROWS($AO$66:AO86)-1)+1)</f>
        <v>0</v>
      </c>
      <c r="AP86" s="151">
        <f>INDEX('M03-S03'!$AD$18:$AD$198,2*(ROWS($AP$66:AP86)-1)+1)</f>
        <v>0</v>
      </c>
      <c r="AQ86" s="61" t="str">
        <f>IF(INDEX('M03-S03'!$AJ$18:$AJ$198,2*(ROWS($AQ$66:AQ86)-1)+1)="","",IF(AND(INDEX('M03-S03'!$AJ$18:$AJ$198,2*(ROWS($AQ$66:AQ86)-1)+1)&lt;&gt;"",OR(ISNUMBER(SEARCH("AC With",M02S02F32)),M02S02F32="Heat Pump")),LIGHTHEATCOIN,1))</f>
        <v/>
      </c>
      <c r="AR86" s="414">
        <f>(IF(INDEX('M03-S03'!$AN$18:$AN$198,2*(ROWS($O$66:O86)-1)+1)=INDEX('M03-S03'!$BJ$18:$BJ$198,2*(ROWS($O$66:O86)-1)+1),0,(INDEX('M03-S03'!$BI$18:$BI$198,2*(ROWS($O$66:O86)-1)+1)-INDEX('M03-S03'!$BJ$18:$BJ$198,2*(ROWS($O$66:O86)-1)+1))))*INCENTCAPADJ</f>
        <v>0</v>
      </c>
    </row>
    <row r="87" spans="1:44" x14ac:dyDescent="0.25">
      <c r="A87" s="66">
        <f t="shared" si="16"/>
        <v>0</v>
      </c>
      <c r="B87" s="66" t="str">
        <f t="shared" si="17"/>
        <v/>
      </c>
      <c r="C87" s="66" t="str">
        <f>IFERROR(IF(J87&gt;0,INDEX('M03-S03'!$BB$18:$BB$198,2*(ROWS($C$66:C87)-1)+1),""),"")</f>
        <v/>
      </c>
      <c r="D87" t="s">
        <v>1096</v>
      </c>
      <c r="E87" t="str">
        <f>IFERROR(INDEX(PMELIGHTHID[End Use Category],MATCH(INDEX('M03-S03'!$BA$18:$BA$198,2*(ROWS($E$66:E87)-1)+1),PMELIGHTHID[Measure Validator],0)),"")</f>
        <v/>
      </c>
      <c r="F87" s="151">
        <f>INDEX('M03-S03'!$AB$18:$AB$198,2*(ROWS($F$66:F87)-1)+1)</f>
        <v>0</v>
      </c>
      <c r="G87">
        <f>INDEX('M03-S03'!$Y$18:$Y$198,2*(ROWS($G$66:G87)-1)+1)</f>
        <v>0</v>
      </c>
      <c r="H87" s="61">
        <f>ROUND(INDEX('M03-S03'!$U$18:$U$198,2*(ROWS($H$66:H87)-1)+1)*INDEX('M03-S03'!$AF$18:$AF$198,2*(ROWS($H$66:H87)-1)+1),2)</f>
        <v>0</v>
      </c>
      <c r="I87" s="61">
        <f>ROUND(INDEX('M03-S03'!$U$18:$U$198,2*(ROWS($H$66:H87)-1)+1)*INDEX('M03-S03'!$AH$18:$AH$198,2*(ROWS($H$66:H87)-1)+1),2)</f>
        <v>0</v>
      </c>
      <c r="J87" s="61" t="str">
        <f>INDEX('M03-S03'!$AU$18:$AU$198,2*(ROWS($J$66:J87)-1)+1)</f>
        <v/>
      </c>
      <c r="K87" t="s">
        <v>119</v>
      </c>
      <c r="L87" s="151">
        <f>IF(ISNUMBER(INDEX('M03-S03'!$AN$18:$AN$198,2*(ROWS($L$66:L87)-1)+1)),INDEX('M03-S03'!$U$18:$U$198,2*(ROWS($L$66:L87)-1)+1),0)</f>
        <v>0</v>
      </c>
      <c r="M87" s="151">
        <f>IF(ISNUMBER(INDEX('M03-S03'!$AN$18:$AN$198,2*(ROWS($M$66:M87)-1)+1)),INDEX('M03-S03'!$AJ$18:$AJ$198,2*(ROWS($M$66:M87)-1)+1),0)</f>
        <v>0</v>
      </c>
      <c r="N87" s="189">
        <f>IF(ISNUMBER(INDEX('M03-S03'!$AN$18:$AN$198,2*(ROWS($M$66:M87)-1)+1)),IFERROR(INDEX('M03-S03'!$AV$18:$AV$198,2*(ROWS($N$66:N87)-1)+1),0),0)</f>
        <v>0</v>
      </c>
      <c r="O87" s="61">
        <f>IF(ISNUMBER(INDEX('M03-S03'!$AN$18:$AN$198,2*(ROWS($M$66:M87)-1)+1)),IFERROR(INDEX('M03-S03'!$AN$18:$AN$198,2*(ROWS($O$66:O87)-1)+1)*INCENTCAPADJ,""),0)</f>
        <v>0</v>
      </c>
      <c r="P87" s="151" t="str">
        <f>IFERROR(IF(NOT(ISNUMBER(INDEX('M03-S03'!$AN$18:$AN$198,2*(ROWS($O$66:O87)-1)+1))),INDEX('M03-S03'!$AJ$18:$AJ$198,2*(ROWS($M$66:M87)-1)+1),0),0)</f>
        <v/>
      </c>
      <c r="Q87" s="189" t="str">
        <f>IFERROR(IF(NOT(ISNUMBER(INDEX('M03-S03'!$AN$18:$AN$198,2*(ROWS($O$66:O87)-1)+1))),INDEX('M03-S03'!$AV$18:$AV$198,2*(ROWS($N$66:N87)-1)+1),0),0)</f>
        <v/>
      </c>
      <c r="R87" t="str">
        <f>IFERROR(IF(NOT(ISNUMBER(INDEX('M03-S03'!$AN$18:$AN$198,2*(ROWS($O$66:O87)-1)+1))),"Not Eligible",""),"")</f>
        <v>Not Eligible</v>
      </c>
      <c r="S87" s="156" t="str">
        <f>INDEX('M03-S03'!$K$18:$K$198,2*(ROWS($S$66:S87)-1)+1)</f>
        <v/>
      </c>
      <c r="T87" s="156">
        <f>INDEX('M03-S03'!$W$18:$W$198,2*(ROWS($T$66:T87)-1)+1)</f>
        <v>0</v>
      </c>
      <c r="U87" s="151">
        <f>INDEX('M03-S03'!$B$18:$B$198,2*(ROWS($U$66:U87)-1)+1)</f>
        <v>22</v>
      </c>
      <c r="V87" s="58">
        <f>INDEX('M03-S03'!$C$18:$C$198,2*(ROWS($V$66:V87)-1)+1)</f>
        <v>0</v>
      </c>
      <c r="W87" s="58">
        <f>INDEX('M03-S03'!$M$18:$M$198,2*(ROWS($V$66:V87)-1)+1)</f>
        <v>0</v>
      </c>
      <c r="X87" s="135"/>
      <c r="Y87">
        <f>INDEX('M03-S03'!$Q$18:$Q$198,2*(ROWS($Y$66:Y87)-1)+1)</f>
        <v>0</v>
      </c>
      <c r="Z87" s="61">
        <f>IFERROR(INDEX('M03-S03'!$AD$18:$AD$198,2*(ROWS(Z$66:$Z87)-1)+1)/INDEX('M03-S03'!$AB$18:$AB$198,2*(ROWS(Z$66:$Z87)-1)+1),0)</f>
        <v>0</v>
      </c>
      <c r="AA87" s="135"/>
      <c r="AB87" s="135"/>
      <c r="AC87" s="135"/>
      <c r="AD87" s="135"/>
      <c r="AE87" s="151">
        <f>IFERROR(IF(NOT(ISNUMBER(INDEX('M03-S03'!$AN$18:$AN$198,2*(ROWS($AE$66:AE87)-1)+1))),INDEX('M03-S03'!$U$18:$U$198,2*(ROWS($AE$66:AE87)-1)+1),0),0)</f>
        <v>0</v>
      </c>
      <c r="AF87" s="151" t="str">
        <f>INDEX('M03-S03'!$AW$18:$AW$198,2*(ROWS($AF$66:AF87)-1)+1)</f>
        <v/>
      </c>
      <c r="AG87" s="151" t="str">
        <f>INDEX('M03-S03'!$AX$18:$AX$198,2*(ROWS($AG$66:AG87)-1)+1)</f>
        <v/>
      </c>
      <c r="AH87" s="151" t="str">
        <f t="shared" si="18"/>
        <v/>
      </c>
      <c r="AI87" s="151" t="str">
        <f t="shared" si="19"/>
        <v/>
      </c>
      <c r="AJ87" s="61" t="str">
        <f t="shared" si="20"/>
        <v/>
      </c>
      <c r="AK87" s="61" t="str">
        <f t="shared" si="21"/>
        <v/>
      </c>
      <c r="AL87" s="61" t="str">
        <f t="shared" si="22"/>
        <v/>
      </c>
      <c r="AM87" s="154"/>
      <c r="AN87" s="61" t="str">
        <f t="shared" si="23"/>
        <v/>
      </c>
      <c r="AO87" s="151">
        <f>INDEX('M03-S03'!$G$18:$G$198,2*(ROWS($AO$66:AO87)-1)+1)</f>
        <v>0</v>
      </c>
      <c r="AP87" s="151">
        <f>INDEX('M03-S03'!$AD$18:$AD$198,2*(ROWS($AP$66:AP87)-1)+1)</f>
        <v>0</v>
      </c>
      <c r="AQ87" s="61" t="str">
        <f>IF(INDEX('M03-S03'!$AJ$18:$AJ$198,2*(ROWS($AQ$66:AQ87)-1)+1)="","",IF(AND(INDEX('M03-S03'!$AJ$18:$AJ$198,2*(ROWS($AQ$66:AQ87)-1)+1)&lt;&gt;"",OR(ISNUMBER(SEARCH("AC With",M02S02F32)),M02S02F32="Heat Pump")),LIGHTHEATCOIN,1))</f>
        <v/>
      </c>
      <c r="AR87" s="414">
        <f>(IF(INDEX('M03-S03'!$AN$18:$AN$198,2*(ROWS($O$66:O87)-1)+1)=INDEX('M03-S03'!$BJ$18:$BJ$198,2*(ROWS($O$66:O87)-1)+1),0,(INDEX('M03-S03'!$BI$18:$BI$198,2*(ROWS($O$66:O87)-1)+1)-INDEX('M03-S03'!$BJ$18:$BJ$198,2*(ROWS($O$66:O87)-1)+1))))*INCENTCAPADJ</f>
        <v>0</v>
      </c>
    </row>
    <row r="88" spans="1:44" x14ac:dyDescent="0.25">
      <c r="A88" s="66">
        <f t="shared" si="16"/>
        <v>0</v>
      </c>
      <c r="B88" s="66" t="str">
        <f t="shared" si="17"/>
        <v/>
      </c>
      <c r="C88" s="66" t="str">
        <f>IFERROR(IF(J88&gt;0,INDEX('M03-S03'!$BB$18:$BB$198,2*(ROWS($C$66:C88)-1)+1),""),"")</f>
        <v/>
      </c>
      <c r="D88" t="s">
        <v>1096</v>
      </c>
      <c r="E88" t="str">
        <f>IFERROR(INDEX(PMELIGHTHID[End Use Category],MATCH(INDEX('M03-S03'!$BA$18:$BA$198,2*(ROWS($E$66:E88)-1)+1),PMELIGHTHID[Measure Validator],0)),"")</f>
        <v/>
      </c>
      <c r="F88" s="151">
        <f>INDEX('M03-S03'!$AB$18:$AB$198,2*(ROWS($F$66:F88)-1)+1)</f>
        <v>0</v>
      </c>
      <c r="G88">
        <f>INDEX('M03-S03'!$Y$18:$Y$198,2*(ROWS($G$66:G88)-1)+1)</f>
        <v>0</v>
      </c>
      <c r="H88" s="61">
        <f>ROUND(INDEX('M03-S03'!$U$18:$U$198,2*(ROWS($H$66:H88)-1)+1)*INDEX('M03-S03'!$AF$18:$AF$198,2*(ROWS($H$66:H88)-1)+1),2)</f>
        <v>0</v>
      </c>
      <c r="I88" s="61">
        <f>ROUND(INDEX('M03-S03'!$U$18:$U$198,2*(ROWS($H$66:H88)-1)+1)*INDEX('M03-S03'!$AH$18:$AH$198,2*(ROWS($H$66:H88)-1)+1),2)</f>
        <v>0</v>
      </c>
      <c r="J88" s="61" t="str">
        <f>INDEX('M03-S03'!$AU$18:$AU$198,2*(ROWS($J$66:J88)-1)+1)</f>
        <v/>
      </c>
      <c r="K88" t="s">
        <v>119</v>
      </c>
      <c r="L88" s="151">
        <f>IF(ISNUMBER(INDEX('M03-S03'!$AN$18:$AN$198,2*(ROWS($L$66:L88)-1)+1)),INDEX('M03-S03'!$U$18:$U$198,2*(ROWS($L$66:L88)-1)+1),0)</f>
        <v>0</v>
      </c>
      <c r="M88" s="151">
        <f>IF(ISNUMBER(INDEX('M03-S03'!$AN$18:$AN$198,2*(ROWS($M$66:M88)-1)+1)),INDEX('M03-S03'!$AJ$18:$AJ$198,2*(ROWS($M$66:M88)-1)+1),0)</f>
        <v>0</v>
      </c>
      <c r="N88" s="189">
        <f>IF(ISNUMBER(INDEX('M03-S03'!$AN$18:$AN$198,2*(ROWS($M$66:M88)-1)+1)),IFERROR(INDEX('M03-S03'!$AV$18:$AV$198,2*(ROWS($N$66:N88)-1)+1),0),0)</f>
        <v>0</v>
      </c>
      <c r="O88" s="61">
        <f>IF(ISNUMBER(INDEX('M03-S03'!$AN$18:$AN$198,2*(ROWS($M$66:M88)-1)+1)),IFERROR(INDEX('M03-S03'!$AN$18:$AN$198,2*(ROWS($O$66:O88)-1)+1)*INCENTCAPADJ,""),0)</f>
        <v>0</v>
      </c>
      <c r="P88" s="151" t="str">
        <f>IFERROR(IF(NOT(ISNUMBER(INDEX('M03-S03'!$AN$18:$AN$198,2*(ROWS($O$66:O88)-1)+1))),INDEX('M03-S03'!$AJ$18:$AJ$198,2*(ROWS($M$66:M88)-1)+1),0),0)</f>
        <v/>
      </c>
      <c r="Q88" s="189" t="str">
        <f>IFERROR(IF(NOT(ISNUMBER(INDEX('M03-S03'!$AN$18:$AN$198,2*(ROWS($O$66:O88)-1)+1))),INDEX('M03-S03'!$AV$18:$AV$198,2*(ROWS($N$66:N88)-1)+1),0),0)</f>
        <v/>
      </c>
      <c r="R88" t="str">
        <f>IFERROR(IF(NOT(ISNUMBER(INDEX('M03-S03'!$AN$18:$AN$198,2*(ROWS($O$66:O88)-1)+1))),"Not Eligible",""),"")</f>
        <v>Not Eligible</v>
      </c>
      <c r="S88" s="156" t="str">
        <f>INDEX('M03-S03'!$K$18:$K$198,2*(ROWS($S$66:S88)-1)+1)</f>
        <v/>
      </c>
      <c r="T88" s="156">
        <f>INDEX('M03-S03'!$W$18:$W$198,2*(ROWS($T$66:T88)-1)+1)</f>
        <v>0</v>
      </c>
      <c r="U88" s="151">
        <f>INDEX('M03-S03'!$B$18:$B$198,2*(ROWS($U$66:U88)-1)+1)</f>
        <v>23</v>
      </c>
      <c r="V88" s="58">
        <f>INDEX('M03-S03'!$C$18:$C$198,2*(ROWS($V$66:V88)-1)+1)</f>
        <v>0</v>
      </c>
      <c r="W88" s="58">
        <f>INDEX('M03-S03'!$M$18:$M$198,2*(ROWS($V$66:V88)-1)+1)</f>
        <v>0</v>
      </c>
      <c r="X88" s="135"/>
      <c r="Y88">
        <f>INDEX('M03-S03'!$Q$18:$Q$198,2*(ROWS($Y$66:Y88)-1)+1)</f>
        <v>0</v>
      </c>
      <c r="Z88" s="61">
        <f>IFERROR(INDEX('M03-S03'!$AD$18:$AD$198,2*(ROWS(Z$66:$Z88)-1)+1)/INDEX('M03-S03'!$AB$18:$AB$198,2*(ROWS(Z$66:$Z88)-1)+1),0)</f>
        <v>0</v>
      </c>
      <c r="AA88" s="135"/>
      <c r="AB88" s="135"/>
      <c r="AC88" s="135"/>
      <c r="AD88" s="135"/>
      <c r="AE88" s="151">
        <f>IFERROR(IF(NOT(ISNUMBER(INDEX('M03-S03'!$AN$18:$AN$198,2*(ROWS($AE$66:AE88)-1)+1))),INDEX('M03-S03'!$U$18:$U$198,2*(ROWS($AE$66:AE88)-1)+1),0),0)</f>
        <v>0</v>
      </c>
      <c r="AF88" s="151" t="str">
        <f>INDEX('M03-S03'!$AW$18:$AW$198,2*(ROWS($AF$66:AF88)-1)+1)</f>
        <v/>
      </c>
      <c r="AG88" s="151" t="str">
        <f>INDEX('M03-S03'!$AX$18:$AX$198,2*(ROWS($AG$66:AG88)-1)+1)</f>
        <v/>
      </c>
      <c r="AH88" s="151" t="str">
        <f t="shared" si="18"/>
        <v/>
      </c>
      <c r="AI88" s="151" t="str">
        <f t="shared" si="19"/>
        <v/>
      </c>
      <c r="AJ88" s="61" t="str">
        <f t="shared" si="20"/>
        <v/>
      </c>
      <c r="AK88" s="61" t="str">
        <f t="shared" si="21"/>
        <v/>
      </c>
      <c r="AL88" s="61" t="str">
        <f t="shared" si="22"/>
        <v/>
      </c>
      <c r="AM88" s="154"/>
      <c r="AN88" s="61" t="str">
        <f t="shared" si="23"/>
        <v/>
      </c>
      <c r="AO88" s="151">
        <f>INDEX('M03-S03'!$G$18:$G$198,2*(ROWS($AO$66:AO88)-1)+1)</f>
        <v>0</v>
      </c>
      <c r="AP88" s="151">
        <f>INDEX('M03-S03'!$AD$18:$AD$198,2*(ROWS($AP$66:AP88)-1)+1)</f>
        <v>0</v>
      </c>
      <c r="AQ88" s="61" t="str">
        <f>IF(INDEX('M03-S03'!$AJ$18:$AJ$198,2*(ROWS($AQ$66:AQ88)-1)+1)="","",IF(AND(INDEX('M03-S03'!$AJ$18:$AJ$198,2*(ROWS($AQ$66:AQ88)-1)+1)&lt;&gt;"",OR(ISNUMBER(SEARCH("AC With",M02S02F32)),M02S02F32="Heat Pump")),LIGHTHEATCOIN,1))</f>
        <v/>
      </c>
      <c r="AR88" s="414">
        <f>(IF(INDEX('M03-S03'!$AN$18:$AN$198,2*(ROWS($O$66:O88)-1)+1)=INDEX('M03-S03'!$BJ$18:$BJ$198,2*(ROWS($O$66:O88)-1)+1),0,(INDEX('M03-S03'!$BI$18:$BI$198,2*(ROWS($O$66:O88)-1)+1)-INDEX('M03-S03'!$BJ$18:$BJ$198,2*(ROWS($O$66:O88)-1)+1))))*INCENTCAPADJ</f>
        <v>0</v>
      </c>
    </row>
    <row r="89" spans="1:44" x14ac:dyDescent="0.25">
      <c r="A89" s="66">
        <f t="shared" si="16"/>
        <v>0</v>
      </c>
      <c r="B89" s="66" t="str">
        <f t="shared" si="17"/>
        <v/>
      </c>
      <c r="C89" s="66" t="str">
        <f>IFERROR(IF(J89&gt;0,INDEX('M03-S03'!$BB$18:$BB$198,2*(ROWS($C$66:C89)-1)+1),""),"")</f>
        <v/>
      </c>
      <c r="D89" t="s">
        <v>1096</v>
      </c>
      <c r="E89" t="str">
        <f>IFERROR(INDEX(PMELIGHTHID[End Use Category],MATCH(INDEX('M03-S03'!$BA$18:$BA$198,2*(ROWS($E$66:E89)-1)+1),PMELIGHTHID[Measure Validator],0)),"")</f>
        <v/>
      </c>
      <c r="F89" s="151">
        <f>INDEX('M03-S03'!$AB$18:$AB$198,2*(ROWS($F$66:F89)-1)+1)</f>
        <v>0</v>
      </c>
      <c r="G89">
        <f>INDEX('M03-S03'!$Y$18:$Y$198,2*(ROWS($G$66:G89)-1)+1)</f>
        <v>0</v>
      </c>
      <c r="H89" s="61">
        <f>ROUND(INDEX('M03-S03'!$U$18:$U$198,2*(ROWS($H$66:H89)-1)+1)*INDEX('M03-S03'!$AF$18:$AF$198,2*(ROWS($H$66:H89)-1)+1),2)</f>
        <v>0</v>
      </c>
      <c r="I89" s="61">
        <f>ROUND(INDEX('M03-S03'!$U$18:$U$198,2*(ROWS($H$66:H89)-1)+1)*INDEX('M03-S03'!$AH$18:$AH$198,2*(ROWS($H$66:H89)-1)+1),2)</f>
        <v>0</v>
      </c>
      <c r="J89" s="61" t="str">
        <f>INDEX('M03-S03'!$AU$18:$AU$198,2*(ROWS($J$66:J89)-1)+1)</f>
        <v/>
      </c>
      <c r="K89" t="s">
        <v>119</v>
      </c>
      <c r="L89" s="151">
        <f>IF(ISNUMBER(INDEX('M03-S03'!$AN$18:$AN$198,2*(ROWS($L$66:L89)-1)+1)),INDEX('M03-S03'!$U$18:$U$198,2*(ROWS($L$66:L89)-1)+1),0)</f>
        <v>0</v>
      </c>
      <c r="M89" s="151">
        <f>IF(ISNUMBER(INDEX('M03-S03'!$AN$18:$AN$198,2*(ROWS($M$66:M89)-1)+1)),INDEX('M03-S03'!$AJ$18:$AJ$198,2*(ROWS($M$66:M89)-1)+1),0)</f>
        <v>0</v>
      </c>
      <c r="N89" s="189">
        <f>IF(ISNUMBER(INDEX('M03-S03'!$AN$18:$AN$198,2*(ROWS($M$66:M89)-1)+1)),IFERROR(INDEX('M03-S03'!$AV$18:$AV$198,2*(ROWS($N$66:N89)-1)+1),0),0)</f>
        <v>0</v>
      </c>
      <c r="O89" s="61">
        <f>IF(ISNUMBER(INDEX('M03-S03'!$AN$18:$AN$198,2*(ROWS($M$66:M89)-1)+1)),IFERROR(INDEX('M03-S03'!$AN$18:$AN$198,2*(ROWS($O$66:O89)-1)+1)*INCENTCAPADJ,""),0)</f>
        <v>0</v>
      </c>
      <c r="P89" s="151" t="str">
        <f>IFERROR(IF(NOT(ISNUMBER(INDEX('M03-S03'!$AN$18:$AN$198,2*(ROWS($O$66:O89)-1)+1))),INDEX('M03-S03'!$AJ$18:$AJ$198,2*(ROWS($M$66:M89)-1)+1),0),0)</f>
        <v/>
      </c>
      <c r="Q89" s="189" t="str">
        <f>IFERROR(IF(NOT(ISNUMBER(INDEX('M03-S03'!$AN$18:$AN$198,2*(ROWS($O$66:O89)-1)+1))),INDEX('M03-S03'!$AV$18:$AV$198,2*(ROWS($N$66:N89)-1)+1),0),0)</f>
        <v/>
      </c>
      <c r="R89" t="str">
        <f>IFERROR(IF(NOT(ISNUMBER(INDEX('M03-S03'!$AN$18:$AN$198,2*(ROWS($O$66:O89)-1)+1))),"Not Eligible",""),"")</f>
        <v>Not Eligible</v>
      </c>
      <c r="S89" s="156" t="str">
        <f>INDEX('M03-S03'!$K$18:$K$198,2*(ROWS($S$66:S89)-1)+1)</f>
        <v/>
      </c>
      <c r="T89" s="156">
        <f>INDEX('M03-S03'!$W$18:$W$198,2*(ROWS($T$66:T89)-1)+1)</f>
        <v>0</v>
      </c>
      <c r="U89" s="151">
        <f>INDEX('M03-S03'!$B$18:$B$198,2*(ROWS($U$66:U89)-1)+1)</f>
        <v>24</v>
      </c>
      <c r="V89" s="58">
        <f>INDEX('M03-S03'!$C$18:$C$198,2*(ROWS($V$66:V89)-1)+1)</f>
        <v>0</v>
      </c>
      <c r="W89" s="58">
        <f>INDEX('M03-S03'!$M$18:$M$198,2*(ROWS($V$66:V89)-1)+1)</f>
        <v>0</v>
      </c>
      <c r="X89" s="135"/>
      <c r="Y89">
        <f>INDEX('M03-S03'!$Q$18:$Q$198,2*(ROWS($Y$66:Y89)-1)+1)</f>
        <v>0</v>
      </c>
      <c r="Z89" s="61">
        <f>IFERROR(INDEX('M03-S03'!$AD$18:$AD$198,2*(ROWS(Z$66:$Z89)-1)+1)/INDEX('M03-S03'!$AB$18:$AB$198,2*(ROWS(Z$66:$Z89)-1)+1),0)</f>
        <v>0</v>
      </c>
      <c r="AA89" s="135"/>
      <c r="AB89" s="135"/>
      <c r="AC89" s="135"/>
      <c r="AD89" s="135"/>
      <c r="AE89" s="151">
        <f>IFERROR(IF(NOT(ISNUMBER(INDEX('M03-S03'!$AN$18:$AN$198,2*(ROWS($AE$66:AE89)-1)+1))),INDEX('M03-S03'!$U$18:$U$198,2*(ROWS($AE$66:AE89)-1)+1),0),0)</f>
        <v>0</v>
      </c>
      <c r="AF89" s="151" t="str">
        <f>INDEX('M03-S03'!$AW$18:$AW$198,2*(ROWS($AF$66:AF89)-1)+1)</f>
        <v/>
      </c>
      <c r="AG89" s="151" t="str">
        <f>INDEX('M03-S03'!$AX$18:$AX$198,2*(ROWS($AG$66:AG89)-1)+1)</f>
        <v/>
      </c>
      <c r="AH89" s="151" t="str">
        <f t="shared" si="18"/>
        <v/>
      </c>
      <c r="AI89" s="151" t="str">
        <f t="shared" si="19"/>
        <v/>
      </c>
      <c r="AJ89" s="61" t="str">
        <f t="shared" si="20"/>
        <v/>
      </c>
      <c r="AK89" s="61" t="str">
        <f t="shared" si="21"/>
        <v/>
      </c>
      <c r="AL89" s="61" t="str">
        <f t="shared" si="22"/>
        <v/>
      </c>
      <c r="AM89" s="154"/>
      <c r="AN89" s="61" t="str">
        <f t="shared" si="23"/>
        <v/>
      </c>
      <c r="AO89" s="151">
        <f>INDEX('M03-S03'!$G$18:$G$198,2*(ROWS($AO$66:AO89)-1)+1)</f>
        <v>0</v>
      </c>
      <c r="AP89" s="151">
        <f>INDEX('M03-S03'!$AD$18:$AD$198,2*(ROWS($AP$66:AP89)-1)+1)</f>
        <v>0</v>
      </c>
      <c r="AQ89" s="61" t="str">
        <f>IF(INDEX('M03-S03'!$AJ$18:$AJ$198,2*(ROWS($AQ$66:AQ89)-1)+1)="","",IF(AND(INDEX('M03-S03'!$AJ$18:$AJ$198,2*(ROWS($AQ$66:AQ89)-1)+1)&lt;&gt;"",OR(ISNUMBER(SEARCH("AC With",M02S02F32)),M02S02F32="Heat Pump")),LIGHTHEATCOIN,1))</f>
        <v/>
      </c>
      <c r="AR89" s="414">
        <f>(IF(INDEX('M03-S03'!$AN$18:$AN$198,2*(ROWS($O$66:O89)-1)+1)=INDEX('M03-S03'!$BJ$18:$BJ$198,2*(ROWS($O$66:O89)-1)+1),0,(INDEX('M03-S03'!$BI$18:$BI$198,2*(ROWS($O$66:O89)-1)+1)-INDEX('M03-S03'!$BJ$18:$BJ$198,2*(ROWS($O$66:O89)-1)+1))))*INCENTCAPADJ</f>
        <v>0</v>
      </c>
    </row>
    <row r="90" spans="1:44" x14ac:dyDescent="0.25">
      <c r="A90" s="66">
        <f t="shared" si="16"/>
        <v>0</v>
      </c>
      <c r="B90" s="66" t="str">
        <f t="shared" si="17"/>
        <v/>
      </c>
      <c r="C90" s="66" t="str">
        <f>IFERROR(IF(J90&gt;0,INDEX('M03-S03'!$BB$18:$BB$198,2*(ROWS($C$66:C90)-1)+1),""),"")</f>
        <v/>
      </c>
      <c r="D90" t="s">
        <v>1096</v>
      </c>
      <c r="E90" t="str">
        <f>IFERROR(INDEX(PMELIGHTHID[End Use Category],MATCH(INDEX('M03-S03'!$BA$18:$BA$198,2*(ROWS($E$66:E90)-1)+1),PMELIGHTHID[Measure Validator],0)),"")</f>
        <v/>
      </c>
      <c r="F90" s="151">
        <f>INDEX('M03-S03'!$AB$18:$AB$198,2*(ROWS($F$66:F90)-1)+1)</f>
        <v>0</v>
      </c>
      <c r="G90">
        <f>INDEX('M03-S03'!$Y$18:$Y$198,2*(ROWS($G$66:G90)-1)+1)</f>
        <v>0</v>
      </c>
      <c r="H90" s="61">
        <f>ROUND(INDEX('M03-S03'!$U$18:$U$198,2*(ROWS($H$66:H90)-1)+1)*INDEX('M03-S03'!$AF$18:$AF$198,2*(ROWS($H$66:H90)-1)+1),2)</f>
        <v>0</v>
      </c>
      <c r="I90" s="61">
        <f>ROUND(INDEX('M03-S03'!$U$18:$U$198,2*(ROWS($H$66:H90)-1)+1)*INDEX('M03-S03'!$AH$18:$AH$198,2*(ROWS($H$66:H90)-1)+1),2)</f>
        <v>0</v>
      </c>
      <c r="J90" s="61" t="str">
        <f>INDEX('M03-S03'!$AU$18:$AU$198,2*(ROWS($J$66:J90)-1)+1)</f>
        <v/>
      </c>
      <c r="K90" t="s">
        <v>119</v>
      </c>
      <c r="L90" s="151">
        <f>IF(ISNUMBER(INDEX('M03-S03'!$AN$18:$AN$198,2*(ROWS($L$66:L90)-1)+1)),INDEX('M03-S03'!$U$18:$U$198,2*(ROWS($L$66:L90)-1)+1),0)</f>
        <v>0</v>
      </c>
      <c r="M90" s="151">
        <f>IF(ISNUMBER(INDEX('M03-S03'!$AN$18:$AN$198,2*(ROWS($M$66:M90)-1)+1)),INDEX('M03-S03'!$AJ$18:$AJ$198,2*(ROWS($M$66:M90)-1)+1),0)</f>
        <v>0</v>
      </c>
      <c r="N90" s="189">
        <f>IF(ISNUMBER(INDEX('M03-S03'!$AN$18:$AN$198,2*(ROWS($M$66:M90)-1)+1)),IFERROR(INDEX('M03-S03'!$AV$18:$AV$198,2*(ROWS($N$66:N90)-1)+1),0),0)</f>
        <v>0</v>
      </c>
      <c r="O90" s="61">
        <f>IF(ISNUMBER(INDEX('M03-S03'!$AN$18:$AN$198,2*(ROWS($M$66:M90)-1)+1)),IFERROR(INDEX('M03-S03'!$AN$18:$AN$198,2*(ROWS($O$66:O90)-1)+1)*INCENTCAPADJ,""),0)</f>
        <v>0</v>
      </c>
      <c r="P90" s="151" t="str">
        <f>IFERROR(IF(NOT(ISNUMBER(INDEX('M03-S03'!$AN$18:$AN$198,2*(ROWS($O$66:O90)-1)+1))),INDEX('M03-S03'!$AJ$18:$AJ$198,2*(ROWS($M$66:M90)-1)+1),0),0)</f>
        <v/>
      </c>
      <c r="Q90" s="189" t="str">
        <f>IFERROR(IF(NOT(ISNUMBER(INDEX('M03-S03'!$AN$18:$AN$198,2*(ROWS($O$66:O90)-1)+1))),INDEX('M03-S03'!$AV$18:$AV$198,2*(ROWS($N$66:N90)-1)+1),0),0)</f>
        <v/>
      </c>
      <c r="R90" t="str">
        <f>IFERROR(IF(NOT(ISNUMBER(INDEX('M03-S03'!$AN$18:$AN$198,2*(ROWS($O$66:O90)-1)+1))),"Not Eligible",""),"")</f>
        <v>Not Eligible</v>
      </c>
      <c r="S90" s="156" t="str">
        <f>INDEX('M03-S03'!$K$18:$K$198,2*(ROWS($S$66:S90)-1)+1)</f>
        <v/>
      </c>
      <c r="T90" s="156">
        <f>INDEX('M03-S03'!$W$18:$W$198,2*(ROWS($T$66:T90)-1)+1)</f>
        <v>0</v>
      </c>
      <c r="U90" s="151">
        <f>INDEX('M03-S03'!$B$18:$B$198,2*(ROWS($U$66:U90)-1)+1)</f>
        <v>25</v>
      </c>
      <c r="V90" s="58">
        <f>INDEX('M03-S03'!$C$18:$C$198,2*(ROWS($V$66:V90)-1)+1)</f>
        <v>0</v>
      </c>
      <c r="W90" s="58">
        <f>INDEX('M03-S03'!$M$18:$M$198,2*(ROWS($V$66:V90)-1)+1)</f>
        <v>0</v>
      </c>
      <c r="X90" s="135"/>
      <c r="Y90">
        <f>INDEX('M03-S03'!$Q$18:$Q$198,2*(ROWS($Y$66:Y90)-1)+1)</f>
        <v>0</v>
      </c>
      <c r="Z90" s="61">
        <f>IFERROR(INDEX('M03-S03'!$AD$18:$AD$198,2*(ROWS(Z$66:$Z90)-1)+1)/INDEX('M03-S03'!$AB$18:$AB$198,2*(ROWS(Z$66:$Z90)-1)+1),0)</f>
        <v>0</v>
      </c>
      <c r="AA90" s="135"/>
      <c r="AB90" s="135"/>
      <c r="AC90" s="135"/>
      <c r="AD90" s="135"/>
      <c r="AE90" s="151">
        <f>IFERROR(IF(NOT(ISNUMBER(INDEX('M03-S03'!$AN$18:$AN$198,2*(ROWS($AE$66:AE90)-1)+1))),INDEX('M03-S03'!$U$18:$U$198,2*(ROWS($AE$66:AE90)-1)+1),0),0)</f>
        <v>0</v>
      </c>
      <c r="AF90" s="151" t="str">
        <f>INDEX('M03-S03'!$AW$18:$AW$198,2*(ROWS($AF$66:AF90)-1)+1)</f>
        <v/>
      </c>
      <c r="AG90" s="151" t="str">
        <f>INDEX('M03-S03'!$AX$18:$AX$198,2*(ROWS($AG$66:AG90)-1)+1)</f>
        <v/>
      </c>
      <c r="AH90" s="151" t="str">
        <f t="shared" si="18"/>
        <v/>
      </c>
      <c r="AI90" s="151" t="str">
        <f t="shared" si="19"/>
        <v/>
      </c>
      <c r="AJ90" s="61" t="str">
        <f t="shared" si="20"/>
        <v/>
      </c>
      <c r="AK90" s="61" t="str">
        <f t="shared" si="21"/>
        <v/>
      </c>
      <c r="AL90" s="61" t="str">
        <f t="shared" si="22"/>
        <v/>
      </c>
      <c r="AM90" s="154"/>
      <c r="AN90" s="61" t="str">
        <f t="shared" si="23"/>
        <v/>
      </c>
      <c r="AO90" s="151">
        <f>INDEX('M03-S03'!$G$18:$G$198,2*(ROWS($AO$66:AO90)-1)+1)</f>
        <v>0</v>
      </c>
      <c r="AP90" s="151">
        <f>INDEX('M03-S03'!$AD$18:$AD$198,2*(ROWS($AP$66:AP90)-1)+1)</f>
        <v>0</v>
      </c>
      <c r="AQ90" s="61" t="str">
        <f>IF(INDEX('M03-S03'!$AJ$18:$AJ$198,2*(ROWS($AQ$66:AQ90)-1)+1)="","",IF(AND(INDEX('M03-S03'!$AJ$18:$AJ$198,2*(ROWS($AQ$66:AQ90)-1)+1)&lt;&gt;"",OR(ISNUMBER(SEARCH("AC With",M02S02F32)),M02S02F32="Heat Pump")),LIGHTHEATCOIN,1))</f>
        <v/>
      </c>
      <c r="AR90" s="414">
        <f>(IF(INDEX('M03-S03'!$AN$18:$AN$198,2*(ROWS($O$66:O90)-1)+1)=INDEX('M03-S03'!$BJ$18:$BJ$198,2*(ROWS($O$66:O90)-1)+1),0,(INDEX('M03-S03'!$BI$18:$BI$198,2*(ROWS($O$66:O90)-1)+1)-INDEX('M03-S03'!$BJ$18:$BJ$198,2*(ROWS($O$66:O90)-1)+1))))*INCENTCAPADJ</f>
        <v>0</v>
      </c>
    </row>
    <row r="91" spans="1:44" x14ac:dyDescent="0.25">
      <c r="A91" s="66">
        <f t="shared" si="16"/>
        <v>0</v>
      </c>
      <c r="B91" s="66" t="str">
        <f t="shared" si="17"/>
        <v/>
      </c>
      <c r="C91" s="66" t="str">
        <f>IFERROR(IF(J91&gt;0,INDEX('M03-S03'!$BB$18:$BB$198,2*(ROWS($C$66:C91)-1)+1),""),"")</f>
        <v/>
      </c>
      <c r="D91" t="s">
        <v>1096</v>
      </c>
      <c r="E91" t="str">
        <f>IFERROR(INDEX(PMELIGHTHID[End Use Category],MATCH(INDEX('M03-S03'!$BA$18:$BA$198,2*(ROWS($E$66:E91)-1)+1),PMELIGHTHID[Measure Validator],0)),"")</f>
        <v/>
      </c>
      <c r="F91" s="151">
        <f>INDEX('M03-S03'!$AB$18:$AB$198,2*(ROWS($F$66:F91)-1)+1)</f>
        <v>0</v>
      </c>
      <c r="G91">
        <f>INDEX('M03-S03'!$Y$18:$Y$198,2*(ROWS($G$66:G91)-1)+1)</f>
        <v>0</v>
      </c>
      <c r="H91" s="61">
        <f>ROUND(INDEX('M03-S03'!$U$18:$U$198,2*(ROWS($H$66:H91)-1)+1)*INDEX('M03-S03'!$AF$18:$AF$198,2*(ROWS($H$66:H91)-1)+1),2)</f>
        <v>0</v>
      </c>
      <c r="I91" s="61">
        <f>ROUND(INDEX('M03-S03'!$U$18:$U$198,2*(ROWS($H$66:H91)-1)+1)*INDEX('M03-S03'!$AH$18:$AH$198,2*(ROWS($H$66:H91)-1)+1),2)</f>
        <v>0</v>
      </c>
      <c r="J91" s="61" t="str">
        <f>INDEX('M03-S03'!$AU$18:$AU$198,2*(ROWS($J$66:J91)-1)+1)</f>
        <v/>
      </c>
      <c r="K91" t="s">
        <v>119</v>
      </c>
      <c r="L91" s="151">
        <f>IF(ISNUMBER(INDEX('M03-S03'!$AN$18:$AN$198,2*(ROWS($L$66:L91)-1)+1)),INDEX('M03-S03'!$U$18:$U$198,2*(ROWS($L$66:L91)-1)+1),0)</f>
        <v>0</v>
      </c>
      <c r="M91" s="151">
        <f>IF(ISNUMBER(INDEX('M03-S03'!$AN$18:$AN$198,2*(ROWS($M$66:M91)-1)+1)),INDEX('M03-S03'!$AJ$18:$AJ$198,2*(ROWS($M$66:M91)-1)+1),0)</f>
        <v>0</v>
      </c>
      <c r="N91" s="189">
        <f>IF(ISNUMBER(INDEX('M03-S03'!$AN$18:$AN$198,2*(ROWS($M$66:M91)-1)+1)),IFERROR(INDEX('M03-S03'!$AV$18:$AV$198,2*(ROWS($N$66:N91)-1)+1),0),0)</f>
        <v>0</v>
      </c>
      <c r="O91" s="61">
        <f>IF(ISNUMBER(INDEX('M03-S03'!$AN$18:$AN$198,2*(ROWS($M$66:M91)-1)+1)),IFERROR(INDEX('M03-S03'!$AN$18:$AN$198,2*(ROWS($O$66:O91)-1)+1)*INCENTCAPADJ,""),0)</f>
        <v>0</v>
      </c>
      <c r="P91" s="151" t="str">
        <f>IFERROR(IF(NOT(ISNUMBER(INDEX('M03-S03'!$AN$18:$AN$198,2*(ROWS($O$66:O91)-1)+1))),INDEX('M03-S03'!$AJ$18:$AJ$198,2*(ROWS($M$66:M91)-1)+1),0),0)</f>
        <v/>
      </c>
      <c r="Q91" s="189" t="str">
        <f>IFERROR(IF(NOT(ISNUMBER(INDEX('M03-S03'!$AN$18:$AN$198,2*(ROWS($O$66:O91)-1)+1))),INDEX('M03-S03'!$AV$18:$AV$198,2*(ROWS($N$66:N91)-1)+1),0),0)</f>
        <v/>
      </c>
      <c r="R91" t="str">
        <f>IFERROR(IF(NOT(ISNUMBER(INDEX('M03-S03'!$AN$18:$AN$198,2*(ROWS($O$66:O91)-1)+1))),"Not Eligible",""),"")</f>
        <v>Not Eligible</v>
      </c>
      <c r="S91" s="156" t="str">
        <f>INDEX('M03-S03'!$K$18:$K$198,2*(ROWS($S$66:S91)-1)+1)</f>
        <v/>
      </c>
      <c r="T91" s="156">
        <f>INDEX('M03-S03'!$W$18:$W$198,2*(ROWS($T$66:T91)-1)+1)</f>
        <v>0</v>
      </c>
      <c r="U91" s="151">
        <f>INDEX('M03-S03'!$B$18:$B$198,2*(ROWS($U$66:U91)-1)+1)</f>
        <v>26</v>
      </c>
      <c r="V91" s="58">
        <f>INDEX('M03-S03'!$C$18:$C$198,2*(ROWS($V$66:V91)-1)+1)</f>
        <v>0</v>
      </c>
      <c r="W91" s="58">
        <f>INDEX('M03-S03'!$M$18:$M$198,2*(ROWS($V$66:V91)-1)+1)</f>
        <v>0</v>
      </c>
      <c r="X91" s="135"/>
      <c r="Y91">
        <f>INDEX('M03-S03'!$Q$18:$Q$198,2*(ROWS($Y$66:Y91)-1)+1)</f>
        <v>0</v>
      </c>
      <c r="Z91" s="61">
        <f>IFERROR(INDEX('M03-S03'!$AD$18:$AD$198,2*(ROWS(Z$66:$Z91)-1)+1)/INDEX('M03-S03'!$AB$18:$AB$198,2*(ROWS(Z$66:$Z91)-1)+1),0)</f>
        <v>0</v>
      </c>
      <c r="AA91" s="135"/>
      <c r="AB91" s="135"/>
      <c r="AC91" s="135"/>
      <c r="AD91" s="135"/>
      <c r="AE91" s="151">
        <f>IFERROR(IF(NOT(ISNUMBER(INDEX('M03-S03'!$AN$18:$AN$198,2*(ROWS($AE$66:AE91)-1)+1))),INDEX('M03-S03'!$U$18:$U$198,2*(ROWS($AE$66:AE91)-1)+1),0),0)</f>
        <v>0</v>
      </c>
      <c r="AF91" s="151" t="str">
        <f>INDEX('M03-S03'!$AW$18:$AW$198,2*(ROWS($AF$66:AF91)-1)+1)</f>
        <v/>
      </c>
      <c r="AG91" s="151" t="str">
        <f>INDEX('M03-S03'!$AX$18:$AX$198,2*(ROWS($AG$66:AG91)-1)+1)</f>
        <v/>
      </c>
      <c r="AH91" s="151" t="str">
        <f t="shared" si="18"/>
        <v/>
      </c>
      <c r="AI91" s="151" t="str">
        <f t="shared" si="19"/>
        <v/>
      </c>
      <c r="AJ91" s="61" t="str">
        <f t="shared" si="20"/>
        <v/>
      </c>
      <c r="AK91" s="61" t="str">
        <f t="shared" si="21"/>
        <v/>
      </c>
      <c r="AL91" s="61" t="str">
        <f t="shared" si="22"/>
        <v/>
      </c>
      <c r="AM91" s="154"/>
      <c r="AN91" s="61" t="str">
        <f t="shared" si="23"/>
        <v/>
      </c>
      <c r="AO91" s="151">
        <f>INDEX('M03-S03'!$G$18:$G$198,2*(ROWS($AO$66:AO91)-1)+1)</f>
        <v>0</v>
      </c>
      <c r="AP91" s="151">
        <f>INDEX('M03-S03'!$AD$18:$AD$198,2*(ROWS($AP$66:AP91)-1)+1)</f>
        <v>0</v>
      </c>
      <c r="AQ91" s="61" t="str">
        <f>IF(INDEX('M03-S03'!$AJ$18:$AJ$198,2*(ROWS($AQ$66:AQ91)-1)+1)="","",IF(AND(INDEX('M03-S03'!$AJ$18:$AJ$198,2*(ROWS($AQ$66:AQ91)-1)+1)&lt;&gt;"",OR(ISNUMBER(SEARCH("AC With",M02S02F32)),M02S02F32="Heat Pump")),LIGHTHEATCOIN,1))</f>
        <v/>
      </c>
      <c r="AR91" s="414">
        <f>(IF(INDEX('M03-S03'!$AN$18:$AN$198,2*(ROWS($O$66:O91)-1)+1)=INDEX('M03-S03'!$BJ$18:$BJ$198,2*(ROWS($O$66:O91)-1)+1),0,(INDEX('M03-S03'!$BI$18:$BI$198,2*(ROWS($O$66:O91)-1)+1)-INDEX('M03-S03'!$BJ$18:$BJ$198,2*(ROWS($O$66:O91)-1)+1))))*INCENTCAPADJ</f>
        <v>0</v>
      </c>
    </row>
    <row r="92" spans="1:44" x14ac:dyDescent="0.25">
      <c r="A92" s="66">
        <f t="shared" si="16"/>
        <v>0</v>
      </c>
      <c r="B92" s="66" t="str">
        <f t="shared" si="17"/>
        <v/>
      </c>
      <c r="C92" s="66" t="str">
        <f>IFERROR(IF(J92&gt;0,INDEX('M03-S03'!$BB$18:$BB$198,2*(ROWS($C$66:C92)-1)+1),""),"")</f>
        <v/>
      </c>
      <c r="D92" t="s">
        <v>1096</v>
      </c>
      <c r="E92" t="str">
        <f>IFERROR(INDEX(PMELIGHTHID[End Use Category],MATCH(INDEX('M03-S03'!$BA$18:$BA$198,2*(ROWS($E$66:E92)-1)+1),PMELIGHTHID[Measure Validator],0)),"")</f>
        <v/>
      </c>
      <c r="F92" s="151">
        <f>INDEX('M03-S03'!$AB$18:$AB$198,2*(ROWS($F$66:F92)-1)+1)</f>
        <v>0</v>
      </c>
      <c r="G92">
        <f>INDEX('M03-S03'!$Y$18:$Y$198,2*(ROWS($G$66:G92)-1)+1)</f>
        <v>0</v>
      </c>
      <c r="H92" s="61">
        <f>ROUND(INDEX('M03-S03'!$U$18:$U$198,2*(ROWS($H$66:H92)-1)+1)*INDEX('M03-S03'!$AF$18:$AF$198,2*(ROWS($H$66:H92)-1)+1),2)</f>
        <v>0</v>
      </c>
      <c r="I92" s="61">
        <f>ROUND(INDEX('M03-S03'!$U$18:$U$198,2*(ROWS($H$66:H92)-1)+1)*INDEX('M03-S03'!$AH$18:$AH$198,2*(ROWS($H$66:H92)-1)+1),2)</f>
        <v>0</v>
      </c>
      <c r="J92" s="61" t="str">
        <f>INDEX('M03-S03'!$AU$18:$AU$198,2*(ROWS($J$66:J92)-1)+1)</f>
        <v/>
      </c>
      <c r="K92" t="s">
        <v>119</v>
      </c>
      <c r="L92" s="151">
        <f>IF(ISNUMBER(INDEX('M03-S03'!$AN$18:$AN$198,2*(ROWS($L$66:L92)-1)+1)),INDEX('M03-S03'!$U$18:$U$198,2*(ROWS($L$66:L92)-1)+1),0)</f>
        <v>0</v>
      </c>
      <c r="M92" s="151">
        <f>IF(ISNUMBER(INDEX('M03-S03'!$AN$18:$AN$198,2*(ROWS($M$66:M92)-1)+1)),INDEX('M03-S03'!$AJ$18:$AJ$198,2*(ROWS($M$66:M92)-1)+1),0)</f>
        <v>0</v>
      </c>
      <c r="N92" s="189">
        <f>IF(ISNUMBER(INDEX('M03-S03'!$AN$18:$AN$198,2*(ROWS($M$66:M92)-1)+1)),IFERROR(INDEX('M03-S03'!$AV$18:$AV$198,2*(ROWS($N$66:N92)-1)+1),0),0)</f>
        <v>0</v>
      </c>
      <c r="O92" s="61">
        <f>IF(ISNUMBER(INDEX('M03-S03'!$AN$18:$AN$198,2*(ROWS($M$66:M92)-1)+1)),IFERROR(INDEX('M03-S03'!$AN$18:$AN$198,2*(ROWS($O$66:O92)-1)+1)*INCENTCAPADJ,""),0)</f>
        <v>0</v>
      </c>
      <c r="P92" s="151" t="str">
        <f>IFERROR(IF(NOT(ISNUMBER(INDEX('M03-S03'!$AN$18:$AN$198,2*(ROWS($O$66:O92)-1)+1))),INDEX('M03-S03'!$AJ$18:$AJ$198,2*(ROWS($M$66:M92)-1)+1),0),0)</f>
        <v/>
      </c>
      <c r="Q92" s="189" t="str">
        <f>IFERROR(IF(NOT(ISNUMBER(INDEX('M03-S03'!$AN$18:$AN$198,2*(ROWS($O$66:O92)-1)+1))),INDEX('M03-S03'!$AV$18:$AV$198,2*(ROWS($N$66:N92)-1)+1),0),0)</f>
        <v/>
      </c>
      <c r="R92" t="str">
        <f>IFERROR(IF(NOT(ISNUMBER(INDEX('M03-S03'!$AN$18:$AN$198,2*(ROWS($O$66:O92)-1)+1))),"Not Eligible",""),"")</f>
        <v>Not Eligible</v>
      </c>
      <c r="S92" s="156" t="str">
        <f>INDEX('M03-S03'!$K$18:$K$198,2*(ROWS($S$66:S92)-1)+1)</f>
        <v/>
      </c>
      <c r="T92" s="156">
        <f>INDEX('M03-S03'!$W$18:$W$198,2*(ROWS($T$66:T92)-1)+1)</f>
        <v>0</v>
      </c>
      <c r="U92" s="151">
        <f>INDEX('M03-S03'!$B$18:$B$198,2*(ROWS($U$66:U92)-1)+1)</f>
        <v>27</v>
      </c>
      <c r="V92" s="58">
        <f>INDEX('M03-S03'!$C$18:$C$198,2*(ROWS($V$66:V92)-1)+1)</f>
        <v>0</v>
      </c>
      <c r="W92" s="58">
        <f>INDEX('M03-S03'!$M$18:$M$198,2*(ROWS($V$66:V92)-1)+1)</f>
        <v>0</v>
      </c>
      <c r="X92" s="135"/>
      <c r="Y92">
        <f>INDEX('M03-S03'!$Q$18:$Q$198,2*(ROWS($Y$66:Y92)-1)+1)</f>
        <v>0</v>
      </c>
      <c r="Z92" s="61">
        <f>IFERROR(INDEX('M03-S03'!$AD$18:$AD$198,2*(ROWS(Z$66:$Z92)-1)+1)/INDEX('M03-S03'!$AB$18:$AB$198,2*(ROWS(Z$66:$Z92)-1)+1),0)</f>
        <v>0</v>
      </c>
      <c r="AA92" s="135"/>
      <c r="AB92" s="135"/>
      <c r="AC92" s="135"/>
      <c r="AD92" s="135"/>
      <c r="AE92" s="151">
        <f>IFERROR(IF(NOT(ISNUMBER(INDEX('M03-S03'!$AN$18:$AN$198,2*(ROWS($AE$66:AE92)-1)+1))),INDEX('M03-S03'!$U$18:$U$198,2*(ROWS($AE$66:AE92)-1)+1),0),0)</f>
        <v>0</v>
      </c>
      <c r="AF92" s="151" t="str">
        <f>INDEX('M03-S03'!$AW$18:$AW$198,2*(ROWS($AF$66:AF92)-1)+1)</f>
        <v/>
      </c>
      <c r="AG92" s="151" t="str">
        <f>INDEX('M03-S03'!$AX$18:$AX$198,2*(ROWS($AG$66:AG92)-1)+1)</f>
        <v/>
      </c>
      <c r="AH92" s="151" t="str">
        <f t="shared" si="18"/>
        <v/>
      </c>
      <c r="AI92" s="151" t="str">
        <f t="shared" si="19"/>
        <v/>
      </c>
      <c r="AJ92" s="61" t="str">
        <f t="shared" si="20"/>
        <v/>
      </c>
      <c r="AK92" s="61" t="str">
        <f t="shared" si="21"/>
        <v/>
      </c>
      <c r="AL92" s="61" t="str">
        <f t="shared" si="22"/>
        <v/>
      </c>
      <c r="AM92" s="154"/>
      <c r="AN92" s="61" t="str">
        <f t="shared" si="23"/>
        <v/>
      </c>
      <c r="AO92" s="151">
        <f>INDEX('M03-S03'!$G$18:$G$198,2*(ROWS($AO$66:AO92)-1)+1)</f>
        <v>0</v>
      </c>
      <c r="AP92" s="151">
        <f>INDEX('M03-S03'!$AD$18:$AD$198,2*(ROWS($AP$66:AP92)-1)+1)</f>
        <v>0</v>
      </c>
      <c r="AQ92" s="61" t="str">
        <f>IF(INDEX('M03-S03'!$AJ$18:$AJ$198,2*(ROWS($AQ$66:AQ92)-1)+1)="","",IF(AND(INDEX('M03-S03'!$AJ$18:$AJ$198,2*(ROWS($AQ$66:AQ92)-1)+1)&lt;&gt;"",OR(ISNUMBER(SEARCH("AC With",M02S02F32)),M02S02F32="Heat Pump")),LIGHTHEATCOIN,1))</f>
        <v/>
      </c>
      <c r="AR92" s="414">
        <f>(IF(INDEX('M03-S03'!$AN$18:$AN$198,2*(ROWS($O$66:O92)-1)+1)=INDEX('M03-S03'!$BJ$18:$BJ$198,2*(ROWS($O$66:O92)-1)+1),0,(INDEX('M03-S03'!$BI$18:$BI$198,2*(ROWS($O$66:O92)-1)+1)-INDEX('M03-S03'!$BJ$18:$BJ$198,2*(ROWS($O$66:O92)-1)+1))))*INCENTCAPADJ</f>
        <v>0</v>
      </c>
    </row>
    <row r="93" spans="1:44" x14ac:dyDescent="0.25">
      <c r="A93" s="66">
        <f t="shared" si="16"/>
        <v>0</v>
      </c>
      <c r="B93" s="66" t="str">
        <f t="shared" si="17"/>
        <v/>
      </c>
      <c r="C93" s="66" t="str">
        <f>IFERROR(IF(J93&gt;0,INDEX('M03-S03'!$BB$18:$BB$198,2*(ROWS($C$66:C93)-1)+1),""),"")</f>
        <v/>
      </c>
      <c r="D93" t="s">
        <v>1096</v>
      </c>
      <c r="E93" t="str">
        <f>IFERROR(INDEX(PMELIGHTHID[End Use Category],MATCH(INDEX('M03-S03'!$BA$18:$BA$198,2*(ROWS($E$66:E93)-1)+1),PMELIGHTHID[Measure Validator],0)),"")</f>
        <v/>
      </c>
      <c r="F93" s="151">
        <f>INDEX('M03-S03'!$AB$18:$AB$198,2*(ROWS($F$66:F93)-1)+1)</f>
        <v>0</v>
      </c>
      <c r="G93">
        <f>INDEX('M03-S03'!$Y$18:$Y$198,2*(ROWS($G$66:G93)-1)+1)</f>
        <v>0</v>
      </c>
      <c r="H93" s="61">
        <f>ROUND(INDEX('M03-S03'!$U$18:$U$198,2*(ROWS($H$66:H93)-1)+1)*INDEX('M03-S03'!$AF$18:$AF$198,2*(ROWS($H$66:H93)-1)+1),2)</f>
        <v>0</v>
      </c>
      <c r="I93" s="61">
        <f>ROUND(INDEX('M03-S03'!$U$18:$U$198,2*(ROWS($H$66:H93)-1)+1)*INDEX('M03-S03'!$AH$18:$AH$198,2*(ROWS($H$66:H93)-1)+1),2)</f>
        <v>0</v>
      </c>
      <c r="J93" s="61" t="str">
        <f>INDEX('M03-S03'!$AU$18:$AU$198,2*(ROWS($J$66:J93)-1)+1)</f>
        <v/>
      </c>
      <c r="K93" t="s">
        <v>119</v>
      </c>
      <c r="L93" s="151">
        <f>IF(ISNUMBER(INDEX('M03-S03'!$AN$18:$AN$198,2*(ROWS($L$66:L93)-1)+1)),INDEX('M03-S03'!$U$18:$U$198,2*(ROWS($L$66:L93)-1)+1),0)</f>
        <v>0</v>
      </c>
      <c r="M93" s="151">
        <f>IF(ISNUMBER(INDEX('M03-S03'!$AN$18:$AN$198,2*(ROWS($M$66:M93)-1)+1)),INDEX('M03-S03'!$AJ$18:$AJ$198,2*(ROWS($M$66:M93)-1)+1),0)</f>
        <v>0</v>
      </c>
      <c r="N93" s="189">
        <f>IF(ISNUMBER(INDEX('M03-S03'!$AN$18:$AN$198,2*(ROWS($M$66:M93)-1)+1)),IFERROR(INDEX('M03-S03'!$AV$18:$AV$198,2*(ROWS($N$66:N93)-1)+1),0),0)</f>
        <v>0</v>
      </c>
      <c r="O93" s="61">
        <f>IF(ISNUMBER(INDEX('M03-S03'!$AN$18:$AN$198,2*(ROWS($M$66:M93)-1)+1)),IFERROR(INDEX('M03-S03'!$AN$18:$AN$198,2*(ROWS($O$66:O93)-1)+1)*INCENTCAPADJ,""),0)</f>
        <v>0</v>
      </c>
      <c r="P93" s="151" t="str">
        <f>IFERROR(IF(NOT(ISNUMBER(INDEX('M03-S03'!$AN$18:$AN$198,2*(ROWS($O$66:O93)-1)+1))),INDEX('M03-S03'!$AJ$18:$AJ$198,2*(ROWS($M$66:M93)-1)+1),0),0)</f>
        <v/>
      </c>
      <c r="Q93" s="189" t="str">
        <f>IFERROR(IF(NOT(ISNUMBER(INDEX('M03-S03'!$AN$18:$AN$198,2*(ROWS($O$66:O93)-1)+1))),INDEX('M03-S03'!$AV$18:$AV$198,2*(ROWS($N$66:N93)-1)+1),0),0)</f>
        <v/>
      </c>
      <c r="R93" t="str">
        <f>IFERROR(IF(NOT(ISNUMBER(INDEX('M03-S03'!$AN$18:$AN$198,2*(ROWS($O$66:O93)-1)+1))),"Not Eligible",""),"")</f>
        <v>Not Eligible</v>
      </c>
      <c r="S93" s="156" t="str">
        <f>INDEX('M03-S03'!$K$18:$K$198,2*(ROWS($S$66:S93)-1)+1)</f>
        <v/>
      </c>
      <c r="T93" s="156">
        <f>INDEX('M03-S03'!$W$18:$W$198,2*(ROWS($T$66:T93)-1)+1)</f>
        <v>0</v>
      </c>
      <c r="U93" s="151">
        <f>INDEX('M03-S03'!$B$18:$B$198,2*(ROWS($U$66:U93)-1)+1)</f>
        <v>28</v>
      </c>
      <c r="V93" s="58">
        <f>INDEX('M03-S03'!$C$18:$C$198,2*(ROWS($V$66:V93)-1)+1)</f>
        <v>0</v>
      </c>
      <c r="W93" s="58">
        <f>INDEX('M03-S03'!$M$18:$M$198,2*(ROWS($V$66:V93)-1)+1)</f>
        <v>0</v>
      </c>
      <c r="X93" s="135"/>
      <c r="Y93">
        <f>INDEX('M03-S03'!$Q$18:$Q$198,2*(ROWS($Y$66:Y93)-1)+1)</f>
        <v>0</v>
      </c>
      <c r="Z93" s="61">
        <f>IFERROR(INDEX('M03-S03'!$AD$18:$AD$198,2*(ROWS(Z$66:$Z93)-1)+1)/INDEX('M03-S03'!$AB$18:$AB$198,2*(ROWS(Z$66:$Z93)-1)+1),0)</f>
        <v>0</v>
      </c>
      <c r="AA93" s="135"/>
      <c r="AB93" s="135"/>
      <c r="AC93" s="135"/>
      <c r="AD93" s="135"/>
      <c r="AE93" s="151">
        <f>IFERROR(IF(NOT(ISNUMBER(INDEX('M03-S03'!$AN$18:$AN$198,2*(ROWS($AE$66:AE93)-1)+1))),INDEX('M03-S03'!$U$18:$U$198,2*(ROWS($AE$66:AE93)-1)+1),0),0)</f>
        <v>0</v>
      </c>
      <c r="AF93" s="151" t="str">
        <f>INDEX('M03-S03'!$AW$18:$AW$198,2*(ROWS($AF$66:AF93)-1)+1)</f>
        <v/>
      </c>
      <c r="AG93" s="151" t="str">
        <f>INDEX('M03-S03'!$AX$18:$AX$198,2*(ROWS($AG$66:AG93)-1)+1)</f>
        <v/>
      </c>
      <c r="AH93" s="151" t="str">
        <f t="shared" si="18"/>
        <v/>
      </c>
      <c r="AI93" s="151" t="str">
        <f t="shared" si="19"/>
        <v/>
      </c>
      <c r="AJ93" s="61" t="str">
        <f t="shared" si="20"/>
        <v/>
      </c>
      <c r="AK93" s="61" t="str">
        <f t="shared" si="21"/>
        <v/>
      </c>
      <c r="AL93" s="61" t="str">
        <f t="shared" si="22"/>
        <v/>
      </c>
      <c r="AM93" s="154"/>
      <c r="AN93" s="61" t="str">
        <f t="shared" si="23"/>
        <v/>
      </c>
      <c r="AO93" s="151">
        <f>INDEX('M03-S03'!$G$18:$G$198,2*(ROWS($AO$66:AO93)-1)+1)</f>
        <v>0</v>
      </c>
      <c r="AP93" s="151">
        <f>INDEX('M03-S03'!$AD$18:$AD$198,2*(ROWS($AP$66:AP93)-1)+1)</f>
        <v>0</v>
      </c>
      <c r="AQ93" s="61" t="str">
        <f>IF(INDEX('M03-S03'!$AJ$18:$AJ$198,2*(ROWS($AQ$66:AQ93)-1)+1)="","",IF(AND(INDEX('M03-S03'!$AJ$18:$AJ$198,2*(ROWS($AQ$66:AQ93)-1)+1)&lt;&gt;"",OR(ISNUMBER(SEARCH("AC With",M02S02F32)),M02S02F32="Heat Pump")),LIGHTHEATCOIN,1))</f>
        <v/>
      </c>
      <c r="AR93" s="414">
        <f>(IF(INDEX('M03-S03'!$AN$18:$AN$198,2*(ROWS($O$66:O93)-1)+1)=INDEX('M03-S03'!$BJ$18:$BJ$198,2*(ROWS($O$66:O93)-1)+1),0,(INDEX('M03-S03'!$BI$18:$BI$198,2*(ROWS($O$66:O93)-1)+1)-INDEX('M03-S03'!$BJ$18:$BJ$198,2*(ROWS($O$66:O93)-1)+1))))*INCENTCAPADJ</f>
        <v>0</v>
      </c>
    </row>
    <row r="94" spans="1:44" x14ac:dyDescent="0.25">
      <c r="A94" s="66">
        <f t="shared" si="16"/>
        <v>0</v>
      </c>
      <c r="B94" s="66" t="str">
        <f t="shared" si="17"/>
        <v/>
      </c>
      <c r="C94" s="66" t="str">
        <f>IFERROR(IF(J94&gt;0,INDEX('M03-S03'!$BB$18:$BB$198,2*(ROWS($C$66:C94)-1)+1),""),"")</f>
        <v/>
      </c>
      <c r="D94" t="s">
        <v>1096</v>
      </c>
      <c r="E94" t="str">
        <f>IFERROR(INDEX(PMELIGHTHID[End Use Category],MATCH(INDEX('M03-S03'!$BA$18:$BA$198,2*(ROWS($E$66:E94)-1)+1),PMELIGHTHID[Measure Validator],0)),"")</f>
        <v/>
      </c>
      <c r="F94" s="151">
        <f>INDEX('M03-S03'!$AB$18:$AB$198,2*(ROWS($F$66:F94)-1)+1)</f>
        <v>0</v>
      </c>
      <c r="G94">
        <f>INDEX('M03-S03'!$Y$18:$Y$198,2*(ROWS($G$66:G94)-1)+1)</f>
        <v>0</v>
      </c>
      <c r="H94" s="61">
        <f>ROUND(INDEX('M03-S03'!$U$18:$U$198,2*(ROWS($H$66:H94)-1)+1)*INDEX('M03-S03'!$AF$18:$AF$198,2*(ROWS($H$66:H94)-1)+1),2)</f>
        <v>0</v>
      </c>
      <c r="I94" s="61">
        <f>ROUND(INDEX('M03-S03'!$U$18:$U$198,2*(ROWS($H$66:H94)-1)+1)*INDEX('M03-S03'!$AH$18:$AH$198,2*(ROWS($H$66:H94)-1)+1),2)</f>
        <v>0</v>
      </c>
      <c r="J94" s="61" t="str">
        <f>INDEX('M03-S03'!$AU$18:$AU$198,2*(ROWS($J$66:J94)-1)+1)</f>
        <v/>
      </c>
      <c r="K94" t="s">
        <v>119</v>
      </c>
      <c r="L94" s="151">
        <f>IF(ISNUMBER(INDEX('M03-S03'!$AN$18:$AN$198,2*(ROWS($L$66:L94)-1)+1)),INDEX('M03-S03'!$U$18:$U$198,2*(ROWS($L$66:L94)-1)+1),0)</f>
        <v>0</v>
      </c>
      <c r="M94" s="151">
        <f>IF(ISNUMBER(INDEX('M03-S03'!$AN$18:$AN$198,2*(ROWS($M$66:M94)-1)+1)),INDEX('M03-S03'!$AJ$18:$AJ$198,2*(ROWS($M$66:M94)-1)+1),0)</f>
        <v>0</v>
      </c>
      <c r="N94" s="189">
        <f>IF(ISNUMBER(INDEX('M03-S03'!$AN$18:$AN$198,2*(ROWS($M$66:M94)-1)+1)),IFERROR(INDEX('M03-S03'!$AV$18:$AV$198,2*(ROWS($N$66:N94)-1)+1),0),0)</f>
        <v>0</v>
      </c>
      <c r="O94" s="61">
        <f>IF(ISNUMBER(INDEX('M03-S03'!$AN$18:$AN$198,2*(ROWS($M$66:M94)-1)+1)),IFERROR(INDEX('M03-S03'!$AN$18:$AN$198,2*(ROWS($O$66:O94)-1)+1)*INCENTCAPADJ,""),0)</f>
        <v>0</v>
      </c>
      <c r="P94" s="151" t="str">
        <f>IFERROR(IF(NOT(ISNUMBER(INDEX('M03-S03'!$AN$18:$AN$198,2*(ROWS($O$66:O94)-1)+1))),INDEX('M03-S03'!$AJ$18:$AJ$198,2*(ROWS($M$66:M94)-1)+1),0),0)</f>
        <v/>
      </c>
      <c r="Q94" s="189" t="str">
        <f>IFERROR(IF(NOT(ISNUMBER(INDEX('M03-S03'!$AN$18:$AN$198,2*(ROWS($O$66:O94)-1)+1))),INDEX('M03-S03'!$AV$18:$AV$198,2*(ROWS($N$66:N94)-1)+1),0),0)</f>
        <v/>
      </c>
      <c r="R94" t="str">
        <f>IFERROR(IF(NOT(ISNUMBER(INDEX('M03-S03'!$AN$18:$AN$198,2*(ROWS($O$66:O94)-1)+1))),"Not Eligible",""),"")</f>
        <v>Not Eligible</v>
      </c>
      <c r="S94" s="156" t="str">
        <f>INDEX('M03-S03'!$K$18:$K$198,2*(ROWS($S$66:S94)-1)+1)</f>
        <v/>
      </c>
      <c r="T94" s="156">
        <f>INDEX('M03-S03'!$W$18:$W$198,2*(ROWS($T$66:T94)-1)+1)</f>
        <v>0</v>
      </c>
      <c r="U94" s="151">
        <f>INDEX('M03-S03'!$B$18:$B$198,2*(ROWS($U$66:U94)-1)+1)</f>
        <v>29</v>
      </c>
      <c r="V94" s="58">
        <f>INDEX('M03-S03'!$C$18:$C$198,2*(ROWS($V$66:V94)-1)+1)</f>
        <v>0</v>
      </c>
      <c r="W94" s="58">
        <f>INDEX('M03-S03'!$M$18:$M$198,2*(ROWS($V$66:V94)-1)+1)</f>
        <v>0</v>
      </c>
      <c r="X94" s="135"/>
      <c r="Y94">
        <f>INDEX('M03-S03'!$Q$18:$Q$198,2*(ROWS($Y$66:Y94)-1)+1)</f>
        <v>0</v>
      </c>
      <c r="Z94" s="61">
        <f>IFERROR(INDEX('M03-S03'!$AD$18:$AD$198,2*(ROWS(Z$66:$Z94)-1)+1)/INDEX('M03-S03'!$AB$18:$AB$198,2*(ROWS(Z$66:$Z94)-1)+1),0)</f>
        <v>0</v>
      </c>
      <c r="AA94" s="135"/>
      <c r="AB94" s="135"/>
      <c r="AC94" s="135"/>
      <c r="AD94" s="135"/>
      <c r="AE94" s="151">
        <f>IFERROR(IF(NOT(ISNUMBER(INDEX('M03-S03'!$AN$18:$AN$198,2*(ROWS($AE$66:AE94)-1)+1))),INDEX('M03-S03'!$U$18:$U$198,2*(ROWS($AE$66:AE94)-1)+1),0),0)</f>
        <v>0</v>
      </c>
      <c r="AF94" s="151" t="str">
        <f>INDEX('M03-S03'!$AW$18:$AW$198,2*(ROWS($AF$66:AF94)-1)+1)</f>
        <v/>
      </c>
      <c r="AG94" s="151" t="str">
        <f>INDEX('M03-S03'!$AX$18:$AX$198,2*(ROWS($AG$66:AG94)-1)+1)</f>
        <v/>
      </c>
      <c r="AH94" s="151" t="str">
        <f t="shared" si="18"/>
        <v/>
      </c>
      <c r="AI94" s="151" t="str">
        <f t="shared" si="19"/>
        <v/>
      </c>
      <c r="AJ94" s="61" t="str">
        <f t="shared" si="20"/>
        <v/>
      </c>
      <c r="AK94" s="61" t="str">
        <f t="shared" si="21"/>
        <v/>
      </c>
      <c r="AL94" s="61" t="str">
        <f t="shared" si="22"/>
        <v/>
      </c>
      <c r="AM94" s="154"/>
      <c r="AN94" s="61" t="str">
        <f t="shared" si="23"/>
        <v/>
      </c>
      <c r="AO94" s="151">
        <f>INDEX('M03-S03'!$G$18:$G$198,2*(ROWS($AO$66:AO94)-1)+1)</f>
        <v>0</v>
      </c>
      <c r="AP94" s="151">
        <f>INDEX('M03-S03'!$AD$18:$AD$198,2*(ROWS($AP$66:AP94)-1)+1)</f>
        <v>0</v>
      </c>
      <c r="AQ94" s="61" t="str">
        <f>IF(INDEX('M03-S03'!$AJ$18:$AJ$198,2*(ROWS($AQ$66:AQ94)-1)+1)="","",IF(AND(INDEX('M03-S03'!$AJ$18:$AJ$198,2*(ROWS($AQ$66:AQ94)-1)+1)&lt;&gt;"",OR(ISNUMBER(SEARCH("AC With",M02S02F32)),M02S02F32="Heat Pump")),LIGHTHEATCOIN,1))</f>
        <v/>
      </c>
      <c r="AR94" s="414">
        <f>(IF(INDEX('M03-S03'!$AN$18:$AN$198,2*(ROWS($O$66:O94)-1)+1)=INDEX('M03-S03'!$BJ$18:$BJ$198,2*(ROWS($O$66:O94)-1)+1),0,(INDEX('M03-S03'!$BI$18:$BI$198,2*(ROWS($O$66:O94)-1)+1)-INDEX('M03-S03'!$BJ$18:$BJ$198,2*(ROWS($O$66:O94)-1)+1))))*INCENTCAPADJ</f>
        <v>0</v>
      </c>
    </row>
    <row r="95" spans="1:44" x14ac:dyDescent="0.25">
      <c r="A95" s="66">
        <f t="shared" si="16"/>
        <v>0</v>
      </c>
      <c r="B95" s="66" t="str">
        <f t="shared" si="17"/>
        <v/>
      </c>
      <c r="C95" s="66" t="str">
        <f>IFERROR(IF(J95&gt;0,INDEX('M03-S03'!$BB$18:$BB$198,2*(ROWS($C$66:C95)-1)+1),""),"")</f>
        <v/>
      </c>
      <c r="D95" t="s">
        <v>1096</v>
      </c>
      <c r="E95" t="str">
        <f>IFERROR(INDEX(PMELIGHTHID[End Use Category],MATCH(INDEX('M03-S03'!$BA$18:$BA$198,2*(ROWS($E$66:E95)-1)+1),PMELIGHTHID[Measure Validator],0)),"")</f>
        <v/>
      </c>
      <c r="F95" s="151">
        <f>INDEX('M03-S03'!$AB$18:$AB$198,2*(ROWS($F$66:F95)-1)+1)</f>
        <v>0</v>
      </c>
      <c r="G95">
        <f>INDEX('M03-S03'!$Y$18:$Y$198,2*(ROWS($G$66:G95)-1)+1)</f>
        <v>0</v>
      </c>
      <c r="H95" s="61">
        <f>ROUND(INDEX('M03-S03'!$U$18:$U$198,2*(ROWS($H$66:H95)-1)+1)*INDEX('M03-S03'!$AF$18:$AF$198,2*(ROWS($H$66:H95)-1)+1),2)</f>
        <v>0</v>
      </c>
      <c r="I95" s="61">
        <f>ROUND(INDEX('M03-S03'!$U$18:$U$198,2*(ROWS($H$66:H95)-1)+1)*INDEX('M03-S03'!$AH$18:$AH$198,2*(ROWS($H$66:H95)-1)+1),2)</f>
        <v>0</v>
      </c>
      <c r="J95" s="61" t="str">
        <f>INDEX('M03-S03'!$AU$18:$AU$198,2*(ROWS($J$66:J95)-1)+1)</f>
        <v/>
      </c>
      <c r="K95" t="s">
        <v>119</v>
      </c>
      <c r="L95" s="151">
        <f>IF(ISNUMBER(INDEX('M03-S03'!$AN$18:$AN$198,2*(ROWS($L$66:L95)-1)+1)),INDEX('M03-S03'!$U$18:$U$198,2*(ROWS($L$66:L95)-1)+1),0)</f>
        <v>0</v>
      </c>
      <c r="M95" s="151">
        <f>IF(ISNUMBER(INDEX('M03-S03'!$AN$18:$AN$198,2*(ROWS($M$66:M95)-1)+1)),INDEX('M03-S03'!$AJ$18:$AJ$198,2*(ROWS($M$66:M95)-1)+1),0)</f>
        <v>0</v>
      </c>
      <c r="N95" s="189">
        <f>IF(ISNUMBER(INDEX('M03-S03'!$AN$18:$AN$198,2*(ROWS($M$66:M95)-1)+1)),IFERROR(INDEX('M03-S03'!$AV$18:$AV$198,2*(ROWS($N$66:N95)-1)+1),0),0)</f>
        <v>0</v>
      </c>
      <c r="O95" s="61">
        <f>IF(ISNUMBER(INDEX('M03-S03'!$AN$18:$AN$198,2*(ROWS($M$66:M95)-1)+1)),IFERROR(INDEX('M03-S03'!$AN$18:$AN$198,2*(ROWS($O$66:O95)-1)+1)*INCENTCAPADJ,""),0)</f>
        <v>0</v>
      </c>
      <c r="P95" s="151" t="str">
        <f>IFERROR(IF(NOT(ISNUMBER(INDEX('M03-S03'!$AN$18:$AN$198,2*(ROWS($O$66:O95)-1)+1))),INDEX('M03-S03'!$AJ$18:$AJ$198,2*(ROWS($M$66:M95)-1)+1),0),0)</f>
        <v/>
      </c>
      <c r="Q95" s="189" t="str">
        <f>IFERROR(IF(NOT(ISNUMBER(INDEX('M03-S03'!$AN$18:$AN$198,2*(ROWS($O$66:O95)-1)+1))),INDEX('M03-S03'!$AV$18:$AV$198,2*(ROWS($N$66:N95)-1)+1),0),0)</f>
        <v/>
      </c>
      <c r="R95" t="str">
        <f>IFERROR(IF(NOT(ISNUMBER(INDEX('M03-S03'!$AN$18:$AN$198,2*(ROWS($O$66:O95)-1)+1))),"Not Eligible",""),"")</f>
        <v>Not Eligible</v>
      </c>
      <c r="S95" s="156" t="str">
        <f>INDEX('M03-S03'!$K$18:$K$198,2*(ROWS($S$66:S95)-1)+1)</f>
        <v/>
      </c>
      <c r="T95" s="156">
        <f>INDEX('M03-S03'!$W$18:$W$198,2*(ROWS($T$66:T95)-1)+1)</f>
        <v>0</v>
      </c>
      <c r="U95" s="151">
        <f>INDEX('M03-S03'!$B$18:$B$198,2*(ROWS($U$66:U95)-1)+1)</f>
        <v>30</v>
      </c>
      <c r="V95" s="58">
        <f>INDEX('M03-S03'!$C$18:$C$198,2*(ROWS($V$66:V95)-1)+1)</f>
        <v>0</v>
      </c>
      <c r="W95" s="58">
        <f>INDEX('M03-S03'!$M$18:$M$198,2*(ROWS($V$66:V95)-1)+1)</f>
        <v>0</v>
      </c>
      <c r="X95" s="135"/>
      <c r="Y95">
        <f>INDEX('M03-S03'!$Q$18:$Q$198,2*(ROWS($Y$66:Y95)-1)+1)</f>
        <v>0</v>
      </c>
      <c r="Z95" s="61">
        <f>IFERROR(INDEX('M03-S03'!$AD$18:$AD$198,2*(ROWS(Z$66:$Z95)-1)+1)/INDEX('M03-S03'!$AB$18:$AB$198,2*(ROWS(Z$66:$Z95)-1)+1),0)</f>
        <v>0</v>
      </c>
      <c r="AA95" s="135"/>
      <c r="AB95" s="135"/>
      <c r="AC95" s="135"/>
      <c r="AD95" s="135"/>
      <c r="AE95" s="151">
        <f>IFERROR(IF(NOT(ISNUMBER(INDEX('M03-S03'!$AN$18:$AN$198,2*(ROWS($AE$66:AE95)-1)+1))),INDEX('M03-S03'!$U$18:$U$198,2*(ROWS($AE$66:AE95)-1)+1),0),0)</f>
        <v>0</v>
      </c>
      <c r="AF95" s="151" t="str">
        <f>INDEX('M03-S03'!$AW$18:$AW$198,2*(ROWS($AF$66:AF95)-1)+1)</f>
        <v/>
      </c>
      <c r="AG95" s="151" t="str">
        <f>INDEX('M03-S03'!$AX$18:$AX$198,2*(ROWS($AG$66:AG95)-1)+1)</f>
        <v/>
      </c>
      <c r="AH95" s="151" t="str">
        <f t="shared" si="18"/>
        <v/>
      </c>
      <c r="AI95" s="151" t="str">
        <f t="shared" si="19"/>
        <v/>
      </c>
      <c r="AJ95" s="61" t="str">
        <f t="shared" si="20"/>
        <v/>
      </c>
      <c r="AK95" s="61" t="str">
        <f t="shared" si="21"/>
        <v/>
      </c>
      <c r="AL95" s="61" t="str">
        <f t="shared" si="22"/>
        <v/>
      </c>
      <c r="AM95" s="154"/>
      <c r="AN95" s="61" t="str">
        <f t="shared" si="23"/>
        <v/>
      </c>
      <c r="AO95" s="151">
        <f>INDEX('M03-S03'!$G$18:$G$198,2*(ROWS($AO$66:AO95)-1)+1)</f>
        <v>0</v>
      </c>
      <c r="AP95" s="151">
        <f>INDEX('M03-S03'!$AD$18:$AD$198,2*(ROWS($AP$66:AP95)-1)+1)</f>
        <v>0</v>
      </c>
      <c r="AQ95" s="61" t="str">
        <f>IF(INDEX('M03-S03'!$AJ$18:$AJ$198,2*(ROWS($AQ$66:AQ95)-1)+1)="","",IF(AND(INDEX('M03-S03'!$AJ$18:$AJ$198,2*(ROWS($AQ$66:AQ95)-1)+1)&lt;&gt;"",OR(ISNUMBER(SEARCH("AC With",M02S02F32)),M02S02F32="Heat Pump")),LIGHTHEATCOIN,1))</f>
        <v/>
      </c>
      <c r="AR95" s="414">
        <f>(IF(INDEX('M03-S03'!$AN$18:$AN$198,2*(ROWS($O$66:O95)-1)+1)=INDEX('M03-S03'!$BJ$18:$BJ$198,2*(ROWS($O$66:O95)-1)+1),0,(INDEX('M03-S03'!$BI$18:$BI$198,2*(ROWS($O$66:O95)-1)+1)-INDEX('M03-S03'!$BJ$18:$BJ$198,2*(ROWS($O$66:O95)-1)+1))))*INCENTCAPADJ</f>
        <v>0</v>
      </c>
    </row>
    <row r="96" spans="1:44" x14ac:dyDescent="0.25">
      <c r="A96" s="207" t="str">
        <f>CONCATENATE(MAIN3," ",M3S4)</f>
        <v>LIGHTING MEASURES Exit Signs</v>
      </c>
      <c r="B96" s="209"/>
      <c r="C96" s="209"/>
      <c r="D96" s="164"/>
      <c r="E96" s="164"/>
      <c r="F96" s="170"/>
      <c r="G96" s="164"/>
      <c r="H96" s="171"/>
      <c r="I96" s="171"/>
      <c r="J96" s="171"/>
      <c r="K96" s="164"/>
      <c r="L96" s="170"/>
      <c r="M96" s="170"/>
      <c r="N96" s="191"/>
      <c r="O96" s="171"/>
      <c r="P96" s="170"/>
      <c r="Q96" s="191"/>
      <c r="R96" s="164"/>
      <c r="S96" s="172"/>
      <c r="T96" s="172"/>
      <c r="U96" s="170"/>
      <c r="V96" s="174"/>
      <c r="W96" s="173"/>
      <c r="X96" s="174"/>
      <c r="Y96" s="164"/>
      <c r="Z96" s="164"/>
      <c r="AA96" s="164"/>
      <c r="AB96" s="164"/>
      <c r="AC96" s="164"/>
      <c r="AD96" s="164"/>
      <c r="AE96" s="170"/>
      <c r="AF96" s="170"/>
      <c r="AG96" s="170"/>
      <c r="AH96" s="170"/>
      <c r="AI96" s="170"/>
      <c r="AJ96" s="171" t="str">
        <f>IFERROR(O96/M96,"")</f>
        <v/>
      </c>
      <c r="AK96" s="171" t="str">
        <f>IFERROR(O96/N96,"")</f>
        <v/>
      </c>
      <c r="AL96" s="171" t="str">
        <f>IFERROR(O96/L96,"")</f>
        <v/>
      </c>
      <c r="AM96" s="175"/>
      <c r="AN96" s="171" t="str">
        <f>IFERROR(J96/M96/M02S02F35,"")</f>
        <v/>
      </c>
      <c r="AO96" s="170"/>
      <c r="AP96" s="170"/>
      <c r="AQ96" s="170"/>
      <c r="AR96" s="412"/>
    </row>
    <row r="97" spans="1:44" x14ac:dyDescent="0.25">
      <c r="A97" s="66">
        <f t="shared" ref="A97:A126" si="24">PROJID</f>
        <v>0</v>
      </c>
      <c r="B97" s="66" t="str">
        <f>IF(C97="","",CONCATENATE(ROW(),"-",C97))</f>
        <v/>
      </c>
      <c r="C97" s="66" t="str">
        <f>IFERROR(IF(J97&gt;0,INDEX('M03-S04'!$BB$18:$BB$198,2*(ROWS($C$97:C97)-1)+1),""),"")</f>
        <v/>
      </c>
      <c r="D97" t="s">
        <v>1096</v>
      </c>
      <c r="E97" t="str">
        <f>IFERROR(INDEX(PMELIGHTINCAN[End Use Category],MATCH(INDEX('M03-S04'!$BA$18:$BA$198,2*(ROWS($E$97:E97)-1)+1),PMELIGHTINCAN[Measure Validator],0)),"")</f>
        <v/>
      </c>
      <c r="F97" s="151" t="str">
        <f>INDEX('M03-S04'!$AB$18:$AB$198,2*(ROWS($F$97:F97)-1)+1)</f>
        <v/>
      </c>
      <c r="G97">
        <f>INDEX('M03-S04'!$X$18:$X$198,2*(ROWS($G$97:G97)-1)+1)</f>
        <v>0</v>
      </c>
      <c r="H97" s="61">
        <f>ROUND(INDEX('M03-S04'!$T$18:$T$198,2*(ROWS($H$97:H97)-1)+1)*INDEX('M03-S04'!$AF$18:$AF$198,2*(ROWS($H$97:H97)-1)+1),2)</f>
        <v>0</v>
      </c>
      <c r="I97" s="61">
        <f>ROUND(INDEX('M03-S04'!$T$18:$T$198,2*(ROWS($I$97:I97)-1)+1)*INDEX('M03-S04'!$AH$18:$AH$198,2*(ROWS($H$97:H97)-1)+1),2)</f>
        <v>0</v>
      </c>
      <c r="J97" s="61" t="str">
        <f>INDEX('M03-S04'!$AU$18:$AU$198,2*(ROWS($J$97:J97)-1)+1)</f>
        <v/>
      </c>
      <c r="K97" t="s">
        <v>119</v>
      </c>
      <c r="L97" s="151">
        <f>IF(ISNUMBER(INDEX('M03-S04'!$AN$18:$AN$198,2*(ROWS($L$97:L97)-1)+1)),INDEX('M03-S04'!$T$18:$T$198,2*(ROWS($L$97:L97)-1)+1),0)</f>
        <v>0</v>
      </c>
      <c r="M97" s="151">
        <f>IF(ISNUMBER(INDEX('M03-S04'!$AN$18:$AN$198,2*(ROWS($M$97:M97)-1)+1)),INDEX('M03-S04'!$AJ$18:$AJ$198,2*(ROWS($M$97:M97)-1)+1),0)</f>
        <v>0</v>
      </c>
      <c r="N97" s="189">
        <f>IF(ISNUMBER(INDEX('M03-S04'!$AN$18:$AN$198,2*(ROWS($M$97:M97)-1)+1)),IFERROR(INDEX('M03-S04'!$AV$18:$AV$198,2*(ROWS($N$97:N97)-1)+1),0),0)</f>
        <v>0</v>
      </c>
      <c r="O97" s="61">
        <f>IF(ISNUMBER(INDEX('M03-S04'!$AN$18:$AN$198,2*(ROWS($M$97:M97)-1)+1)),IFERROR(INDEX('M03-S04'!$AN$18:$AN$198,2*(ROWS($O$97:O97)-1)+1)*INCENTCAPADJ,""),0)</f>
        <v>0</v>
      </c>
      <c r="P97" s="151" t="str">
        <f>IFERROR(IF(NOT(ISNUMBER(INDEX('M03-S04'!$AN$18:$AN$198,2*(ROWS($O$97:O97)-1)+1))),INDEX('M03-S04'!$AJ$18:$AJ$198,2*(ROWS($M$97:M97)-1)+1),0),0)</f>
        <v/>
      </c>
      <c r="Q97" s="189" t="str">
        <f>IFERROR(IF(NOT(ISNUMBER(INDEX('M03-S04'!$AN$18:$AN$198,2*(ROWS($O$97:O97)-1)+1))),INDEX('M03-S04'!$AV$18:$AV$198,2*(ROWS($N$97:N97)-1)+1),0),0)</f>
        <v/>
      </c>
      <c r="R97" t="str">
        <f>IFERROR(IF(NOT(ISNUMBER(INDEX('M03-S04'!$AN$18:$AN$198,2*(ROWS($O$97:O97)-1)+1))),"Not Eligible",""),"")</f>
        <v>Not Eligible</v>
      </c>
      <c r="S97" s="156">
        <f>INDEX('M03-S04'!$K$18:$K$198,2*(ROWS($S$97:S97)-1)+1)</f>
        <v>0</v>
      </c>
      <c r="T97" s="156">
        <f>INDEX('M03-S04'!$V$18:$V$198,2*(ROWS($T$97:T97)-1)+1)</f>
        <v>0</v>
      </c>
      <c r="U97" s="151">
        <f>INDEX('M03-S04'!$B$18:$B$198,2*(ROWS($U$97:U97)-1)+1)</f>
        <v>1</v>
      </c>
      <c r="V97" s="58" t="str">
        <f>CONCATENATE(INDEX('M03-S04'!$C$18:$C$198,2*(ROWS($V$97:V97)-1)+1)," ",INDEX('M03-S04'!$F$18:$F$198,2*(ROWS($V$97:V97)-1)+1))</f>
        <v xml:space="preserve"> </v>
      </c>
      <c r="W97" s="58" t="str">
        <f>INDEX('M03-S04'!$M$18:$M$198,2*(ROWS($W$97:W97)-1)+1)</f>
        <v/>
      </c>
      <c r="X97" s="135"/>
      <c r="Y97">
        <f>INDEX('M03-S04'!$P$18:$P$198,2*(ROWS($Y$97:Y97)-1)+1)</f>
        <v>0</v>
      </c>
      <c r="Z97" s="61">
        <f>IFERROR(INDEX('M03-S04'!$AD$18:$AD$198,2*(ROWS(Z97:$Z$97)-1)+1)/INDEX('M03-S04'!$AB$18:$AB$198,2*(ROWS(Z97:$Z$97)-1)+1),0)</f>
        <v>0</v>
      </c>
      <c r="AA97" s="135"/>
      <c r="AB97" s="135"/>
      <c r="AC97" s="135"/>
      <c r="AD97" s="135"/>
      <c r="AE97" s="151">
        <f>IFERROR(IF(NOT(ISNUMBER(INDEX('M03-S04'!$AN$18:$AN$198,2*(ROWS($AE$97:AE97)-1)+1))),INDEX('M03-S04'!$T$18:$T$198,2*(ROWS($AE$97:AE97)-1)+1),0),0)</f>
        <v>0</v>
      </c>
      <c r="AF97" s="151" t="str">
        <f>INDEX('M03-S04'!$AW$18:$AW$198,2*(ROWS($AF$97:AF97)-1)+1)</f>
        <v/>
      </c>
      <c r="AG97" s="151" t="str">
        <f>INDEX('M03-S04'!$AX$18:$AX$198,2*(ROWS($AG$97:AG97)-1)+1)</f>
        <v/>
      </c>
      <c r="AH97" s="151" t="str">
        <f>IFERROR(AF97/AO97,"")</f>
        <v/>
      </c>
      <c r="AI97" s="151" t="str">
        <f>IFERROR(AG97/L97,"")</f>
        <v/>
      </c>
      <c r="AJ97" s="61" t="str">
        <f>IFERROR(O97/M97,"")</f>
        <v/>
      </c>
      <c r="AK97" s="61" t="str">
        <f>IFERROR(O97/N97,"")</f>
        <v/>
      </c>
      <c r="AL97" s="61" t="str">
        <f>IFERROR(O97/L97,"")</f>
        <v/>
      </c>
      <c r="AM97" s="154"/>
      <c r="AN97" s="61" t="str">
        <f>IFERROR(J97/M97/M02S02F35,"")</f>
        <v/>
      </c>
      <c r="AO97" s="151">
        <f>INDEX('M03-S04'!$I$18:$I$198,2*(ROWS($AO$97:AO97)-1)+1)</f>
        <v>0</v>
      </c>
      <c r="AP97" s="151">
        <f>INDEX('M03-S04'!$AD$18:$AD$198,2*(ROWS($AP97:AP$97)-1)+1)</f>
        <v>0</v>
      </c>
      <c r="AQ97" s="61" t="str">
        <f>IF(INDEX('M03-S04'!$AJ$18:$AJ$198,2*(ROWS($AQ$97:AQ97)-1)+1)="","",IF(AND(INDEX('M03-S04'!$AJ$18:$AJ$198,2*(ROWS($AQ$97:AQ97)-1)+1)&lt;&gt;"",OR(ISNUMBER(SEARCH("AC With",M02S02F32)),M02S02F32="Heat Pump")),LIGHTHEATCOIN,1))</f>
        <v/>
      </c>
      <c r="AR97" s="414">
        <f>(IF(INDEX('M03-S04'!$AN$18:$AN$198,2*(ROWS($O$97:O97)-1)+1)=INDEX('M03-S04'!$BJ$18:$BJ$198,2*(ROWS($O$97:O97)-1)+1),0,(INDEX('M03-S04'!$BI$18:$BI$198,2*(ROWS($O$97:O97)-1)+1)-INDEX('M03-S04'!$BJ$18:$BJ$198,2*(ROWS($O$97:O97)-1)+1))))*INCENTCAPADJ</f>
        <v>0</v>
      </c>
    </row>
    <row r="98" spans="1:44" x14ac:dyDescent="0.25">
      <c r="A98" s="66">
        <f t="shared" si="24"/>
        <v>0</v>
      </c>
      <c r="B98" s="66" t="str">
        <f t="shared" ref="B98:B126" si="25">IF(C98="","",CONCATENATE(ROW(),"-",C98))</f>
        <v/>
      </c>
      <c r="C98" s="66" t="str">
        <f>IFERROR(IF(J98&gt;0,INDEX('M03-S04'!$BB$18:$BB$198,2*(ROWS($C$97:C98)-1)+1),""),"")</f>
        <v/>
      </c>
      <c r="D98" t="s">
        <v>1096</v>
      </c>
      <c r="E98" t="str">
        <f>IFERROR(INDEX(PMELIGHTINCAN[End Use Category],MATCH(INDEX('M03-S04'!$BA$18:$BA$198,2*(ROWS($E$97:E98)-1)+1),PMELIGHTINCAN[Measure Validator],0)),"")</f>
        <v/>
      </c>
      <c r="F98" s="151" t="str">
        <f>INDEX('M03-S04'!$AB$18:$AB$198,2*(ROWS($F$97:F98)-1)+1)</f>
        <v/>
      </c>
      <c r="G98">
        <f>INDEX('M03-S04'!$X$18:$X$198,2*(ROWS($G$97:G98)-1)+1)</f>
        <v>0</v>
      </c>
      <c r="H98" s="61">
        <f>ROUND(INDEX('M03-S04'!$T$18:$T$198,2*(ROWS($H$97:H98)-1)+1)*INDEX('M03-S04'!$AF$18:$AF$198,2*(ROWS($H$97:H98)-1)+1),2)</f>
        <v>0</v>
      </c>
      <c r="I98" s="61">
        <f>ROUND(INDEX('M03-S04'!$T$18:$T$198,2*(ROWS($I$97:I98)-1)+1)*INDEX('M03-S04'!$AH$18:$AH$198,2*(ROWS($H$97:H98)-1)+1),2)</f>
        <v>0</v>
      </c>
      <c r="J98" s="61" t="str">
        <f>INDEX('M03-S04'!$AU$18:$AU$198,2*(ROWS($J$97:J98)-1)+1)</f>
        <v/>
      </c>
      <c r="K98" t="s">
        <v>119</v>
      </c>
      <c r="L98" s="151">
        <f>IF(ISNUMBER(INDEX('M03-S04'!$AN$18:$AN$198,2*(ROWS($L$97:L98)-1)+1)),INDEX('M03-S04'!$T$18:$T$198,2*(ROWS($L$97:L98)-1)+1),0)</f>
        <v>0</v>
      </c>
      <c r="M98" s="151">
        <f>IF(ISNUMBER(INDEX('M03-S04'!$AN$18:$AN$198,2*(ROWS($M$97:M98)-1)+1)),INDEX('M03-S04'!$AJ$18:$AJ$198,2*(ROWS($M$97:M98)-1)+1),0)</f>
        <v>0</v>
      </c>
      <c r="N98" s="189">
        <f>IF(ISNUMBER(INDEX('M03-S04'!$AN$18:$AN$198,2*(ROWS($M$97:M98)-1)+1)),IFERROR(INDEX('M03-S04'!$AV$18:$AV$198,2*(ROWS($N$97:N98)-1)+1),0),0)</f>
        <v>0</v>
      </c>
      <c r="O98" s="61">
        <f>IF(ISNUMBER(INDEX('M03-S04'!$AN$18:$AN$198,2*(ROWS($M$97:M98)-1)+1)),IFERROR(INDEX('M03-S04'!$AN$18:$AN$198,2*(ROWS($O$97:O98)-1)+1)*INCENTCAPADJ,""),0)</f>
        <v>0</v>
      </c>
      <c r="P98" s="151" t="str">
        <f>IFERROR(IF(NOT(ISNUMBER(INDEX('M03-S04'!$AN$18:$AN$198,2*(ROWS($O$97:O98)-1)+1))),INDEX('M03-S04'!$AJ$18:$AJ$198,2*(ROWS($M$97:M98)-1)+1),0),0)</f>
        <v/>
      </c>
      <c r="Q98" s="189" t="str">
        <f>IFERROR(IF(NOT(ISNUMBER(INDEX('M03-S04'!$AN$18:$AN$198,2*(ROWS($O$97:O98)-1)+1))),INDEX('M03-S04'!$AV$18:$AV$198,2*(ROWS($N$97:N98)-1)+1),0),0)</f>
        <v/>
      </c>
      <c r="R98" t="str">
        <f>IFERROR(IF(NOT(ISNUMBER(INDEX('M03-S04'!$AN$18:$AN$198,2*(ROWS($O$97:O98)-1)+1))),"Not Eligible",""),"")</f>
        <v>Not Eligible</v>
      </c>
      <c r="S98" s="156">
        <f>INDEX('M03-S04'!$K$18:$K$198,2*(ROWS($S$97:S98)-1)+1)</f>
        <v>0</v>
      </c>
      <c r="T98" s="156">
        <f>INDEX('M03-S04'!$V$18:$V$198,2*(ROWS($T$97:T98)-1)+1)</f>
        <v>0</v>
      </c>
      <c r="U98" s="151">
        <f>INDEX('M03-S04'!$B$18:$B$198,2*(ROWS($U$97:U98)-1)+1)</f>
        <v>2</v>
      </c>
      <c r="V98" s="58" t="str">
        <f>CONCATENATE(INDEX('M03-S04'!$C$18:$C$198,2*(ROWS($V$97:V98)-1)+1)," ",INDEX('M03-S04'!$F$18:$F$198,2*(ROWS($V$97:V98)-1)+1))</f>
        <v xml:space="preserve"> </v>
      </c>
      <c r="W98" s="58" t="str">
        <f>INDEX('M03-S04'!$M$18:$M$198,2*(ROWS($W$97:W98)-1)+1)</f>
        <v/>
      </c>
      <c r="X98" s="135"/>
      <c r="Y98">
        <f>INDEX('M03-S04'!$P$18:$P$198,2*(ROWS($Y$97:Y98)-1)+1)</f>
        <v>0</v>
      </c>
      <c r="Z98" s="61">
        <f>IFERROR(INDEX('M03-S04'!$AD$18:$AD$198,2*(ROWS(Z$97:$Z98)-1)+1)/INDEX('M03-S04'!$AB$18:$AB$198,2*(ROWS(Z$97:$Z98)-1)+1),0)</f>
        <v>0</v>
      </c>
      <c r="AA98" s="135"/>
      <c r="AB98" s="135"/>
      <c r="AC98" s="135"/>
      <c r="AD98" s="135"/>
      <c r="AE98" s="151">
        <f>IFERROR(IF(NOT(ISNUMBER(INDEX('M03-S04'!$AN$18:$AN$198,2*(ROWS($AE$97:AE98)-1)+1))),INDEX('M03-S04'!$T$18:$T$198,2*(ROWS($AE$97:AE98)-1)+1),0),0)</f>
        <v>0</v>
      </c>
      <c r="AF98" s="151" t="str">
        <f>INDEX('M03-S04'!$AW$18:$AW$198,2*(ROWS($AF$97:AF98)-1)+1)</f>
        <v/>
      </c>
      <c r="AG98" s="151" t="str">
        <f>INDEX('M03-S04'!$AX$18:$AX$198,2*(ROWS($AG$97:AG98)-1)+1)</f>
        <v/>
      </c>
      <c r="AH98" s="151" t="str">
        <f t="shared" ref="AH98:AH126" si="26">IFERROR(AF98/AO98,"")</f>
        <v/>
      </c>
      <c r="AI98" s="151" t="str">
        <f t="shared" ref="AI98:AI126" si="27">IFERROR(AG98/L98,"")</f>
        <v/>
      </c>
      <c r="AJ98" s="61" t="str">
        <f t="shared" ref="AJ98:AJ126" si="28">IFERROR(O98/M98,"")</f>
        <v/>
      </c>
      <c r="AK98" s="61" t="str">
        <f t="shared" ref="AK98:AK126" si="29">IFERROR(O98/N98,"")</f>
        <v/>
      </c>
      <c r="AL98" s="61" t="str">
        <f t="shared" ref="AL98:AL126" si="30">IFERROR(O98/L98,"")</f>
        <v/>
      </c>
      <c r="AM98" s="154"/>
      <c r="AN98" s="61" t="str">
        <f t="shared" ref="AN98:AN126" si="31">IFERROR(J98/M98/M02S02F35,"")</f>
        <v/>
      </c>
      <c r="AO98" s="151">
        <f>INDEX('M03-S04'!$I$18:$I$198,2*(ROWS($AO$97:AO98)-1)+1)</f>
        <v>0</v>
      </c>
      <c r="AP98" s="151">
        <f>INDEX('M03-S04'!$AD$18:$AD$198,2*(ROWS($AP$97:AP98)-1)+1)</f>
        <v>0</v>
      </c>
      <c r="AQ98" s="61" t="str">
        <f>IF(INDEX('M03-S04'!$AJ$18:$AJ$198,2*(ROWS($AQ$97:AQ98)-1)+1)="","",IF(AND(INDEX('M03-S04'!$AJ$18:$AJ$198,2*(ROWS($AQ$97:AQ98)-1)+1)&lt;&gt;"",OR(ISNUMBER(SEARCH("AC With",M02S02F32)),M02S02F32="Heat Pump")),LIGHTHEATCOIN,1))</f>
        <v/>
      </c>
      <c r="AR98" s="414">
        <f>(IF(INDEX('M03-S04'!$AN$18:$AN$198,2*(ROWS($O$97:O98)-1)+1)=INDEX('M03-S04'!$BJ$18:$BJ$198,2*(ROWS($O$97:O98)-1)+1),0,(INDEX('M03-S04'!$BI$18:$BI$198,2*(ROWS($O$97:O98)-1)+1)-INDEX('M03-S04'!$BJ$18:$BJ$198,2*(ROWS($O$97:O98)-1)+1))))*INCENTCAPADJ</f>
        <v>0</v>
      </c>
    </row>
    <row r="99" spans="1:44" x14ac:dyDescent="0.25">
      <c r="A99" s="66">
        <f t="shared" si="24"/>
        <v>0</v>
      </c>
      <c r="B99" s="66" t="str">
        <f t="shared" si="25"/>
        <v/>
      </c>
      <c r="C99" s="66" t="str">
        <f>IFERROR(IF(J99&gt;0,INDEX('M03-S04'!$BB$18:$BB$198,2*(ROWS($C$97:C99)-1)+1),""),"")</f>
        <v/>
      </c>
      <c r="D99" t="s">
        <v>1096</v>
      </c>
      <c r="E99" t="str">
        <f>IFERROR(INDEX(PMELIGHTINCAN[End Use Category],MATCH(INDEX('M03-S04'!$BA$18:$BA$198,2*(ROWS($E$97:E99)-1)+1),PMELIGHTINCAN[Measure Validator],0)),"")</f>
        <v/>
      </c>
      <c r="F99" s="151" t="str">
        <f>INDEX('M03-S04'!$AB$18:$AB$198,2*(ROWS($F$97:F99)-1)+1)</f>
        <v/>
      </c>
      <c r="G99">
        <f>INDEX('M03-S04'!$X$18:$X$198,2*(ROWS($G$97:G99)-1)+1)</f>
        <v>0</v>
      </c>
      <c r="H99" s="61">
        <f>ROUND(INDEX('M03-S04'!$T$18:$T$198,2*(ROWS($H$97:H99)-1)+1)*INDEX('M03-S04'!$AF$18:$AF$198,2*(ROWS($H$97:H99)-1)+1),2)</f>
        <v>0</v>
      </c>
      <c r="I99" s="61">
        <f>ROUND(INDEX('M03-S04'!$T$18:$T$198,2*(ROWS($I$97:I99)-1)+1)*INDEX('M03-S04'!$AH$18:$AH$198,2*(ROWS($H$97:H99)-1)+1),2)</f>
        <v>0</v>
      </c>
      <c r="J99" s="61" t="str">
        <f>INDEX('M03-S04'!$AU$18:$AU$198,2*(ROWS($J$97:J99)-1)+1)</f>
        <v/>
      </c>
      <c r="K99" t="s">
        <v>119</v>
      </c>
      <c r="L99" s="151">
        <f>IF(ISNUMBER(INDEX('M03-S04'!$AN$18:$AN$198,2*(ROWS($L$97:L99)-1)+1)),INDEX('M03-S04'!$T$18:$T$198,2*(ROWS($L$97:L99)-1)+1),0)</f>
        <v>0</v>
      </c>
      <c r="M99" s="151">
        <f>IF(ISNUMBER(INDEX('M03-S04'!$AN$18:$AN$198,2*(ROWS($M$97:M99)-1)+1)),INDEX('M03-S04'!$AJ$18:$AJ$198,2*(ROWS($M$97:M99)-1)+1),0)</f>
        <v>0</v>
      </c>
      <c r="N99" s="189">
        <f>IF(ISNUMBER(INDEX('M03-S04'!$AN$18:$AN$198,2*(ROWS($M$97:M99)-1)+1)),IFERROR(INDEX('M03-S04'!$AV$18:$AV$198,2*(ROWS($N$97:N99)-1)+1),0),0)</f>
        <v>0</v>
      </c>
      <c r="O99" s="61">
        <f>IF(ISNUMBER(INDEX('M03-S04'!$AN$18:$AN$198,2*(ROWS($M$97:M99)-1)+1)),IFERROR(INDEX('M03-S04'!$AN$18:$AN$198,2*(ROWS($O$97:O99)-1)+1)*INCENTCAPADJ,""),0)</f>
        <v>0</v>
      </c>
      <c r="P99" s="151" t="str">
        <f>IFERROR(IF(NOT(ISNUMBER(INDEX('M03-S04'!$AN$18:$AN$198,2*(ROWS($O$97:O99)-1)+1))),INDEX('M03-S04'!$AJ$18:$AJ$198,2*(ROWS($M$97:M99)-1)+1),0),0)</f>
        <v/>
      </c>
      <c r="Q99" s="189" t="str">
        <f>IFERROR(IF(NOT(ISNUMBER(INDEX('M03-S04'!$AN$18:$AN$198,2*(ROWS($O$97:O99)-1)+1))),INDEX('M03-S04'!$AV$18:$AV$198,2*(ROWS($N$97:N99)-1)+1),0),0)</f>
        <v/>
      </c>
      <c r="R99" t="str">
        <f>IFERROR(IF(NOT(ISNUMBER(INDEX('M03-S04'!$AN$18:$AN$198,2*(ROWS($O$97:O99)-1)+1))),"Not Eligible",""),"")</f>
        <v>Not Eligible</v>
      </c>
      <c r="S99" s="156">
        <f>INDEX('M03-S04'!$K$18:$K$198,2*(ROWS($S$97:S99)-1)+1)</f>
        <v>0</v>
      </c>
      <c r="T99" s="156">
        <f>INDEX('M03-S04'!$V$18:$V$198,2*(ROWS($T$97:T99)-1)+1)</f>
        <v>0</v>
      </c>
      <c r="U99" s="151">
        <f>INDEX('M03-S04'!$B$18:$B$198,2*(ROWS($U$97:U99)-1)+1)</f>
        <v>3</v>
      </c>
      <c r="V99" s="58" t="str">
        <f>CONCATENATE(INDEX('M03-S04'!$C$18:$C$198,2*(ROWS($V$97:V99)-1)+1)," ",INDEX('M03-S04'!$F$18:$F$198,2*(ROWS($V$97:V99)-1)+1))</f>
        <v xml:space="preserve"> </v>
      </c>
      <c r="W99" s="58" t="str">
        <f>INDEX('M03-S04'!$M$18:$M$198,2*(ROWS($W$97:W99)-1)+1)</f>
        <v/>
      </c>
      <c r="X99" s="135"/>
      <c r="Y99">
        <f>INDEX('M03-S04'!$P$18:$P$198,2*(ROWS($Y$97:Y99)-1)+1)</f>
        <v>0</v>
      </c>
      <c r="Z99" s="61">
        <f>IFERROR(INDEX('M03-S04'!$AD$18:$AD$198,2*(ROWS(Z$97:$Z99)-1)+1)/INDEX('M03-S04'!$AB$18:$AB$198,2*(ROWS(Z$97:$Z99)-1)+1),0)</f>
        <v>0</v>
      </c>
      <c r="AA99" s="135"/>
      <c r="AB99" s="135"/>
      <c r="AC99" s="135"/>
      <c r="AD99" s="135"/>
      <c r="AE99" s="151">
        <f>IFERROR(IF(NOT(ISNUMBER(INDEX('M03-S04'!$AN$18:$AN$198,2*(ROWS($AE$97:AE99)-1)+1))),INDEX('M03-S04'!$T$18:$T$198,2*(ROWS($AE$97:AE99)-1)+1),0),0)</f>
        <v>0</v>
      </c>
      <c r="AF99" s="151" t="str">
        <f>INDEX('M03-S04'!$AW$18:$AW$198,2*(ROWS($AF$97:AF99)-1)+1)</f>
        <v/>
      </c>
      <c r="AG99" s="151" t="str">
        <f>INDEX('M03-S04'!$AX$18:$AX$198,2*(ROWS($AG$97:AG99)-1)+1)</f>
        <v/>
      </c>
      <c r="AH99" s="151" t="str">
        <f t="shared" si="26"/>
        <v/>
      </c>
      <c r="AI99" s="151" t="str">
        <f t="shared" si="27"/>
        <v/>
      </c>
      <c r="AJ99" s="61" t="str">
        <f t="shared" si="28"/>
        <v/>
      </c>
      <c r="AK99" s="61" t="str">
        <f t="shared" si="29"/>
        <v/>
      </c>
      <c r="AL99" s="61" t="str">
        <f t="shared" si="30"/>
        <v/>
      </c>
      <c r="AM99" s="154"/>
      <c r="AN99" s="61" t="str">
        <f t="shared" si="31"/>
        <v/>
      </c>
      <c r="AO99" s="151">
        <f>INDEX('M03-S04'!$I$18:$I$198,2*(ROWS($AO$97:AO99)-1)+1)</f>
        <v>0</v>
      </c>
      <c r="AP99" s="151">
        <f>INDEX('M03-S04'!$AD$18:$AD$198,2*(ROWS($AP$97:AP99)-1)+1)</f>
        <v>0</v>
      </c>
      <c r="AQ99" s="61" t="str">
        <f>IF(INDEX('M03-S04'!$AJ$18:$AJ$198,2*(ROWS($AQ$97:AQ99)-1)+1)="","",IF(AND(INDEX('M03-S04'!$AJ$18:$AJ$198,2*(ROWS($AQ$97:AQ99)-1)+1)&lt;&gt;"",OR(ISNUMBER(SEARCH("AC With",M02S02F32)),M02S02F32="Heat Pump")),LIGHTHEATCOIN,1))</f>
        <v/>
      </c>
      <c r="AR99" s="414">
        <f>(IF(INDEX('M03-S04'!$AN$18:$AN$198,2*(ROWS($O$97:O99)-1)+1)=INDEX('M03-S04'!$BJ$18:$BJ$198,2*(ROWS($O$97:O99)-1)+1),0,(INDEX('M03-S04'!$BI$18:$BI$198,2*(ROWS($O$97:O99)-1)+1)-INDEX('M03-S04'!$BJ$18:$BJ$198,2*(ROWS($O$97:O99)-1)+1))))*INCENTCAPADJ</f>
        <v>0</v>
      </c>
    </row>
    <row r="100" spans="1:44" x14ac:dyDescent="0.25">
      <c r="A100" s="66">
        <f t="shared" si="24"/>
        <v>0</v>
      </c>
      <c r="B100" s="66" t="str">
        <f t="shared" si="25"/>
        <v/>
      </c>
      <c r="C100" s="66" t="str">
        <f>IFERROR(IF(J100&gt;0,INDEX('M03-S04'!$BB$18:$BB$198,2*(ROWS($C$97:C100)-1)+1),""),"")</f>
        <v/>
      </c>
      <c r="D100" t="s">
        <v>1096</v>
      </c>
      <c r="E100" t="str">
        <f>IFERROR(INDEX(PMELIGHTINCAN[End Use Category],MATCH(INDEX('M03-S04'!$BA$18:$BA$198,2*(ROWS($E$97:E100)-1)+1),PMELIGHTINCAN[Measure Validator],0)),"")</f>
        <v/>
      </c>
      <c r="F100" s="151" t="str">
        <f>INDEX('M03-S04'!$AB$18:$AB$198,2*(ROWS($F$97:F100)-1)+1)</f>
        <v/>
      </c>
      <c r="G100">
        <f>INDEX('M03-S04'!$X$18:$X$198,2*(ROWS($G$97:G100)-1)+1)</f>
        <v>0</v>
      </c>
      <c r="H100" s="61">
        <f>ROUND(INDEX('M03-S04'!$T$18:$T$198,2*(ROWS($H$97:H100)-1)+1)*INDEX('M03-S04'!$AF$18:$AF$198,2*(ROWS($H$97:H100)-1)+1),2)</f>
        <v>0</v>
      </c>
      <c r="I100" s="61">
        <f>ROUND(INDEX('M03-S04'!$T$18:$T$198,2*(ROWS($I$97:I100)-1)+1)*INDEX('M03-S04'!$AH$18:$AH$198,2*(ROWS($H$97:H100)-1)+1),2)</f>
        <v>0</v>
      </c>
      <c r="J100" s="61" t="str">
        <f>INDEX('M03-S04'!$AU$18:$AU$198,2*(ROWS($J$97:J100)-1)+1)</f>
        <v/>
      </c>
      <c r="K100" t="s">
        <v>119</v>
      </c>
      <c r="L100" s="151">
        <f>IF(ISNUMBER(INDEX('M03-S04'!$AN$18:$AN$198,2*(ROWS($L$97:L100)-1)+1)),INDEX('M03-S04'!$T$18:$T$198,2*(ROWS($L$97:L100)-1)+1),0)</f>
        <v>0</v>
      </c>
      <c r="M100" s="151">
        <f>IF(ISNUMBER(INDEX('M03-S04'!$AN$18:$AN$198,2*(ROWS($M$97:M100)-1)+1)),INDEX('M03-S04'!$AJ$18:$AJ$198,2*(ROWS($M$97:M100)-1)+1),0)</f>
        <v>0</v>
      </c>
      <c r="N100" s="189">
        <f>IF(ISNUMBER(INDEX('M03-S04'!$AN$18:$AN$198,2*(ROWS($M$97:M100)-1)+1)),IFERROR(INDEX('M03-S04'!$AV$18:$AV$198,2*(ROWS($N$97:N100)-1)+1),0),0)</f>
        <v>0</v>
      </c>
      <c r="O100" s="61">
        <f>IF(ISNUMBER(INDEX('M03-S04'!$AN$18:$AN$198,2*(ROWS($M$97:M100)-1)+1)),IFERROR(INDEX('M03-S04'!$AN$18:$AN$198,2*(ROWS($O$97:O100)-1)+1)*INCENTCAPADJ,""),0)</f>
        <v>0</v>
      </c>
      <c r="P100" s="151" t="str">
        <f>IFERROR(IF(NOT(ISNUMBER(INDEX('M03-S04'!$AN$18:$AN$198,2*(ROWS($O$97:O100)-1)+1))),INDEX('M03-S04'!$AJ$18:$AJ$198,2*(ROWS($M$97:M100)-1)+1),0),0)</f>
        <v/>
      </c>
      <c r="Q100" s="189" t="str">
        <f>IFERROR(IF(NOT(ISNUMBER(INDEX('M03-S04'!$AN$18:$AN$198,2*(ROWS($O$97:O100)-1)+1))),INDEX('M03-S04'!$AV$18:$AV$198,2*(ROWS($N$97:N100)-1)+1),0),0)</f>
        <v/>
      </c>
      <c r="R100" t="str">
        <f>IFERROR(IF(NOT(ISNUMBER(INDEX('M03-S04'!$AN$18:$AN$198,2*(ROWS($O$97:O100)-1)+1))),"Not Eligible",""),"")</f>
        <v>Not Eligible</v>
      </c>
      <c r="S100" s="156">
        <f>INDEX('M03-S04'!$K$18:$K$198,2*(ROWS($S$97:S100)-1)+1)</f>
        <v>0</v>
      </c>
      <c r="T100" s="156">
        <f>INDEX('M03-S04'!$V$18:$V$198,2*(ROWS($T$97:T100)-1)+1)</f>
        <v>0</v>
      </c>
      <c r="U100" s="151">
        <f>INDEX('M03-S04'!$B$18:$B$198,2*(ROWS($U$97:U100)-1)+1)</f>
        <v>4</v>
      </c>
      <c r="V100" s="58" t="str">
        <f>CONCATENATE(INDEX('M03-S04'!$C$18:$C$198,2*(ROWS($V$97:V100)-1)+1)," ",INDEX('M03-S04'!$F$18:$F$198,2*(ROWS($V$97:V100)-1)+1))</f>
        <v xml:space="preserve"> </v>
      </c>
      <c r="W100" s="58" t="str">
        <f>INDEX('M03-S04'!$M$18:$M$198,2*(ROWS($W$97:W100)-1)+1)</f>
        <v/>
      </c>
      <c r="X100" s="135"/>
      <c r="Y100">
        <f>INDEX('M03-S04'!$P$18:$P$198,2*(ROWS($Y$97:Y100)-1)+1)</f>
        <v>0</v>
      </c>
      <c r="Z100" s="61">
        <f>IFERROR(INDEX('M03-S04'!$AD$18:$AD$198,2*(ROWS(Z$97:$Z100)-1)+1)/INDEX('M03-S04'!$AB$18:$AB$198,2*(ROWS(Z$97:$Z100)-1)+1),0)</f>
        <v>0</v>
      </c>
      <c r="AA100" s="135"/>
      <c r="AB100" s="135"/>
      <c r="AC100" s="135"/>
      <c r="AD100" s="135"/>
      <c r="AE100" s="151">
        <f>IFERROR(IF(NOT(ISNUMBER(INDEX('M03-S04'!$AN$18:$AN$198,2*(ROWS($AE$97:AE100)-1)+1))),INDEX('M03-S04'!$T$18:$T$198,2*(ROWS($AE$97:AE100)-1)+1),0),0)</f>
        <v>0</v>
      </c>
      <c r="AF100" s="151" t="str">
        <f>INDEX('M03-S04'!$AW$18:$AW$198,2*(ROWS($AF$97:AF100)-1)+1)</f>
        <v/>
      </c>
      <c r="AG100" s="151" t="str">
        <f>INDEX('M03-S04'!$AX$18:$AX$198,2*(ROWS($AG$97:AG100)-1)+1)</f>
        <v/>
      </c>
      <c r="AH100" s="151" t="str">
        <f t="shared" si="26"/>
        <v/>
      </c>
      <c r="AI100" s="151" t="str">
        <f t="shared" si="27"/>
        <v/>
      </c>
      <c r="AJ100" s="61" t="str">
        <f t="shared" si="28"/>
        <v/>
      </c>
      <c r="AK100" s="61" t="str">
        <f t="shared" si="29"/>
        <v/>
      </c>
      <c r="AL100" s="61" t="str">
        <f t="shared" si="30"/>
        <v/>
      </c>
      <c r="AM100" s="154"/>
      <c r="AN100" s="61" t="str">
        <f t="shared" si="31"/>
        <v/>
      </c>
      <c r="AO100" s="151">
        <f>INDEX('M03-S04'!$I$18:$I$198,2*(ROWS($AO$97:AO100)-1)+1)</f>
        <v>0</v>
      </c>
      <c r="AP100" s="151">
        <f>INDEX('M03-S04'!$AD$18:$AD$198,2*(ROWS($AP$97:AP100)-1)+1)</f>
        <v>0</v>
      </c>
      <c r="AQ100" s="61" t="str">
        <f>IF(INDEX('M03-S04'!$AJ$18:$AJ$198,2*(ROWS($AQ$97:AQ100)-1)+1)="","",IF(AND(INDEX('M03-S04'!$AJ$18:$AJ$198,2*(ROWS($AQ$97:AQ100)-1)+1)&lt;&gt;"",OR(ISNUMBER(SEARCH("AC With",M02S02F32)),M02S02F32="Heat Pump")),LIGHTHEATCOIN,1))</f>
        <v/>
      </c>
      <c r="AR100" s="414">
        <f>(IF(INDEX('M03-S04'!$AN$18:$AN$198,2*(ROWS($O$97:O100)-1)+1)=INDEX('M03-S04'!$BJ$18:$BJ$198,2*(ROWS($O$97:O100)-1)+1),0,(INDEX('M03-S04'!$BI$18:$BI$198,2*(ROWS($O$97:O100)-1)+1)-INDEX('M03-S04'!$BJ$18:$BJ$198,2*(ROWS($O$97:O100)-1)+1))))*INCENTCAPADJ</f>
        <v>0</v>
      </c>
    </row>
    <row r="101" spans="1:44" x14ac:dyDescent="0.25">
      <c r="A101" s="66">
        <f t="shared" si="24"/>
        <v>0</v>
      </c>
      <c r="B101" s="66" t="str">
        <f t="shared" si="25"/>
        <v/>
      </c>
      <c r="C101" s="66" t="str">
        <f>IFERROR(IF(J101&gt;0,INDEX('M03-S04'!$BB$18:$BB$198,2*(ROWS($C$97:C101)-1)+1),""),"")</f>
        <v/>
      </c>
      <c r="D101" t="s">
        <v>1096</v>
      </c>
      <c r="E101" t="str">
        <f>IFERROR(INDEX(PMELIGHTINCAN[End Use Category],MATCH(INDEX('M03-S04'!$BA$18:$BA$198,2*(ROWS($E$97:E101)-1)+1),PMELIGHTINCAN[Measure Validator],0)),"")</f>
        <v/>
      </c>
      <c r="F101" s="151" t="str">
        <f>INDEX('M03-S04'!$AB$18:$AB$198,2*(ROWS($F$97:F101)-1)+1)</f>
        <v/>
      </c>
      <c r="G101">
        <f>INDEX('M03-S04'!$X$18:$X$198,2*(ROWS($G$97:G101)-1)+1)</f>
        <v>0</v>
      </c>
      <c r="H101" s="61">
        <f>ROUND(INDEX('M03-S04'!$T$18:$T$198,2*(ROWS($H$97:H101)-1)+1)*INDEX('M03-S04'!$AF$18:$AF$198,2*(ROWS($H$97:H101)-1)+1),2)</f>
        <v>0</v>
      </c>
      <c r="I101" s="61">
        <f>ROUND(INDEX('M03-S04'!$T$18:$T$198,2*(ROWS($I$97:I101)-1)+1)*INDEX('M03-S04'!$AH$18:$AH$198,2*(ROWS($H$97:H101)-1)+1),2)</f>
        <v>0</v>
      </c>
      <c r="J101" s="61" t="str">
        <f>INDEX('M03-S04'!$AU$18:$AU$198,2*(ROWS($J$97:J101)-1)+1)</f>
        <v/>
      </c>
      <c r="K101" t="s">
        <v>119</v>
      </c>
      <c r="L101" s="151">
        <f>IF(ISNUMBER(INDEX('M03-S04'!$AN$18:$AN$198,2*(ROWS($L$97:L101)-1)+1)),INDEX('M03-S04'!$T$18:$T$198,2*(ROWS($L$97:L101)-1)+1),0)</f>
        <v>0</v>
      </c>
      <c r="M101" s="151">
        <f>IF(ISNUMBER(INDEX('M03-S04'!$AN$18:$AN$198,2*(ROWS($M$97:M101)-1)+1)),INDEX('M03-S04'!$AJ$18:$AJ$198,2*(ROWS($M$97:M101)-1)+1),0)</f>
        <v>0</v>
      </c>
      <c r="N101" s="189">
        <f>IF(ISNUMBER(INDEX('M03-S04'!$AN$18:$AN$198,2*(ROWS($M$97:M101)-1)+1)),IFERROR(INDEX('M03-S04'!$AV$18:$AV$198,2*(ROWS($N$97:N101)-1)+1),0),0)</f>
        <v>0</v>
      </c>
      <c r="O101" s="61">
        <f>IF(ISNUMBER(INDEX('M03-S04'!$AN$18:$AN$198,2*(ROWS($M$97:M101)-1)+1)),IFERROR(INDEX('M03-S04'!$AN$18:$AN$198,2*(ROWS($O$97:O101)-1)+1)*INCENTCAPADJ,""),0)</f>
        <v>0</v>
      </c>
      <c r="P101" s="151" t="str">
        <f>IFERROR(IF(NOT(ISNUMBER(INDEX('M03-S04'!$AN$18:$AN$198,2*(ROWS($O$97:O101)-1)+1))),INDEX('M03-S04'!$AJ$18:$AJ$198,2*(ROWS($M$97:M101)-1)+1),0),0)</f>
        <v/>
      </c>
      <c r="Q101" s="189" t="str">
        <f>IFERROR(IF(NOT(ISNUMBER(INDEX('M03-S04'!$AN$18:$AN$198,2*(ROWS($O$97:O101)-1)+1))),INDEX('M03-S04'!$AV$18:$AV$198,2*(ROWS($N$97:N101)-1)+1),0),0)</f>
        <v/>
      </c>
      <c r="R101" t="str">
        <f>IFERROR(IF(NOT(ISNUMBER(INDEX('M03-S04'!$AN$18:$AN$198,2*(ROWS($O$97:O101)-1)+1))),"Not Eligible",""),"")</f>
        <v>Not Eligible</v>
      </c>
      <c r="S101" s="156">
        <f>INDEX('M03-S04'!$K$18:$K$198,2*(ROWS($S$97:S101)-1)+1)</f>
        <v>0</v>
      </c>
      <c r="T101" s="156">
        <f>INDEX('M03-S04'!$V$18:$V$198,2*(ROWS($T$97:T101)-1)+1)</f>
        <v>0</v>
      </c>
      <c r="U101" s="151">
        <f>INDEX('M03-S04'!$B$18:$B$198,2*(ROWS($U$97:U101)-1)+1)</f>
        <v>5</v>
      </c>
      <c r="V101" s="58" t="str">
        <f>CONCATENATE(INDEX('M03-S04'!$C$18:$C$198,2*(ROWS($V$97:V101)-1)+1)," ",INDEX('M03-S04'!$F$18:$F$198,2*(ROWS($V$97:V101)-1)+1))</f>
        <v xml:space="preserve"> </v>
      </c>
      <c r="W101" s="58" t="str">
        <f>INDEX('M03-S04'!$M$18:$M$198,2*(ROWS($W$97:W101)-1)+1)</f>
        <v/>
      </c>
      <c r="X101" s="135"/>
      <c r="Y101">
        <f>INDEX('M03-S04'!$P$18:$P$198,2*(ROWS($Y$97:Y101)-1)+1)</f>
        <v>0</v>
      </c>
      <c r="Z101" s="61">
        <f>IFERROR(INDEX('M03-S04'!$AD$18:$AD$198,2*(ROWS(Z$97:$Z101)-1)+1)/INDEX('M03-S04'!$AB$18:$AB$198,2*(ROWS(Z$97:$Z101)-1)+1),0)</f>
        <v>0</v>
      </c>
      <c r="AA101" s="135"/>
      <c r="AB101" s="135"/>
      <c r="AC101" s="135"/>
      <c r="AD101" s="135"/>
      <c r="AE101" s="151">
        <f>IFERROR(IF(NOT(ISNUMBER(INDEX('M03-S04'!$AN$18:$AN$198,2*(ROWS($AE$97:AE101)-1)+1))),INDEX('M03-S04'!$T$18:$T$198,2*(ROWS($AE$97:AE101)-1)+1),0),0)</f>
        <v>0</v>
      </c>
      <c r="AF101" s="151" t="str">
        <f>INDEX('M03-S04'!$AW$18:$AW$198,2*(ROWS($AF$97:AF101)-1)+1)</f>
        <v/>
      </c>
      <c r="AG101" s="151" t="str">
        <f>INDEX('M03-S04'!$AX$18:$AX$198,2*(ROWS($AG$97:AG101)-1)+1)</f>
        <v/>
      </c>
      <c r="AH101" s="151" t="str">
        <f t="shared" si="26"/>
        <v/>
      </c>
      <c r="AI101" s="151" t="str">
        <f t="shared" si="27"/>
        <v/>
      </c>
      <c r="AJ101" s="61" t="str">
        <f t="shared" si="28"/>
        <v/>
      </c>
      <c r="AK101" s="61" t="str">
        <f t="shared" si="29"/>
        <v/>
      </c>
      <c r="AL101" s="61" t="str">
        <f t="shared" si="30"/>
        <v/>
      </c>
      <c r="AM101" s="154"/>
      <c r="AN101" s="61" t="str">
        <f t="shared" si="31"/>
        <v/>
      </c>
      <c r="AO101" s="151">
        <f>INDEX('M03-S04'!$I$18:$I$198,2*(ROWS($AO$97:AO101)-1)+1)</f>
        <v>0</v>
      </c>
      <c r="AP101" s="151">
        <f>INDEX('M03-S04'!$AD$18:$AD$198,2*(ROWS($AP$97:AP101)-1)+1)</f>
        <v>0</v>
      </c>
      <c r="AQ101" s="61" t="str">
        <f>IF(INDEX('M03-S04'!$AJ$18:$AJ$198,2*(ROWS($AQ$97:AQ101)-1)+1)="","",IF(AND(INDEX('M03-S04'!$AJ$18:$AJ$198,2*(ROWS($AQ$97:AQ101)-1)+1)&lt;&gt;"",OR(ISNUMBER(SEARCH("AC With",M02S02F32)),M02S02F32="Heat Pump")),LIGHTHEATCOIN,1))</f>
        <v/>
      </c>
      <c r="AR101" s="414">
        <f>(IF(INDEX('M03-S04'!$AN$18:$AN$198,2*(ROWS($O$97:O101)-1)+1)=INDEX('M03-S04'!$BJ$18:$BJ$198,2*(ROWS($O$97:O101)-1)+1),0,(INDEX('M03-S04'!$BI$18:$BI$198,2*(ROWS($O$97:O101)-1)+1)-INDEX('M03-S04'!$BJ$18:$BJ$198,2*(ROWS($O$97:O101)-1)+1))))*INCENTCAPADJ</f>
        <v>0</v>
      </c>
    </row>
    <row r="102" spans="1:44" x14ac:dyDescent="0.25">
      <c r="A102" s="66">
        <f t="shared" si="24"/>
        <v>0</v>
      </c>
      <c r="B102" s="66" t="str">
        <f t="shared" si="25"/>
        <v/>
      </c>
      <c r="C102" s="66" t="str">
        <f>IFERROR(IF(J102&gt;0,INDEX('M03-S04'!$BB$18:$BB$198,2*(ROWS($C$97:C102)-1)+1),""),"")</f>
        <v/>
      </c>
      <c r="D102" t="s">
        <v>1096</v>
      </c>
      <c r="E102" t="str">
        <f>IFERROR(INDEX(PMELIGHTINCAN[End Use Category],MATCH(INDEX('M03-S04'!$BA$18:$BA$198,2*(ROWS($E$97:E102)-1)+1),PMELIGHTINCAN[Measure Validator],0)),"")</f>
        <v/>
      </c>
      <c r="F102" s="151" t="str">
        <f>INDEX('M03-S04'!$AB$18:$AB$198,2*(ROWS($F$97:F102)-1)+1)</f>
        <v/>
      </c>
      <c r="G102">
        <f>INDEX('M03-S04'!$X$18:$X$198,2*(ROWS($G$97:G102)-1)+1)</f>
        <v>0</v>
      </c>
      <c r="H102" s="61">
        <f>ROUND(INDEX('M03-S04'!$T$18:$T$198,2*(ROWS($H$97:H102)-1)+1)*INDEX('M03-S04'!$AF$18:$AF$198,2*(ROWS($H$97:H102)-1)+1),2)</f>
        <v>0</v>
      </c>
      <c r="I102" s="61">
        <f>ROUND(INDEX('M03-S04'!$T$18:$T$198,2*(ROWS($I$97:I102)-1)+1)*INDEX('M03-S04'!$AH$18:$AH$198,2*(ROWS($H$97:H102)-1)+1),2)</f>
        <v>0</v>
      </c>
      <c r="J102" s="61" t="str">
        <f>INDEX('M03-S04'!$AU$18:$AU$198,2*(ROWS($J$97:J102)-1)+1)</f>
        <v/>
      </c>
      <c r="K102" t="s">
        <v>119</v>
      </c>
      <c r="L102" s="151">
        <f>IF(ISNUMBER(INDEX('M03-S04'!$AN$18:$AN$198,2*(ROWS($L$97:L102)-1)+1)),INDEX('M03-S04'!$T$18:$T$198,2*(ROWS($L$97:L102)-1)+1),0)</f>
        <v>0</v>
      </c>
      <c r="M102" s="151">
        <f>IF(ISNUMBER(INDEX('M03-S04'!$AN$18:$AN$198,2*(ROWS($M$97:M102)-1)+1)),INDEX('M03-S04'!$AJ$18:$AJ$198,2*(ROWS($M$97:M102)-1)+1),0)</f>
        <v>0</v>
      </c>
      <c r="N102" s="189">
        <f>IF(ISNUMBER(INDEX('M03-S04'!$AN$18:$AN$198,2*(ROWS($M$97:M102)-1)+1)),IFERROR(INDEX('M03-S04'!$AV$18:$AV$198,2*(ROWS($N$97:N102)-1)+1),0),0)</f>
        <v>0</v>
      </c>
      <c r="O102" s="61">
        <f>IF(ISNUMBER(INDEX('M03-S04'!$AN$18:$AN$198,2*(ROWS($M$97:M102)-1)+1)),IFERROR(INDEX('M03-S04'!$AN$18:$AN$198,2*(ROWS($O$97:O102)-1)+1)*INCENTCAPADJ,""),0)</f>
        <v>0</v>
      </c>
      <c r="P102" s="151" t="str">
        <f>IFERROR(IF(NOT(ISNUMBER(INDEX('M03-S04'!$AN$18:$AN$198,2*(ROWS($O$97:O102)-1)+1))),INDEX('M03-S04'!$AJ$18:$AJ$198,2*(ROWS($M$97:M102)-1)+1),0),0)</f>
        <v/>
      </c>
      <c r="Q102" s="189" t="str">
        <f>IFERROR(IF(NOT(ISNUMBER(INDEX('M03-S04'!$AN$18:$AN$198,2*(ROWS($O$97:O102)-1)+1))),INDEX('M03-S04'!$AV$18:$AV$198,2*(ROWS($N$97:N102)-1)+1),0),0)</f>
        <v/>
      </c>
      <c r="R102" t="str">
        <f>IFERROR(IF(NOT(ISNUMBER(INDEX('M03-S04'!$AN$18:$AN$198,2*(ROWS($O$97:O102)-1)+1))),"Not Eligible",""),"")</f>
        <v>Not Eligible</v>
      </c>
      <c r="S102" s="156">
        <f>INDEX('M03-S04'!$K$18:$K$198,2*(ROWS($S$97:S102)-1)+1)</f>
        <v>0</v>
      </c>
      <c r="T102" s="156">
        <f>INDEX('M03-S04'!$V$18:$V$198,2*(ROWS($T$97:T102)-1)+1)</f>
        <v>0</v>
      </c>
      <c r="U102" s="151">
        <f>INDEX('M03-S04'!$B$18:$B$198,2*(ROWS($U$97:U102)-1)+1)</f>
        <v>6</v>
      </c>
      <c r="V102" s="58" t="str">
        <f>CONCATENATE(INDEX('M03-S04'!$C$18:$C$198,2*(ROWS($V$97:V102)-1)+1)," ",INDEX('M03-S04'!$F$18:$F$198,2*(ROWS($V$97:V102)-1)+1))</f>
        <v xml:space="preserve"> </v>
      </c>
      <c r="W102" s="58" t="str">
        <f>INDEX('M03-S04'!$M$18:$M$198,2*(ROWS($W$97:W102)-1)+1)</f>
        <v/>
      </c>
      <c r="X102" s="135"/>
      <c r="Y102">
        <f>INDEX('M03-S04'!$P$18:$P$198,2*(ROWS($Y$97:Y102)-1)+1)</f>
        <v>0</v>
      </c>
      <c r="Z102" s="61">
        <f>IFERROR(INDEX('M03-S04'!$AD$18:$AD$198,2*(ROWS(Z$97:$Z102)-1)+1)/INDEX('M03-S04'!$AB$18:$AB$198,2*(ROWS(Z$97:$Z102)-1)+1),0)</f>
        <v>0</v>
      </c>
      <c r="AA102" s="135"/>
      <c r="AB102" s="135"/>
      <c r="AC102" s="135"/>
      <c r="AD102" s="135"/>
      <c r="AE102" s="151">
        <f>IFERROR(IF(NOT(ISNUMBER(INDEX('M03-S04'!$AN$18:$AN$198,2*(ROWS($AE$97:AE102)-1)+1))),INDEX('M03-S04'!$T$18:$T$198,2*(ROWS($AE$97:AE102)-1)+1),0),0)</f>
        <v>0</v>
      </c>
      <c r="AF102" s="151" t="str">
        <f>INDEX('M03-S04'!$AW$18:$AW$198,2*(ROWS($AF$97:AF102)-1)+1)</f>
        <v/>
      </c>
      <c r="AG102" s="151" t="str">
        <f>INDEX('M03-S04'!$AX$18:$AX$198,2*(ROWS($AG$97:AG102)-1)+1)</f>
        <v/>
      </c>
      <c r="AH102" s="151" t="str">
        <f t="shared" si="26"/>
        <v/>
      </c>
      <c r="AI102" s="151" t="str">
        <f t="shared" si="27"/>
        <v/>
      </c>
      <c r="AJ102" s="61" t="str">
        <f t="shared" si="28"/>
        <v/>
      </c>
      <c r="AK102" s="61" t="str">
        <f t="shared" si="29"/>
        <v/>
      </c>
      <c r="AL102" s="61" t="str">
        <f t="shared" si="30"/>
        <v/>
      </c>
      <c r="AM102" s="154"/>
      <c r="AN102" s="61" t="str">
        <f t="shared" si="31"/>
        <v/>
      </c>
      <c r="AO102" s="151">
        <f>INDEX('M03-S04'!$I$18:$I$198,2*(ROWS($AO$97:AO102)-1)+1)</f>
        <v>0</v>
      </c>
      <c r="AP102" s="151">
        <f>INDEX('M03-S04'!$AD$18:$AD$198,2*(ROWS($AP$97:AP102)-1)+1)</f>
        <v>0</v>
      </c>
      <c r="AQ102" s="61" t="str">
        <f>IF(INDEX('M03-S04'!$AJ$18:$AJ$198,2*(ROWS($AQ$97:AQ102)-1)+1)="","",IF(AND(INDEX('M03-S04'!$AJ$18:$AJ$198,2*(ROWS($AQ$97:AQ102)-1)+1)&lt;&gt;"",OR(ISNUMBER(SEARCH("AC With",M02S02F32)),M02S02F32="Heat Pump")),LIGHTHEATCOIN,1))</f>
        <v/>
      </c>
      <c r="AR102" s="414">
        <f>(IF(INDEX('M03-S04'!$AN$18:$AN$198,2*(ROWS($O$97:O102)-1)+1)=INDEX('M03-S04'!$BJ$18:$BJ$198,2*(ROWS($O$97:O102)-1)+1),0,(INDEX('M03-S04'!$BI$18:$BI$198,2*(ROWS($O$97:O102)-1)+1)-INDEX('M03-S04'!$BJ$18:$BJ$198,2*(ROWS($O$97:O102)-1)+1))))*INCENTCAPADJ</f>
        <v>0</v>
      </c>
    </row>
    <row r="103" spans="1:44" x14ac:dyDescent="0.25">
      <c r="A103" s="66">
        <f t="shared" si="24"/>
        <v>0</v>
      </c>
      <c r="B103" s="66" t="str">
        <f t="shared" si="25"/>
        <v/>
      </c>
      <c r="C103" s="66" t="str">
        <f>IFERROR(IF(J103&gt;0,INDEX('M03-S04'!$BB$18:$BB$198,2*(ROWS($C$97:C103)-1)+1),""),"")</f>
        <v/>
      </c>
      <c r="D103" t="s">
        <v>1096</v>
      </c>
      <c r="E103" t="str">
        <f>IFERROR(INDEX(PMELIGHTINCAN[End Use Category],MATCH(INDEX('M03-S04'!$BA$18:$BA$198,2*(ROWS($E$97:E103)-1)+1),PMELIGHTINCAN[Measure Validator],0)),"")</f>
        <v/>
      </c>
      <c r="F103" s="151" t="str">
        <f>INDEX('M03-S04'!$AB$18:$AB$198,2*(ROWS($F$97:F103)-1)+1)</f>
        <v/>
      </c>
      <c r="G103">
        <f>INDEX('M03-S04'!$X$18:$X$198,2*(ROWS($G$97:G103)-1)+1)</f>
        <v>0</v>
      </c>
      <c r="H103" s="61">
        <f>ROUND(INDEX('M03-S04'!$T$18:$T$198,2*(ROWS($H$97:H103)-1)+1)*INDEX('M03-S04'!$AF$18:$AF$198,2*(ROWS($H$97:H103)-1)+1),2)</f>
        <v>0</v>
      </c>
      <c r="I103" s="61">
        <f>ROUND(INDEX('M03-S04'!$T$18:$T$198,2*(ROWS($I$97:I103)-1)+1)*INDEX('M03-S04'!$AH$18:$AH$198,2*(ROWS($H$97:H103)-1)+1),2)</f>
        <v>0</v>
      </c>
      <c r="J103" s="61" t="str">
        <f>INDEX('M03-S04'!$AU$18:$AU$198,2*(ROWS($J$97:J103)-1)+1)</f>
        <v/>
      </c>
      <c r="K103" t="s">
        <v>119</v>
      </c>
      <c r="L103" s="151">
        <f>IF(ISNUMBER(INDEX('M03-S04'!$AN$18:$AN$198,2*(ROWS($L$97:L103)-1)+1)),INDEX('M03-S04'!$T$18:$T$198,2*(ROWS($L$97:L103)-1)+1),0)</f>
        <v>0</v>
      </c>
      <c r="M103" s="151">
        <f>IF(ISNUMBER(INDEX('M03-S04'!$AN$18:$AN$198,2*(ROWS($M$97:M103)-1)+1)),INDEX('M03-S04'!$AJ$18:$AJ$198,2*(ROWS($M$97:M103)-1)+1),0)</f>
        <v>0</v>
      </c>
      <c r="N103" s="189">
        <f>IF(ISNUMBER(INDEX('M03-S04'!$AN$18:$AN$198,2*(ROWS($M$97:M103)-1)+1)),IFERROR(INDEX('M03-S04'!$AV$18:$AV$198,2*(ROWS($N$97:N103)-1)+1),0),0)</f>
        <v>0</v>
      </c>
      <c r="O103" s="61">
        <f>IF(ISNUMBER(INDEX('M03-S04'!$AN$18:$AN$198,2*(ROWS($M$97:M103)-1)+1)),IFERROR(INDEX('M03-S04'!$AN$18:$AN$198,2*(ROWS($O$97:O103)-1)+1)*INCENTCAPADJ,""),0)</f>
        <v>0</v>
      </c>
      <c r="P103" s="151" t="str">
        <f>IFERROR(IF(NOT(ISNUMBER(INDEX('M03-S04'!$AN$18:$AN$198,2*(ROWS($O$97:O103)-1)+1))),INDEX('M03-S04'!$AJ$18:$AJ$198,2*(ROWS($M$97:M103)-1)+1),0),0)</f>
        <v/>
      </c>
      <c r="Q103" s="189" t="str">
        <f>IFERROR(IF(NOT(ISNUMBER(INDEX('M03-S04'!$AN$18:$AN$198,2*(ROWS($O$97:O103)-1)+1))),INDEX('M03-S04'!$AV$18:$AV$198,2*(ROWS($N$97:N103)-1)+1),0),0)</f>
        <v/>
      </c>
      <c r="R103" t="str">
        <f>IFERROR(IF(NOT(ISNUMBER(INDEX('M03-S04'!$AN$18:$AN$198,2*(ROWS($O$97:O103)-1)+1))),"Not Eligible",""),"")</f>
        <v>Not Eligible</v>
      </c>
      <c r="S103" s="156">
        <f>INDEX('M03-S04'!$K$18:$K$198,2*(ROWS($S$97:S103)-1)+1)</f>
        <v>0</v>
      </c>
      <c r="T103" s="156">
        <f>INDEX('M03-S04'!$V$18:$V$198,2*(ROWS($T$97:T103)-1)+1)</f>
        <v>0</v>
      </c>
      <c r="U103" s="151">
        <f>INDEX('M03-S04'!$B$18:$B$198,2*(ROWS($U$97:U103)-1)+1)</f>
        <v>7</v>
      </c>
      <c r="V103" s="58" t="str">
        <f>CONCATENATE(INDEX('M03-S04'!$C$18:$C$198,2*(ROWS($V$97:V103)-1)+1)," ",INDEX('M03-S04'!$F$18:$F$198,2*(ROWS($V$97:V103)-1)+1))</f>
        <v xml:space="preserve"> </v>
      </c>
      <c r="W103" s="58" t="str">
        <f>INDEX('M03-S04'!$M$18:$M$198,2*(ROWS($W$97:W103)-1)+1)</f>
        <v/>
      </c>
      <c r="X103" s="135"/>
      <c r="Y103">
        <f>INDEX('M03-S04'!$P$18:$P$198,2*(ROWS($Y$97:Y103)-1)+1)</f>
        <v>0</v>
      </c>
      <c r="Z103" s="61">
        <f>IFERROR(INDEX('M03-S04'!$AD$18:$AD$198,2*(ROWS(Z$97:$Z103)-1)+1)/INDEX('M03-S04'!$AB$18:$AB$198,2*(ROWS(Z$97:$Z103)-1)+1),0)</f>
        <v>0</v>
      </c>
      <c r="AA103" s="135"/>
      <c r="AB103" s="135"/>
      <c r="AC103" s="135"/>
      <c r="AD103" s="135"/>
      <c r="AE103" s="151">
        <f>IFERROR(IF(NOT(ISNUMBER(INDEX('M03-S04'!$AN$18:$AN$198,2*(ROWS($AE$97:AE103)-1)+1))),INDEX('M03-S04'!$T$18:$T$198,2*(ROWS($AE$97:AE103)-1)+1),0),0)</f>
        <v>0</v>
      </c>
      <c r="AF103" s="151" t="str">
        <f>INDEX('M03-S04'!$AW$18:$AW$198,2*(ROWS($AF$97:AF103)-1)+1)</f>
        <v/>
      </c>
      <c r="AG103" s="151" t="str">
        <f>INDEX('M03-S04'!$AX$18:$AX$198,2*(ROWS($AG$97:AG103)-1)+1)</f>
        <v/>
      </c>
      <c r="AH103" s="151" t="str">
        <f t="shared" si="26"/>
        <v/>
      </c>
      <c r="AI103" s="151" t="str">
        <f t="shared" si="27"/>
        <v/>
      </c>
      <c r="AJ103" s="61" t="str">
        <f t="shared" si="28"/>
        <v/>
      </c>
      <c r="AK103" s="61" t="str">
        <f t="shared" si="29"/>
        <v/>
      </c>
      <c r="AL103" s="61" t="str">
        <f t="shared" si="30"/>
        <v/>
      </c>
      <c r="AM103" s="154"/>
      <c r="AN103" s="61" t="str">
        <f t="shared" si="31"/>
        <v/>
      </c>
      <c r="AO103" s="151">
        <f>INDEX('M03-S04'!$I$18:$I$198,2*(ROWS($AO$97:AO103)-1)+1)</f>
        <v>0</v>
      </c>
      <c r="AP103" s="151">
        <f>INDEX('M03-S04'!$AD$18:$AD$198,2*(ROWS($AP$97:AP103)-1)+1)</f>
        <v>0</v>
      </c>
      <c r="AQ103" s="61" t="str">
        <f>IF(INDEX('M03-S04'!$AJ$18:$AJ$198,2*(ROWS($AQ$97:AQ103)-1)+1)="","",IF(AND(INDEX('M03-S04'!$AJ$18:$AJ$198,2*(ROWS($AQ$97:AQ103)-1)+1)&lt;&gt;"",OR(ISNUMBER(SEARCH("AC With",M02S02F32)),M02S02F32="Heat Pump")),LIGHTHEATCOIN,1))</f>
        <v/>
      </c>
      <c r="AR103" s="414">
        <f>(IF(INDEX('M03-S04'!$AN$18:$AN$198,2*(ROWS($O$97:O103)-1)+1)=INDEX('M03-S04'!$BJ$18:$BJ$198,2*(ROWS($O$97:O103)-1)+1),0,(INDEX('M03-S04'!$BI$18:$BI$198,2*(ROWS($O$97:O103)-1)+1)-INDEX('M03-S04'!$BJ$18:$BJ$198,2*(ROWS($O$97:O103)-1)+1))))*INCENTCAPADJ</f>
        <v>0</v>
      </c>
    </row>
    <row r="104" spans="1:44" x14ac:dyDescent="0.25">
      <c r="A104" s="66">
        <f t="shared" si="24"/>
        <v>0</v>
      </c>
      <c r="B104" s="66" t="str">
        <f t="shared" si="25"/>
        <v/>
      </c>
      <c r="C104" s="66" t="str">
        <f>IFERROR(IF(J104&gt;0,INDEX('M03-S04'!$BB$18:$BB$198,2*(ROWS($C$97:C104)-1)+1),""),"")</f>
        <v/>
      </c>
      <c r="D104" t="s">
        <v>1096</v>
      </c>
      <c r="E104" t="str">
        <f>IFERROR(INDEX(PMELIGHTINCAN[End Use Category],MATCH(INDEX('M03-S04'!$BA$18:$BA$198,2*(ROWS($E$97:E104)-1)+1),PMELIGHTINCAN[Measure Validator],0)),"")</f>
        <v/>
      </c>
      <c r="F104" s="151" t="str">
        <f>INDEX('M03-S04'!$AB$18:$AB$198,2*(ROWS($F$97:F104)-1)+1)</f>
        <v/>
      </c>
      <c r="G104">
        <f>INDEX('M03-S04'!$X$18:$X$198,2*(ROWS($G$97:G104)-1)+1)</f>
        <v>0</v>
      </c>
      <c r="H104" s="61">
        <f>ROUND(INDEX('M03-S04'!$T$18:$T$198,2*(ROWS($H$97:H104)-1)+1)*INDEX('M03-S04'!$AF$18:$AF$198,2*(ROWS($H$97:H104)-1)+1),2)</f>
        <v>0</v>
      </c>
      <c r="I104" s="61">
        <f>ROUND(INDEX('M03-S04'!$T$18:$T$198,2*(ROWS($I$97:I104)-1)+1)*INDEX('M03-S04'!$AH$18:$AH$198,2*(ROWS($H$97:H104)-1)+1),2)</f>
        <v>0</v>
      </c>
      <c r="J104" s="61" t="str">
        <f>INDEX('M03-S04'!$AU$18:$AU$198,2*(ROWS($J$97:J104)-1)+1)</f>
        <v/>
      </c>
      <c r="K104" t="s">
        <v>119</v>
      </c>
      <c r="L104" s="151">
        <f>IF(ISNUMBER(INDEX('M03-S04'!$AN$18:$AN$198,2*(ROWS($L$97:L104)-1)+1)),INDEX('M03-S04'!$T$18:$T$198,2*(ROWS($L$97:L104)-1)+1),0)</f>
        <v>0</v>
      </c>
      <c r="M104" s="151">
        <f>IF(ISNUMBER(INDEX('M03-S04'!$AN$18:$AN$198,2*(ROWS($M$97:M104)-1)+1)),INDEX('M03-S04'!$AJ$18:$AJ$198,2*(ROWS($M$97:M104)-1)+1),0)</f>
        <v>0</v>
      </c>
      <c r="N104" s="189">
        <f>IF(ISNUMBER(INDEX('M03-S04'!$AN$18:$AN$198,2*(ROWS($M$97:M104)-1)+1)),IFERROR(INDEX('M03-S04'!$AV$18:$AV$198,2*(ROWS($N$97:N104)-1)+1),0),0)</f>
        <v>0</v>
      </c>
      <c r="O104" s="61">
        <f>IF(ISNUMBER(INDEX('M03-S04'!$AN$18:$AN$198,2*(ROWS($M$97:M104)-1)+1)),IFERROR(INDEX('M03-S04'!$AN$18:$AN$198,2*(ROWS($O$97:O104)-1)+1)*INCENTCAPADJ,""),0)</f>
        <v>0</v>
      </c>
      <c r="P104" s="151" t="str">
        <f>IFERROR(IF(NOT(ISNUMBER(INDEX('M03-S04'!$AN$18:$AN$198,2*(ROWS($O$97:O104)-1)+1))),INDEX('M03-S04'!$AJ$18:$AJ$198,2*(ROWS($M$97:M104)-1)+1),0),0)</f>
        <v/>
      </c>
      <c r="Q104" s="189" t="str">
        <f>IFERROR(IF(NOT(ISNUMBER(INDEX('M03-S04'!$AN$18:$AN$198,2*(ROWS($O$97:O104)-1)+1))),INDEX('M03-S04'!$AV$18:$AV$198,2*(ROWS($N$97:N104)-1)+1),0),0)</f>
        <v/>
      </c>
      <c r="R104" t="str">
        <f>IFERROR(IF(NOT(ISNUMBER(INDEX('M03-S04'!$AN$18:$AN$198,2*(ROWS($O$97:O104)-1)+1))),"Not Eligible",""),"")</f>
        <v>Not Eligible</v>
      </c>
      <c r="S104" s="156">
        <f>INDEX('M03-S04'!$K$18:$K$198,2*(ROWS($S$97:S104)-1)+1)</f>
        <v>0</v>
      </c>
      <c r="T104" s="156">
        <f>INDEX('M03-S04'!$V$18:$V$198,2*(ROWS($T$97:T104)-1)+1)</f>
        <v>0</v>
      </c>
      <c r="U104" s="151">
        <f>INDEX('M03-S04'!$B$18:$B$198,2*(ROWS($U$97:U104)-1)+1)</f>
        <v>8</v>
      </c>
      <c r="V104" s="58" t="str">
        <f>CONCATENATE(INDEX('M03-S04'!$C$18:$C$198,2*(ROWS($V$97:V104)-1)+1)," ",INDEX('M03-S04'!$F$18:$F$198,2*(ROWS($V$97:V104)-1)+1))</f>
        <v xml:space="preserve"> </v>
      </c>
      <c r="W104" s="58" t="str">
        <f>INDEX('M03-S04'!$M$18:$M$198,2*(ROWS($W$97:W104)-1)+1)</f>
        <v/>
      </c>
      <c r="X104" s="135"/>
      <c r="Y104">
        <f>INDEX('M03-S04'!$P$18:$P$198,2*(ROWS($Y$97:Y104)-1)+1)</f>
        <v>0</v>
      </c>
      <c r="Z104" s="61">
        <f>IFERROR(INDEX('M03-S04'!$AD$18:$AD$198,2*(ROWS(Z$97:$Z104)-1)+1)/INDEX('M03-S04'!$AB$18:$AB$198,2*(ROWS(Z$97:$Z104)-1)+1),0)</f>
        <v>0</v>
      </c>
      <c r="AA104" s="135"/>
      <c r="AB104" s="135"/>
      <c r="AC104" s="135"/>
      <c r="AD104" s="135"/>
      <c r="AE104" s="151">
        <f>IFERROR(IF(NOT(ISNUMBER(INDEX('M03-S04'!$AN$18:$AN$198,2*(ROWS($AE$97:AE104)-1)+1))),INDEX('M03-S04'!$T$18:$T$198,2*(ROWS($AE$97:AE104)-1)+1),0),0)</f>
        <v>0</v>
      </c>
      <c r="AF104" s="151" t="str">
        <f>INDEX('M03-S04'!$AW$18:$AW$198,2*(ROWS($AF$97:AF104)-1)+1)</f>
        <v/>
      </c>
      <c r="AG104" s="151" t="str">
        <f>INDEX('M03-S04'!$AX$18:$AX$198,2*(ROWS($AG$97:AG104)-1)+1)</f>
        <v/>
      </c>
      <c r="AH104" s="151" t="str">
        <f t="shared" si="26"/>
        <v/>
      </c>
      <c r="AI104" s="151" t="str">
        <f t="shared" si="27"/>
        <v/>
      </c>
      <c r="AJ104" s="61" t="str">
        <f t="shared" si="28"/>
        <v/>
      </c>
      <c r="AK104" s="61" t="str">
        <f t="shared" si="29"/>
        <v/>
      </c>
      <c r="AL104" s="61" t="str">
        <f t="shared" si="30"/>
        <v/>
      </c>
      <c r="AM104" s="154"/>
      <c r="AN104" s="61" t="str">
        <f t="shared" si="31"/>
        <v/>
      </c>
      <c r="AO104" s="151">
        <f>INDEX('M03-S04'!$I$18:$I$198,2*(ROWS($AO$97:AO104)-1)+1)</f>
        <v>0</v>
      </c>
      <c r="AP104" s="151">
        <f>INDEX('M03-S04'!$AD$18:$AD$198,2*(ROWS($AP$97:AP104)-1)+1)</f>
        <v>0</v>
      </c>
      <c r="AQ104" s="61" t="str">
        <f>IF(INDEX('M03-S04'!$AJ$18:$AJ$198,2*(ROWS($AQ$97:AQ104)-1)+1)="","",IF(AND(INDEX('M03-S04'!$AJ$18:$AJ$198,2*(ROWS($AQ$97:AQ104)-1)+1)&lt;&gt;"",OR(ISNUMBER(SEARCH("AC With",M02S02F32)),M02S02F32="Heat Pump")),LIGHTHEATCOIN,1))</f>
        <v/>
      </c>
      <c r="AR104" s="414">
        <f>(IF(INDEX('M03-S04'!$AN$18:$AN$198,2*(ROWS($O$97:O104)-1)+1)=INDEX('M03-S04'!$BJ$18:$BJ$198,2*(ROWS($O$97:O104)-1)+1),0,(INDEX('M03-S04'!$BI$18:$BI$198,2*(ROWS($O$97:O104)-1)+1)-INDEX('M03-S04'!$BJ$18:$BJ$198,2*(ROWS($O$97:O104)-1)+1))))*INCENTCAPADJ</f>
        <v>0</v>
      </c>
    </row>
    <row r="105" spans="1:44" x14ac:dyDescent="0.25">
      <c r="A105" s="66">
        <f t="shared" si="24"/>
        <v>0</v>
      </c>
      <c r="B105" s="66" t="str">
        <f t="shared" si="25"/>
        <v/>
      </c>
      <c r="C105" s="66" t="str">
        <f>IFERROR(IF(J105&gt;0,INDEX('M03-S04'!$BB$18:$BB$198,2*(ROWS($C$97:C105)-1)+1),""),"")</f>
        <v/>
      </c>
      <c r="D105" t="s">
        <v>1096</v>
      </c>
      <c r="E105" t="str">
        <f>IFERROR(INDEX(PMELIGHTINCAN[End Use Category],MATCH(INDEX('M03-S04'!$BA$18:$BA$198,2*(ROWS($E$97:E105)-1)+1),PMELIGHTINCAN[Measure Validator],0)),"")</f>
        <v/>
      </c>
      <c r="F105" s="151" t="str">
        <f>INDEX('M03-S04'!$AB$18:$AB$198,2*(ROWS($F$97:F105)-1)+1)</f>
        <v/>
      </c>
      <c r="G105">
        <f>INDEX('M03-S04'!$X$18:$X$198,2*(ROWS($G$97:G105)-1)+1)</f>
        <v>0</v>
      </c>
      <c r="H105" s="61">
        <f>ROUND(INDEX('M03-S04'!$T$18:$T$198,2*(ROWS($H$97:H105)-1)+1)*INDEX('M03-S04'!$AF$18:$AF$198,2*(ROWS($H$97:H105)-1)+1),2)</f>
        <v>0</v>
      </c>
      <c r="I105" s="61">
        <f>ROUND(INDEX('M03-S04'!$T$18:$T$198,2*(ROWS($I$97:I105)-1)+1)*INDEX('M03-S04'!$AH$18:$AH$198,2*(ROWS($H$97:H105)-1)+1),2)</f>
        <v>0</v>
      </c>
      <c r="J105" s="61" t="str">
        <f>INDEX('M03-S04'!$AU$18:$AU$198,2*(ROWS($J$97:J105)-1)+1)</f>
        <v/>
      </c>
      <c r="K105" t="s">
        <v>119</v>
      </c>
      <c r="L105" s="151">
        <f>IF(ISNUMBER(INDEX('M03-S04'!$AN$18:$AN$198,2*(ROWS($L$97:L105)-1)+1)),INDEX('M03-S04'!$T$18:$T$198,2*(ROWS($L$97:L105)-1)+1),0)</f>
        <v>0</v>
      </c>
      <c r="M105" s="151">
        <f>IF(ISNUMBER(INDEX('M03-S04'!$AN$18:$AN$198,2*(ROWS($M$97:M105)-1)+1)),INDEX('M03-S04'!$AJ$18:$AJ$198,2*(ROWS($M$97:M105)-1)+1),0)</f>
        <v>0</v>
      </c>
      <c r="N105" s="189">
        <f>IF(ISNUMBER(INDEX('M03-S04'!$AN$18:$AN$198,2*(ROWS($M$97:M105)-1)+1)),IFERROR(INDEX('M03-S04'!$AV$18:$AV$198,2*(ROWS($N$97:N105)-1)+1),0),0)</f>
        <v>0</v>
      </c>
      <c r="O105" s="61">
        <f>IF(ISNUMBER(INDEX('M03-S04'!$AN$18:$AN$198,2*(ROWS($M$97:M105)-1)+1)),IFERROR(INDEX('M03-S04'!$AN$18:$AN$198,2*(ROWS($O$97:O105)-1)+1)*INCENTCAPADJ,""),0)</f>
        <v>0</v>
      </c>
      <c r="P105" s="151" t="str">
        <f>IFERROR(IF(NOT(ISNUMBER(INDEX('M03-S04'!$AN$18:$AN$198,2*(ROWS($O$97:O105)-1)+1))),INDEX('M03-S04'!$AJ$18:$AJ$198,2*(ROWS($M$97:M105)-1)+1),0),0)</f>
        <v/>
      </c>
      <c r="Q105" s="189" t="str">
        <f>IFERROR(IF(NOT(ISNUMBER(INDEX('M03-S04'!$AN$18:$AN$198,2*(ROWS($O$97:O105)-1)+1))),INDEX('M03-S04'!$AV$18:$AV$198,2*(ROWS($N$97:N105)-1)+1),0),0)</f>
        <v/>
      </c>
      <c r="R105" t="str">
        <f>IFERROR(IF(NOT(ISNUMBER(INDEX('M03-S04'!$AN$18:$AN$198,2*(ROWS($O$97:O105)-1)+1))),"Not Eligible",""),"")</f>
        <v>Not Eligible</v>
      </c>
      <c r="S105" s="156">
        <f>INDEX('M03-S04'!$K$18:$K$198,2*(ROWS($S$97:S105)-1)+1)</f>
        <v>0</v>
      </c>
      <c r="T105" s="156">
        <f>INDEX('M03-S04'!$V$18:$V$198,2*(ROWS($T$97:T105)-1)+1)</f>
        <v>0</v>
      </c>
      <c r="U105" s="151">
        <f>INDEX('M03-S04'!$B$18:$B$198,2*(ROWS($U$97:U105)-1)+1)</f>
        <v>9</v>
      </c>
      <c r="V105" s="58" t="str">
        <f>CONCATENATE(INDEX('M03-S04'!$C$18:$C$198,2*(ROWS($V$97:V105)-1)+1)," ",INDEX('M03-S04'!$F$18:$F$198,2*(ROWS($V$97:V105)-1)+1))</f>
        <v xml:space="preserve"> </v>
      </c>
      <c r="W105" s="58" t="str">
        <f>INDEX('M03-S04'!$M$18:$M$198,2*(ROWS($W$97:W105)-1)+1)</f>
        <v/>
      </c>
      <c r="X105" s="135"/>
      <c r="Y105">
        <f>INDEX('M03-S04'!$P$18:$P$198,2*(ROWS($Y$97:Y105)-1)+1)</f>
        <v>0</v>
      </c>
      <c r="Z105" s="61">
        <f>IFERROR(INDEX('M03-S04'!$AD$18:$AD$198,2*(ROWS(Z$97:$Z105)-1)+1)/INDEX('M03-S04'!$AB$18:$AB$198,2*(ROWS(Z$97:$Z105)-1)+1),0)</f>
        <v>0</v>
      </c>
      <c r="AA105" s="135"/>
      <c r="AB105" s="135"/>
      <c r="AC105" s="135"/>
      <c r="AD105" s="135"/>
      <c r="AE105" s="151">
        <f>IFERROR(IF(NOT(ISNUMBER(INDEX('M03-S04'!$AN$18:$AN$198,2*(ROWS($AE$97:AE105)-1)+1))),INDEX('M03-S04'!$T$18:$T$198,2*(ROWS($AE$97:AE105)-1)+1),0),0)</f>
        <v>0</v>
      </c>
      <c r="AF105" s="151" t="str">
        <f>INDEX('M03-S04'!$AW$18:$AW$198,2*(ROWS($AF$97:AF105)-1)+1)</f>
        <v/>
      </c>
      <c r="AG105" s="151" t="str">
        <f>INDEX('M03-S04'!$AX$18:$AX$198,2*(ROWS($AG$97:AG105)-1)+1)</f>
        <v/>
      </c>
      <c r="AH105" s="151" t="str">
        <f t="shared" si="26"/>
        <v/>
      </c>
      <c r="AI105" s="151" t="str">
        <f t="shared" si="27"/>
        <v/>
      </c>
      <c r="AJ105" s="61" t="str">
        <f t="shared" si="28"/>
        <v/>
      </c>
      <c r="AK105" s="61" t="str">
        <f t="shared" si="29"/>
        <v/>
      </c>
      <c r="AL105" s="61" t="str">
        <f t="shared" si="30"/>
        <v/>
      </c>
      <c r="AM105" s="154"/>
      <c r="AN105" s="61" t="str">
        <f t="shared" si="31"/>
        <v/>
      </c>
      <c r="AO105" s="151">
        <f>INDEX('M03-S04'!$I$18:$I$198,2*(ROWS($AO$97:AO105)-1)+1)</f>
        <v>0</v>
      </c>
      <c r="AP105" s="151">
        <f>INDEX('M03-S04'!$AD$18:$AD$198,2*(ROWS($AP$97:AP105)-1)+1)</f>
        <v>0</v>
      </c>
      <c r="AQ105" s="61" t="str">
        <f>IF(INDEX('M03-S04'!$AJ$18:$AJ$198,2*(ROWS($AQ$97:AQ105)-1)+1)="","",IF(AND(INDEX('M03-S04'!$AJ$18:$AJ$198,2*(ROWS($AQ$97:AQ105)-1)+1)&lt;&gt;"",OR(ISNUMBER(SEARCH("AC With",M02S02F32)),M02S02F32="Heat Pump")),LIGHTHEATCOIN,1))</f>
        <v/>
      </c>
      <c r="AR105" s="414">
        <f>(IF(INDEX('M03-S04'!$AN$18:$AN$198,2*(ROWS($O$97:O105)-1)+1)=INDEX('M03-S04'!$BJ$18:$BJ$198,2*(ROWS($O$97:O105)-1)+1),0,(INDEX('M03-S04'!$BI$18:$BI$198,2*(ROWS($O$97:O105)-1)+1)-INDEX('M03-S04'!$BJ$18:$BJ$198,2*(ROWS($O$97:O105)-1)+1))))*INCENTCAPADJ</f>
        <v>0</v>
      </c>
    </row>
    <row r="106" spans="1:44" x14ac:dyDescent="0.25">
      <c r="A106" s="66">
        <f t="shared" si="24"/>
        <v>0</v>
      </c>
      <c r="B106" s="66" t="str">
        <f t="shared" si="25"/>
        <v/>
      </c>
      <c r="C106" s="66" t="str">
        <f>IFERROR(IF(J106&gt;0,INDEX('M03-S04'!$BB$18:$BB$198,2*(ROWS($C$97:C106)-1)+1),""),"")</f>
        <v/>
      </c>
      <c r="D106" t="s">
        <v>1096</v>
      </c>
      <c r="E106" t="str">
        <f>IFERROR(INDEX(PMELIGHTINCAN[End Use Category],MATCH(INDEX('M03-S04'!$BA$18:$BA$198,2*(ROWS($E$97:E106)-1)+1),PMELIGHTINCAN[Measure Validator],0)),"")</f>
        <v/>
      </c>
      <c r="F106" s="151" t="str">
        <f>INDEX('M03-S04'!$AB$18:$AB$198,2*(ROWS($F$97:F106)-1)+1)</f>
        <v/>
      </c>
      <c r="G106">
        <f>INDEX('M03-S04'!$X$18:$X$198,2*(ROWS($G$97:G106)-1)+1)</f>
        <v>0</v>
      </c>
      <c r="H106" s="61">
        <f>ROUND(INDEX('M03-S04'!$T$18:$T$198,2*(ROWS($H$97:H106)-1)+1)*INDEX('M03-S04'!$AF$18:$AF$198,2*(ROWS($H$97:H106)-1)+1),2)</f>
        <v>0</v>
      </c>
      <c r="I106" s="61">
        <f>ROUND(INDEX('M03-S04'!$T$18:$T$198,2*(ROWS($I$97:I106)-1)+1)*INDEX('M03-S04'!$AH$18:$AH$198,2*(ROWS($H$97:H106)-1)+1),2)</f>
        <v>0</v>
      </c>
      <c r="J106" s="61" t="str">
        <f>INDEX('M03-S04'!$AU$18:$AU$198,2*(ROWS($J$97:J106)-1)+1)</f>
        <v/>
      </c>
      <c r="K106" t="s">
        <v>119</v>
      </c>
      <c r="L106" s="151">
        <f>IF(ISNUMBER(INDEX('M03-S04'!$AN$18:$AN$198,2*(ROWS($L$97:L106)-1)+1)),INDEX('M03-S04'!$T$18:$T$198,2*(ROWS($L$97:L106)-1)+1),0)</f>
        <v>0</v>
      </c>
      <c r="M106" s="151">
        <f>IF(ISNUMBER(INDEX('M03-S04'!$AN$18:$AN$198,2*(ROWS($M$97:M106)-1)+1)),INDEX('M03-S04'!$AJ$18:$AJ$198,2*(ROWS($M$97:M106)-1)+1),0)</f>
        <v>0</v>
      </c>
      <c r="N106" s="189">
        <f>IF(ISNUMBER(INDEX('M03-S04'!$AN$18:$AN$198,2*(ROWS($M$97:M106)-1)+1)),IFERROR(INDEX('M03-S04'!$AV$18:$AV$198,2*(ROWS($N$97:N106)-1)+1),0),0)</f>
        <v>0</v>
      </c>
      <c r="O106" s="61">
        <f>IF(ISNUMBER(INDEX('M03-S04'!$AN$18:$AN$198,2*(ROWS($M$97:M106)-1)+1)),IFERROR(INDEX('M03-S04'!$AN$18:$AN$198,2*(ROWS($O$97:O106)-1)+1)*INCENTCAPADJ,""),0)</f>
        <v>0</v>
      </c>
      <c r="P106" s="151" t="str">
        <f>IFERROR(IF(NOT(ISNUMBER(INDEX('M03-S04'!$AN$18:$AN$198,2*(ROWS($O$97:O106)-1)+1))),INDEX('M03-S04'!$AJ$18:$AJ$198,2*(ROWS($M$97:M106)-1)+1),0),0)</f>
        <v/>
      </c>
      <c r="Q106" s="189" t="str">
        <f>IFERROR(IF(NOT(ISNUMBER(INDEX('M03-S04'!$AN$18:$AN$198,2*(ROWS($O$97:O106)-1)+1))),INDEX('M03-S04'!$AV$18:$AV$198,2*(ROWS($N$97:N106)-1)+1),0),0)</f>
        <v/>
      </c>
      <c r="R106" t="str">
        <f>IFERROR(IF(NOT(ISNUMBER(INDEX('M03-S04'!$AN$18:$AN$198,2*(ROWS($O$97:O106)-1)+1))),"Not Eligible",""),"")</f>
        <v>Not Eligible</v>
      </c>
      <c r="S106" s="156">
        <f>INDEX('M03-S04'!$K$18:$K$198,2*(ROWS($S$97:S106)-1)+1)</f>
        <v>0</v>
      </c>
      <c r="T106" s="156">
        <f>INDEX('M03-S04'!$V$18:$V$198,2*(ROWS($T$97:T106)-1)+1)</f>
        <v>0</v>
      </c>
      <c r="U106" s="151">
        <f>INDEX('M03-S04'!$B$18:$B$198,2*(ROWS($U$97:U106)-1)+1)</f>
        <v>10</v>
      </c>
      <c r="V106" s="58" t="str">
        <f>CONCATENATE(INDEX('M03-S04'!$C$18:$C$198,2*(ROWS($V$97:V106)-1)+1)," ",INDEX('M03-S04'!$F$18:$F$198,2*(ROWS($V$97:V106)-1)+1))</f>
        <v xml:space="preserve"> </v>
      </c>
      <c r="W106" s="58" t="str">
        <f>INDEX('M03-S04'!$M$18:$M$198,2*(ROWS($W$97:W106)-1)+1)</f>
        <v/>
      </c>
      <c r="X106" s="135"/>
      <c r="Y106">
        <f>INDEX('M03-S04'!$P$18:$P$198,2*(ROWS($Y$97:Y106)-1)+1)</f>
        <v>0</v>
      </c>
      <c r="Z106" s="61">
        <f>IFERROR(INDEX('M03-S04'!$AD$18:$AD$198,2*(ROWS(Z$97:$Z106)-1)+1)/INDEX('M03-S04'!$AB$18:$AB$198,2*(ROWS(Z$97:$Z106)-1)+1),0)</f>
        <v>0</v>
      </c>
      <c r="AA106" s="135"/>
      <c r="AB106" s="135"/>
      <c r="AC106" s="135"/>
      <c r="AD106" s="135"/>
      <c r="AE106" s="151">
        <f>IFERROR(IF(NOT(ISNUMBER(INDEX('M03-S04'!$AN$18:$AN$198,2*(ROWS($AE$97:AE106)-1)+1))),INDEX('M03-S04'!$T$18:$T$198,2*(ROWS($AE$97:AE106)-1)+1),0),0)</f>
        <v>0</v>
      </c>
      <c r="AF106" s="151" t="str">
        <f>INDEX('M03-S04'!$AW$18:$AW$198,2*(ROWS($AF$97:AF106)-1)+1)</f>
        <v/>
      </c>
      <c r="AG106" s="151" t="str">
        <f>INDEX('M03-S04'!$AX$18:$AX$198,2*(ROWS($AG$97:AG106)-1)+1)</f>
        <v/>
      </c>
      <c r="AH106" s="151" t="str">
        <f t="shared" si="26"/>
        <v/>
      </c>
      <c r="AI106" s="151" t="str">
        <f t="shared" si="27"/>
        <v/>
      </c>
      <c r="AJ106" s="61" t="str">
        <f t="shared" si="28"/>
        <v/>
      </c>
      <c r="AK106" s="61" t="str">
        <f t="shared" si="29"/>
        <v/>
      </c>
      <c r="AL106" s="61" t="str">
        <f t="shared" si="30"/>
        <v/>
      </c>
      <c r="AM106" s="154"/>
      <c r="AN106" s="61" t="str">
        <f t="shared" si="31"/>
        <v/>
      </c>
      <c r="AO106" s="151">
        <f>INDEX('M03-S04'!$I$18:$I$198,2*(ROWS($AO$97:AO106)-1)+1)</f>
        <v>0</v>
      </c>
      <c r="AP106" s="151">
        <f>INDEX('M03-S04'!$AD$18:$AD$198,2*(ROWS($AP$97:AP106)-1)+1)</f>
        <v>0</v>
      </c>
      <c r="AQ106" s="61" t="str">
        <f>IF(INDEX('M03-S04'!$AJ$18:$AJ$198,2*(ROWS($AQ$97:AQ106)-1)+1)="","",IF(AND(INDEX('M03-S04'!$AJ$18:$AJ$198,2*(ROWS($AQ$97:AQ106)-1)+1)&lt;&gt;"",OR(ISNUMBER(SEARCH("AC With",M02S02F32)),M02S02F32="Heat Pump")),LIGHTHEATCOIN,1))</f>
        <v/>
      </c>
      <c r="AR106" s="414">
        <f>(IF(INDEX('M03-S04'!$AN$18:$AN$198,2*(ROWS($O$97:O106)-1)+1)=INDEX('M03-S04'!$BJ$18:$BJ$198,2*(ROWS($O$97:O106)-1)+1),0,(INDEX('M03-S04'!$BI$18:$BI$198,2*(ROWS($O$97:O106)-1)+1)-INDEX('M03-S04'!$BJ$18:$BJ$198,2*(ROWS($O$97:O106)-1)+1))))*INCENTCAPADJ</f>
        <v>0</v>
      </c>
    </row>
    <row r="107" spans="1:44" x14ac:dyDescent="0.25">
      <c r="A107" s="66">
        <f t="shared" si="24"/>
        <v>0</v>
      </c>
      <c r="B107" s="66" t="str">
        <f t="shared" si="25"/>
        <v/>
      </c>
      <c r="C107" s="66" t="str">
        <f>IFERROR(IF(J107&gt;0,INDEX('M03-S04'!$BB$18:$BB$198,2*(ROWS($C$97:C107)-1)+1),""),"")</f>
        <v/>
      </c>
      <c r="D107" t="s">
        <v>1096</v>
      </c>
      <c r="E107" t="str">
        <f>IFERROR(INDEX(PMELIGHTINCAN[End Use Category],MATCH(INDEX('M03-S04'!$BA$18:$BA$198,2*(ROWS($E$97:E107)-1)+1),PMELIGHTINCAN[Measure Validator],0)),"")</f>
        <v/>
      </c>
      <c r="F107" s="151" t="str">
        <f>INDEX('M03-S04'!$AB$18:$AB$198,2*(ROWS($F$97:F107)-1)+1)</f>
        <v/>
      </c>
      <c r="G107">
        <f>INDEX('M03-S04'!$X$18:$X$198,2*(ROWS($G$97:G107)-1)+1)</f>
        <v>0</v>
      </c>
      <c r="H107" s="61">
        <f>ROUND(INDEX('M03-S04'!$T$18:$T$198,2*(ROWS($H$97:H107)-1)+1)*INDEX('M03-S04'!$AF$18:$AF$198,2*(ROWS($H$97:H107)-1)+1),2)</f>
        <v>0</v>
      </c>
      <c r="I107" s="61">
        <f>ROUND(INDEX('M03-S04'!$T$18:$T$198,2*(ROWS($I$97:I107)-1)+1)*INDEX('M03-S04'!$AH$18:$AH$198,2*(ROWS($H$97:H107)-1)+1),2)</f>
        <v>0</v>
      </c>
      <c r="J107" s="61" t="str">
        <f>INDEX('M03-S04'!$AU$18:$AU$198,2*(ROWS($J$97:J107)-1)+1)</f>
        <v/>
      </c>
      <c r="K107" t="s">
        <v>119</v>
      </c>
      <c r="L107" s="151">
        <f>IF(ISNUMBER(INDEX('M03-S04'!$AN$18:$AN$198,2*(ROWS($L$97:L107)-1)+1)),INDEX('M03-S04'!$T$18:$T$198,2*(ROWS($L$97:L107)-1)+1),0)</f>
        <v>0</v>
      </c>
      <c r="M107" s="151">
        <f>IF(ISNUMBER(INDEX('M03-S04'!$AN$18:$AN$198,2*(ROWS($M$97:M107)-1)+1)),INDEX('M03-S04'!$AJ$18:$AJ$198,2*(ROWS($M$97:M107)-1)+1),0)</f>
        <v>0</v>
      </c>
      <c r="N107" s="189">
        <f>IF(ISNUMBER(INDEX('M03-S04'!$AN$18:$AN$198,2*(ROWS($M$97:M107)-1)+1)),IFERROR(INDEX('M03-S04'!$AV$18:$AV$198,2*(ROWS($N$97:N107)-1)+1),0),0)</f>
        <v>0</v>
      </c>
      <c r="O107" s="61">
        <f>IF(ISNUMBER(INDEX('M03-S04'!$AN$18:$AN$198,2*(ROWS($M$97:M107)-1)+1)),IFERROR(INDEX('M03-S04'!$AN$18:$AN$198,2*(ROWS($O$97:O107)-1)+1)*INCENTCAPADJ,""),0)</f>
        <v>0</v>
      </c>
      <c r="P107" s="151" t="str">
        <f>IFERROR(IF(NOT(ISNUMBER(INDEX('M03-S04'!$AN$18:$AN$198,2*(ROWS($O$97:O107)-1)+1))),INDEX('M03-S04'!$AJ$18:$AJ$198,2*(ROWS($M$97:M107)-1)+1),0),0)</f>
        <v/>
      </c>
      <c r="Q107" s="189" t="str">
        <f>IFERROR(IF(NOT(ISNUMBER(INDEX('M03-S04'!$AN$18:$AN$198,2*(ROWS($O$97:O107)-1)+1))),INDEX('M03-S04'!$AV$18:$AV$198,2*(ROWS($N$97:N107)-1)+1),0),0)</f>
        <v/>
      </c>
      <c r="R107" t="str">
        <f>IFERROR(IF(NOT(ISNUMBER(INDEX('M03-S04'!$AN$18:$AN$198,2*(ROWS($O$97:O107)-1)+1))),"Not Eligible",""),"")</f>
        <v>Not Eligible</v>
      </c>
      <c r="S107" s="156">
        <f>INDEX('M03-S04'!$K$18:$K$198,2*(ROWS($S$97:S107)-1)+1)</f>
        <v>0</v>
      </c>
      <c r="T107" s="156">
        <f>INDEX('M03-S04'!$V$18:$V$198,2*(ROWS($T$97:T107)-1)+1)</f>
        <v>0</v>
      </c>
      <c r="U107" s="151">
        <f>INDEX('M03-S04'!$B$18:$B$198,2*(ROWS($U$97:U107)-1)+1)</f>
        <v>11</v>
      </c>
      <c r="V107" s="58" t="str">
        <f>CONCATENATE(INDEX('M03-S04'!$C$18:$C$198,2*(ROWS($V$97:V107)-1)+1)," ",INDEX('M03-S04'!$F$18:$F$198,2*(ROWS($V$97:V107)-1)+1))</f>
        <v xml:space="preserve"> </v>
      </c>
      <c r="W107" s="58" t="str">
        <f>INDEX('M03-S04'!$M$18:$M$198,2*(ROWS($W$97:W107)-1)+1)</f>
        <v/>
      </c>
      <c r="X107" s="135"/>
      <c r="Y107">
        <f>INDEX('M03-S04'!$P$18:$P$198,2*(ROWS($Y$97:Y107)-1)+1)</f>
        <v>0</v>
      </c>
      <c r="Z107" s="61">
        <f>IFERROR(INDEX('M03-S04'!$AD$18:$AD$198,2*(ROWS(Z$97:$Z107)-1)+1)/INDEX('M03-S04'!$AB$18:$AB$198,2*(ROWS(Z$97:$Z107)-1)+1),0)</f>
        <v>0</v>
      </c>
      <c r="AA107" s="135"/>
      <c r="AB107" s="135"/>
      <c r="AC107" s="135"/>
      <c r="AD107" s="135"/>
      <c r="AE107" s="151">
        <f>IFERROR(IF(NOT(ISNUMBER(INDEX('M03-S04'!$AN$18:$AN$198,2*(ROWS($AE$97:AE107)-1)+1))),INDEX('M03-S04'!$T$18:$T$198,2*(ROWS($AE$97:AE107)-1)+1),0),0)</f>
        <v>0</v>
      </c>
      <c r="AF107" s="151" t="str">
        <f>INDEX('M03-S04'!$AW$18:$AW$198,2*(ROWS($AF$97:AF107)-1)+1)</f>
        <v/>
      </c>
      <c r="AG107" s="151" t="str">
        <f>INDEX('M03-S04'!$AX$18:$AX$198,2*(ROWS($AG$97:AG107)-1)+1)</f>
        <v/>
      </c>
      <c r="AH107" s="151" t="str">
        <f t="shared" si="26"/>
        <v/>
      </c>
      <c r="AI107" s="151" t="str">
        <f t="shared" si="27"/>
        <v/>
      </c>
      <c r="AJ107" s="61" t="str">
        <f t="shared" si="28"/>
        <v/>
      </c>
      <c r="AK107" s="61" t="str">
        <f t="shared" si="29"/>
        <v/>
      </c>
      <c r="AL107" s="61" t="str">
        <f t="shared" si="30"/>
        <v/>
      </c>
      <c r="AM107" s="154"/>
      <c r="AN107" s="61" t="str">
        <f t="shared" si="31"/>
        <v/>
      </c>
      <c r="AO107" s="151">
        <f>INDEX('M03-S04'!$I$18:$I$198,2*(ROWS($AO$97:AO107)-1)+1)</f>
        <v>0</v>
      </c>
      <c r="AP107" s="151">
        <f>INDEX('M03-S04'!$AD$18:$AD$198,2*(ROWS($AP$97:AP107)-1)+1)</f>
        <v>0</v>
      </c>
      <c r="AQ107" s="61" t="str">
        <f>IF(INDEX('M03-S04'!$AJ$18:$AJ$198,2*(ROWS($AQ$97:AQ107)-1)+1)="","",IF(AND(INDEX('M03-S04'!$AJ$18:$AJ$198,2*(ROWS($AQ$97:AQ107)-1)+1)&lt;&gt;"",OR(ISNUMBER(SEARCH("AC With",M02S02F32)),M02S02F32="Heat Pump")),LIGHTHEATCOIN,1))</f>
        <v/>
      </c>
      <c r="AR107" s="414">
        <f>(IF(INDEX('M03-S04'!$AN$18:$AN$198,2*(ROWS($O$97:O107)-1)+1)=INDEX('M03-S04'!$BJ$18:$BJ$198,2*(ROWS($O$97:O107)-1)+1),0,(INDEX('M03-S04'!$BI$18:$BI$198,2*(ROWS($O$97:O107)-1)+1)-INDEX('M03-S04'!$BJ$18:$BJ$198,2*(ROWS($O$97:O107)-1)+1))))*INCENTCAPADJ</f>
        <v>0</v>
      </c>
    </row>
    <row r="108" spans="1:44" x14ac:dyDescent="0.25">
      <c r="A108" s="66">
        <f t="shared" si="24"/>
        <v>0</v>
      </c>
      <c r="B108" s="66" t="str">
        <f t="shared" si="25"/>
        <v/>
      </c>
      <c r="C108" s="66" t="str">
        <f>IFERROR(IF(J108&gt;0,INDEX('M03-S04'!$BB$18:$BB$198,2*(ROWS($C$97:C108)-1)+1),""),"")</f>
        <v/>
      </c>
      <c r="D108" t="s">
        <v>1096</v>
      </c>
      <c r="E108" t="str">
        <f>IFERROR(INDEX(PMELIGHTINCAN[End Use Category],MATCH(INDEX('M03-S04'!$BA$18:$BA$198,2*(ROWS($E$97:E108)-1)+1),PMELIGHTINCAN[Measure Validator],0)),"")</f>
        <v/>
      </c>
      <c r="F108" s="151" t="str">
        <f>INDEX('M03-S04'!$AB$18:$AB$198,2*(ROWS($F$97:F108)-1)+1)</f>
        <v/>
      </c>
      <c r="G108">
        <f>INDEX('M03-S04'!$X$18:$X$198,2*(ROWS($G$97:G108)-1)+1)</f>
        <v>0</v>
      </c>
      <c r="H108" s="61">
        <f>ROUND(INDEX('M03-S04'!$T$18:$T$198,2*(ROWS($H$97:H108)-1)+1)*INDEX('M03-S04'!$AF$18:$AF$198,2*(ROWS($H$97:H108)-1)+1),2)</f>
        <v>0</v>
      </c>
      <c r="I108" s="61">
        <f>ROUND(INDEX('M03-S04'!$T$18:$T$198,2*(ROWS($I$97:I108)-1)+1)*INDEX('M03-S04'!$AH$18:$AH$198,2*(ROWS($H$97:H108)-1)+1),2)</f>
        <v>0</v>
      </c>
      <c r="J108" s="61" t="str">
        <f>INDEX('M03-S04'!$AU$18:$AU$198,2*(ROWS($J$97:J108)-1)+1)</f>
        <v/>
      </c>
      <c r="K108" t="s">
        <v>119</v>
      </c>
      <c r="L108" s="151">
        <f>IF(ISNUMBER(INDEX('M03-S04'!$AN$18:$AN$198,2*(ROWS($L$97:L108)-1)+1)),INDEX('M03-S04'!$T$18:$T$198,2*(ROWS($L$97:L108)-1)+1),0)</f>
        <v>0</v>
      </c>
      <c r="M108" s="151">
        <f>IF(ISNUMBER(INDEX('M03-S04'!$AN$18:$AN$198,2*(ROWS($M$97:M108)-1)+1)),INDEX('M03-S04'!$AJ$18:$AJ$198,2*(ROWS($M$97:M108)-1)+1),0)</f>
        <v>0</v>
      </c>
      <c r="N108" s="189">
        <f>IF(ISNUMBER(INDEX('M03-S04'!$AN$18:$AN$198,2*(ROWS($M$97:M108)-1)+1)),IFERROR(INDEX('M03-S04'!$AV$18:$AV$198,2*(ROWS($N$97:N108)-1)+1),0),0)</f>
        <v>0</v>
      </c>
      <c r="O108" s="61">
        <f>IF(ISNUMBER(INDEX('M03-S04'!$AN$18:$AN$198,2*(ROWS($M$97:M108)-1)+1)),IFERROR(INDEX('M03-S04'!$AN$18:$AN$198,2*(ROWS($O$97:O108)-1)+1)*INCENTCAPADJ,""),0)</f>
        <v>0</v>
      </c>
      <c r="P108" s="151" t="str">
        <f>IFERROR(IF(NOT(ISNUMBER(INDEX('M03-S04'!$AN$18:$AN$198,2*(ROWS($O$97:O108)-1)+1))),INDEX('M03-S04'!$AJ$18:$AJ$198,2*(ROWS($M$97:M108)-1)+1),0),0)</f>
        <v/>
      </c>
      <c r="Q108" s="189" t="str">
        <f>IFERROR(IF(NOT(ISNUMBER(INDEX('M03-S04'!$AN$18:$AN$198,2*(ROWS($O$97:O108)-1)+1))),INDEX('M03-S04'!$AV$18:$AV$198,2*(ROWS($N$97:N108)-1)+1),0),0)</f>
        <v/>
      </c>
      <c r="R108" t="str">
        <f>IFERROR(IF(NOT(ISNUMBER(INDEX('M03-S04'!$AN$18:$AN$198,2*(ROWS($O$97:O108)-1)+1))),"Not Eligible",""),"")</f>
        <v>Not Eligible</v>
      </c>
      <c r="S108" s="156">
        <f>INDEX('M03-S04'!$K$18:$K$198,2*(ROWS($S$97:S108)-1)+1)</f>
        <v>0</v>
      </c>
      <c r="T108" s="156">
        <f>INDEX('M03-S04'!$V$18:$V$198,2*(ROWS($T$97:T108)-1)+1)</f>
        <v>0</v>
      </c>
      <c r="U108" s="151">
        <f>INDEX('M03-S04'!$B$18:$B$198,2*(ROWS($U$97:U108)-1)+1)</f>
        <v>12</v>
      </c>
      <c r="V108" s="58" t="str">
        <f>CONCATENATE(INDEX('M03-S04'!$C$18:$C$198,2*(ROWS($V$97:V108)-1)+1)," ",INDEX('M03-S04'!$F$18:$F$198,2*(ROWS($V$97:V108)-1)+1))</f>
        <v xml:space="preserve"> </v>
      </c>
      <c r="W108" s="58" t="str">
        <f>INDEX('M03-S04'!$M$18:$M$198,2*(ROWS($W$97:W108)-1)+1)</f>
        <v/>
      </c>
      <c r="X108" s="135"/>
      <c r="Y108">
        <f>INDEX('M03-S04'!$P$18:$P$198,2*(ROWS($Y$97:Y108)-1)+1)</f>
        <v>0</v>
      </c>
      <c r="Z108" s="61">
        <f>IFERROR(INDEX('M03-S04'!$AD$18:$AD$198,2*(ROWS(Z$97:$Z108)-1)+1)/INDEX('M03-S04'!$AB$18:$AB$198,2*(ROWS(Z$97:$Z108)-1)+1),0)</f>
        <v>0</v>
      </c>
      <c r="AA108" s="135"/>
      <c r="AB108" s="135"/>
      <c r="AC108" s="135"/>
      <c r="AD108" s="135"/>
      <c r="AE108" s="151">
        <f>IFERROR(IF(NOT(ISNUMBER(INDEX('M03-S04'!$AN$18:$AN$198,2*(ROWS($AE$97:AE108)-1)+1))),INDEX('M03-S04'!$T$18:$T$198,2*(ROWS($AE$97:AE108)-1)+1),0),0)</f>
        <v>0</v>
      </c>
      <c r="AF108" s="151" t="str">
        <f>INDEX('M03-S04'!$AW$18:$AW$198,2*(ROWS($AF$97:AF108)-1)+1)</f>
        <v/>
      </c>
      <c r="AG108" s="151" t="str">
        <f>INDEX('M03-S04'!$AX$18:$AX$198,2*(ROWS($AG$97:AG108)-1)+1)</f>
        <v/>
      </c>
      <c r="AH108" s="151" t="str">
        <f t="shared" si="26"/>
        <v/>
      </c>
      <c r="AI108" s="151" t="str">
        <f t="shared" si="27"/>
        <v/>
      </c>
      <c r="AJ108" s="61" t="str">
        <f t="shared" si="28"/>
        <v/>
      </c>
      <c r="AK108" s="61" t="str">
        <f t="shared" si="29"/>
        <v/>
      </c>
      <c r="AL108" s="61" t="str">
        <f t="shared" si="30"/>
        <v/>
      </c>
      <c r="AM108" s="154"/>
      <c r="AN108" s="61" t="str">
        <f t="shared" si="31"/>
        <v/>
      </c>
      <c r="AO108" s="151">
        <f>INDEX('M03-S04'!$I$18:$I$198,2*(ROWS($AO$97:AO108)-1)+1)</f>
        <v>0</v>
      </c>
      <c r="AP108" s="151">
        <f>INDEX('M03-S04'!$AD$18:$AD$198,2*(ROWS($AP$97:AP108)-1)+1)</f>
        <v>0</v>
      </c>
      <c r="AQ108" s="61" t="str">
        <f>IF(INDEX('M03-S04'!$AJ$18:$AJ$198,2*(ROWS($AQ$97:AQ108)-1)+1)="","",IF(AND(INDEX('M03-S04'!$AJ$18:$AJ$198,2*(ROWS($AQ$97:AQ108)-1)+1)&lt;&gt;"",OR(ISNUMBER(SEARCH("AC With",M02S02F32)),M02S02F32="Heat Pump")),LIGHTHEATCOIN,1))</f>
        <v/>
      </c>
      <c r="AR108" s="414">
        <f>(IF(INDEX('M03-S04'!$AN$18:$AN$198,2*(ROWS($O$97:O108)-1)+1)=INDEX('M03-S04'!$BJ$18:$BJ$198,2*(ROWS($O$97:O108)-1)+1),0,(INDEX('M03-S04'!$BI$18:$BI$198,2*(ROWS($O$97:O108)-1)+1)-INDEX('M03-S04'!$BJ$18:$BJ$198,2*(ROWS($O$97:O108)-1)+1))))*INCENTCAPADJ</f>
        <v>0</v>
      </c>
    </row>
    <row r="109" spans="1:44" x14ac:dyDescent="0.25">
      <c r="A109" s="66">
        <f t="shared" si="24"/>
        <v>0</v>
      </c>
      <c r="B109" s="66" t="str">
        <f t="shared" si="25"/>
        <v/>
      </c>
      <c r="C109" s="66" t="str">
        <f>IFERROR(IF(J109&gt;0,INDEX('M03-S04'!$BB$18:$BB$198,2*(ROWS($C$97:C109)-1)+1),""),"")</f>
        <v/>
      </c>
      <c r="D109" t="s">
        <v>1096</v>
      </c>
      <c r="E109" t="str">
        <f>IFERROR(INDEX(PMELIGHTINCAN[End Use Category],MATCH(INDEX('M03-S04'!$BA$18:$BA$198,2*(ROWS($E$97:E109)-1)+1),PMELIGHTINCAN[Measure Validator],0)),"")</f>
        <v/>
      </c>
      <c r="F109" s="151" t="str">
        <f>INDEX('M03-S04'!$AB$18:$AB$198,2*(ROWS($F$97:F109)-1)+1)</f>
        <v/>
      </c>
      <c r="G109">
        <f>INDEX('M03-S04'!$X$18:$X$198,2*(ROWS($G$97:G109)-1)+1)</f>
        <v>0</v>
      </c>
      <c r="H109" s="61">
        <f>ROUND(INDEX('M03-S04'!$T$18:$T$198,2*(ROWS($H$97:H109)-1)+1)*INDEX('M03-S04'!$AF$18:$AF$198,2*(ROWS($H$97:H109)-1)+1),2)</f>
        <v>0</v>
      </c>
      <c r="I109" s="61">
        <f>ROUND(INDEX('M03-S04'!$T$18:$T$198,2*(ROWS($I$97:I109)-1)+1)*INDEX('M03-S04'!$AH$18:$AH$198,2*(ROWS($H$97:H109)-1)+1),2)</f>
        <v>0</v>
      </c>
      <c r="J109" s="61" t="str">
        <f>INDEX('M03-S04'!$AU$18:$AU$198,2*(ROWS($J$97:J109)-1)+1)</f>
        <v/>
      </c>
      <c r="K109" t="s">
        <v>119</v>
      </c>
      <c r="L109" s="151">
        <f>IF(ISNUMBER(INDEX('M03-S04'!$AN$18:$AN$198,2*(ROWS($L$97:L109)-1)+1)),INDEX('M03-S04'!$T$18:$T$198,2*(ROWS($L$97:L109)-1)+1),0)</f>
        <v>0</v>
      </c>
      <c r="M109" s="151">
        <f>IF(ISNUMBER(INDEX('M03-S04'!$AN$18:$AN$198,2*(ROWS($M$97:M109)-1)+1)),INDEX('M03-S04'!$AJ$18:$AJ$198,2*(ROWS($M$97:M109)-1)+1),0)</f>
        <v>0</v>
      </c>
      <c r="N109" s="189">
        <f>IF(ISNUMBER(INDEX('M03-S04'!$AN$18:$AN$198,2*(ROWS($M$97:M109)-1)+1)),IFERROR(INDEX('M03-S04'!$AV$18:$AV$198,2*(ROWS($N$97:N109)-1)+1),0),0)</f>
        <v>0</v>
      </c>
      <c r="O109" s="61">
        <f>IF(ISNUMBER(INDEX('M03-S04'!$AN$18:$AN$198,2*(ROWS($M$97:M109)-1)+1)),IFERROR(INDEX('M03-S04'!$AN$18:$AN$198,2*(ROWS($O$97:O109)-1)+1)*INCENTCAPADJ,""),0)</f>
        <v>0</v>
      </c>
      <c r="P109" s="151" t="str">
        <f>IFERROR(IF(NOT(ISNUMBER(INDEX('M03-S04'!$AN$18:$AN$198,2*(ROWS($O$97:O109)-1)+1))),INDEX('M03-S04'!$AJ$18:$AJ$198,2*(ROWS($M$97:M109)-1)+1),0),0)</f>
        <v/>
      </c>
      <c r="Q109" s="189" t="str">
        <f>IFERROR(IF(NOT(ISNUMBER(INDEX('M03-S04'!$AN$18:$AN$198,2*(ROWS($O$97:O109)-1)+1))),INDEX('M03-S04'!$AV$18:$AV$198,2*(ROWS($N$97:N109)-1)+1),0),0)</f>
        <v/>
      </c>
      <c r="R109" t="str">
        <f>IFERROR(IF(NOT(ISNUMBER(INDEX('M03-S04'!$AN$18:$AN$198,2*(ROWS($O$97:O109)-1)+1))),"Not Eligible",""),"")</f>
        <v>Not Eligible</v>
      </c>
      <c r="S109" s="156">
        <f>INDEX('M03-S04'!$K$18:$K$198,2*(ROWS($S$97:S109)-1)+1)</f>
        <v>0</v>
      </c>
      <c r="T109" s="156">
        <f>INDEX('M03-S04'!$V$18:$V$198,2*(ROWS($T$97:T109)-1)+1)</f>
        <v>0</v>
      </c>
      <c r="U109" s="151">
        <f>INDEX('M03-S04'!$B$18:$B$198,2*(ROWS($U$97:U109)-1)+1)</f>
        <v>13</v>
      </c>
      <c r="V109" s="58" t="str">
        <f>CONCATENATE(INDEX('M03-S04'!$C$18:$C$198,2*(ROWS($V$97:V109)-1)+1)," ",INDEX('M03-S04'!$F$18:$F$198,2*(ROWS($V$97:V109)-1)+1))</f>
        <v xml:space="preserve"> </v>
      </c>
      <c r="W109" s="58" t="str">
        <f>INDEX('M03-S04'!$M$18:$M$198,2*(ROWS($W$97:W109)-1)+1)</f>
        <v/>
      </c>
      <c r="X109" s="135"/>
      <c r="Y109">
        <f>INDEX('M03-S04'!$P$18:$P$198,2*(ROWS($Y$97:Y109)-1)+1)</f>
        <v>0</v>
      </c>
      <c r="Z109" s="61">
        <f>IFERROR(INDEX('M03-S04'!$AD$18:$AD$198,2*(ROWS(Z$97:$Z109)-1)+1)/INDEX('M03-S04'!$AB$18:$AB$198,2*(ROWS(Z$97:$Z109)-1)+1),0)</f>
        <v>0</v>
      </c>
      <c r="AA109" s="135"/>
      <c r="AB109" s="135"/>
      <c r="AC109" s="135"/>
      <c r="AD109" s="135"/>
      <c r="AE109" s="151">
        <f>IFERROR(IF(NOT(ISNUMBER(INDEX('M03-S04'!$AN$18:$AN$198,2*(ROWS($AE$97:AE109)-1)+1))),INDEX('M03-S04'!$T$18:$T$198,2*(ROWS($AE$97:AE109)-1)+1),0),0)</f>
        <v>0</v>
      </c>
      <c r="AF109" s="151" t="str">
        <f>INDEX('M03-S04'!$AW$18:$AW$198,2*(ROWS($AF$97:AF109)-1)+1)</f>
        <v/>
      </c>
      <c r="AG109" s="151" t="str">
        <f>INDEX('M03-S04'!$AX$18:$AX$198,2*(ROWS($AG$97:AG109)-1)+1)</f>
        <v/>
      </c>
      <c r="AH109" s="151" t="str">
        <f t="shared" si="26"/>
        <v/>
      </c>
      <c r="AI109" s="151" t="str">
        <f t="shared" si="27"/>
        <v/>
      </c>
      <c r="AJ109" s="61" t="str">
        <f t="shared" si="28"/>
        <v/>
      </c>
      <c r="AK109" s="61" t="str">
        <f t="shared" si="29"/>
        <v/>
      </c>
      <c r="AL109" s="61" t="str">
        <f t="shared" si="30"/>
        <v/>
      </c>
      <c r="AM109" s="154"/>
      <c r="AN109" s="61" t="str">
        <f t="shared" si="31"/>
        <v/>
      </c>
      <c r="AO109" s="151">
        <f>INDEX('M03-S04'!$I$18:$I$198,2*(ROWS($AO$97:AO109)-1)+1)</f>
        <v>0</v>
      </c>
      <c r="AP109" s="151">
        <f>INDEX('M03-S04'!$AD$18:$AD$198,2*(ROWS($AP$97:AP109)-1)+1)</f>
        <v>0</v>
      </c>
      <c r="AQ109" s="61" t="str">
        <f>IF(INDEX('M03-S04'!$AJ$18:$AJ$198,2*(ROWS($AQ$97:AQ109)-1)+1)="","",IF(AND(INDEX('M03-S04'!$AJ$18:$AJ$198,2*(ROWS($AQ$97:AQ109)-1)+1)&lt;&gt;"",OR(ISNUMBER(SEARCH("AC With",M02S02F32)),M02S02F32="Heat Pump")),LIGHTHEATCOIN,1))</f>
        <v/>
      </c>
      <c r="AR109" s="414">
        <f>(IF(INDEX('M03-S04'!$AN$18:$AN$198,2*(ROWS($O$97:O109)-1)+1)=INDEX('M03-S04'!$BJ$18:$BJ$198,2*(ROWS($O$97:O109)-1)+1),0,(INDEX('M03-S04'!$BI$18:$BI$198,2*(ROWS($O$97:O109)-1)+1)-INDEX('M03-S04'!$BJ$18:$BJ$198,2*(ROWS($O$97:O109)-1)+1))))*INCENTCAPADJ</f>
        <v>0</v>
      </c>
    </row>
    <row r="110" spans="1:44" x14ac:dyDescent="0.25">
      <c r="A110" s="66">
        <f t="shared" si="24"/>
        <v>0</v>
      </c>
      <c r="B110" s="66" t="str">
        <f t="shared" si="25"/>
        <v/>
      </c>
      <c r="C110" s="66" t="str">
        <f>IFERROR(IF(J110&gt;0,INDEX('M03-S04'!$BB$18:$BB$198,2*(ROWS($C$97:C110)-1)+1),""),"")</f>
        <v/>
      </c>
      <c r="D110" t="s">
        <v>1096</v>
      </c>
      <c r="E110" t="str">
        <f>IFERROR(INDEX(PMELIGHTINCAN[End Use Category],MATCH(INDEX('M03-S04'!$BA$18:$BA$198,2*(ROWS($E$97:E110)-1)+1),PMELIGHTINCAN[Measure Validator],0)),"")</f>
        <v/>
      </c>
      <c r="F110" s="151" t="str">
        <f>INDEX('M03-S04'!$AB$18:$AB$198,2*(ROWS($F$97:F110)-1)+1)</f>
        <v/>
      </c>
      <c r="G110">
        <f>INDEX('M03-S04'!$X$18:$X$198,2*(ROWS($G$97:G110)-1)+1)</f>
        <v>0</v>
      </c>
      <c r="H110" s="61">
        <f>ROUND(INDEX('M03-S04'!$T$18:$T$198,2*(ROWS($H$97:H110)-1)+1)*INDEX('M03-S04'!$AF$18:$AF$198,2*(ROWS($H$97:H110)-1)+1),2)</f>
        <v>0</v>
      </c>
      <c r="I110" s="61">
        <f>ROUND(INDEX('M03-S04'!$T$18:$T$198,2*(ROWS($I$97:I110)-1)+1)*INDEX('M03-S04'!$AH$18:$AH$198,2*(ROWS($H$97:H110)-1)+1),2)</f>
        <v>0</v>
      </c>
      <c r="J110" s="61" t="str">
        <f>INDEX('M03-S04'!$AU$18:$AU$198,2*(ROWS($J$97:J110)-1)+1)</f>
        <v/>
      </c>
      <c r="K110" t="s">
        <v>119</v>
      </c>
      <c r="L110" s="151">
        <f>IF(ISNUMBER(INDEX('M03-S04'!$AN$18:$AN$198,2*(ROWS($L$97:L110)-1)+1)),INDEX('M03-S04'!$T$18:$T$198,2*(ROWS($L$97:L110)-1)+1),0)</f>
        <v>0</v>
      </c>
      <c r="M110" s="151">
        <f>IF(ISNUMBER(INDEX('M03-S04'!$AN$18:$AN$198,2*(ROWS($M$97:M110)-1)+1)),INDEX('M03-S04'!$AJ$18:$AJ$198,2*(ROWS($M$97:M110)-1)+1),0)</f>
        <v>0</v>
      </c>
      <c r="N110" s="189">
        <f>IF(ISNUMBER(INDEX('M03-S04'!$AN$18:$AN$198,2*(ROWS($M$97:M110)-1)+1)),IFERROR(INDEX('M03-S04'!$AV$18:$AV$198,2*(ROWS($N$97:N110)-1)+1),0),0)</f>
        <v>0</v>
      </c>
      <c r="O110" s="61">
        <f>IF(ISNUMBER(INDEX('M03-S04'!$AN$18:$AN$198,2*(ROWS($M$97:M110)-1)+1)),IFERROR(INDEX('M03-S04'!$AN$18:$AN$198,2*(ROWS($O$97:O110)-1)+1)*INCENTCAPADJ,""),0)</f>
        <v>0</v>
      </c>
      <c r="P110" s="151" t="str">
        <f>IFERROR(IF(NOT(ISNUMBER(INDEX('M03-S04'!$AN$18:$AN$198,2*(ROWS($O$97:O110)-1)+1))),INDEX('M03-S04'!$AJ$18:$AJ$198,2*(ROWS($M$97:M110)-1)+1),0),0)</f>
        <v/>
      </c>
      <c r="Q110" s="189" t="str">
        <f>IFERROR(IF(NOT(ISNUMBER(INDEX('M03-S04'!$AN$18:$AN$198,2*(ROWS($O$97:O110)-1)+1))),INDEX('M03-S04'!$AV$18:$AV$198,2*(ROWS($N$97:N110)-1)+1),0),0)</f>
        <v/>
      </c>
      <c r="R110" t="str">
        <f>IFERROR(IF(NOT(ISNUMBER(INDEX('M03-S04'!$AN$18:$AN$198,2*(ROWS($O$97:O110)-1)+1))),"Not Eligible",""),"")</f>
        <v>Not Eligible</v>
      </c>
      <c r="S110" s="156">
        <f>INDEX('M03-S04'!$K$18:$K$198,2*(ROWS($S$97:S110)-1)+1)</f>
        <v>0</v>
      </c>
      <c r="T110" s="156">
        <f>INDEX('M03-S04'!$V$18:$V$198,2*(ROWS($T$97:T110)-1)+1)</f>
        <v>0</v>
      </c>
      <c r="U110" s="151">
        <f>INDEX('M03-S04'!$B$18:$B$198,2*(ROWS($U$97:U110)-1)+1)</f>
        <v>14</v>
      </c>
      <c r="V110" s="58" t="str">
        <f>CONCATENATE(INDEX('M03-S04'!$C$18:$C$198,2*(ROWS($V$97:V110)-1)+1)," ",INDEX('M03-S04'!$F$18:$F$198,2*(ROWS($V$97:V110)-1)+1))</f>
        <v xml:space="preserve"> </v>
      </c>
      <c r="W110" s="58" t="str">
        <f>INDEX('M03-S04'!$M$18:$M$198,2*(ROWS($W$97:W110)-1)+1)</f>
        <v/>
      </c>
      <c r="X110" s="135"/>
      <c r="Y110">
        <f>INDEX('M03-S04'!$P$18:$P$198,2*(ROWS($Y$97:Y110)-1)+1)</f>
        <v>0</v>
      </c>
      <c r="Z110" s="61">
        <f>IFERROR(INDEX('M03-S04'!$AD$18:$AD$198,2*(ROWS(Z$97:$Z110)-1)+1)/INDEX('M03-S04'!$AB$18:$AB$198,2*(ROWS(Z$97:$Z110)-1)+1),0)</f>
        <v>0</v>
      </c>
      <c r="AA110" s="135"/>
      <c r="AB110" s="135"/>
      <c r="AC110" s="135"/>
      <c r="AD110" s="135"/>
      <c r="AE110" s="151">
        <f>IFERROR(IF(NOT(ISNUMBER(INDEX('M03-S04'!$AN$18:$AN$198,2*(ROWS($AE$97:AE110)-1)+1))),INDEX('M03-S04'!$T$18:$T$198,2*(ROWS($AE$97:AE110)-1)+1),0),0)</f>
        <v>0</v>
      </c>
      <c r="AF110" s="151" t="str">
        <f>INDEX('M03-S04'!$AW$18:$AW$198,2*(ROWS($AF$97:AF110)-1)+1)</f>
        <v/>
      </c>
      <c r="AG110" s="151" t="str">
        <f>INDEX('M03-S04'!$AX$18:$AX$198,2*(ROWS($AG$97:AG110)-1)+1)</f>
        <v/>
      </c>
      <c r="AH110" s="151" t="str">
        <f t="shared" si="26"/>
        <v/>
      </c>
      <c r="AI110" s="151" t="str">
        <f t="shared" si="27"/>
        <v/>
      </c>
      <c r="AJ110" s="61" t="str">
        <f t="shared" si="28"/>
        <v/>
      </c>
      <c r="AK110" s="61" t="str">
        <f t="shared" si="29"/>
        <v/>
      </c>
      <c r="AL110" s="61" t="str">
        <f t="shared" si="30"/>
        <v/>
      </c>
      <c r="AM110" s="154"/>
      <c r="AN110" s="61" t="str">
        <f t="shared" si="31"/>
        <v/>
      </c>
      <c r="AO110" s="151">
        <f>INDEX('M03-S04'!$I$18:$I$198,2*(ROWS($AO$97:AO110)-1)+1)</f>
        <v>0</v>
      </c>
      <c r="AP110" s="151">
        <f>INDEX('M03-S04'!$AD$18:$AD$198,2*(ROWS($AP$97:AP110)-1)+1)</f>
        <v>0</v>
      </c>
      <c r="AQ110" s="61" t="str">
        <f>IF(INDEX('M03-S04'!$AJ$18:$AJ$198,2*(ROWS($AQ$97:AQ110)-1)+1)="","",IF(AND(INDEX('M03-S04'!$AJ$18:$AJ$198,2*(ROWS($AQ$97:AQ110)-1)+1)&lt;&gt;"",OR(ISNUMBER(SEARCH("AC With",M02S02F32)),M02S02F32="Heat Pump")),LIGHTHEATCOIN,1))</f>
        <v/>
      </c>
      <c r="AR110" s="414">
        <f>(IF(INDEX('M03-S04'!$AN$18:$AN$198,2*(ROWS($O$97:O110)-1)+1)=INDEX('M03-S04'!$BJ$18:$BJ$198,2*(ROWS($O$97:O110)-1)+1),0,(INDEX('M03-S04'!$BI$18:$BI$198,2*(ROWS($O$97:O110)-1)+1)-INDEX('M03-S04'!$BJ$18:$BJ$198,2*(ROWS($O$97:O110)-1)+1))))*INCENTCAPADJ</f>
        <v>0</v>
      </c>
    </row>
    <row r="111" spans="1:44" x14ac:dyDescent="0.25">
      <c r="A111" s="66">
        <f t="shared" si="24"/>
        <v>0</v>
      </c>
      <c r="B111" s="66" t="str">
        <f t="shared" si="25"/>
        <v/>
      </c>
      <c r="C111" s="66" t="str">
        <f>IFERROR(IF(J111&gt;0,INDEX('M03-S04'!$BB$18:$BB$198,2*(ROWS($C$97:C111)-1)+1),""),"")</f>
        <v/>
      </c>
      <c r="D111" t="s">
        <v>1096</v>
      </c>
      <c r="E111" t="str">
        <f>IFERROR(INDEX(PMELIGHTINCAN[End Use Category],MATCH(INDEX('M03-S04'!$BA$18:$BA$198,2*(ROWS($E$97:E111)-1)+1),PMELIGHTINCAN[Measure Validator],0)),"")</f>
        <v/>
      </c>
      <c r="F111" s="151" t="str">
        <f>INDEX('M03-S04'!$AB$18:$AB$198,2*(ROWS($F$97:F111)-1)+1)</f>
        <v/>
      </c>
      <c r="G111">
        <f>INDEX('M03-S04'!$X$18:$X$198,2*(ROWS($G$97:G111)-1)+1)</f>
        <v>0</v>
      </c>
      <c r="H111" s="61">
        <f>ROUND(INDEX('M03-S04'!$T$18:$T$198,2*(ROWS($H$97:H111)-1)+1)*INDEX('M03-S04'!$AF$18:$AF$198,2*(ROWS($H$97:H111)-1)+1),2)</f>
        <v>0</v>
      </c>
      <c r="I111" s="61">
        <f>ROUND(INDEX('M03-S04'!$T$18:$T$198,2*(ROWS($I$97:I111)-1)+1)*INDEX('M03-S04'!$AH$18:$AH$198,2*(ROWS($H$97:H111)-1)+1),2)</f>
        <v>0</v>
      </c>
      <c r="J111" s="61" t="str">
        <f>INDEX('M03-S04'!$AU$18:$AU$198,2*(ROWS($J$97:J111)-1)+1)</f>
        <v/>
      </c>
      <c r="K111" t="s">
        <v>119</v>
      </c>
      <c r="L111" s="151">
        <f>IF(ISNUMBER(INDEX('M03-S04'!$AN$18:$AN$198,2*(ROWS($L$97:L111)-1)+1)),INDEX('M03-S04'!$T$18:$T$198,2*(ROWS($L$97:L111)-1)+1),0)</f>
        <v>0</v>
      </c>
      <c r="M111" s="151">
        <f>IF(ISNUMBER(INDEX('M03-S04'!$AN$18:$AN$198,2*(ROWS($M$97:M111)-1)+1)),INDEX('M03-S04'!$AJ$18:$AJ$198,2*(ROWS($M$97:M111)-1)+1),0)</f>
        <v>0</v>
      </c>
      <c r="N111" s="189">
        <f>IF(ISNUMBER(INDEX('M03-S04'!$AN$18:$AN$198,2*(ROWS($M$97:M111)-1)+1)),IFERROR(INDEX('M03-S04'!$AV$18:$AV$198,2*(ROWS($N$97:N111)-1)+1),0),0)</f>
        <v>0</v>
      </c>
      <c r="O111" s="61">
        <f>IF(ISNUMBER(INDEX('M03-S04'!$AN$18:$AN$198,2*(ROWS($M$97:M111)-1)+1)),IFERROR(INDEX('M03-S04'!$AN$18:$AN$198,2*(ROWS($O$97:O111)-1)+1)*INCENTCAPADJ,""),0)</f>
        <v>0</v>
      </c>
      <c r="P111" s="151" t="str">
        <f>IFERROR(IF(NOT(ISNUMBER(INDEX('M03-S04'!$AN$18:$AN$198,2*(ROWS($O$97:O111)-1)+1))),INDEX('M03-S04'!$AJ$18:$AJ$198,2*(ROWS($M$97:M111)-1)+1),0),0)</f>
        <v/>
      </c>
      <c r="Q111" s="189" t="str">
        <f>IFERROR(IF(NOT(ISNUMBER(INDEX('M03-S04'!$AN$18:$AN$198,2*(ROWS($O$97:O111)-1)+1))),INDEX('M03-S04'!$AV$18:$AV$198,2*(ROWS($N$97:N111)-1)+1),0),0)</f>
        <v/>
      </c>
      <c r="R111" t="str">
        <f>IFERROR(IF(NOT(ISNUMBER(INDEX('M03-S04'!$AN$18:$AN$198,2*(ROWS($O$97:O111)-1)+1))),"Not Eligible",""),"")</f>
        <v>Not Eligible</v>
      </c>
      <c r="S111" s="156">
        <f>INDEX('M03-S04'!$K$18:$K$198,2*(ROWS($S$97:S111)-1)+1)</f>
        <v>0</v>
      </c>
      <c r="T111" s="156">
        <f>INDEX('M03-S04'!$V$18:$V$198,2*(ROWS($T$97:T111)-1)+1)</f>
        <v>0</v>
      </c>
      <c r="U111" s="151">
        <f>INDEX('M03-S04'!$B$18:$B$198,2*(ROWS($U$97:U111)-1)+1)</f>
        <v>15</v>
      </c>
      <c r="V111" s="58" t="str">
        <f>CONCATENATE(INDEX('M03-S04'!$C$18:$C$198,2*(ROWS($V$97:V111)-1)+1)," ",INDEX('M03-S04'!$F$18:$F$198,2*(ROWS($V$97:V111)-1)+1))</f>
        <v xml:space="preserve"> </v>
      </c>
      <c r="W111" s="58" t="str">
        <f>INDEX('M03-S04'!$M$18:$M$198,2*(ROWS($W$97:W111)-1)+1)</f>
        <v/>
      </c>
      <c r="X111" s="135"/>
      <c r="Y111">
        <f>INDEX('M03-S04'!$P$18:$P$198,2*(ROWS($Y$97:Y111)-1)+1)</f>
        <v>0</v>
      </c>
      <c r="Z111" s="61">
        <f>IFERROR(INDEX('M03-S04'!$AD$18:$AD$198,2*(ROWS(Z$97:$Z111)-1)+1)/INDEX('M03-S04'!$AB$18:$AB$198,2*(ROWS(Z$97:$Z111)-1)+1),0)</f>
        <v>0</v>
      </c>
      <c r="AA111" s="135"/>
      <c r="AB111" s="135"/>
      <c r="AC111" s="135"/>
      <c r="AD111" s="135"/>
      <c r="AE111" s="151">
        <f>IFERROR(IF(NOT(ISNUMBER(INDEX('M03-S04'!$AN$18:$AN$198,2*(ROWS($AE$97:AE111)-1)+1))),INDEX('M03-S04'!$T$18:$T$198,2*(ROWS($AE$97:AE111)-1)+1),0),0)</f>
        <v>0</v>
      </c>
      <c r="AF111" s="151" t="str">
        <f>INDEX('M03-S04'!$AW$18:$AW$198,2*(ROWS($AF$97:AF111)-1)+1)</f>
        <v/>
      </c>
      <c r="AG111" s="151" t="str">
        <f>INDEX('M03-S04'!$AX$18:$AX$198,2*(ROWS($AG$97:AG111)-1)+1)</f>
        <v/>
      </c>
      <c r="AH111" s="151" t="str">
        <f t="shared" si="26"/>
        <v/>
      </c>
      <c r="AI111" s="151" t="str">
        <f t="shared" si="27"/>
        <v/>
      </c>
      <c r="AJ111" s="61" t="str">
        <f t="shared" si="28"/>
        <v/>
      </c>
      <c r="AK111" s="61" t="str">
        <f t="shared" si="29"/>
        <v/>
      </c>
      <c r="AL111" s="61" t="str">
        <f t="shared" si="30"/>
        <v/>
      </c>
      <c r="AM111" s="154"/>
      <c r="AN111" s="61" t="str">
        <f t="shared" si="31"/>
        <v/>
      </c>
      <c r="AO111" s="151">
        <f>INDEX('M03-S04'!$I$18:$I$198,2*(ROWS($AO$97:AO111)-1)+1)</f>
        <v>0</v>
      </c>
      <c r="AP111" s="151">
        <f>INDEX('M03-S04'!$AD$18:$AD$198,2*(ROWS($AP$97:AP111)-1)+1)</f>
        <v>0</v>
      </c>
      <c r="AQ111" s="61" t="str">
        <f>IF(INDEX('M03-S04'!$AJ$18:$AJ$198,2*(ROWS($AQ$97:AQ111)-1)+1)="","",IF(AND(INDEX('M03-S04'!$AJ$18:$AJ$198,2*(ROWS($AQ$97:AQ111)-1)+1)&lt;&gt;"",OR(ISNUMBER(SEARCH("AC With",M02S02F32)),M02S02F32="Heat Pump")),LIGHTHEATCOIN,1))</f>
        <v/>
      </c>
      <c r="AR111" s="414">
        <f>(IF(INDEX('M03-S04'!$AN$18:$AN$198,2*(ROWS($O$97:O111)-1)+1)=INDEX('M03-S04'!$BJ$18:$BJ$198,2*(ROWS($O$97:O111)-1)+1),0,(INDEX('M03-S04'!$BI$18:$BI$198,2*(ROWS($O$97:O111)-1)+1)-INDEX('M03-S04'!$BJ$18:$BJ$198,2*(ROWS($O$97:O111)-1)+1))))*INCENTCAPADJ</f>
        <v>0</v>
      </c>
    </row>
    <row r="112" spans="1:44" x14ac:dyDescent="0.25">
      <c r="A112" s="66">
        <f t="shared" si="24"/>
        <v>0</v>
      </c>
      <c r="B112" s="66" t="str">
        <f t="shared" si="25"/>
        <v/>
      </c>
      <c r="C112" s="66" t="str">
        <f>IFERROR(IF(J112&gt;0,INDEX('M03-S04'!$BB$18:$BB$198,2*(ROWS($C$97:C112)-1)+1),""),"")</f>
        <v/>
      </c>
      <c r="D112" t="s">
        <v>1096</v>
      </c>
      <c r="E112" t="str">
        <f>IFERROR(INDEX(PMELIGHTINCAN[End Use Category],MATCH(INDEX('M03-S04'!$BA$18:$BA$198,2*(ROWS($E$97:E112)-1)+1),PMELIGHTINCAN[Measure Validator],0)),"")</f>
        <v/>
      </c>
      <c r="F112" s="151" t="str">
        <f>INDEX('M03-S04'!$AB$18:$AB$198,2*(ROWS($F$97:F112)-1)+1)</f>
        <v/>
      </c>
      <c r="G112">
        <f>INDEX('M03-S04'!$X$18:$X$198,2*(ROWS($G$97:G112)-1)+1)</f>
        <v>0</v>
      </c>
      <c r="H112" s="61">
        <f>ROUND(INDEX('M03-S04'!$T$18:$T$198,2*(ROWS($H$97:H112)-1)+1)*INDEX('M03-S04'!$AF$18:$AF$198,2*(ROWS($H$97:H112)-1)+1),2)</f>
        <v>0</v>
      </c>
      <c r="I112" s="61">
        <f>ROUND(INDEX('M03-S04'!$T$18:$T$198,2*(ROWS($I$97:I112)-1)+1)*INDEX('M03-S04'!$AH$18:$AH$198,2*(ROWS($H$97:H112)-1)+1),2)</f>
        <v>0</v>
      </c>
      <c r="J112" s="61" t="str">
        <f>INDEX('M03-S04'!$AU$18:$AU$198,2*(ROWS($J$97:J112)-1)+1)</f>
        <v/>
      </c>
      <c r="K112" t="s">
        <v>119</v>
      </c>
      <c r="L112" s="151">
        <f>IF(ISNUMBER(INDEX('M03-S04'!$AN$18:$AN$198,2*(ROWS($L$97:L112)-1)+1)),INDEX('M03-S04'!$T$18:$T$198,2*(ROWS($L$97:L112)-1)+1),0)</f>
        <v>0</v>
      </c>
      <c r="M112" s="151">
        <f>IF(ISNUMBER(INDEX('M03-S04'!$AN$18:$AN$198,2*(ROWS($M$97:M112)-1)+1)),INDEX('M03-S04'!$AJ$18:$AJ$198,2*(ROWS($M$97:M112)-1)+1),0)</f>
        <v>0</v>
      </c>
      <c r="N112" s="189">
        <f>IF(ISNUMBER(INDEX('M03-S04'!$AN$18:$AN$198,2*(ROWS($M$97:M112)-1)+1)),IFERROR(INDEX('M03-S04'!$AV$18:$AV$198,2*(ROWS($N$97:N112)-1)+1),0),0)</f>
        <v>0</v>
      </c>
      <c r="O112" s="61">
        <f>IF(ISNUMBER(INDEX('M03-S04'!$AN$18:$AN$198,2*(ROWS($M$97:M112)-1)+1)),IFERROR(INDEX('M03-S04'!$AN$18:$AN$198,2*(ROWS($O$97:O112)-1)+1)*INCENTCAPADJ,""),0)</f>
        <v>0</v>
      </c>
      <c r="P112" s="151" t="str">
        <f>IFERROR(IF(NOT(ISNUMBER(INDEX('M03-S04'!$AN$18:$AN$198,2*(ROWS($O$97:O112)-1)+1))),INDEX('M03-S04'!$AJ$18:$AJ$198,2*(ROWS($M$97:M112)-1)+1),0),0)</f>
        <v/>
      </c>
      <c r="Q112" s="189" t="str">
        <f>IFERROR(IF(NOT(ISNUMBER(INDEX('M03-S04'!$AN$18:$AN$198,2*(ROWS($O$97:O112)-1)+1))),INDEX('M03-S04'!$AV$18:$AV$198,2*(ROWS($N$97:N112)-1)+1),0),0)</f>
        <v/>
      </c>
      <c r="R112" t="str">
        <f>IFERROR(IF(NOT(ISNUMBER(INDEX('M03-S04'!$AN$18:$AN$198,2*(ROWS($O$97:O112)-1)+1))),"Not Eligible",""),"")</f>
        <v>Not Eligible</v>
      </c>
      <c r="S112" s="156">
        <f>INDEX('M03-S04'!$K$18:$K$198,2*(ROWS($S$97:S112)-1)+1)</f>
        <v>0</v>
      </c>
      <c r="T112" s="156">
        <f>INDEX('M03-S04'!$V$18:$V$198,2*(ROWS($T$97:T112)-1)+1)</f>
        <v>0</v>
      </c>
      <c r="U112" s="151">
        <f>INDEX('M03-S04'!$B$18:$B$198,2*(ROWS($U$97:U112)-1)+1)</f>
        <v>16</v>
      </c>
      <c r="V112" s="58" t="str">
        <f>CONCATENATE(INDEX('M03-S04'!$C$18:$C$198,2*(ROWS($V$97:V112)-1)+1)," ",INDEX('M03-S04'!$F$18:$F$198,2*(ROWS($V$97:V112)-1)+1))</f>
        <v xml:space="preserve"> </v>
      </c>
      <c r="W112" s="58" t="str">
        <f>INDEX('M03-S04'!$M$18:$M$198,2*(ROWS($W$97:W112)-1)+1)</f>
        <v/>
      </c>
      <c r="X112" s="135"/>
      <c r="Y112">
        <f>INDEX('M03-S04'!$P$18:$P$198,2*(ROWS($Y$97:Y112)-1)+1)</f>
        <v>0</v>
      </c>
      <c r="Z112" s="61">
        <f>IFERROR(INDEX('M03-S04'!$AD$18:$AD$198,2*(ROWS(Z$97:$Z112)-1)+1)/INDEX('M03-S04'!$AB$18:$AB$198,2*(ROWS(Z$97:$Z112)-1)+1),0)</f>
        <v>0</v>
      </c>
      <c r="AA112" s="135"/>
      <c r="AB112" s="135"/>
      <c r="AC112" s="135"/>
      <c r="AD112" s="135"/>
      <c r="AE112" s="151">
        <f>IFERROR(IF(NOT(ISNUMBER(INDEX('M03-S04'!$AN$18:$AN$198,2*(ROWS($AE$97:AE112)-1)+1))),INDEX('M03-S04'!$T$18:$T$198,2*(ROWS($AE$97:AE112)-1)+1),0),0)</f>
        <v>0</v>
      </c>
      <c r="AF112" s="151" t="str">
        <f>INDEX('M03-S04'!$AW$18:$AW$198,2*(ROWS($AF$97:AF112)-1)+1)</f>
        <v/>
      </c>
      <c r="AG112" s="151" t="str">
        <f>INDEX('M03-S04'!$AX$18:$AX$198,2*(ROWS($AG$97:AG112)-1)+1)</f>
        <v/>
      </c>
      <c r="AH112" s="151" t="str">
        <f t="shared" si="26"/>
        <v/>
      </c>
      <c r="AI112" s="151" t="str">
        <f t="shared" si="27"/>
        <v/>
      </c>
      <c r="AJ112" s="61" t="str">
        <f t="shared" si="28"/>
        <v/>
      </c>
      <c r="AK112" s="61" t="str">
        <f t="shared" si="29"/>
        <v/>
      </c>
      <c r="AL112" s="61" t="str">
        <f t="shared" si="30"/>
        <v/>
      </c>
      <c r="AM112" s="154"/>
      <c r="AN112" s="61" t="str">
        <f t="shared" si="31"/>
        <v/>
      </c>
      <c r="AO112" s="151">
        <f>INDEX('M03-S04'!$I$18:$I$198,2*(ROWS($AO$97:AO112)-1)+1)</f>
        <v>0</v>
      </c>
      <c r="AP112" s="151">
        <f>INDEX('M03-S04'!$AD$18:$AD$198,2*(ROWS($AP$97:AP112)-1)+1)</f>
        <v>0</v>
      </c>
      <c r="AQ112" s="61" t="str">
        <f>IF(INDEX('M03-S04'!$AJ$18:$AJ$198,2*(ROWS($AQ$97:AQ112)-1)+1)="","",IF(AND(INDEX('M03-S04'!$AJ$18:$AJ$198,2*(ROWS($AQ$97:AQ112)-1)+1)&lt;&gt;"",OR(ISNUMBER(SEARCH("AC With",M02S02F32)),M02S02F32="Heat Pump")),LIGHTHEATCOIN,1))</f>
        <v/>
      </c>
      <c r="AR112" s="414">
        <f>(IF(INDEX('M03-S04'!$AN$18:$AN$198,2*(ROWS($O$97:O112)-1)+1)=INDEX('M03-S04'!$BJ$18:$BJ$198,2*(ROWS($O$97:O112)-1)+1),0,(INDEX('M03-S04'!$BI$18:$BI$198,2*(ROWS($O$97:O112)-1)+1)-INDEX('M03-S04'!$BJ$18:$BJ$198,2*(ROWS($O$97:O112)-1)+1))))*INCENTCAPADJ</f>
        <v>0</v>
      </c>
    </row>
    <row r="113" spans="1:44" x14ac:dyDescent="0.25">
      <c r="A113" s="66">
        <f t="shared" si="24"/>
        <v>0</v>
      </c>
      <c r="B113" s="66" t="str">
        <f t="shared" si="25"/>
        <v/>
      </c>
      <c r="C113" s="66" t="str">
        <f>IFERROR(IF(J113&gt;0,INDEX('M03-S04'!$BB$18:$BB$198,2*(ROWS($C$97:C113)-1)+1),""),"")</f>
        <v/>
      </c>
      <c r="D113" t="s">
        <v>1096</v>
      </c>
      <c r="E113" t="str">
        <f>IFERROR(INDEX(PMELIGHTINCAN[End Use Category],MATCH(INDEX('M03-S04'!$BA$18:$BA$198,2*(ROWS($E$97:E113)-1)+1),PMELIGHTINCAN[Measure Validator],0)),"")</f>
        <v/>
      </c>
      <c r="F113" s="151" t="str">
        <f>INDEX('M03-S04'!$AB$18:$AB$198,2*(ROWS($F$97:F113)-1)+1)</f>
        <v/>
      </c>
      <c r="G113">
        <f>INDEX('M03-S04'!$X$18:$X$198,2*(ROWS($G$97:G113)-1)+1)</f>
        <v>0</v>
      </c>
      <c r="H113" s="61">
        <f>ROUND(INDEX('M03-S04'!$T$18:$T$198,2*(ROWS($H$97:H113)-1)+1)*INDEX('M03-S04'!$AF$18:$AF$198,2*(ROWS($H$97:H113)-1)+1),2)</f>
        <v>0</v>
      </c>
      <c r="I113" s="61">
        <f>ROUND(INDEX('M03-S04'!$T$18:$T$198,2*(ROWS($I$97:I113)-1)+1)*INDEX('M03-S04'!$AH$18:$AH$198,2*(ROWS($H$97:H113)-1)+1),2)</f>
        <v>0</v>
      </c>
      <c r="J113" s="61" t="str">
        <f>INDEX('M03-S04'!$AU$18:$AU$198,2*(ROWS($J$97:J113)-1)+1)</f>
        <v/>
      </c>
      <c r="K113" t="s">
        <v>119</v>
      </c>
      <c r="L113" s="151">
        <f>IF(ISNUMBER(INDEX('M03-S04'!$AN$18:$AN$198,2*(ROWS($L$97:L113)-1)+1)),INDEX('M03-S04'!$T$18:$T$198,2*(ROWS($L$97:L113)-1)+1),0)</f>
        <v>0</v>
      </c>
      <c r="M113" s="151">
        <f>IF(ISNUMBER(INDEX('M03-S04'!$AN$18:$AN$198,2*(ROWS($M$97:M113)-1)+1)),INDEX('M03-S04'!$AJ$18:$AJ$198,2*(ROWS($M$97:M113)-1)+1),0)</f>
        <v>0</v>
      </c>
      <c r="N113" s="189">
        <f>IF(ISNUMBER(INDEX('M03-S04'!$AN$18:$AN$198,2*(ROWS($M$97:M113)-1)+1)),IFERROR(INDEX('M03-S04'!$AV$18:$AV$198,2*(ROWS($N$97:N113)-1)+1),0),0)</f>
        <v>0</v>
      </c>
      <c r="O113" s="61">
        <f>IF(ISNUMBER(INDEX('M03-S04'!$AN$18:$AN$198,2*(ROWS($M$97:M113)-1)+1)),IFERROR(INDEX('M03-S04'!$AN$18:$AN$198,2*(ROWS($O$97:O113)-1)+1)*INCENTCAPADJ,""),0)</f>
        <v>0</v>
      </c>
      <c r="P113" s="151" t="str">
        <f>IFERROR(IF(NOT(ISNUMBER(INDEX('M03-S04'!$AN$18:$AN$198,2*(ROWS($O$97:O113)-1)+1))),INDEX('M03-S04'!$AJ$18:$AJ$198,2*(ROWS($M$97:M113)-1)+1),0),0)</f>
        <v/>
      </c>
      <c r="Q113" s="189" t="str">
        <f>IFERROR(IF(NOT(ISNUMBER(INDEX('M03-S04'!$AN$18:$AN$198,2*(ROWS($O$97:O113)-1)+1))),INDEX('M03-S04'!$AV$18:$AV$198,2*(ROWS($N$97:N113)-1)+1),0),0)</f>
        <v/>
      </c>
      <c r="R113" t="str">
        <f>IFERROR(IF(NOT(ISNUMBER(INDEX('M03-S04'!$AN$18:$AN$198,2*(ROWS($O$97:O113)-1)+1))),"Not Eligible",""),"")</f>
        <v>Not Eligible</v>
      </c>
      <c r="S113" s="156">
        <f>INDEX('M03-S04'!$K$18:$K$198,2*(ROWS($S$97:S113)-1)+1)</f>
        <v>0</v>
      </c>
      <c r="T113" s="156">
        <f>INDEX('M03-S04'!$V$18:$V$198,2*(ROWS($T$97:T113)-1)+1)</f>
        <v>0</v>
      </c>
      <c r="U113" s="151">
        <f>INDEX('M03-S04'!$B$18:$B$198,2*(ROWS($U$97:U113)-1)+1)</f>
        <v>17</v>
      </c>
      <c r="V113" s="58" t="str">
        <f>CONCATENATE(INDEX('M03-S04'!$C$18:$C$198,2*(ROWS($V$97:V113)-1)+1)," ",INDEX('M03-S04'!$F$18:$F$198,2*(ROWS($V$97:V113)-1)+1))</f>
        <v xml:space="preserve"> </v>
      </c>
      <c r="W113" s="58" t="str">
        <f>INDEX('M03-S04'!$M$18:$M$198,2*(ROWS($W$97:W113)-1)+1)</f>
        <v/>
      </c>
      <c r="X113" s="135"/>
      <c r="Y113">
        <f>INDEX('M03-S04'!$P$18:$P$198,2*(ROWS($Y$97:Y113)-1)+1)</f>
        <v>0</v>
      </c>
      <c r="Z113" s="61">
        <f>IFERROR(INDEX('M03-S04'!$AD$18:$AD$198,2*(ROWS(Z$97:$Z113)-1)+1)/INDEX('M03-S04'!$AB$18:$AB$198,2*(ROWS(Z$97:$Z113)-1)+1),0)</f>
        <v>0</v>
      </c>
      <c r="AA113" s="135"/>
      <c r="AB113" s="135"/>
      <c r="AC113" s="135"/>
      <c r="AD113" s="135"/>
      <c r="AE113" s="151">
        <f>IFERROR(IF(NOT(ISNUMBER(INDEX('M03-S04'!$AN$18:$AN$198,2*(ROWS($AE$97:AE113)-1)+1))),INDEX('M03-S04'!$T$18:$T$198,2*(ROWS($AE$97:AE113)-1)+1),0),0)</f>
        <v>0</v>
      </c>
      <c r="AF113" s="151" t="str">
        <f>INDEX('M03-S04'!$AW$18:$AW$198,2*(ROWS($AF$97:AF113)-1)+1)</f>
        <v/>
      </c>
      <c r="AG113" s="151" t="str">
        <f>INDEX('M03-S04'!$AX$18:$AX$198,2*(ROWS($AG$97:AG113)-1)+1)</f>
        <v/>
      </c>
      <c r="AH113" s="151" t="str">
        <f t="shared" si="26"/>
        <v/>
      </c>
      <c r="AI113" s="151" t="str">
        <f t="shared" si="27"/>
        <v/>
      </c>
      <c r="AJ113" s="61" t="str">
        <f t="shared" si="28"/>
        <v/>
      </c>
      <c r="AK113" s="61" t="str">
        <f t="shared" si="29"/>
        <v/>
      </c>
      <c r="AL113" s="61" t="str">
        <f t="shared" si="30"/>
        <v/>
      </c>
      <c r="AM113" s="154"/>
      <c r="AN113" s="61" t="str">
        <f t="shared" si="31"/>
        <v/>
      </c>
      <c r="AO113" s="151">
        <f>INDEX('M03-S04'!$I$18:$I$198,2*(ROWS($AO$97:AO113)-1)+1)</f>
        <v>0</v>
      </c>
      <c r="AP113" s="151">
        <f>INDEX('M03-S04'!$AD$18:$AD$198,2*(ROWS($AP$97:AP113)-1)+1)</f>
        <v>0</v>
      </c>
      <c r="AQ113" s="61" t="str">
        <f>IF(INDEX('M03-S04'!$AJ$18:$AJ$198,2*(ROWS($AQ$97:AQ113)-1)+1)="","",IF(AND(INDEX('M03-S04'!$AJ$18:$AJ$198,2*(ROWS($AQ$97:AQ113)-1)+1)&lt;&gt;"",OR(ISNUMBER(SEARCH("AC With",M02S02F32)),M02S02F32="Heat Pump")),LIGHTHEATCOIN,1))</f>
        <v/>
      </c>
      <c r="AR113" s="414">
        <f>(IF(INDEX('M03-S04'!$AN$18:$AN$198,2*(ROWS($O$97:O113)-1)+1)=INDEX('M03-S04'!$BJ$18:$BJ$198,2*(ROWS($O$97:O113)-1)+1),0,(INDEX('M03-S04'!$BI$18:$BI$198,2*(ROWS($O$97:O113)-1)+1)-INDEX('M03-S04'!$BJ$18:$BJ$198,2*(ROWS($O$97:O113)-1)+1))))*INCENTCAPADJ</f>
        <v>0</v>
      </c>
    </row>
    <row r="114" spans="1:44" x14ac:dyDescent="0.25">
      <c r="A114" s="66">
        <f t="shared" si="24"/>
        <v>0</v>
      </c>
      <c r="B114" s="66" t="str">
        <f t="shared" si="25"/>
        <v/>
      </c>
      <c r="C114" s="66" t="str">
        <f>IFERROR(IF(J114&gt;0,INDEX('M03-S04'!$BB$18:$BB$198,2*(ROWS($C$97:C114)-1)+1),""),"")</f>
        <v/>
      </c>
      <c r="D114" t="s">
        <v>1096</v>
      </c>
      <c r="E114" t="str">
        <f>IFERROR(INDEX(PMELIGHTINCAN[End Use Category],MATCH(INDEX('M03-S04'!$BA$18:$BA$198,2*(ROWS($E$97:E114)-1)+1),PMELIGHTINCAN[Measure Validator],0)),"")</f>
        <v/>
      </c>
      <c r="F114" s="151" t="str">
        <f>INDEX('M03-S04'!$AB$18:$AB$198,2*(ROWS($F$97:F114)-1)+1)</f>
        <v/>
      </c>
      <c r="G114">
        <f>INDEX('M03-S04'!$X$18:$X$198,2*(ROWS($G$97:G114)-1)+1)</f>
        <v>0</v>
      </c>
      <c r="H114" s="61">
        <f>ROUND(INDEX('M03-S04'!$T$18:$T$198,2*(ROWS($H$97:H114)-1)+1)*INDEX('M03-S04'!$AF$18:$AF$198,2*(ROWS($H$97:H114)-1)+1),2)</f>
        <v>0</v>
      </c>
      <c r="I114" s="61">
        <f>ROUND(INDEX('M03-S04'!$T$18:$T$198,2*(ROWS($I$97:I114)-1)+1)*INDEX('M03-S04'!$AH$18:$AH$198,2*(ROWS($H$97:H114)-1)+1),2)</f>
        <v>0</v>
      </c>
      <c r="J114" s="61" t="str">
        <f>INDEX('M03-S04'!$AU$18:$AU$198,2*(ROWS($J$97:J114)-1)+1)</f>
        <v/>
      </c>
      <c r="K114" t="s">
        <v>119</v>
      </c>
      <c r="L114" s="151">
        <f>IF(ISNUMBER(INDEX('M03-S04'!$AN$18:$AN$198,2*(ROWS($L$97:L114)-1)+1)),INDEX('M03-S04'!$T$18:$T$198,2*(ROWS($L$97:L114)-1)+1),0)</f>
        <v>0</v>
      </c>
      <c r="M114" s="151">
        <f>IF(ISNUMBER(INDEX('M03-S04'!$AN$18:$AN$198,2*(ROWS($M$97:M114)-1)+1)),INDEX('M03-S04'!$AJ$18:$AJ$198,2*(ROWS($M$97:M114)-1)+1),0)</f>
        <v>0</v>
      </c>
      <c r="N114" s="189">
        <f>IF(ISNUMBER(INDEX('M03-S04'!$AN$18:$AN$198,2*(ROWS($M$97:M114)-1)+1)),IFERROR(INDEX('M03-S04'!$AV$18:$AV$198,2*(ROWS($N$97:N114)-1)+1),0),0)</f>
        <v>0</v>
      </c>
      <c r="O114" s="61">
        <f>IF(ISNUMBER(INDEX('M03-S04'!$AN$18:$AN$198,2*(ROWS($M$97:M114)-1)+1)),IFERROR(INDEX('M03-S04'!$AN$18:$AN$198,2*(ROWS($O$97:O114)-1)+1)*INCENTCAPADJ,""),0)</f>
        <v>0</v>
      </c>
      <c r="P114" s="151" t="str">
        <f>IFERROR(IF(NOT(ISNUMBER(INDEX('M03-S04'!$AN$18:$AN$198,2*(ROWS($O$97:O114)-1)+1))),INDEX('M03-S04'!$AJ$18:$AJ$198,2*(ROWS($M$97:M114)-1)+1),0),0)</f>
        <v/>
      </c>
      <c r="Q114" s="189" t="str">
        <f>IFERROR(IF(NOT(ISNUMBER(INDEX('M03-S04'!$AN$18:$AN$198,2*(ROWS($O$97:O114)-1)+1))),INDEX('M03-S04'!$AV$18:$AV$198,2*(ROWS($N$97:N114)-1)+1),0),0)</f>
        <v/>
      </c>
      <c r="R114" t="str">
        <f>IFERROR(IF(NOT(ISNUMBER(INDEX('M03-S04'!$AN$18:$AN$198,2*(ROWS($O$97:O114)-1)+1))),"Not Eligible",""),"")</f>
        <v>Not Eligible</v>
      </c>
      <c r="S114" s="156">
        <f>INDEX('M03-S04'!$K$18:$K$198,2*(ROWS($S$97:S114)-1)+1)</f>
        <v>0</v>
      </c>
      <c r="T114" s="156">
        <f>INDEX('M03-S04'!$V$18:$V$198,2*(ROWS($T$97:T114)-1)+1)</f>
        <v>0</v>
      </c>
      <c r="U114" s="151">
        <f>INDEX('M03-S04'!$B$18:$B$198,2*(ROWS($U$97:U114)-1)+1)</f>
        <v>18</v>
      </c>
      <c r="V114" s="58" t="str">
        <f>CONCATENATE(INDEX('M03-S04'!$C$18:$C$198,2*(ROWS($V$97:V114)-1)+1)," ",INDEX('M03-S04'!$F$18:$F$198,2*(ROWS($V$97:V114)-1)+1))</f>
        <v xml:space="preserve"> </v>
      </c>
      <c r="W114" s="58" t="str">
        <f>INDEX('M03-S04'!$M$18:$M$198,2*(ROWS($W$97:W114)-1)+1)</f>
        <v/>
      </c>
      <c r="X114" s="135"/>
      <c r="Y114">
        <f>INDEX('M03-S04'!$P$18:$P$198,2*(ROWS($Y$97:Y114)-1)+1)</f>
        <v>0</v>
      </c>
      <c r="Z114" s="61">
        <f>IFERROR(INDEX('M03-S04'!$AD$18:$AD$198,2*(ROWS(Z$97:$Z114)-1)+1)/INDEX('M03-S04'!$AB$18:$AB$198,2*(ROWS(Z$97:$Z114)-1)+1),0)</f>
        <v>0</v>
      </c>
      <c r="AA114" s="135"/>
      <c r="AB114" s="135"/>
      <c r="AC114" s="135"/>
      <c r="AD114" s="135"/>
      <c r="AE114" s="151">
        <f>IFERROR(IF(NOT(ISNUMBER(INDEX('M03-S04'!$AN$18:$AN$198,2*(ROWS($AE$97:AE114)-1)+1))),INDEX('M03-S04'!$T$18:$T$198,2*(ROWS($AE$97:AE114)-1)+1),0),0)</f>
        <v>0</v>
      </c>
      <c r="AF114" s="151" t="str">
        <f>INDEX('M03-S04'!$AW$18:$AW$198,2*(ROWS($AF$97:AF114)-1)+1)</f>
        <v/>
      </c>
      <c r="AG114" s="151" t="str">
        <f>INDEX('M03-S04'!$AX$18:$AX$198,2*(ROWS($AG$97:AG114)-1)+1)</f>
        <v/>
      </c>
      <c r="AH114" s="151" t="str">
        <f t="shared" si="26"/>
        <v/>
      </c>
      <c r="AI114" s="151" t="str">
        <f t="shared" si="27"/>
        <v/>
      </c>
      <c r="AJ114" s="61" t="str">
        <f t="shared" si="28"/>
        <v/>
      </c>
      <c r="AK114" s="61" t="str">
        <f t="shared" si="29"/>
        <v/>
      </c>
      <c r="AL114" s="61" t="str">
        <f t="shared" si="30"/>
        <v/>
      </c>
      <c r="AM114" s="154"/>
      <c r="AN114" s="61" t="str">
        <f t="shared" si="31"/>
        <v/>
      </c>
      <c r="AO114" s="151">
        <f>INDEX('M03-S04'!$I$18:$I$198,2*(ROWS($AO$97:AO114)-1)+1)</f>
        <v>0</v>
      </c>
      <c r="AP114" s="151">
        <f>INDEX('M03-S04'!$AD$18:$AD$198,2*(ROWS($AP$97:AP114)-1)+1)</f>
        <v>0</v>
      </c>
      <c r="AQ114" s="61" t="str">
        <f>IF(INDEX('M03-S04'!$AJ$18:$AJ$198,2*(ROWS($AQ$97:AQ114)-1)+1)="","",IF(AND(INDEX('M03-S04'!$AJ$18:$AJ$198,2*(ROWS($AQ$97:AQ114)-1)+1)&lt;&gt;"",OR(ISNUMBER(SEARCH("AC With",M02S02F32)),M02S02F32="Heat Pump")),LIGHTHEATCOIN,1))</f>
        <v/>
      </c>
      <c r="AR114" s="414">
        <f>(IF(INDEX('M03-S04'!$AN$18:$AN$198,2*(ROWS($O$97:O114)-1)+1)=INDEX('M03-S04'!$BJ$18:$BJ$198,2*(ROWS($O$97:O114)-1)+1),0,(INDEX('M03-S04'!$BI$18:$BI$198,2*(ROWS($O$97:O114)-1)+1)-INDEX('M03-S04'!$BJ$18:$BJ$198,2*(ROWS($O$97:O114)-1)+1))))*INCENTCAPADJ</f>
        <v>0</v>
      </c>
    </row>
    <row r="115" spans="1:44" x14ac:dyDescent="0.25">
      <c r="A115" s="66">
        <f t="shared" si="24"/>
        <v>0</v>
      </c>
      <c r="B115" s="66" t="str">
        <f t="shared" si="25"/>
        <v/>
      </c>
      <c r="C115" s="66" t="str">
        <f>IFERROR(IF(J115&gt;0,INDEX('M03-S04'!$BB$18:$BB$198,2*(ROWS($C$97:C115)-1)+1),""),"")</f>
        <v/>
      </c>
      <c r="D115" t="s">
        <v>1096</v>
      </c>
      <c r="E115" t="str">
        <f>IFERROR(INDEX(PMELIGHTINCAN[End Use Category],MATCH(INDEX('M03-S04'!$BA$18:$BA$198,2*(ROWS($E$97:E115)-1)+1),PMELIGHTINCAN[Measure Validator],0)),"")</f>
        <v/>
      </c>
      <c r="F115" s="151" t="str">
        <f>INDEX('M03-S04'!$AB$18:$AB$198,2*(ROWS($F$97:F115)-1)+1)</f>
        <v/>
      </c>
      <c r="G115">
        <f>INDEX('M03-S04'!$X$18:$X$198,2*(ROWS($G$97:G115)-1)+1)</f>
        <v>0</v>
      </c>
      <c r="H115" s="61">
        <f>ROUND(INDEX('M03-S04'!$T$18:$T$198,2*(ROWS($H$97:H115)-1)+1)*INDEX('M03-S04'!$AF$18:$AF$198,2*(ROWS($H$97:H115)-1)+1),2)</f>
        <v>0</v>
      </c>
      <c r="I115" s="61">
        <f>ROUND(INDEX('M03-S04'!$T$18:$T$198,2*(ROWS($I$97:I115)-1)+1)*INDEX('M03-S04'!$AH$18:$AH$198,2*(ROWS($H$97:H115)-1)+1),2)</f>
        <v>0</v>
      </c>
      <c r="J115" s="61" t="str">
        <f>INDEX('M03-S04'!$AU$18:$AU$198,2*(ROWS($J$97:J115)-1)+1)</f>
        <v/>
      </c>
      <c r="K115" t="s">
        <v>119</v>
      </c>
      <c r="L115" s="151">
        <f>IF(ISNUMBER(INDEX('M03-S04'!$AN$18:$AN$198,2*(ROWS($L$97:L115)-1)+1)),INDEX('M03-S04'!$T$18:$T$198,2*(ROWS($L$97:L115)-1)+1),0)</f>
        <v>0</v>
      </c>
      <c r="M115" s="151">
        <f>IF(ISNUMBER(INDEX('M03-S04'!$AN$18:$AN$198,2*(ROWS($M$97:M115)-1)+1)),INDEX('M03-S04'!$AJ$18:$AJ$198,2*(ROWS($M$97:M115)-1)+1),0)</f>
        <v>0</v>
      </c>
      <c r="N115" s="189">
        <f>IF(ISNUMBER(INDEX('M03-S04'!$AN$18:$AN$198,2*(ROWS($M$97:M115)-1)+1)),IFERROR(INDEX('M03-S04'!$AV$18:$AV$198,2*(ROWS($N$97:N115)-1)+1),0),0)</f>
        <v>0</v>
      </c>
      <c r="O115" s="61">
        <f>IF(ISNUMBER(INDEX('M03-S04'!$AN$18:$AN$198,2*(ROWS($M$97:M115)-1)+1)),IFERROR(INDEX('M03-S04'!$AN$18:$AN$198,2*(ROWS($O$97:O115)-1)+1)*INCENTCAPADJ,""),0)</f>
        <v>0</v>
      </c>
      <c r="P115" s="151" t="str">
        <f>IFERROR(IF(NOT(ISNUMBER(INDEX('M03-S04'!$AN$18:$AN$198,2*(ROWS($O$97:O115)-1)+1))),INDEX('M03-S04'!$AJ$18:$AJ$198,2*(ROWS($M$97:M115)-1)+1),0),0)</f>
        <v/>
      </c>
      <c r="Q115" s="189" t="str">
        <f>IFERROR(IF(NOT(ISNUMBER(INDEX('M03-S04'!$AN$18:$AN$198,2*(ROWS($O$97:O115)-1)+1))),INDEX('M03-S04'!$AV$18:$AV$198,2*(ROWS($N$97:N115)-1)+1),0),0)</f>
        <v/>
      </c>
      <c r="R115" t="str">
        <f>IFERROR(IF(NOT(ISNUMBER(INDEX('M03-S04'!$AN$18:$AN$198,2*(ROWS($O$97:O115)-1)+1))),"Not Eligible",""),"")</f>
        <v>Not Eligible</v>
      </c>
      <c r="S115" s="156">
        <f>INDEX('M03-S04'!$K$18:$K$198,2*(ROWS($S$97:S115)-1)+1)</f>
        <v>0</v>
      </c>
      <c r="T115" s="156">
        <f>INDEX('M03-S04'!$V$18:$V$198,2*(ROWS($T$97:T115)-1)+1)</f>
        <v>0</v>
      </c>
      <c r="U115" s="151">
        <f>INDEX('M03-S04'!$B$18:$B$198,2*(ROWS($U$97:U115)-1)+1)</f>
        <v>19</v>
      </c>
      <c r="V115" s="58" t="str">
        <f>CONCATENATE(INDEX('M03-S04'!$C$18:$C$198,2*(ROWS($V$97:V115)-1)+1)," ",INDEX('M03-S04'!$F$18:$F$198,2*(ROWS($V$97:V115)-1)+1))</f>
        <v xml:space="preserve"> </v>
      </c>
      <c r="W115" s="58" t="str">
        <f>INDEX('M03-S04'!$M$18:$M$198,2*(ROWS($W$97:W115)-1)+1)</f>
        <v/>
      </c>
      <c r="X115" s="135"/>
      <c r="Y115">
        <f>INDEX('M03-S04'!$P$18:$P$198,2*(ROWS($Y$97:Y115)-1)+1)</f>
        <v>0</v>
      </c>
      <c r="Z115" s="61">
        <f>IFERROR(INDEX('M03-S04'!$AD$18:$AD$198,2*(ROWS(Z$97:$Z115)-1)+1)/INDEX('M03-S04'!$AB$18:$AB$198,2*(ROWS(Z$97:$Z115)-1)+1),0)</f>
        <v>0</v>
      </c>
      <c r="AA115" s="135"/>
      <c r="AB115" s="135"/>
      <c r="AC115" s="135"/>
      <c r="AD115" s="135"/>
      <c r="AE115" s="151">
        <f>IFERROR(IF(NOT(ISNUMBER(INDEX('M03-S04'!$AN$18:$AN$198,2*(ROWS($AE$97:AE115)-1)+1))),INDEX('M03-S04'!$T$18:$T$198,2*(ROWS($AE$97:AE115)-1)+1),0),0)</f>
        <v>0</v>
      </c>
      <c r="AF115" s="151" t="str">
        <f>INDEX('M03-S04'!$AW$18:$AW$198,2*(ROWS($AF$97:AF115)-1)+1)</f>
        <v/>
      </c>
      <c r="AG115" s="151" t="str">
        <f>INDEX('M03-S04'!$AX$18:$AX$198,2*(ROWS($AG$97:AG115)-1)+1)</f>
        <v/>
      </c>
      <c r="AH115" s="151" t="str">
        <f t="shared" si="26"/>
        <v/>
      </c>
      <c r="AI115" s="151" t="str">
        <f t="shared" si="27"/>
        <v/>
      </c>
      <c r="AJ115" s="61" t="str">
        <f t="shared" si="28"/>
        <v/>
      </c>
      <c r="AK115" s="61" t="str">
        <f t="shared" si="29"/>
        <v/>
      </c>
      <c r="AL115" s="61" t="str">
        <f t="shared" si="30"/>
        <v/>
      </c>
      <c r="AM115" s="154"/>
      <c r="AN115" s="61" t="str">
        <f t="shared" si="31"/>
        <v/>
      </c>
      <c r="AO115" s="151">
        <f>INDEX('M03-S04'!$I$18:$I$198,2*(ROWS($AO$97:AO115)-1)+1)</f>
        <v>0</v>
      </c>
      <c r="AP115" s="151">
        <f>INDEX('M03-S04'!$AD$18:$AD$198,2*(ROWS($AP$97:AP115)-1)+1)</f>
        <v>0</v>
      </c>
      <c r="AQ115" s="61" t="str">
        <f>IF(INDEX('M03-S04'!$AJ$18:$AJ$198,2*(ROWS($AQ$97:AQ115)-1)+1)="","",IF(AND(INDEX('M03-S04'!$AJ$18:$AJ$198,2*(ROWS($AQ$97:AQ115)-1)+1)&lt;&gt;"",OR(ISNUMBER(SEARCH("AC With",M02S02F32)),M02S02F32="Heat Pump")),LIGHTHEATCOIN,1))</f>
        <v/>
      </c>
      <c r="AR115" s="414">
        <f>(IF(INDEX('M03-S04'!$AN$18:$AN$198,2*(ROWS($O$97:O115)-1)+1)=INDEX('M03-S04'!$BJ$18:$BJ$198,2*(ROWS($O$97:O115)-1)+1),0,(INDEX('M03-S04'!$BI$18:$BI$198,2*(ROWS($O$97:O115)-1)+1)-INDEX('M03-S04'!$BJ$18:$BJ$198,2*(ROWS($O$97:O115)-1)+1))))*INCENTCAPADJ</f>
        <v>0</v>
      </c>
    </row>
    <row r="116" spans="1:44" x14ac:dyDescent="0.25">
      <c r="A116" s="66">
        <f t="shared" si="24"/>
        <v>0</v>
      </c>
      <c r="B116" s="66" t="str">
        <f t="shared" si="25"/>
        <v/>
      </c>
      <c r="C116" s="66" t="str">
        <f>IFERROR(IF(J116&gt;0,INDEX('M03-S04'!$BB$18:$BB$198,2*(ROWS($C$97:C116)-1)+1),""),"")</f>
        <v/>
      </c>
      <c r="D116" t="s">
        <v>1096</v>
      </c>
      <c r="E116" t="str">
        <f>IFERROR(INDEX(PMELIGHTINCAN[End Use Category],MATCH(INDEX('M03-S04'!$BA$18:$BA$198,2*(ROWS($E$97:E116)-1)+1),PMELIGHTINCAN[Measure Validator],0)),"")</f>
        <v/>
      </c>
      <c r="F116" s="151" t="str">
        <f>INDEX('M03-S04'!$AB$18:$AB$198,2*(ROWS($F$97:F116)-1)+1)</f>
        <v/>
      </c>
      <c r="G116">
        <f>INDEX('M03-S04'!$X$18:$X$198,2*(ROWS($G$97:G116)-1)+1)</f>
        <v>0</v>
      </c>
      <c r="H116" s="61">
        <f>ROUND(INDEX('M03-S04'!$T$18:$T$198,2*(ROWS($H$97:H116)-1)+1)*INDEX('M03-S04'!$AF$18:$AF$198,2*(ROWS($H$97:H116)-1)+1),2)</f>
        <v>0</v>
      </c>
      <c r="I116" s="61">
        <f>ROUND(INDEX('M03-S04'!$T$18:$T$198,2*(ROWS($I$97:I116)-1)+1)*INDEX('M03-S04'!$AH$18:$AH$198,2*(ROWS($H$97:H116)-1)+1),2)</f>
        <v>0</v>
      </c>
      <c r="J116" s="61" t="str">
        <f>INDEX('M03-S04'!$AU$18:$AU$198,2*(ROWS($J$97:J116)-1)+1)</f>
        <v/>
      </c>
      <c r="K116" t="s">
        <v>119</v>
      </c>
      <c r="L116" s="151">
        <f>IF(ISNUMBER(INDEX('M03-S04'!$AN$18:$AN$198,2*(ROWS($L$97:L116)-1)+1)),INDEX('M03-S04'!$T$18:$T$198,2*(ROWS($L$97:L116)-1)+1),0)</f>
        <v>0</v>
      </c>
      <c r="M116" s="151">
        <f>IF(ISNUMBER(INDEX('M03-S04'!$AN$18:$AN$198,2*(ROWS($M$97:M116)-1)+1)),INDEX('M03-S04'!$AJ$18:$AJ$198,2*(ROWS($M$97:M116)-1)+1),0)</f>
        <v>0</v>
      </c>
      <c r="N116" s="189">
        <f>IF(ISNUMBER(INDEX('M03-S04'!$AN$18:$AN$198,2*(ROWS($M$97:M116)-1)+1)),IFERROR(INDEX('M03-S04'!$AV$18:$AV$198,2*(ROWS($N$97:N116)-1)+1),0),0)</f>
        <v>0</v>
      </c>
      <c r="O116" s="61">
        <f>IF(ISNUMBER(INDEX('M03-S04'!$AN$18:$AN$198,2*(ROWS($M$97:M116)-1)+1)),IFERROR(INDEX('M03-S04'!$AN$18:$AN$198,2*(ROWS($O$97:O116)-1)+1)*INCENTCAPADJ,""),0)</f>
        <v>0</v>
      </c>
      <c r="P116" s="151" t="str">
        <f>IFERROR(IF(NOT(ISNUMBER(INDEX('M03-S04'!$AN$18:$AN$198,2*(ROWS($O$97:O116)-1)+1))),INDEX('M03-S04'!$AJ$18:$AJ$198,2*(ROWS($M$97:M116)-1)+1),0),0)</f>
        <v/>
      </c>
      <c r="Q116" s="189" t="str">
        <f>IFERROR(IF(NOT(ISNUMBER(INDEX('M03-S04'!$AN$18:$AN$198,2*(ROWS($O$97:O116)-1)+1))),INDEX('M03-S04'!$AV$18:$AV$198,2*(ROWS($N$97:N116)-1)+1),0),0)</f>
        <v/>
      </c>
      <c r="R116" t="str">
        <f>IFERROR(IF(NOT(ISNUMBER(INDEX('M03-S04'!$AN$18:$AN$198,2*(ROWS($O$97:O116)-1)+1))),"Not Eligible",""),"")</f>
        <v>Not Eligible</v>
      </c>
      <c r="S116" s="156">
        <f>INDEX('M03-S04'!$K$18:$K$198,2*(ROWS($S$97:S116)-1)+1)</f>
        <v>0</v>
      </c>
      <c r="T116" s="156">
        <f>INDEX('M03-S04'!$V$18:$V$198,2*(ROWS($T$97:T116)-1)+1)</f>
        <v>0</v>
      </c>
      <c r="U116" s="151">
        <f>INDEX('M03-S04'!$B$18:$B$198,2*(ROWS($U$97:U116)-1)+1)</f>
        <v>20</v>
      </c>
      <c r="V116" s="58" t="str">
        <f>CONCATENATE(INDEX('M03-S04'!$C$18:$C$198,2*(ROWS($V$97:V116)-1)+1)," ",INDEX('M03-S04'!$F$18:$F$198,2*(ROWS($V$97:V116)-1)+1))</f>
        <v xml:space="preserve"> </v>
      </c>
      <c r="W116" s="58" t="str">
        <f>INDEX('M03-S04'!$M$18:$M$198,2*(ROWS($W$97:W116)-1)+1)</f>
        <v/>
      </c>
      <c r="X116" s="135"/>
      <c r="Y116">
        <f>INDEX('M03-S04'!$P$18:$P$198,2*(ROWS($Y$97:Y116)-1)+1)</f>
        <v>0</v>
      </c>
      <c r="Z116" s="61">
        <f>IFERROR(INDEX('M03-S04'!$AD$18:$AD$198,2*(ROWS(Z$97:$Z116)-1)+1)/INDEX('M03-S04'!$AB$18:$AB$198,2*(ROWS(Z$97:$Z116)-1)+1),0)</f>
        <v>0</v>
      </c>
      <c r="AA116" s="135"/>
      <c r="AB116" s="135"/>
      <c r="AC116" s="135"/>
      <c r="AD116" s="135"/>
      <c r="AE116" s="151">
        <f>IFERROR(IF(NOT(ISNUMBER(INDEX('M03-S04'!$AN$18:$AN$198,2*(ROWS($AE$97:AE116)-1)+1))),INDEX('M03-S04'!$T$18:$T$198,2*(ROWS($AE$97:AE116)-1)+1),0),0)</f>
        <v>0</v>
      </c>
      <c r="AF116" s="151" t="str">
        <f>INDEX('M03-S04'!$AW$18:$AW$198,2*(ROWS($AF$97:AF116)-1)+1)</f>
        <v/>
      </c>
      <c r="AG116" s="151" t="str">
        <f>INDEX('M03-S04'!$AX$18:$AX$198,2*(ROWS($AG$97:AG116)-1)+1)</f>
        <v/>
      </c>
      <c r="AH116" s="151" t="str">
        <f t="shared" si="26"/>
        <v/>
      </c>
      <c r="AI116" s="151" t="str">
        <f t="shared" si="27"/>
        <v/>
      </c>
      <c r="AJ116" s="61" t="str">
        <f t="shared" si="28"/>
        <v/>
      </c>
      <c r="AK116" s="61" t="str">
        <f t="shared" si="29"/>
        <v/>
      </c>
      <c r="AL116" s="61" t="str">
        <f t="shared" si="30"/>
        <v/>
      </c>
      <c r="AM116" s="154"/>
      <c r="AN116" s="61" t="str">
        <f t="shared" si="31"/>
        <v/>
      </c>
      <c r="AO116" s="151">
        <f>INDEX('M03-S04'!$I$18:$I$198,2*(ROWS($AO$97:AO116)-1)+1)</f>
        <v>0</v>
      </c>
      <c r="AP116" s="151">
        <f>INDEX('M03-S04'!$AD$18:$AD$198,2*(ROWS($AP$97:AP116)-1)+1)</f>
        <v>0</v>
      </c>
      <c r="AQ116" s="61" t="str">
        <f>IF(INDEX('M03-S04'!$AJ$18:$AJ$198,2*(ROWS($AQ$97:AQ116)-1)+1)="","",IF(AND(INDEX('M03-S04'!$AJ$18:$AJ$198,2*(ROWS($AQ$97:AQ116)-1)+1)&lt;&gt;"",OR(ISNUMBER(SEARCH("AC With",M02S02F32)),M02S02F32="Heat Pump")),LIGHTHEATCOIN,1))</f>
        <v/>
      </c>
      <c r="AR116" s="414">
        <f>(IF(INDEX('M03-S04'!$AN$18:$AN$198,2*(ROWS($O$97:O116)-1)+1)=INDEX('M03-S04'!$BJ$18:$BJ$198,2*(ROWS($O$97:O116)-1)+1),0,(INDEX('M03-S04'!$BI$18:$BI$198,2*(ROWS($O$97:O116)-1)+1)-INDEX('M03-S04'!$BJ$18:$BJ$198,2*(ROWS($O$97:O116)-1)+1))))*INCENTCAPADJ</f>
        <v>0</v>
      </c>
    </row>
    <row r="117" spans="1:44" x14ac:dyDescent="0.25">
      <c r="A117" s="66">
        <f t="shared" si="24"/>
        <v>0</v>
      </c>
      <c r="B117" s="66" t="str">
        <f t="shared" si="25"/>
        <v/>
      </c>
      <c r="C117" s="66" t="str">
        <f>IFERROR(IF(J117&gt;0,INDEX('M03-S04'!$BB$18:$BB$198,2*(ROWS($C$97:C117)-1)+1),""),"")</f>
        <v/>
      </c>
      <c r="D117" t="s">
        <v>1096</v>
      </c>
      <c r="E117" t="str">
        <f>IFERROR(INDEX(PMELIGHTINCAN[End Use Category],MATCH(INDEX('M03-S04'!$BA$18:$BA$198,2*(ROWS($E$97:E117)-1)+1),PMELIGHTINCAN[Measure Validator],0)),"")</f>
        <v/>
      </c>
      <c r="F117" s="151" t="str">
        <f>INDEX('M03-S04'!$AB$18:$AB$198,2*(ROWS($F$97:F117)-1)+1)</f>
        <v/>
      </c>
      <c r="G117">
        <f>INDEX('M03-S04'!$X$18:$X$198,2*(ROWS($G$97:G117)-1)+1)</f>
        <v>0</v>
      </c>
      <c r="H117" s="61">
        <f>ROUND(INDEX('M03-S04'!$T$18:$T$198,2*(ROWS($H$97:H117)-1)+1)*INDEX('M03-S04'!$AF$18:$AF$198,2*(ROWS($H$97:H117)-1)+1),2)</f>
        <v>0</v>
      </c>
      <c r="I117" s="61">
        <f>ROUND(INDEX('M03-S04'!$T$18:$T$198,2*(ROWS($I$97:I117)-1)+1)*INDEX('M03-S04'!$AH$18:$AH$198,2*(ROWS($H$97:H117)-1)+1),2)</f>
        <v>0</v>
      </c>
      <c r="J117" s="61" t="str">
        <f>INDEX('M03-S04'!$AU$18:$AU$198,2*(ROWS($J$97:J117)-1)+1)</f>
        <v/>
      </c>
      <c r="K117" t="s">
        <v>119</v>
      </c>
      <c r="L117" s="151">
        <f>IF(ISNUMBER(INDEX('M03-S04'!$AN$18:$AN$198,2*(ROWS($L$97:L117)-1)+1)),INDEX('M03-S04'!$T$18:$T$198,2*(ROWS($L$97:L117)-1)+1),0)</f>
        <v>0</v>
      </c>
      <c r="M117" s="151">
        <f>IF(ISNUMBER(INDEX('M03-S04'!$AN$18:$AN$198,2*(ROWS($M$97:M117)-1)+1)),INDEX('M03-S04'!$AJ$18:$AJ$198,2*(ROWS($M$97:M117)-1)+1),0)</f>
        <v>0</v>
      </c>
      <c r="N117" s="189">
        <f>IF(ISNUMBER(INDEX('M03-S04'!$AN$18:$AN$198,2*(ROWS($M$97:M117)-1)+1)),IFERROR(INDEX('M03-S04'!$AV$18:$AV$198,2*(ROWS($N$97:N117)-1)+1),0),0)</f>
        <v>0</v>
      </c>
      <c r="O117" s="61">
        <f>IF(ISNUMBER(INDEX('M03-S04'!$AN$18:$AN$198,2*(ROWS($M$97:M117)-1)+1)),IFERROR(INDEX('M03-S04'!$AN$18:$AN$198,2*(ROWS($O$97:O117)-1)+1)*INCENTCAPADJ,""),0)</f>
        <v>0</v>
      </c>
      <c r="P117" s="151" t="str">
        <f>IFERROR(IF(NOT(ISNUMBER(INDEX('M03-S04'!$AN$18:$AN$198,2*(ROWS($O$97:O117)-1)+1))),INDEX('M03-S04'!$AJ$18:$AJ$198,2*(ROWS($M$97:M117)-1)+1),0),0)</f>
        <v/>
      </c>
      <c r="Q117" s="189" t="str">
        <f>IFERROR(IF(NOT(ISNUMBER(INDEX('M03-S04'!$AN$18:$AN$198,2*(ROWS($O$97:O117)-1)+1))),INDEX('M03-S04'!$AV$18:$AV$198,2*(ROWS($N$97:N117)-1)+1),0),0)</f>
        <v/>
      </c>
      <c r="R117" t="str">
        <f>IFERROR(IF(NOT(ISNUMBER(INDEX('M03-S04'!$AN$18:$AN$198,2*(ROWS($O$97:O117)-1)+1))),"Not Eligible",""),"")</f>
        <v>Not Eligible</v>
      </c>
      <c r="S117" s="156">
        <f>INDEX('M03-S04'!$K$18:$K$198,2*(ROWS($S$97:S117)-1)+1)</f>
        <v>0</v>
      </c>
      <c r="T117" s="156">
        <f>INDEX('M03-S04'!$V$18:$V$198,2*(ROWS($T$97:T117)-1)+1)</f>
        <v>0</v>
      </c>
      <c r="U117" s="151">
        <f>INDEX('M03-S04'!$B$18:$B$198,2*(ROWS($U$97:U117)-1)+1)</f>
        <v>21</v>
      </c>
      <c r="V117" s="58" t="str">
        <f>CONCATENATE(INDEX('M03-S04'!$C$18:$C$198,2*(ROWS($V$97:V117)-1)+1)," ",INDEX('M03-S04'!$F$18:$F$198,2*(ROWS($V$97:V117)-1)+1))</f>
        <v xml:space="preserve"> </v>
      </c>
      <c r="W117" s="58" t="str">
        <f>INDEX('M03-S04'!$M$18:$M$198,2*(ROWS($W$97:W117)-1)+1)</f>
        <v/>
      </c>
      <c r="X117" s="135"/>
      <c r="Y117">
        <f>INDEX('M03-S04'!$P$18:$P$198,2*(ROWS($Y$97:Y117)-1)+1)</f>
        <v>0</v>
      </c>
      <c r="Z117" s="61">
        <f>IFERROR(INDEX('M03-S04'!$AD$18:$AD$198,2*(ROWS(Z$97:$Z117)-1)+1)/INDEX('M03-S04'!$AB$18:$AB$198,2*(ROWS(Z$97:$Z117)-1)+1),0)</f>
        <v>0</v>
      </c>
      <c r="AA117" s="135"/>
      <c r="AB117" s="135"/>
      <c r="AC117" s="135"/>
      <c r="AD117" s="135"/>
      <c r="AE117" s="151">
        <f>IFERROR(IF(NOT(ISNUMBER(INDEX('M03-S04'!$AN$18:$AN$198,2*(ROWS($AE$97:AE117)-1)+1))),INDEX('M03-S04'!$T$18:$T$198,2*(ROWS($AE$97:AE117)-1)+1),0),0)</f>
        <v>0</v>
      </c>
      <c r="AF117" s="151" t="str">
        <f>INDEX('M03-S04'!$AW$18:$AW$198,2*(ROWS($AF$97:AF117)-1)+1)</f>
        <v/>
      </c>
      <c r="AG117" s="151" t="str">
        <f>INDEX('M03-S04'!$AX$18:$AX$198,2*(ROWS($AG$97:AG117)-1)+1)</f>
        <v/>
      </c>
      <c r="AH117" s="151" t="str">
        <f t="shared" si="26"/>
        <v/>
      </c>
      <c r="AI117" s="151" t="str">
        <f t="shared" si="27"/>
        <v/>
      </c>
      <c r="AJ117" s="61" t="str">
        <f t="shared" si="28"/>
        <v/>
      </c>
      <c r="AK117" s="61" t="str">
        <f t="shared" si="29"/>
        <v/>
      </c>
      <c r="AL117" s="61" t="str">
        <f t="shared" si="30"/>
        <v/>
      </c>
      <c r="AM117" s="154"/>
      <c r="AN117" s="61" t="str">
        <f t="shared" si="31"/>
        <v/>
      </c>
      <c r="AO117" s="151">
        <f>INDEX('M03-S04'!$I$18:$I$198,2*(ROWS($AO$97:AO117)-1)+1)</f>
        <v>0</v>
      </c>
      <c r="AP117" s="151">
        <f>INDEX('M03-S04'!$AD$18:$AD$198,2*(ROWS($AP$97:AP117)-1)+1)</f>
        <v>0</v>
      </c>
      <c r="AQ117" s="61" t="str">
        <f>IF(INDEX('M03-S04'!$AJ$18:$AJ$198,2*(ROWS($AQ$97:AQ117)-1)+1)="","",IF(AND(INDEX('M03-S04'!$AJ$18:$AJ$198,2*(ROWS($AQ$97:AQ117)-1)+1)&lt;&gt;"",OR(ISNUMBER(SEARCH("AC With",M02S02F32)),M02S02F32="Heat Pump")),LIGHTHEATCOIN,1))</f>
        <v/>
      </c>
      <c r="AR117" s="414">
        <f>(IF(INDEX('M03-S04'!$AN$18:$AN$198,2*(ROWS($O$97:O117)-1)+1)=INDEX('M03-S04'!$BJ$18:$BJ$198,2*(ROWS($O$97:O117)-1)+1),0,(INDEX('M03-S04'!$BI$18:$BI$198,2*(ROWS($O$97:O117)-1)+1)-INDEX('M03-S04'!$BJ$18:$BJ$198,2*(ROWS($O$97:O117)-1)+1))))*INCENTCAPADJ</f>
        <v>0</v>
      </c>
    </row>
    <row r="118" spans="1:44" x14ac:dyDescent="0.25">
      <c r="A118" s="66">
        <f t="shared" si="24"/>
        <v>0</v>
      </c>
      <c r="B118" s="66" t="str">
        <f t="shared" si="25"/>
        <v/>
      </c>
      <c r="C118" s="66" t="str">
        <f>IFERROR(IF(J118&gt;0,INDEX('M03-S04'!$BB$18:$BB$198,2*(ROWS($C$97:C118)-1)+1),""),"")</f>
        <v/>
      </c>
      <c r="D118" t="s">
        <v>1096</v>
      </c>
      <c r="E118" t="str">
        <f>IFERROR(INDEX(PMELIGHTINCAN[End Use Category],MATCH(INDEX('M03-S04'!$BA$18:$BA$198,2*(ROWS($E$97:E118)-1)+1),PMELIGHTINCAN[Measure Validator],0)),"")</f>
        <v/>
      </c>
      <c r="F118" s="151" t="str">
        <f>INDEX('M03-S04'!$AB$18:$AB$198,2*(ROWS($F$97:F118)-1)+1)</f>
        <v/>
      </c>
      <c r="G118">
        <f>INDEX('M03-S04'!$X$18:$X$198,2*(ROWS($G$97:G118)-1)+1)</f>
        <v>0</v>
      </c>
      <c r="H118" s="61">
        <f>ROUND(INDEX('M03-S04'!$T$18:$T$198,2*(ROWS($H$97:H118)-1)+1)*INDEX('M03-S04'!$AF$18:$AF$198,2*(ROWS($H$97:H118)-1)+1),2)</f>
        <v>0</v>
      </c>
      <c r="I118" s="61">
        <f>ROUND(INDEX('M03-S04'!$T$18:$T$198,2*(ROWS($I$97:I118)-1)+1)*INDEX('M03-S04'!$AH$18:$AH$198,2*(ROWS($H$97:H118)-1)+1),2)</f>
        <v>0</v>
      </c>
      <c r="J118" s="61" t="str">
        <f>INDEX('M03-S04'!$AU$18:$AU$198,2*(ROWS($J$97:J118)-1)+1)</f>
        <v/>
      </c>
      <c r="K118" t="s">
        <v>119</v>
      </c>
      <c r="L118" s="151">
        <f>IF(ISNUMBER(INDEX('M03-S04'!$AN$18:$AN$198,2*(ROWS($L$97:L118)-1)+1)),INDEX('M03-S04'!$T$18:$T$198,2*(ROWS($L$97:L118)-1)+1),0)</f>
        <v>0</v>
      </c>
      <c r="M118" s="151">
        <f>IF(ISNUMBER(INDEX('M03-S04'!$AN$18:$AN$198,2*(ROWS($M$97:M118)-1)+1)),INDEX('M03-S04'!$AJ$18:$AJ$198,2*(ROWS($M$97:M118)-1)+1),0)</f>
        <v>0</v>
      </c>
      <c r="N118" s="189">
        <f>IF(ISNUMBER(INDEX('M03-S04'!$AN$18:$AN$198,2*(ROWS($M$97:M118)-1)+1)),IFERROR(INDEX('M03-S04'!$AV$18:$AV$198,2*(ROWS($N$97:N118)-1)+1),0),0)</f>
        <v>0</v>
      </c>
      <c r="O118" s="61">
        <f>IF(ISNUMBER(INDEX('M03-S04'!$AN$18:$AN$198,2*(ROWS($M$97:M118)-1)+1)),IFERROR(INDEX('M03-S04'!$AN$18:$AN$198,2*(ROWS($O$97:O118)-1)+1)*INCENTCAPADJ,""),0)</f>
        <v>0</v>
      </c>
      <c r="P118" s="151" t="str">
        <f>IFERROR(IF(NOT(ISNUMBER(INDEX('M03-S04'!$AN$18:$AN$198,2*(ROWS($O$97:O118)-1)+1))),INDEX('M03-S04'!$AJ$18:$AJ$198,2*(ROWS($M$97:M118)-1)+1),0),0)</f>
        <v/>
      </c>
      <c r="Q118" s="189" t="str">
        <f>IFERROR(IF(NOT(ISNUMBER(INDEX('M03-S04'!$AN$18:$AN$198,2*(ROWS($O$97:O118)-1)+1))),INDEX('M03-S04'!$AV$18:$AV$198,2*(ROWS($N$97:N118)-1)+1),0),0)</f>
        <v/>
      </c>
      <c r="R118" t="str">
        <f>IFERROR(IF(NOT(ISNUMBER(INDEX('M03-S04'!$AN$18:$AN$198,2*(ROWS($O$97:O118)-1)+1))),"Not Eligible",""),"")</f>
        <v>Not Eligible</v>
      </c>
      <c r="S118" s="156">
        <f>INDEX('M03-S04'!$K$18:$K$198,2*(ROWS($S$97:S118)-1)+1)</f>
        <v>0</v>
      </c>
      <c r="T118" s="156">
        <f>INDEX('M03-S04'!$V$18:$V$198,2*(ROWS($T$97:T118)-1)+1)</f>
        <v>0</v>
      </c>
      <c r="U118" s="151">
        <f>INDEX('M03-S04'!$B$18:$B$198,2*(ROWS($U$97:U118)-1)+1)</f>
        <v>22</v>
      </c>
      <c r="V118" s="58" t="str">
        <f>CONCATENATE(INDEX('M03-S04'!$C$18:$C$198,2*(ROWS($V$97:V118)-1)+1)," ",INDEX('M03-S04'!$F$18:$F$198,2*(ROWS($V$97:V118)-1)+1))</f>
        <v xml:space="preserve"> </v>
      </c>
      <c r="W118" s="58" t="str">
        <f>INDEX('M03-S04'!$M$18:$M$198,2*(ROWS($W$97:W118)-1)+1)</f>
        <v/>
      </c>
      <c r="X118" s="135"/>
      <c r="Y118">
        <f>INDEX('M03-S04'!$P$18:$P$198,2*(ROWS($Y$97:Y118)-1)+1)</f>
        <v>0</v>
      </c>
      <c r="Z118" s="61">
        <f>IFERROR(INDEX('M03-S04'!$AD$18:$AD$198,2*(ROWS(Z$97:$Z118)-1)+1)/INDEX('M03-S04'!$AB$18:$AB$198,2*(ROWS(Z$97:$Z118)-1)+1),0)</f>
        <v>0</v>
      </c>
      <c r="AA118" s="135"/>
      <c r="AB118" s="135"/>
      <c r="AC118" s="135"/>
      <c r="AD118" s="135"/>
      <c r="AE118" s="151">
        <f>IFERROR(IF(NOT(ISNUMBER(INDEX('M03-S04'!$AN$18:$AN$198,2*(ROWS($AE$97:AE118)-1)+1))),INDEX('M03-S04'!$T$18:$T$198,2*(ROWS($AE$97:AE118)-1)+1),0),0)</f>
        <v>0</v>
      </c>
      <c r="AF118" s="151" t="str">
        <f>INDEX('M03-S04'!$AW$18:$AW$198,2*(ROWS($AF$97:AF118)-1)+1)</f>
        <v/>
      </c>
      <c r="AG118" s="151" t="str">
        <f>INDEX('M03-S04'!$AX$18:$AX$198,2*(ROWS($AG$97:AG118)-1)+1)</f>
        <v/>
      </c>
      <c r="AH118" s="151" t="str">
        <f t="shared" si="26"/>
        <v/>
      </c>
      <c r="AI118" s="151" t="str">
        <f t="shared" si="27"/>
        <v/>
      </c>
      <c r="AJ118" s="61" t="str">
        <f t="shared" si="28"/>
        <v/>
      </c>
      <c r="AK118" s="61" t="str">
        <f t="shared" si="29"/>
        <v/>
      </c>
      <c r="AL118" s="61" t="str">
        <f t="shared" si="30"/>
        <v/>
      </c>
      <c r="AM118" s="154"/>
      <c r="AN118" s="61" t="str">
        <f t="shared" si="31"/>
        <v/>
      </c>
      <c r="AO118" s="151">
        <f>INDEX('M03-S04'!$I$18:$I$198,2*(ROWS($AO$97:AO118)-1)+1)</f>
        <v>0</v>
      </c>
      <c r="AP118" s="151">
        <f>INDEX('M03-S04'!$AD$18:$AD$198,2*(ROWS($AP$97:AP118)-1)+1)</f>
        <v>0</v>
      </c>
      <c r="AQ118" s="61" t="str">
        <f>IF(INDEX('M03-S04'!$AJ$18:$AJ$198,2*(ROWS($AQ$97:AQ118)-1)+1)="","",IF(AND(INDEX('M03-S04'!$AJ$18:$AJ$198,2*(ROWS($AQ$97:AQ118)-1)+1)&lt;&gt;"",OR(ISNUMBER(SEARCH("AC With",M02S02F32)),M02S02F32="Heat Pump")),LIGHTHEATCOIN,1))</f>
        <v/>
      </c>
      <c r="AR118" s="414">
        <f>(IF(INDEX('M03-S04'!$AN$18:$AN$198,2*(ROWS($O$97:O118)-1)+1)=INDEX('M03-S04'!$BJ$18:$BJ$198,2*(ROWS($O$97:O118)-1)+1),0,(INDEX('M03-S04'!$BI$18:$BI$198,2*(ROWS($O$97:O118)-1)+1)-INDEX('M03-S04'!$BJ$18:$BJ$198,2*(ROWS($O$97:O118)-1)+1))))*INCENTCAPADJ</f>
        <v>0</v>
      </c>
    </row>
    <row r="119" spans="1:44" x14ac:dyDescent="0.25">
      <c r="A119" s="66">
        <f t="shared" si="24"/>
        <v>0</v>
      </c>
      <c r="B119" s="66" t="str">
        <f t="shared" si="25"/>
        <v/>
      </c>
      <c r="C119" s="66" t="str">
        <f>IFERROR(IF(J119&gt;0,INDEX('M03-S04'!$BB$18:$BB$198,2*(ROWS($C$97:C119)-1)+1),""),"")</f>
        <v/>
      </c>
      <c r="D119" t="s">
        <v>1096</v>
      </c>
      <c r="E119" t="str">
        <f>IFERROR(INDEX(PMELIGHTINCAN[End Use Category],MATCH(INDEX('M03-S04'!$BA$18:$BA$198,2*(ROWS($E$97:E119)-1)+1),PMELIGHTINCAN[Measure Validator],0)),"")</f>
        <v/>
      </c>
      <c r="F119" s="151" t="str">
        <f>INDEX('M03-S04'!$AB$18:$AB$198,2*(ROWS($F$97:F119)-1)+1)</f>
        <v/>
      </c>
      <c r="G119">
        <f>INDEX('M03-S04'!$X$18:$X$198,2*(ROWS($G$97:G119)-1)+1)</f>
        <v>0</v>
      </c>
      <c r="H119" s="61">
        <f>ROUND(INDEX('M03-S04'!$T$18:$T$198,2*(ROWS($H$97:H119)-1)+1)*INDEX('M03-S04'!$AF$18:$AF$198,2*(ROWS($H$97:H119)-1)+1),2)</f>
        <v>0</v>
      </c>
      <c r="I119" s="61">
        <f>ROUND(INDEX('M03-S04'!$T$18:$T$198,2*(ROWS($I$97:I119)-1)+1)*INDEX('M03-S04'!$AH$18:$AH$198,2*(ROWS($H$97:H119)-1)+1),2)</f>
        <v>0</v>
      </c>
      <c r="J119" s="61" t="str">
        <f>INDEX('M03-S04'!$AU$18:$AU$198,2*(ROWS($J$97:J119)-1)+1)</f>
        <v/>
      </c>
      <c r="K119" t="s">
        <v>119</v>
      </c>
      <c r="L119" s="151">
        <f>IF(ISNUMBER(INDEX('M03-S04'!$AN$18:$AN$198,2*(ROWS($L$97:L119)-1)+1)),INDEX('M03-S04'!$T$18:$T$198,2*(ROWS($L$97:L119)-1)+1),0)</f>
        <v>0</v>
      </c>
      <c r="M119" s="151">
        <f>IF(ISNUMBER(INDEX('M03-S04'!$AN$18:$AN$198,2*(ROWS($M$97:M119)-1)+1)),INDEX('M03-S04'!$AJ$18:$AJ$198,2*(ROWS($M$97:M119)-1)+1),0)</f>
        <v>0</v>
      </c>
      <c r="N119" s="189">
        <f>IF(ISNUMBER(INDEX('M03-S04'!$AN$18:$AN$198,2*(ROWS($M$97:M119)-1)+1)),IFERROR(INDEX('M03-S04'!$AV$18:$AV$198,2*(ROWS($N$97:N119)-1)+1),0),0)</f>
        <v>0</v>
      </c>
      <c r="O119" s="61">
        <f>IF(ISNUMBER(INDEX('M03-S04'!$AN$18:$AN$198,2*(ROWS($M$97:M119)-1)+1)),IFERROR(INDEX('M03-S04'!$AN$18:$AN$198,2*(ROWS($O$97:O119)-1)+1)*INCENTCAPADJ,""),0)</f>
        <v>0</v>
      </c>
      <c r="P119" s="151" t="str">
        <f>IFERROR(IF(NOT(ISNUMBER(INDEX('M03-S04'!$AN$18:$AN$198,2*(ROWS($O$97:O119)-1)+1))),INDEX('M03-S04'!$AJ$18:$AJ$198,2*(ROWS($M$97:M119)-1)+1),0),0)</f>
        <v/>
      </c>
      <c r="Q119" s="189" t="str">
        <f>IFERROR(IF(NOT(ISNUMBER(INDEX('M03-S04'!$AN$18:$AN$198,2*(ROWS($O$97:O119)-1)+1))),INDEX('M03-S04'!$AV$18:$AV$198,2*(ROWS($N$97:N119)-1)+1),0),0)</f>
        <v/>
      </c>
      <c r="R119" t="str">
        <f>IFERROR(IF(NOT(ISNUMBER(INDEX('M03-S04'!$AN$18:$AN$198,2*(ROWS($O$97:O119)-1)+1))),"Not Eligible",""),"")</f>
        <v>Not Eligible</v>
      </c>
      <c r="S119" s="156">
        <f>INDEX('M03-S04'!$K$18:$K$198,2*(ROWS($S$97:S119)-1)+1)</f>
        <v>0</v>
      </c>
      <c r="T119" s="156">
        <f>INDEX('M03-S04'!$V$18:$V$198,2*(ROWS($T$97:T119)-1)+1)</f>
        <v>0</v>
      </c>
      <c r="U119" s="151">
        <f>INDEX('M03-S04'!$B$18:$B$198,2*(ROWS($U$97:U119)-1)+1)</f>
        <v>23</v>
      </c>
      <c r="V119" s="58" t="str">
        <f>CONCATENATE(INDEX('M03-S04'!$C$18:$C$198,2*(ROWS($V$97:V119)-1)+1)," ",INDEX('M03-S04'!$F$18:$F$198,2*(ROWS($V$97:V119)-1)+1))</f>
        <v xml:space="preserve"> </v>
      </c>
      <c r="W119" s="58" t="str">
        <f>INDEX('M03-S04'!$M$18:$M$198,2*(ROWS($W$97:W119)-1)+1)</f>
        <v/>
      </c>
      <c r="X119" s="135"/>
      <c r="Y119">
        <f>INDEX('M03-S04'!$P$18:$P$198,2*(ROWS($Y$97:Y119)-1)+1)</f>
        <v>0</v>
      </c>
      <c r="Z119" s="61">
        <f>IFERROR(INDEX('M03-S04'!$AD$18:$AD$198,2*(ROWS(Z$97:$Z119)-1)+1)/INDEX('M03-S04'!$AB$18:$AB$198,2*(ROWS(Z$97:$Z119)-1)+1),0)</f>
        <v>0</v>
      </c>
      <c r="AA119" s="135"/>
      <c r="AB119" s="135"/>
      <c r="AC119" s="135"/>
      <c r="AD119" s="135"/>
      <c r="AE119" s="151">
        <f>IFERROR(IF(NOT(ISNUMBER(INDEX('M03-S04'!$AN$18:$AN$198,2*(ROWS($AE$97:AE119)-1)+1))),INDEX('M03-S04'!$T$18:$T$198,2*(ROWS($AE$97:AE119)-1)+1),0),0)</f>
        <v>0</v>
      </c>
      <c r="AF119" s="151" t="str">
        <f>INDEX('M03-S04'!$AW$18:$AW$198,2*(ROWS($AF$97:AF119)-1)+1)</f>
        <v/>
      </c>
      <c r="AG119" s="151" t="str">
        <f>INDEX('M03-S04'!$AX$18:$AX$198,2*(ROWS($AG$97:AG119)-1)+1)</f>
        <v/>
      </c>
      <c r="AH119" s="151" t="str">
        <f t="shared" si="26"/>
        <v/>
      </c>
      <c r="AI119" s="151" t="str">
        <f t="shared" si="27"/>
        <v/>
      </c>
      <c r="AJ119" s="61" t="str">
        <f t="shared" si="28"/>
        <v/>
      </c>
      <c r="AK119" s="61" t="str">
        <f t="shared" si="29"/>
        <v/>
      </c>
      <c r="AL119" s="61" t="str">
        <f t="shared" si="30"/>
        <v/>
      </c>
      <c r="AM119" s="154"/>
      <c r="AN119" s="61" t="str">
        <f t="shared" si="31"/>
        <v/>
      </c>
      <c r="AO119" s="151">
        <f>INDEX('M03-S04'!$I$18:$I$198,2*(ROWS($AO$97:AO119)-1)+1)</f>
        <v>0</v>
      </c>
      <c r="AP119" s="151">
        <f>INDEX('M03-S04'!$AD$18:$AD$198,2*(ROWS($AP$97:AP119)-1)+1)</f>
        <v>0</v>
      </c>
      <c r="AQ119" s="61" t="str">
        <f>IF(INDEX('M03-S04'!$AJ$18:$AJ$198,2*(ROWS($AQ$97:AQ119)-1)+1)="","",IF(AND(INDEX('M03-S04'!$AJ$18:$AJ$198,2*(ROWS($AQ$97:AQ119)-1)+1)&lt;&gt;"",OR(ISNUMBER(SEARCH("AC With",M02S02F32)),M02S02F32="Heat Pump")),LIGHTHEATCOIN,1))</f>
        <v/>
      </c>
      <c r="AR119" s="414">
        <f>(IF(INDEX('M03-S04'!$AN$18:$AN$198,2*(ROWS($O$97:O119)-1)+1)=INDEX('M03-S04'!$BJ$18:$BJ$198,2*(ROWS($O$97:O119)-1)+1),0,(INDEX('M03-S04'!$BI$18:$BI$198,2*(ROWS($O$97:O119)-1)+1)-INDEX('M03-S04'!$BJ$18:$BJ$198,2*(ROWS($O$97:O119)-1)+1))))*INCENTCAPADJ</f>
        <v>0</v>
      </c>
    </row>
    <row r="120" spans="1:44" x14ac:dyDescent="0.25">
      <c r="A120" s="66">
        <f t="shared" si="24"/>
        <v>0</v>
      </c>
      <c r="B120" s="66" t="str">
        <f t="shared" si="25"/>
        <v/>
      </c>
      <c r="C120" s="66" t="str">
        <f>IFERROR(IF(J120&gt;0,INDEX('M03-S04'!$BB$18:$BB$198,2*(ROWS($C$97:C120)-1)+1),""),"")</f>
        <v/>
      </c>
      <c r="D120" t="s">
        <v>1096</v>
      </c>
      <c r="E120" t="str">
        <f>IFERROR(INDEX(PMELIGHTINCAN[End Use Category],MATCH(INDEX('M03-S04'!$BA$18:$BA$198,2*(ROWS($E$97:E120)-1)+1),PMELIGHTINCAN[Measure Validator],0)),"")</f>
        <v/>
      </c>
      <c r="F120" s="151" t="str">
        <f>INDEX('M03-S04'!$AB$18:$AB$198,2*(ROWS($F$97:F120)-1)+1)</f>
        <v/>
      </c>
      <c r="G120">
        <f>INDEX('M03-S04'!$X$18:$X$198,2*(ROWS($G$97:G120)-1)+1)</f>
        <v>0</v>
      </c>
      <c r="H120" s="61">
        <f>ROUND(INDEX('M03-S04'!$T$18:$T$198,2*(ROWS($H$97:H120)-1)+1)*INDEX('M03-S04'!$AF$18:$AF$198,2*(ROWS($H$97:H120)-1)+1),2)</f>
        <v>0</v>
      </c>
      <c r="I120" s="61">
        <f>ROUND(INDEX('M03-S04'!$T$18:$T$198,2*(ROWS($I$97:I120)-1)+1)*INDEX('M03-S04'!$AH$18:$AH$198,2*(ROWS($H$97:H120)-1)+1),2)</f>
        <v>0</v>
      </c>
      <c r="J120" s="61" t="str">
        <f>INDEX('M03-S04'!$AU$18:$AU$198,2*(ROWS($J$97:J120)-1)+1)</f>
        <v/>
      </c>
      <c r="K120" t="s">
        <v>119</v>
      </c>
      <c r="L120" s="151">
        <f>IF(ISNUMBER(INDEX('M03-S04'!$AN$18:$AN$198,2*(ROWS($L$97:L120)-1)+1)),INDEX('M03-S04'!$T$18:$T$198,2*(ROWS($L$97:L120)-1)+1),0)</f>
        <v>0</v>
      </c>
      <c r="M120" s="151">
        <f>IF(ISNUMBER(INDEX('M03-S04'!$AN$18:$AN$198,2*(ROWS($M$97:M120)-1)+1)),INDEX('M03-S04'!$AJ$18:$AJ$198,2*(ROWS($M$97:M120)-1)+1),0)</f>
        <v>0</v>
      </c>
      <c r="N120" s="189">
        <f>IF(ISNUMBER(INDEX('M03-S04'!$AN$18:$AN$198,2*(ROWS($M$97:M120)-1)+1)),IFERROR(INDEX('M03-S04'!$AV$18:$AV$198,2*(ROWS($N$97:N120)-1)+1),0),0)</f>
        <v>0</v>
      </c>
      <c r="O120" s="61">
        <f>IF(ISNUMBER(INDEX('M03-S04'!$AN$18:$AN$198,2*(ROWS($M$97:M120)-1)+1)),IFERROR(INDEX('M03-S04'!$AN$18:$AN$198,2*(ROWS($O$97:O120)-1)+1)*INCENTCAPADJ,""),0)</f>
        <v>0</v>
      </c>
      <c r="P120" s="151" t="str">
        <f>IFERROR(IF(NOT(ISNUMBER(INDEX('M03-S04'!$AN$18:$AN$198,2*(ROWS($O$97:O120)-1)+1))),INDEX('M03-S04'!$AJ$18:$AJ$198,2*(ROWS($M$97:M120)-1)+1),0),0)</f>
        <v/>
      </c>
      <c r="Q120" s="189" t="str">
        <f>IFERROR(IF(NOT(ISNUMBER(INDEX('M03-S04'!$AN$18:$AN$198,2*(ROWS($O$97:O120)-1)+1))),INDEX('M03-S04'!$AV$18:$AV$198,2*(ROWS($N$97:N120)-1)+1),0),0)</f>
        <v/>
      </c>
      <c r="R120" t="str">
        <f>IFERROR(IF(NOT(ISNUMBER(INDEX('M03-S04'!$AN$18:$AN$198,2*(ROWS($O$97:O120)-1)+1))),"Not Eligible",""),"")</f>
        <v>Not Eligible</v>
      </c>
      <c r="S120" s="156">
        <f>INDEX('M03-S04'!$K$18:$K$198,2*(ROWS($S$97:S120)-1)+1)</f>
        <v>0</v>
      </c>
      <c r="T120" s="156">
        <f>INDEX('M03-S04'!$V$18:$V$198,2*(ROWS($T$97:T120)-1)+1)</f>
        <v>0</v>
      </c>
      <c r="U120" s="151">
        <f>INDEX('M03-S04'!$B$18:$B$198,2*(ROWS($U$97:U120)-1)+1)</f>
        <v>24</v>
      </c>
      <c r="V120" s="58" t="str">
        <f>CONCATENATE(INDEX('M03-S04'!$C$18:$C$198,2*(ROWS($V$97:V120)-1)+1)," ",INDEX('M03-S04'!$F$18:$F$198,2*(ROWS($V$97:V120)-1)+1))</f>
        <v xml:space="preserve"> </v>
      </c>
      <c r="W120" s="58" t="str">
        <f>INDEX('M03-S04'!$M$18:$M$198,2*(ROWS($W$97:W120)-1)+1)</f>
        <v/>
      </c>
      <c r="X120" s="135"/>
      <c r="Y120">
        <f>INDEX('M03-S04'!$P$18:$P$198,2*(ROWS($Y$97:Y120)-1)+1)</f>
        <v>0</v>
      </c>
      <c r="Z120" s="61">
        <f>IFERROR(INDEX('M03-S04'!$AD$18:$AD$198,2*(ROWS(Z$97:$Z120)-1)+1)/INDEX('M03-S04'!$AB$18:$AB$198,2*(ROWS(Z$97:$Z120)-1)+1),0)</f>
        <v>0</v>
      </c>
      <c r="AA120" s="135"/>
      <c r="AB120" s="135"/>
      <c r="AC120" s="135"/>
      <c r="AD120" s="135"/>
      <c r="AE120" s="151">
        <f>IFERROR(IF(NOT(ISNUMBER(INDEX('M03-S04'!$AN$18:$AN$198,2*(ROWS($AE$97:AE120)-1)+1))),INDEX('M03-S04'!$T$18:$T$198,2*(ROWS($AE$97:AE120)-1)+1),0),0)</f>
        <v>0</v>
      </c>
      <c r="AF120" s="151" t="str">
        <f>INDEX('M03-S04'!$AW$18:$AW$198,2*(ROWS($AF$97:AF120)-1)+1)</f>
        <v/>
      </c>
      <c r="AG120" s="151" t="str">
        <f>INDEX('M03-S04'!$AX$18:$AX$198,2*(ROWS($AG$97:AG120)-1)+1)</f>
        <v/>
      </c>
      <c r="AH120" s="151" t="str">
        <f t="shared" si="26"/>
        <v/>
      </c>
      <c r="AI120" s="151" t="str">
        <f t="shared" si="27"/>
        <v/>
      </c>
      <c r="AJ120" s="61" t="str">
        <f t="shared" si="28"/>
        <v/>
      </c>
      <c r="AK120" s="61" t="str">
        <f t="shared" si="29"/>
        <v/>
      </c>
      <c r="AL120" s="61" t="str">
        <f t="shared" si="30"/>
        <v/>
      </c>
      <c r="AM120" s="154"/>
      <c r="AN120" s="61" t="str">
        <f t="shared" si="31"/>
        <v/>
      </c>
      <c r="AO120" s="151">
        <f>INDEX('M03-S04'!$I$18:$I$198,2*(ROWS($AO$97:AO120)-1)+1)</f>
        <v>0</v>
      </c>
      <c r="AP120" s="151">
        <f>INDEX('M03-S04'!$AD$18:$AD$198,2*(ROWS($AP$97:AP120)-1)+1)</f>
        <v>0</v>
      </c>
      <c r="AQ120" s="61" t="str">
        <f>IF(INDEX('M03-S04'!$AJ$18:$AJ$198,2*(ROWS($AQ$97:AQ120)-1)+1)="","",IF(AND(INDEX('M03-S04'!$AJ$18:$AJ$198,2*(ROWS($AQ$97:AQ120)-1)+1)&lt;&gt;"",OR(ISNUMBER(SEARCH("AC With",M02S02F32)),M02S02F32="Heat Pump")),LIGHTHEATCOIN,1))</f>
        <v/>
      </c>
      <c r="AR120" s="414">
        <f>(IF(INDEX('M03-S04'!$AN$18:$AN$198,2*(ROWS($O$97:O120)-1)+1)=INDEX('M03-S04'!$BJ$18:$BJ$198,2*(ROWS($O$97:O120)-1)+1),0,(INDEX('M03-S04'!$BI$18:$BI$198,2*(ROWS($O$97:O120)-1)+1)-INDEX('M03-S04'!$BJ$18:$BJ$198,2*(ROWS($O$97:O120)-1)+1))))*INCENTCAPADJ</f>
        <v>0</v>
      </c>
    </row>
    <row r="121" spans="1:44" x14ac:dyDescent="0.25">
      <c r="A121" s="66">
        <f t="shared" si="24"/>
        <v>0</v>
      </c>
      <c r="B121" s="66" t="str">
        <f t="shared" si="25"/>
        <v/>
      </c>
      <c r="C121" s="66" t="str">
        <f>IFERROR(IF(J121&gt;0,INDEX('M03-S04'!$BB$18:$BB$198,2*(ROWS($C$97:C121)-1)+1),""),"")</f>
        <v/>
      </c>
      <c r="D121" t="s">
        <v>1096</v>
      </c>
      <c r="E121" t="str">
        <f>IFERROR(INDEX(PMELIGHTINCAN[End Use Category],MATCH(INDEX('M03-S04'!$BA$18:$BA$198,2*(ROWS($E$97:E121)-1)+1),PMELIGHTINCAN[Measure Validator],0)),"")</f>
        <v/>
      </c>
      <c r="F121" s="151" t="str">
        <f>INDEX('M03-S04'!$AB$18:$AB$198,2*(ROWS($F$97:F121)-1)+1)</f>
        <v/>
      </c>
      <c r="G121">
        <f>INDEX('M03-S04'!$X$18:$X$198,2*(ROWS($G$97:G121)-1)+1)</f>
        <v>0</v>
      </c>
      <c r="H121" s="61">
        <f>ROUND(INDEX('M03-S04'!$T$18:$T$198,2*(ROWS($H$97:H121)-1)+1)*INDEX('M03-S04'!$AF$18:$AF$198,2*(ROWS($H$97:H121)-1)+1),2)</f>
        <v>0</v>
      </c>
      <c r="I121" s="61">
        <f>ROUND(INDEX('M03-S04'!$T$18:$T$198,2*(ROWS($I$97:I121)-1)+1)*INDEX('M03-S04'!$AH$18:$AH$198,2*(ROWS($H$97:H121)-1)+1),2)</f>
        <v>0</v>
      </c>
      <c r="J121" s="61" t="str">
        <f>INDEX('M03-S04'!$AU$18:$AU$198,2*(ROWS($J$97:J121)-1)+1)</f>
        <v/>
      </c>
      <c r="K121" t="s">
        <v>119</v>
      </c>
      <c r="L121" s="151">
        <f>IF(ISNUMBER(INDEX('M03-S04'!$AN$18:$AN$198,2*(ROWS($L$97:L121)-1)+1)),INDEX('M03-S04'!$T$18:$T$198,2*(ROWS($L$97:L121)-1)+1),0)</f>
        <v>0</v>
      </c>
      <c r="M121" s="151">
        <f>IF(ISNUMBER(INDEX('M03-S04'!$AN$18:$AN$198,2*(ROWS($M$97:M121)-1)+1)),INDEX('M03-S04'!$AJ$18:$AJ$198,2*(ROWS($M$97:M121)-1)+1),0)</f>
        <v>0</v>
      </c>
      <c r="N121" s="189">
        <f>IF(ISNUMBER(INDEX('M03-S04'!$AN$18:$AN$198,2*(ROWS($M$97:M121)-1)+1)),IFERROR(INDEX('M03-S04'!$AV$18:$AV$198,2*(ROWS($N$97:N121)-1)+1),0),0)</f>
        <v>0</v>
      </c>
      <c r="O121" s="61">
        <f>IF(ISNUMBER(INDEX('M03-S04'!$AN$18:$AN$198,2*(ROWS($M$97:M121)-1)+1)),IFERROR(INDEX('M03-S04'!$AN$18:$AN$198,2*(ROWS($O$97:O121)-1)+1)*INCENTCAPADJ,""),0)</f>
        <v>0</v>
      </c>
      <c r="P121" s="151" t="str">
        <f>IFERROR(IF(NOT(ISNUMBER(INDEX('M03-S04'!$AN$18:$AN$198,2*(ROWS($O$97:O121)-1)+1))),INDEX('M03-S04'!$AJ$18:$AJ$198,2*(ROWS($M$97:M121)-1)+1),0),0)</f>
        <v/>
      </c>
      <c r="Q121" s="189" t="str">
        <f>IFERROR(IF(NOT(ISNUMBER(INDEX('M03-S04'!$AN$18:$AN$198,2*(ROWS($O$97:O121)-1)+1))),INDEX('M03-S04'!$AV$18:$AV$198,2*(ROWS($N$97:N121)-1)+1),0),0)</f>
        <v/>
      </c>
      <c r="R121" t="str">
        <f>IFERROR(IF(NOT(ISNUMBER(INDEX('M03-S04'!$AN$18:$AN$198,2*(ROWS($O$97:O121)-1)+1))),"Not Eligible",""),"")</f>
        <v>Not Eligible</v>
      </c>
      <c r="S121" s="156">
        <f>INDEX('M03-S04'!$K$18:$K$198,2*(ROWS($S$97:S121)-1)+1)</f>
        <v>0</v>
      </c>
      <c r="T121" s="156">
        <f>INDEX('M03-S04'!$V$18:$V$198,2*(ROWS($T$97:T121)-1)+1)</f>
        <v>0</v>
      </c>
      <c r="U121" s="151">
        <f>INDEX('M03-S04'!$B$18:$B$198,2*(ROWS($U$97:U121)-1)+1)</f>
        <v>25</v>
      </c>
      <c r="V121" s="58" t="str">
        <f>CONCATENATE(INDEX('M03-S04'!$C$18:$C$198,2*(ROWS($V$97:V121)-1)+1)," ",INDEX('M03-S04'!$F$18:$F$198,2*(ROWS($V$97:V121)-1)+1))</f>
        <v xml:space="preserve"> </v>
      </c>
      <c r="W121" s="58" t="str">
        <f>INDEX('M03-S04'!$M$18:$M$198,2*(ROWS($W$97:W121)-1)+1)</f>
        <v/>
      </c>
      <c r="X121" s="135"/>
      <c r="Y121">
        <f>INDEX('M03-S04'!$P$18:$P$198,2*(ROWS($Y$97:Y121)-1)+1)</f>
        <v>0</v>
      </c>
      <c r="Z121" s="61">
        <f>IFERROR(INDEX('M03-S04'!$AD$18:$AD$198,2*(ROWS(Z$97:$Z121)-1)+1)/INDEX('M03-S04'!$AB$18:$AB$198,2*(ROWS(Z$97:$Z121)-1)+1),0)</f>
        <v>0</v>
      </c>
      <c r="AA121" s="135"/>
      <c r="AB121" s="135"/>
      <c r="AC121" s="135"/>
      <c r="AD121" s="135"/>
      <c r="AE121" s="151">
        <f>IFERROR(IF(NOT(ISNUMBER(INDEX('M03-S04'!$AN$18:$AN$198,2*(ROWS($AE$97:AE121)-1)+1))),INDEX('M03-S04'!$T$18:$T$198,2*(ROWS($AE$97:AE121)-1)+1),0),0)</f>
        <v>0</v>
      </c>
      <c r="AF121" s="151" t="str">
        <f>INDEX('M03-S04'!$AW$18:$AW$198,2*(ROWS($AF$97:AF121)-1)+1)</f>
        <v/>
      </c>
      <c r="AG121" s="151" t="str">
        <f>INDEX('M03-S04'!$AX$18:$AX$198,2*(ROWS($AG$97:AG121)-1)+1)</f>
        <v/>
      </c>
      <c r="AH121" s="151" t="str">
        <f t="shared" si="26"/>
        <v/>
      </c>
      <c r="AI121" s="151" t="str">
        <f t="shared" si="27"/>
        <v/>
      </c>
      <c r="AJ121" s="61" t="str">
        <f t="shared" si="28"/>
        <v/>
      </c>
      <c r="AK121" s="61" t="str">
        <f t="shared" si="29"/>
        <v/>
      </c>
      <c r="AL121" s="61" t="str">
        <f t="shared" si="30"/>
        <v/>
      </c>
      <c r="AM121" s="154"/>
      <c r="AN121" s="61" t="str">
        <f t="shared" si="31"/>
        <v/>
      </c>
      <c r="AO121" s="151">
        <f>INDEX('M03-S04'!$I$18:$I$198,2*(ROWS($AO$97:AO121)-1)+1)</f>
        <v>0</v>
      </c>
      <c r="AP121" s="151">
        <f>INDEX('M03-S04'!$AD$18:$AD$198,2*(ROWS($AP$97:AP121)-1)+1)</f>
        <v>0</v>
      </c>
      <c r="AQ121" s="61" t="str">
        <f>IF(INDEX('M03-S04'!$AJ$18:$AJ$198,2*(ROWS($AQ$97:AQ121)-1)+1)="","",IF(AND(INDEX('M03-S04'!$AJ$18:$AJ$198,2*(ROWS($AQ$97:AQ121)-1)+1)&lt;&gt;"",OR(ISNUMBER(SEARCH("AC With",M02S02F32)),M02S02F32="Heat Pump")),LIGHTHEATCOIN,1))</f>
        <v/>
      </c>
      <c r="AR121" s="414">
        <f>(IF(INDEX('M03-S04'!$AN$18:$AN$198,2*(ROWS($O$97:O121)-1)+1)=INDEX('M03-S04'!$BJ$18:$BJ$198,2*(ROWS($O$97:O121)-1)+1),0,(INDEX('M03-S04'!$BI$18:$BI$198,2*(ROWS($O$97:O121)-1)+1)-INDEX('M03-S04'!$BJ$18:$BJ$198,2*(ROWS($O$97:O121)-1)+1))))*INCENTCAPADJ</f>
        <v>0</v>
      </c>
    </row>
    <row r="122" spans="1:44" x14ac:dyDescent="0.25">
      <c r="A122" s="66">
        <f t="shared" si="24"/>
        <v>0</v>
      </c>
      <c r="B122" s="66" t="str">
        <f t="shared" si="25"/>
        <v/>
      </c>
      <c r="C122" s="66" t="str">
        <f>IFERROR(IF(J122&gt;0,INDEX('M03-S04'!$BB$18:$BB$198,2*(ROWS($C$97:C122)-1)+1),""),"")</f>
        <v/>
      </c>
      <c r="D122" t="s">
        <v>1096</v>
      </c>
      <c r="E122" t="str">
        <f>IFERROR(INDEX(PMELIGHTINCAN[End Use Category],MATCH(INDEX('M03-S04'!$BA$18:$BA$198,2*(ROWS($E$97:E122)-1)+1),PMELIGHTINCAN[Measure Validator],0)),"")</f>
        <v/>
      </c>
      <c r="F122" s="151" t="str">
        <f>INDEX('M03-S04'!$AB$18:$AB$198,2*(ROWS($F$97:F122)-1)+1)</f>
        <v/>
      </c>
      <c r="G122">
        <f>INDEX('M03-S04'!$X$18:$X$198,2*(ROWS($G$97:G122)-1)+1)</f>
        <v>0</v>
      </c>
      <c r="H122" s="61">
        <f>ROUND(INDEX('M03-S04'!$T$18:$T$198,2*(ROWS($H$97:H122)-1)+1)*INDEX('M03-S04'!$AF$18:$AF$198,2*(ROWS($H$97:H122)-1)+1),2)</f>
        <v>0</v>
      </c>
      <c r="I122" s="61">
        <f>ROUND(INDEX('M03-S04'!$T$18:$T$198,2*(ROWS($I$97:I122)-1)+1)*INDEX('M03-S04'!$AH$18:$AH$198,2*(ROWS($H$97:H122)-1)+1),2)</f>
        <v>0</v>
      </c>
      <c r="J122" s="61" t="str">
        <f>INDEX('M03-S04'!$AU$18:$AU$198,2*(ROWS($J$97:J122)-1)+1)</f>
        <v/>
      </c>
      <c r="K122" t="s">
        <v>119</v>
      </c>
      <c r="L122" s="151">
        <f>IF(ISNUMBER(INDEX('M03-S04'!$AN$18:$AN$198,2*(ROWS($L$97:L122)-1)+1)),INDEX('M03-S04'!$T$18:$T$198,2*(ROWS($L$97:L122)-1)+1),0)</f>
        <v>0</v>
      </c>
      <c r="M122" s="151">
        <f>IF(ISNUMBER(INDEX('M03-S04'!$AN$18:$AN$198,2*(ROWS($M$97:M122)-1)+1)),INDEX('M03-S04'!$AJ$18:$AJ$198,2*(ROWS($M$97:M122)-1)+1),0)</f>
        <v>0</v>
      </c>
      <c r="N122" s="189">
        <f>IF(ISNUMBER(INDEX('M03-S04'!$AN$18:$AN$198,2*(ROWS($M$97:M122)-1)+1)),IFERROR(INDEX('M03-S04'!$AV$18:$AV$198,2*(ROWS($N$97:N122)-1)+1),0),0)</f>
        <v>0</v>
      </c>
      <c r="O122" s="61">
        <f>IF(ISNUMBER(INDEX('M03-S04'!$AN$18:$AN$198,2*(ROWS($M$97:M122)-1)+1)),IFERROR(INDEX('M03-S04'!$AN$18:$AN$198,2*(ROWS($O$97:O122)-1)+1)*INCENTCAPADJ,""),0)</f>
        <v>0</v>
      </c>
      <c r="P122" s="151" t="str">
        <f>IFERROR(IF(NOT(ISNUMBER(INDEX('M03-S04'!$AN$18:$AN$198,2*(ROWS($O$97:O122)-1)+1))),INDEX('M03-S04'!$AJ$18:$AJ$198,2*(ROWS($M$97:M122)-1)+1),0),0)</f>
        <v/>
      </c>
      <c r="Q122" s="189" t="str">
        <f>IFERROR(IF(NOT(ISNUMBER(INDEX('M03-S04'!$AN$18:$AN$198,2*(ROWS($O$97:O122)-1)+1))),INDEX('M03-S04'!$AV$18:$AV$198,2*(ROWS($N$97:N122)-1)+1),0),0)</f>
        <v/>
      </c>
      <c r="R122" t="str">
        <f>IFERROR(IF(NOT(ISNUMBER(INDEX('M03-S04'!$AN$18:$AN$198,2*(ROWS($O$97:O122)-1)+1))),"Not Eligible",""),"")</f>
        <v>Not Eligible</v>
      </c>
      <c r="S122" s="156">
        <f>INDEX('M03-S04'!$K$18:$K$198,2*(ROWS($S$97:S122)-1)+1)</f>
        <v>0</v>
      </c>
      <c r="T122" s="156">
        <f>INDEX('M03-S04'!$V$18:$V$198,2*(ROWS($T$97:T122)-1)+1)</f>
        <v>0</v>
      </c>
      <c r="U122" s="151">
        <f>INDEX('M03-S04'!$B$18:$B$198,2*(ROWS($U$97:U122)-1)+1)</f>
        <v>26</v>
      </c>
      <c r="V122" s="58" t="str">
        <f>CONCATENATE(INDEX('M03-S04'!$C$18:$C$198,2*(ROWS($V$97:V122)-1)+1)," ",INDEX('M03-S04'!$F$18:$F$198,2*(ROWS($V$97:V122)-1)+1))</f>
        <v xml:space="preserve"> </v>
      </c>
      <c r="W122" s="58" t="str">
        <f>INDEX('M03-S04'!$M$18:$M$198,2*(ROWS($W$97:W122)-1)+1)</f>
        <v/>
      </c>
      <c r="X122" s="135"/>
      <c r="Y122">
        <f>INDEX('M03-S04'!$P$18:$P$198,2*(ROWS($Y$97:Y122)-1)+1)</f>
        <v>0</v>
      </c>
      <c r="Z122" s="61">
        <f>IFERROR(INDEX('M03-S04'!$AD$18:$AD$198,2*(ROWS(Z$97:$Z122)-1)+1)/INDEX('M03-S04'!$AB$18:$AB$198,2*(ROWS(Z$97:$Z122)-1)+1),0)</f>
        <v>0</v>
      </c>
      <c r="AA122" s="135"/>
      <c r="AB122" s="135"/>
      <c r="AC122" s="135"/>
      <c r="AD122" s="135"/>
      <c r="AE122" s="151">
        <f>IFERROR(IF(NOT(ISNUMBER(INDEX('M03-S04'!$AN$18:$AN$198,2*(ROWS($AE$97:AE122)-1)+1))),INDEX('M03-S04'!$T$18:$T$198,2*(ROWS($AE$97:AE122)-1)+1),0),0)</f>
        <v>0</v>
      </c>
      <c r="AF122" s="151" t="str">
        <f>INDEX('M03-S04'!$AW$18:$AW$198,2*(ROWS($AF$97:AF122)-1)+1)</f>
        <v/>
      </c>
      <c r="AG122" s="151" t="str">
        <f>INDEX('M03-S04'!$AX$18:$AX$198,2*(ROWS($AG$97:AG122)-1)+1)</f>
        <v/>
      </c>
      <c r="AH122" s="151" t="str">
        <f t="shared" si="26"/>
        <v/>
      </c>
      <c r="AI122" s="151" t="str">
        <f t="shared" si="27"/>
        <v/>
      </c>
      <c r="AJ122" s="61" t="str">
        <f t="shared" si="28"/>
        <v/>
      </c>
      <c r="AK122" s="61" t="str">
        <f t="shared" si="29"/>
        <v/>
      </c>
      <c r="AL122" s="61" t="str">
        <f t="shared" si="30"/>
        <v/>
      </c>
      <c r="AM122" s="154"/>
      <c r="AN122" s="61" t="str">
        <f t="shared" si="31"/>
        <v/>
      </c>
      <c r="AO122" s="151">
        <f>INDEX('M03-S04'!$I$18:$I$198,2*(ROWS($AO$97:AO122)-1)+1)</f>
        <v>0</v>
      </c>
      <c r="AP122" s="151">
        <f>INDEX('M03-S04'!$AD$18:$AD$198,2*(ROWS($AP$97:AP122)-1)+1)</f>
        <v>0</v>
      </c>
      <c r="AQ122" s="61" t="str">
        <f>IF(INDEX('M03-S04'!$AJ$18:$AJ$198,2*(ROWS($AQ$97:AQ122)-1)+1)="","",IF(AND(INDEX('M03-S04'!$AJ$18:$AJ$198,2*(ROWS($AQ$97:AQ122)-1)+1)&lt;&gt;"",OR(ISNUMBER(SEARCH("AC With",M02S02F32)),M02S02F32="Heat Pump")),LIGHTHEATCOIN,1))</f>
        <v/>
      </c>
      <c r="AR122" s="414">
        <f>(IF(INDEX('M03-S04'!$AN$18:$AN$198,2*(ROWS($O$97:O122)-1)+1)=INDEX('M03-S04'!$BJ$18:$BJ$198,2*(ROWS($O$97:O122)-1)+1),0,(INDEX('M03-S04'!$BI$18:$BI$198,2*(ROWS($O$97:O122)-1)+1)-INDEX('M03-S04'!$BJ$18:$BJ$198,2*(ROWS($O$97:O122)-1)+1))))*INCENTCAPADJ</f>
        <v>0</v>
      </c>
    </row>
    <row r="123" spans="1:44" x14ac:dyDescent="0.25">
      <c r="A123" s="66">
        <f t="shared" si="24"/>
        <v>0</v>
      </c>
      <c r="B123" s="66" t="str">
        <f t="shared" si="25"/>
        <v/>
      </c>
      <c r="C123" s="66" t="str">
        <f>IFERROR(IF(J123&gt;0,INDEX('M03-S04'!$BB$18:$BB$198,2*(ROWS($C$97:C123)-1)+1),""),"")</f>
        <v/>
      </c>
      <c r="D123" t="s">
        <v>1096</v>
      </c>
      <c r="E123" t="str">
        <f>IFERROR(INDEX(PMELIGHTINCAN[End Use Category],MATCH(INDEX('M03-S04'!$BA$18:$BA$198,2*(ROWS($E$97:E123)-1)+1),PMELIGHTINCAN[Measure Validator],0)),"")</f>
        <v/>
      </c>
      <c r="F123" s="151" t="str">
        <f>INDEX('M03-S04'!$AB$18:$AB$198,2*(ROWS($F$97:F123)-1)+1)</f>
        <v/>
      </c>
      <c r="G123">
        <f>INDEX('M03-S04'!$X$18:$X$198,2*(ROWS($G$97:G123)-1)+1)</f>
        <v>0</v>
      </c>
      <c r="H123" s="61">
        <f>ROUND(INDEX('M03-S04'!$T$18:$T$198,2*(ROWS($H$97:H123)-1)+1)*INDEX('M03-S04'!$AF$18:$AF$198,2*(ROWS($H$97:H123)-1)+1),2)</f>
        <v>0</v>
      </c>
      <c r="I123" s="61">
        <f>ROUND(INDEX('M03-S04'!$T$18:$T$198,2*(ROWS($I$97:I123)-1)+1)*INDEX('M03-S04'!$AH$18:$AH$198,2*(ROWS($H$97:H123)-1)+1),2)</f>
        <v>0</v>
      </c>
      <c r="J123" s="61" t="str">
        <f>INDEX('M03-S04'!$AU$18:$AU$198,2*(ROWS($J$97:J123)-1)+1)</f>
        <v/>
      </c>
      <c r="K123" t="s">
        <v>119</v>
      </c>
      <c r="L123" s="151">
        <f>IF(ISNUMBER(INDEX('M03-S04'!$AN$18:$AN$198,2*(ROWS($L$97:L123)-1)+1)),INDEX('M03-S04'!$T$18:$T$198,2*(ROWS($L$97:L123)-1)+1),0)</f>
        <v>0</v>
      </c>
      <c r="M123" s="151">
        <f>IF(ISNUMBER(INDEX('M03-S04'!$AN$18:$AN$198,2*(ROWS($M$97:M123)-1)+1)),INDEX('M03-S04'!$AJ$18:$AJ$198,2*(ROWS($M$97:M123)-1)+1),0)</f>
        <v>0</v>
      </c>
      <c r="N123" s="189">
        <f>IF(ISNUMBER(INDEX('M03-S04'!$AN$18:$AN$198,2*(ROWS($M$97:M123)-1)+1)),IFERROR(INDEX('M03-S04'!$AV$18:$AV$198,2*(ROWS($N$97:N123)-1)+1),0),0)</f>
        <v>0</v>
      </c>
      <c r="O123" s="61">
        <f>IF(ISNUMBER(INDEX('M03-S04'!$AN$18:$AN$198,2*(ROWS($M$97:M123)-1)+1)),IFERROR(INDEX('M03-S04'!$AN$18:$AN$198,2*(ROWS($O$97:O123)-1)+1)*INCENTCAPADJ,""),0)</f>
        <v>0</v>
      </c>
      <c r="P123" s="151" t="str">
        <f>IFERROR(IF(NOT(ISNUMBER(INDEX('M03-S04'!$AN$18:$AN$198,2*(ROWS($O$97:O123)-1)+1))),INDEX('M03-S04'!$AJ$18:$AJ$198,2*(ROWS($M$97:M123)-1)+1),0),0)</f>
        <v/>
      </c>
      <c r="Q123" s="189" t="str">
        <f>IFERROR(IF(NOT(ISNUMBER(INDEX('M03-S04'!$AN$18:$AN$198,2*(ROWS($O$97:O123)-1)+1))),INDEX('M03-S04'!$AV$18:$AV$198,2*(ROWS($N$97:N123)-1)+1),0),0)</f>
        <v/>
      </c>
      <c r="R123" t="str">
        <f>IFERROR(IF(NOT(ISNUMBER(INDEX('M03-S04'!$AN$18:$AN$198,2*(ROWS($O$97:O123)-1)+1))),"Not Eligible",""),"")</f>
        <v>Not Eligible</v>
      </c>
      <c r="S123" s="156">
        <f>INDEX('M03-S04'!$K$18:$K$198,2*(ROWS($S$97:S123)-1)+1)</f>
        <v>0</v>
      </c>
      <c r="T123" s="156">
        <f>INDEX('M03-S04'!$V$18:$V$198,2*(ROWS($T$97:T123)-1)+1)</f>
        <v>0</v>
      </c>
      <c r="U123" s="151">
        <f>INDEX('M03-S04'!$B$18:$B$198,2*(ROWS($U$97:U123)-1)+1)</f>
        <v>27</v>
      </c>
      <c r="V123" s="58" t="str">
        <f>CONCATENATE(INDEX('M03-S04'!$C$18:$C$198,2*(ROWS($V$97:V123)-1)+1)," ",INDEX('M03-S04'!$F$18:$F$198,2*(ROWS($V$97:V123)-1)+1))</f>
        <v xml:space="preserve"> </v>
      </c>
      <c r="W123" s="58" t="str">
        <f>INDEX('M03-S04'!$M$18:$M$198,2*(ROWS($W$97:W123)-1)+1)</f>
        <v/>
      </c>
      <c r="X123" s="135"/>
      <c r="Y123">
        <f>INDEX('M03-S04'!$P$18:$P$198,2*(ROWS($Y$97:Y123)-1)+1)</f>
        <v>0</v>
      </c>
      <c r="Z123" s="61">
        <f>IFERROR(INDEX('M03-S04'!$AD$18:$AD$198,2*(ROWS(Z$97:$Z123)-1)+1)/INDEX('M03-S04'!$AB$18:$AB$198,2*(ROWS(Z$97:$Z123)-1)+1),0)</f>
        <v>0</v>
      </c>
      <c r="AA123" s="135"/>
      <c r="AB123" s="135"/>
      <c r="AC123" s="135"/>
      <c r="AD123" s="135"/>
      <c r="AE123" s="151">
        <f>IFERROR(IF(NOT(ISNUMBER(INDEX('M03-S04'!$AN$18:$AN$198,2*(ROWS($AE$97:AE123)-1)+1))),INDEX('M03-S04'!$T$18:$T$198,2*(ROWS($AE$97:AE123)-1)+1),0),0)</f>
        <v>0</v>
      </c>
      <c r="AF123" s="151" t="str">
        <f>INDEX('M03-S04'!$AW$18:$AW$198,2*(ROWS($AF$97:AF123)-1)+1)</f>
        <v/>
      </c>
      <c r="AG123" s="151" t="str">
        <f>INDEX('M03-S04'!$AX$18:$AX$198,2*(ROWS($AG$97:AG123)-1)+1)</f>
        <v/>
      </c>
      <c r="AH123" s="151" t="str">
        <f t="shared" si="26"/>
        <v/>
      </c>
      <c r="AI123" s="151" t="str">
        <f t="shared" si="27"/>
        <v/>
      </c>
      <c r="AJ123" s="61" t="str">
        <f t="shared" si="28"/>
        <v/>
      </c>
      <c r="AK123" s="61" t="str">
        <f t="shared" si="29"/>
        <v/>
      </c>
      <c r="AL123" s="61" t="str">
        <f t="shared" si="30"/>
        <v/>
      </c>
      <c r="AM123" s="154"/>
      <c r="AN123" s="61" t="str">
        <f t="shared" si="31"/>
        <v/>
      </c>
      <c r="AO123" s="151">
        <f>INDEX('M03-S04'!$I$18:$I$198,2*(ROWS($AO$97:AO123)-1)+1)</f>
        <v>0</v>
      </c>
      <c r="AP123" s="151">
        <f>INDEX('M03-S04'!$AD$18:$AD$198,2*(ROWS($AP$97:AP123)-1)+1)</f>
        <v>0</v>
      </c>
      <c r="AQ123" s="61" t="str">
        <f>IF(INDEX('M03-S04'!$AJ$18:$AJ$198,2*(ROWS($AQ$97:AQ123)-1)+1)="","",IF(AND(INDEX('M03-S04'!$AJ$18:$AJ$198,2*(ROWS($AQ$97:AQ123)-1)+1)&lt;&gt;"",OR(ISNUMBER(SEARCH("AC With",M02S02F32)),M02S02F32="Heat Pump")),LIGHTHEATCOIN,1))</f>
        <v/>
      </c>
      <c r="AR123" s="414">
        <f>(IF(INDEX('M03-S04'!$AN$18:$AN$198,2*(ROWS($O$97:O123)-1)+1)=INDEX('M03-S04'!$BJ$18:$BJ$198,2*(ROWS($O$97:O123)-1)+1),0,(INDEX('M03-S04'!$BI$18:$BI$198,2*(ROWS($O$97:O123)-1)+1)-INDEX('M03-S04'!$BJ$18:$BJ$198,2*(ROWS($O$97:O123)-1)+1))))*INCENTCAPADJ</f>
        <v>0</v>
      </c>
    </row>
    <row r="124" spans="1:44" x14ac:dyDescent="0.25">
      <c r="A124" s="66">
        <f t="shared" si="24"/>
        <v>0</v>
      </c>
      <c r="B124" s="66" t="str">
        <f t="shared" si="25"/>
        <v/>
      </c>
      <c r="C124" s="66" t="str">
        <f>IFERROR(IF(J124&gt;0,INDEX('M03-S04'!$BB$18:$BB$198,2*(ROWS($C$97:C124)-1)+1),""),"")</f>
        <v/>
      </c>
      <c r="D124" t="s">
        <v>1096</v>
      </c>
      <c r="E124" t="str">
        <f>IFERROR(INDEX(PMELIGHTINCAN[End Use Category],MATCH(INDEX('M03-S04'!$BA$18:$BA$198,2*(ROWS($E$97:E124)-1)+1),PMELIGHTINCAN[Measure Validator],0)),"")</f>
        <v/>
      </c>
      <c r="F124" s="151" t="str">
        <f>INDEX('M03-S04'!$AB$18:$AB$198,2*(ROWS($F$97:F124)-1)+1)</f>
        <v/>
      </c>
      <c r="G124">
        <f>INDEX('M03-S04'!$X$18:$X$198,2*(ROWS($G$97:G124)-1)+1)</f>
        <v>0</v>
      </c>
      <c r="H124" s="61">
        <f>ROUND(INDEX('M03-S04'!$T$18:$T$198,2*(ROWS($H$97:H124)-1)+1)*INDEX('M03-S04'!$AF$18:$AF$198,2*(ROWS($H$97:H124)-1)+1),2)</f>
        <v>0</v>
      </c>
      <c r="I124" s="61">
        <f>ROUND(INDEX('M03-S04'!$T$18:$T$198,2*(ROWS($I$97:I124)-1)+1)*INDEX('M03-S04'!$AH$18:$AH$198,2*(ROWS($H$97:H124)-1)+1),2)</f>
        <v>0</v>
      </c>
      <c r="J124" s="61" t="str">
        <f>INDEX('M03-S04'!$AU$18:$AU$198,2*(ROWS($J$97:J124)-1)+1)</f>
        <v/>
      </c>
      <c r="K124" t="s">
        <v>119</v>
      </c>
      <c r="L124" s="151">
        <f>IF(ISNUMBER(INDEX('M03-S04'!$AN$18:$AN$198,2*(ROWS($L$97:L124)-1)+1)),INDEX('M03-S04'!$T$18:$T$198,2*(ROWS($L$97:L124)-1)+1),0)</f>
        <v>0</v>
      </c>
      <c r="M124" s="151">
        <f>IF(ISNUMBER(INDEX('M03-S04'!$AN$18:$AN$198,2*(ROWS($M$97:M124)-1)+1)),INDEX('M03-S04'!$AJ$18:$AJ$198,2*(ROWS($M$97:M124)-1)+1),0)</f>
        <v>0</v>
      </c>
      <c r="N124" s="189">
        <f>IF(ISNUMBER(INDEX('M03-S04'!$AN$18:$AN$198,2*(ROWS($M$97:M124)-1)+1)),IFERROR(INDEX('M03-S04'!$AV$18:$AV$198,2*(ROWS($N$97:N124)-1)+1),0),0)</f>
        <v>0</v>
      </c>
      <c r="O124" s="61">
        <f>IF(ISNUMBER(INDEX('M03-S04'!$AN$18:$AN$198,2*(ROWS($M$97:M124)-1)+1)),IFERROR(INDEX('M03-S04'!$AN$18:$AN$198,2*(ROWS($O$97:O124)-1)+1)*INCENTCAPADJ,""),0)</f>
        <v>0</v>
      </c>
      <c r="P124" s="151" t="str">
        <f>IFERROR(IF(NOT(ISNUMBER(INDEX('M03-S04'!$AN$18:$AN$198,2*(ROWS($O$97:O124)-1)+1))),INDEX('M03-S04'!$AJ$18:$AJ$198,2*(ROWS($M$97:M124)-1)+1),0),0)</f>
        <v/>
      </c>
      <c r="Q124" s="189" t="str">
        <f>IFERROR(IF(NOT(ISNUMBER(INDEX('M03-S04'!$AN$18:$AN$198,2*(ROWS($O$97:O124)-1)+1))),INDEX('M03-S04'!$AV$18:$AV$198,2*(ROWS($N$97:N124)-1)+1),0),0)</f>
        <v/>
      </c>
      <c r="R124" t="str">
        <f>IFERROR(IF(NOT(ISNUMBER(INDEX('M03-S04'!$AN$18:$AN$198,2*(ROWS($O$97:O124)-1)+1))),"Not Eligible",""),"")</f>
        <v>Not Eligible</v>
      </c>
      <c r="S124" s="156">
        <f>INDEX('M03-S04'!$K$18:$K$198,2*(ROWS($S$97:S124)-1)+1)</f>
        <v>0</v>
      </c>
      <c r="T124" s="156">
        <f>INDEX('M03-S04'!$V$18:$V$198,2*(ROWS($T$97:T124)-1)+1)</f>
        <v>0</v>
      </c>
      <c r="U124" s="151">
        <f>INDEX('M03-S04'!$B$18:$B$198,2*(ROWS($U$97:U124)-1)+1)</f>
        <v>28</v>
      </c>
      <c r="V124" s="58" t="str">
        <f>CONCATENATE(INDEX('M03-S04'!$C$18:$C$198,2*(ROWS($V$97:V124)-1)+1)," ",INDEX('M03-S04'!$F$18:$F$198,2*(ROWS($V$97:V124)-1)+1))</f>
        <v xml:space="preserve"> </v>
      </c>
      <c r="W124" s="58" t="str">
        <f>INDEX('M03-S04'!$M$18:$M$198,2*(ROWS($W$97:W124)-1)+1)</f>
        <v/>
      </c>
      <c r="X124" s="135"/>
      <c r="Y124">
        <f>INDEX('M03-S04'!$P$18:$P$198,2*(ROWS($Y$97:Y124)-1)+1)</f>
        <v>0</v>
      </c>
      <c r="Z124" s="61">
        <f>IFERROR(INDEX('M03-S04'!$AD$18:$AD$198,2*(ROWS(Z$97:$Z124)-1)+1)/INDEX('M03-S04'!$AB$18:$AB$198,2*(ROWS(Z$97:$Z124)-1)+1),0)</f>
        <v>0</v>
      </c>
      <c r="AA124" s="135"/>
      <c r="AB124" s="135"/>
      <c r="AC124" s="135"/>
      <c r="AD124" s="135"/>
      <c r="AE124" s="151">
        <f>IFERROR(IF(NOT(ISNUMBER(INDEX('M03-S04'!$AN$18:$AN$198,2*(ROWS($AE$97:AE124)-1)+1))),INDEX('M03-S04'!$T$18:$T$198,2*(ROWS($AE$97:AE124)-1)+1),0),0)</f>
        <v>0</v>
      </c>
      <c r="AF124" s="151" t="str">
        <f>INDEX('M03-S04'!$AW$18:$AW$198,2*(ROWS($AF$97:AF124)-1)+1)</f>
        <v/>
      </c>
      <c r="AG124" s="151" t="str">
        <f>INDEX('M03-S04'!$AX$18:$AX$198,2*(ROWS($AG$97:AG124)-1)+1)</f>
        <v/>
      </c>
      <c r="AH124" s="151" t="str">
        <f t="shared" si="26"/>
        <v/>
      </c>
      <c r="AI124" s="151" t="str">
        <f t="shared" si="27"/>
        <v/>
      </c>
      <c r="AJ124" s="61" t="str">
        <f t="shared" si="28"/>
        <v/>
      </c>
      <c r="AK124" s="61" t="str">
        <f t="shared" si="29"/>
        <v/>
      </c>
      <c r="AL124" s="61" t="str">
        <f t="shared" si="30"/>
        <v/>
      </c>
      <c r="AM124" s="154"/>
      <c r="AN124" s="61" t="str">
        <f t="shared" si="31"/>
        <v/>
      </c>
      <c r="AO124" s="151">
        <f>INDEX('M03-S04'!$I$18:$I$198,2*(ROWS($AO$97:AO124)-1)+1)</f>
        <v>0</v>
      </c>
      <c r="AP124" s="151">
        <f>INDEX('M03-S04'!$AD$18:$AD$198,2*(ROWS($AP$97:AP124)-1)+1)</f>
        <v>0</v>
      </c>
      <c r="AQ124" s="61" t="str">
        <f>IF(INDEX('M03-S04'!$AJ$18:$AJ$198,2*(ROWS($AQ$97:AQ124)-1)+1)="","",IF(AND(INDEX('M03-S04'!$AJ$18:$AJ$198,2*(ROWS($AQ$97:AQ124)-1)+1)&lt;&gt;"",OR(ISNUMBER(SEARCH("AC With",M02S02F32)),M02S02F32="Heat Pump")),LIGHTHEATCOIN,1))</f>
        <v/>
      </c>
      <c r="AR124" s="414">
        <f>(IF(INDEX('M03-S04'!$AN$18:$AN$198,2*(ROWS($O$97:O124)-1)+1)=INDEX('M03-S04'!$BJ$18:$BJ$198,2*(ROWS($O$97:O124)-1)+1),0,(INDEX('M03-S04'!$BI$18:$BI$198,2*(ROWS($O$97:O124)-1)+1)-INDEX('M03-S04'!$BJ$18:$BJ$198,2*(ROWS($O$97:O124)-1)+1))))*INCENTCAPADJ</f>
        <v>0</v>
      </c>
    </row>
    <row r="125" spans="1:44" x14ac:dyDescent="0.25">
      <c r="A125" s="66">
        <f t="shared" si="24"/>
        <v>0</v>
      </c>
      <c r="B125" s="66" t="str">
        <f t="shared" si="25"/>
        <v/>
      </c>
      <c r="C125" s="66" t="str">
        <f>IFERROR(IF(J125&gt;0,INDEX('M03-S04'!$BB$18:$BB$198,2*(ROWS($C$97:C125)-1)+1),""),"")</f>
        <v/>
      </c>
      <c r="D125" t="s">
        <v>1096</v>
      </c>
      <c r="E125" t="str">
        <f>IFERROR(INDEX(PMELIGHTINCAN[End Use Category],MATCH(INDEX('M03-S04'!$BA$18:$BA$198,2*(ROWS($E$97:E125)-1)+1),PMELIGHTINCAN[Measure Validator],0)),"")</f>
        <v/>
      </c>
      <c r="F125" s="151" t="str">
        <f>INDEX('M03-S04'!$AB$18:$AB$198,2*(ROWS($F$97:F125)-1)+1)</f>
        <v/>
      </c>
      <c r="G125">
        <f>INDEX('M03-S04'!$X$18:$X$198,2*(ROWS($G$97:G125)-1)+1)</f>
        <v>0</v>
      </c>
      <c r="H125" s="61">
        <f>ROUND(INDEX('M03-S04'!$T$18:$T$198,2*(ROWS($H$97:H125)-1)+1)*INDEX('M03-S04'!$AF$18:$AF$198,2*(ROWS($H$97:H125)-1)+1),2)</f>
        <v>0</v>
      </c>
      <c r="I125" s="61">
        <f>ROUND(INDEX('M03-S04'!$T$18:$T$198,2*(ROWS($I$97:I125)-1)+1)*INDEX('M03-S04'!$AH$18:$AH$198,2*(ROWS($H$97:H125)-1)+1),2)</f>
        <v>0</v>
      </c>
      <c r="J125" s="61" t="str">
        <f>INDEX('M03-S04'!$AU$18:$AU$198,2*(ROWS($J$97:J125)-1)+1)</f>
        <v/>
      </c>
      <c r="K125" t="s">
        <v>119</v>
      </c>
      <c r="L125" s="151">
        <f>IF(ISNUMBER(INDEX('M03-S04'!$AN$18:$AN$198,2*(ROWS($L$97:L125)-1)+1)),INDEX('M03-S04'!$T$18:$T$198,2*(ROWS($L$97:L125)-1)+1),0)</f>
        <v>0</v>
      </c>
      <c r="M125" s="151">
        <f>IF(ISNUMBER(INDEX('M03-S04'!$AN$18:$AN$198,2*(ROWS($M$97:M125)-1)+1)),INDEX('M03-S04'!$AJ$18:$AJ$198,2*(ROWS($M$97:M125)-1)+1),0)</f>
        <v>0</v>
      </c>
      <c r="N125" s="189">
        <f>IF(ISNUMBER(INDEX('M03-S04'!$AN$18:$AN$198,2*(ROWS($M$97:M125)-1)+1)),IFERROR(INDEX('M03-S04'!$AV$18:$AV$198,2*(ROWS($N$97:N125)-1)+1),0),0)</f>
        <v>0</v>
      </c>
      <c r="O125" s="61">
        <f>IF(ISNUMBER(INDEX('M03-S04'!$AN$18:$AN$198,2*(ROWS($M$97:M125)-1)+1)),IFERROR(INDEX('M03-S04'!$AN$18:$AN$198,2*(ROWS($O$97:O125)-1)+1)*INCENTCAPADJ,""),0)</f>
        <v>0</v>
      </c>
      <c r="P125" s="151" t="str">
        <f>IFERROR(IF(NOT(ISNUMBER(INDEX('M03-S04'!$AN$18:$AN$198,2*(ROWS($O$97:O125)-1)+1))),INDEX('M03-S04'!$AJ$18:$AJ$198,2*(ROWS($M$97:M125)-1)+1),0),0)</f>
        <v/>
      </c>
      <c r="Q125" s="189" t="str">
        <f>IFERROR(IF(NOT(ISNUMBER(INDEX('M03-S04'!$AN$18:$AN$198,2*(ROWS($O$97:O125)-1)+1))),INDEX('M03-S04'!$AV$18:$AV$198,2*(ROWS($N$97:N125)-1)+1),0),0)</f>
        <v/>
      </c>
      <c r="R125" t="str">
        <f>IFERROR(IF(NOT(ISNUMBER(INDEX('M03-S04'!$AN$18:$AN$198,2*(ROWS($O$97:O125)-1)+1))),"Not Eligible",""),"")</f>
        <v>Not Eligible</v>
      </c>
      <c r="S125" s="156">
        <f>INDEX('M03-S04'!$K$18:$K$198,2*(ROWS($S$97:S125)-1)+1)</f>
        <v>0</v>
      </c>
      <c r="T125" s="156">
        <f>INDEX('M03-S04'!$V$18:$V$198,2*(ROWS($T$97:T125)-1)+1)</f>
        <v>0</v>
      </c>
      <c r="U125" s="151">
        <f>INDEX('M03-S04'!$B$18:$B$198,2*(ROWS($U$97:U125)-1)+1)</f>
        <v>29</v>
      </c>
      <c r="V125" s="58" t="str">
        <f>CONCATENATE(INDEX('M03-S04'!$C$18:$C$198,2*(ROWS($V$97:V125)-1)+1)," ",INDEX('M03-S04'!$F$18:$F$198,2*(ROWS($V$97:V125)-1)+1))</f>
        <v xml:space="preserve"> </v>
      </c>
      <c r="W125" s="58" t="str">
        <f>INDEX('M03-S04'!$M$18:$M$198,2*(ROWS($W$97:W125)-1)+1)</f>
        <v/>
      </c>
      <c r="X125" s="135"/>
      <c r="Y125">
        <f>INDEX('M03-S04'!$P$18:$P$198,2*(ROWS($Y$97:Y125)-1)+1)</f>
        <v>0</v>
      </c>
      <c r="Z125" s="61">
        <f>IFERROR(INDEX('M03-S04'!$AD$18:$AD$198,2*(ROWS(Z$97:$Z125)-1)+1)/INDEX('M03-S04'!$AB$18:$AB$198,2*(ROWS(Z$97:$Z125)-1)+1),0)</f>
        <v>0</v>
      </c>
      <c r="AA125" s="135"/>
      <c r="AB125" s="135"/>
      <c r="AC125" s="135"/>
      <c r="AD125" s="135"/>
      <c r="AE125" s="151">
        <f>IFERROR(IF(NOT(ISNUMBER(INDEX('M03-S04'!$AN$18:$AN$198,2*(ROWS($AE$97:AE125)-1)+1))),INDEX('M03-S04'!$T$18:$T$198,2*(ROWS($AE$97:AE125)-1)+1),0),0)</f>
        <v>0</v>
      </c>
      <c r="AF125" s="151" t="str">
        <f>INDEX('M03-S04'!$AW$18:$AW$198,2*(ROWS($AF$97:AF125)-1)+1)</f>
        <v/>
      </c>
      <c r="AG125" s="151" t="str">
        <f>INDEX('M03-S04'!$AX$18:$AX$198,2*(ROWS($AG$97:AG125)-1)+1)</f>
        <v/>
      </c>
      <c r="AH125" s="151" t="str">
        <f t="shared" si="26"/>
        <v/>
      </c>
      <c r="AI125" s="151" t="str">
        <f t="shared" si="27"/>
        <v/>
      </c>
      <c r="AJ125" s="61" t="str">
        <f t="shared" si="28"/>
        <v/>
      </c>
      <c r="AK125" s="61" t="str">
        <f t="shared" si="29"/>
        <v/>
      </c>
      <c r="AL125" s="61" t="str">
        <f t="shared" si="30"/>
        <v/>
      </c>
      <c r="AM125" s="154"/>
      <c r="AN125" s="61" t="str">
        <f t="shared" si="31"/>
        <v/>
      </c>
      <c r="AO125" s="151">
        <f>INDEX('M03-S04'!$I$18:$I$198,2*(ROWS($AO$97:AO125)-1)+1)</f>
        <v>0</v>
      </c>
      <c r="AP125" s="151">
        <f>INDEX('M03-S04'!$AD$18:$AD$198,2*(ROWS($AP$97:AP125)-1)+1)</f>
        <v>0</v>
      </c>
      <c r="AQ125" s="61" t="str">
        <f>IF(INDEX('M03-S04'!$AJ$18:$AJ$198,2*(ROWS($AQ$97:AQ125)-1)+1)="","",IF(AND(INDEX('M03-S04'!$AJ$18:$AJ$198,2*(ROWS($AQ$97:AQ125)-1)+1)&lt;&gt;"",OR(ISNUMBER(SEARCH("AC With",M02S02F32)),M02S02F32="Heat Pump")),LIGHTHEATCOIN,1))</f>
        <v/>
      </c>
      <c r="AR125" s="414">
        <f>(IF(INDEX('M03-S04'!$AN$18:$AN$198,2*(ROWS($O$97:O125)-1)+1)=INDEX('M03-S04'!$BJ$18:$BJ$198,2*(ROWS($O$97:O125)-1)+1),0,(INDEX('M03-S04'!$BI$18:$BI$198,2*(ROWS($O$97:O125)-1)+1)-INDEX('M03-S04'!$BJ$18:$BJ$198,2*(ROWS($O$97:O125)-1)+1))))*INCENTCAPADJ</f>
        <v>0</v>
      </c>
    </row>
    <row r="126" spans="1:44" x14ac:dyDescent="0.25">
      <c r="A126" s="66">
        <f t="shared" si="24"/>
        <v>0</v>
      </c>
      <c r="B126" s="66" t="str">
        <f t="shared" si="25"/>
        <v/>
      </c>
      <c r="C126" s="66" t="str">
        <f>IFERROR(IF(J126&gt;0,INDEX('M03-S04'!$BB$18:$BB$198,2*(ROWS($C$97:C126)-1)+1),""),"")</f>
        <v/>
      </c>
      <c r="D126" t="s">
        <v>1096</v>
      </c>
      <c r="E126" t="str">
        <f>IFERROR(INDEX(PMELIGHTINCAN[End Use Category],MATCH(INDEX('M03-S04'!$BA$18:$BA$198,2*(ROWS($E$97:E126)-1)+1),PMELIGHTINCAN[Measure Validator],0)),"")</f>
        <v/>
      </c>
      <c r="F126" s="151" t="str">
        <f>INDEX('M03-S04'!$AB$18:$AB$198,2*(ROWS($F$97:F126)-1)+1)</f>
        <v/>
      </c>
      <c r="G126">
        <f>INDEX('M03-S04'!$X$18:$X$198,2*(ROWS($G$97:G126)-1)+1)</f>
        <v>0</v>
      </c>
      <c r="H126" s="61">
        <f>ROUND(INDEX('M03-S04'!$T$18:$T$198,2*(ROWS($H$97:H126)-1)+1)*INDEX('M03-S04'!$AF$18:$AF$198,2*(ROWS($H$97:H126)-1)+1),2)</f>
        <v>0</v>
      </c>
      <c r="I126" s="61">
        <f>ROUND(INDEX('M03-S04'!$T$18:$T$198,2*(ROWS($I$97:I126)-1)+1)*INDEX('M03-S04'!$AH$18:$AH$198,2*(ROWS($H$97:H126)-1)+1),2)</f>
        <v>0</v>
      </c>
      <c r="J126" s="61" t="str">
        <f>INDEX('M03-S04'!$AU$18:$AU$198,2*(ROWS($J$97:J126)-1)+1)</f>
        <v/>
      </c>
      <c r="K126" t="s">
        <v>119</v>
      </c>
      <c r="L126" s="151">
        <f>IF(ISNUMBER(INDEX('M03-S04'!$AN$18:$AN$198,2*(ROWS($L$97:L126)-1)+1)),INDEX('M03-S04'!$T$18:$T$198,2*(ROWS($L$97:L126)-1)+1),0)</f>
        <v>0</v>
      </c>
      <c r="M126" s="151">
        <f>IF(ISNUMBER(INDEX('M03-S04'!$AN$18:$AN$198,2*(ROWS($M$97:M126)-1)+1)),INDEX('M03-S04'!$AJ$18:$AJ$198,2*(ROWS($M$97:M126)-1)+1),0)</f>
        <v>0</v>
      </c>
      <c r="N126" s="189">
        <f>IF(ISNUMBER(INDEX('M03-S04'!$AN$18:$AN$198,2*(ROWS($M$97:M126)-1)+1)),IFERROR(INDEX('M03-S04'!$AV$18:$AV$198,2*(ROWS($N$97:N126)-1)+1),0),0)</f>
        <v>0</v>
      </c>
      <c r="O126" s="61">
        <f>IF(ISNUMBER(INDEX('M03-S04'!$AN$18:$AN$198,2*(ROWS($M$97:M126)-1)+1)),IFERROR(INDEX('M03-S04'!$AN$18:$AN$198,2*(ROWS($O$97:O126)-1)+1)*INCENTCAPADJ,""),0)</f>
        <v>0</v>
      </c>
      <c r="P126" s="151" t="str">
        <f>IFERROR(IF(NOT(ISNUMBER(INDEX('M03-S04'!$AN$18:$AN$198,2*(ROWS($O$97:O126)-1)+1))),INDEX('M03-S04'!$AJ$18:$AJ$198,2*(ROWS($M$97:M126)-1)+1),0),0)</f>
        <v/>
      </c>
      <c r="Q126" s="189" t="str">
        <f>IFERROR(IF(NOT(ISNUMBER(INDEX('M03-S04'!$AN$18:$AN$198,2*(ROWS($O$97:O126)-1)+1))),INDEX('M03-S04'!$AV$18:$AV$198,2*(ROWS($N$97:N126)-1)+1),0),0)</f>
        <v/>
      </c>
      <c r="R126" t="str">
        <f>IFERROR(IF(NOT(ISNUMBER(INDEX('M03-S04'!$AN$18:$AN$198,2*(ROWS($O$97:O126)-1)+1))),"Not Eligible",""),"")</f>
        <v>Not Eligible</v>
      </c>
      <c r="S126" s="156">
        <f>INDEX('M03-S04'!$K$18:$K$198,2*(ROWS($S$97:S126)-1)+1)</f>
        <v>0</v>
      </c>
      <c r="T126" s="156">
        <f>INDEX('M03-S04'!$V$18:$V$198,2*(ROWS($T$97:T126)-1)+1)</f>
        <v>0</v>
      </c>
      <c r="U126" s="151">
        <f>INDEX('M03-S04'!$B$18:$B$198,2*(ROWS($U$97:U126)-1)+1)</f>
        <v>30</v>
      </c>
      <c r="V126" s="58" t="str">
        <f>CONCATENATE(INDEX('M03-S04'!$C$18:$C$198,2*(ROWS($V$97:V126)-1)+1)," ",INDEX('M03-S04'!$F$18:$F$198,2*(ROWS($V$97:V126)-1)+1))</f>
        <v xml:space="preserve"> </v>
      </c>
      <c r="W126" s="58" t="str">
        <f>INDEX('M03-S04'!$M$18:$M$198,2*(ROWS($W$97:W126)-1)+1)</f>
        <v/>
      </c>
      <c r="X126" s="135"/>
      <c r="Y126">
        <f>INDEX('M03-S04'!$P$18:$P$198,2*(ROWS($Y$97:Y126)-1)+1)</f>
        <v>0</v>
      </c>
      <c r="Z126" s="61">
        <f>IFERROR(INDEX('M03-S04'!$AD$18:$AD$198,2*(ROWS(Z$97:$Z126)-1)+1)/INDEX('M03-S04'!$AB$18:$AB$198,2*(ROWS(Z$97:$Z126)-1)+1),0)</f>
        <v>0</v>
      </c>
      <c r="AA126" s="135"/>
      <c r="AB126" s="135"/>
      <c r="AC126" s="135"/>
      <c r="AD126" s="135"/>
      <c r="AE126" s="151">
        <f>IFERROR(IF(NOT(ISNUMBER(INDEX('M03-S04'!$AN$18:$AN$198,2*(ROWS($AE$97:AE126)-1)+1))),INDEX('M03-S04'!$T$18:$T$198,2*(ROWS($AE$97:AE126)-1)+1),0),0)</f>
        <v>0</v>
      </c>
      <c r="AF126" s="151" t="str">
        <f>INDEX('M03-S04'!$AW$18:$AW$198,2*(ROWS($AF$97:AF126)-1)+1)</f>
        <v/>
      </c>
      <c r="AG126" s="151" t="str">
        <f>INDEX('M03-S04'!$AX$18:$AX$198,2*(ROWS($AG$97:AG126)-1)+1)</f>
        <v/>
      </c>
      <c r="AH126" s="151" t="str">
        <f t="shared" si="26"/>
        <v/>
      </c>
      <c r="AI126" s="151" t="str">
        <f t="shared" si="27"/>
        <v/>
      </c>
      <c r="AJ126" s="61" t="str">
        <f t="shared" si="28"/>
        <v/>
      </c>
      <c r="AK126" s="61" t="str">
        <f t="shared" si="29"/>
        <v/>
      </c>
      <c r="AL126" s="61" t="str">
        <f t="shared" si="30"/>
        <v/>
      </c>
      <c r="AM126" s="154"/>
      <c r="AN126" s="61" t="str">
        <f t="shared" si="31"/>
        <v/>
      </c>
      <c r="AO126" s="151">
        <f>INDEX('M03-S04'!$I$18:$I$198,2*(ROWS($AO$97:AO126)-1)+1)</f>
        <v>0</v>
      </c>
      <c r="AP126" s="151">
        <f>INDEX('M03-S04'!$AD$18:$AD$198,2*(ROWS($AP$97:AP126)-1)+1)</f>
        <v>0</v>
      </c>
      <c r="AQ126" s="61" t="str">
        <f>IF(INDEX('M03-S04'!$AJ$18:$AJ$198,2*(ROWS($AQ$97:AQ126)-1)+1)="","",IF(AND(INDEX('M03-S04'!$AJ$18:$AJ$198,2*(ROWS($AQ$97:AQ126)-1)+1)&lt;&gt;"",OR(ISNUMBER(SEARCH("AC With",M02S02F32)),M02S02F32="Heat Pump")),LIGHTHEATCOIN,1))</f>
        <v/>
      </c>
      <c r="AR126" s="414">
        <f>(IF(INDEX('M03-S04'!$AN$18:$AN$198,2*(ROWS($O$97:O126)-1)+1)=INDEX('M03-S04'!$BJ$18:$BJ$198,2*(ROWS($O$97:O126)-1)+1),0,(INDEX('M03-S04'!$BI$18:$BI$198,2*(ROWS($O$97:O126)-1)+1)-INDEX('M03-S04'!$BJ$18:$BJ$198,2*(ROWS($O$97:O126)-1)+1))))*INCENTCAPADJ</f>
        <v>0</v>
      </c>
    </row>
    <row r="127" spans="1:44" x14ac:dyDescent="0.25">
      <c r="A127" s="207" t="str">
        <f>CONCATENATE(MAIN3," ",M3S6)</f>
        <v>LIGHTING MEASURES Occupancy Sensors</v>
      </c>
      <c r="B127" s="209"/>
      <c r="C127" s="209"/>
      <c r="D127" s="164"/>
      <c r="E127" s="164"/>
      <c r="F127" s="170"/>
      <c r="G127" s="164"/>
      <c r="H127" s="171"/>
      <c r="I127" s="171"/>
      <c r="J127" s="171"/>
      <c r="K127" s="164"/>
      <c r="L127" s="170"/>
      <c r="M127" s="170"/>
      <c r="N127" s="191"/>
      <c r="O127" s="171"/>
      <c r="P127" s="170"/>
      <c r="Q127" s="191"/>
      <c r="R127" s="164"/>
      <c r="S127" s="172"/>
      <c r="T127" s="172"/>
      <c r="U127" s="170"/>
      <c r="V127" s="174"/>
      <c r="W127" s="173"/>
      <c r="X127" s="174"/>
      <c r="Y127" s="164"/>
      <c r="Z127" s="164"/>
      <c r="AA127" s="164"/>
      <c r="AB127" s="164"/>
      <c r="AC127" s="164"/>
      <c r="AD127" s="164"/>
      <c r="AE127" s="170"/>
      <c r="AF127" s="170"/>
      <c r="AG127" s="170"/>
      <c r="AH127" s="170"/>
      <c r="AI127" s="170"/>
      <c r="AJ127" s="171" t="str">
        <f>IFERROR(O127/M127,"")</f>
        <v/>
      </c>
      <c r="AK127" s="171" t="str">
        <f>IFERROR(O127/N127,"")</f>
        <v/>
      </c>
      <c r="AL127" s="171" t="str">
        <f>IFERROR(O127/L127,"")</f>
        <v/>
      </c>
      <c r="AM127" s="175"/>
      <c r="AN127" s="171" t="str">
        <f t="shared" ref="AN127:AN150" si="32">IFERROR(J127/M127/M02S02F35,"")</f>
        <v/>
      </c>
      <c r="AO127" s="170"/>
      <c r="AP127" s="170"/>
      <c r="AQ127" s="170"/>
      <c r="AR127" s="412"/>
    </row>
    <row r="128" spans="1:44" x14ac:dyDescent="0.25">
      <c r="A128" s="66">
        <f t="shared" ref="A128:A137" si="33">PROJID</f>
        <v>0</v>
      </c>
      <c r="B128" s="66" t="str">
        <f>IF(C128="","",CONCATENATE(ROW(),"-",C128))</f>
        <v/>
      </c>
      <c r="C128" s="66" t="str">
        <f>IFERROR(IF(O128&gt;0,INDEX(PMEOCCSEN[Measure Number],MATCH(W128,PMEOCCSEN[Measure Type],0)),""),"")</f>
        <v/>
      </c>
      <c r="D128" t="s">
        <v>1096</v>
      </c>
      <c r="E128" t="str">
        <f>IFERROR(INDEX(PMEOCCSEN[End Use],MATCH(W128,PMEOCCSEN[Measure Type],0)),"")</f>
        <v/>
      </c>
      <c r="F128" s="151">
        <f>INDEX('M03-S06'!$V$16:$V$198,2*(ROWS($F$128:F128)-1)+1)</f>
        <v>0</v>
      </c>
      <c r="G128">
        <f>INDEX('M03-S06'!$AB$16:$AB$198,2*(ROWS($G$128:G128)-1)+1)</f>
        <v>0</v>
      </c>
      <c r="H128" s="61">
        <f>ROUND(INDEX('M03-S06'!$AE$16:$AE$198,2*(ROWS($H$128:H128)-1)+1),2)</f>
        <v>0</v>
      </c>
      <c r="I128" s="61">
        <f>ROUND(INDEX('M03-S06'!$AG$16:$AG$198,2*(ROWS($H$128:H128)-1)+1),2)</f>
        <v>0</v>
      </c>
      <c r="J128" s="61" t="str">
        <f>INDEX('M03-S06'!$AU$16:$AU$198,2*(ROWS($J$128:J128)-1)+1)</f>
        <v/>
      </c>
      <c r="K128" t="s">
        <v>119</v>
      </c>
      <c r="L128" s="151">
        <f>INDEX('M03-S06'!$O$16:$O$198,2*(ROWS($L$128:L128)-1)+1)</f>
        <v>0</v>
      </c>
      <c r="M128" s="151" cm="1">
        <f t="array" ref="M128">IFERROR(IF(ISNUMBER(INDEX('M03-S06'!$AO$16:$AO$198,2*(ROWS($O$128:O128)-1)+1)),INDEX('M03-S06'!$AK$16:$AK$198,2*(ROWS($M$128:M128)-1)+1),0),"")</f>
        <v>0</v>
      </c>
      <c r="N128" s="189" cm="1">
        <f t="array" ref="N128">IFERROR(IF(ISNUMBER(INDEX('M03-S06'!$AO$16:$AO$198,2*(ROWS($O$128:O128)-1)+1)),INDEX('M03-S06'!$AV$16:$AV$198,2*(ROWS($N$193:N193)-1)+1),0),"")</f>
        <v>0</v>
      </c>
      <c r="O128" s="61" cm="1">
        <f t="array" ref="O128">IFERROR(IF(ISNUMBER(INDEX('M03-S06'!$AO$16:$AO$198,2*(ROWS($O$128:O128)-1)+1)),INDEX('M03-S06'!$AO$16:$AO$198,2*(ROWS($O$128:O128)-1)+1)*INCENTCAPADJ,0),"")</f>
        <v>0</v>
      </c>
      <c r="P128" s="152"/>
      <c r="Q128" s="193"/>
      <c r="R128" s="135"/>
      <c r="S128" s="157"/>
      <c r="T128" s="157"/>
      <c r="U128" s="151">
        <f>INDEX('M03-S06'!$B$16:$B$198,2*(ROWS($U$128:U128)-1)+1)</f>
        <v>1</v>
      </c>
      <c r="V128" s="58" t="str">
        <f>INDEX('M03-S06'!$J$16:$J$198,2*(ROWS($W$128:W128)-1)+1)</f>
        <v/>
      </c>
      <c r="W128" s="58">
        <f>INDEX('M03-S06'!$C$16:$C$198,2*(ROWS($W$128:W128)-1)+1)</f>
        <v>0</v>
      </c>
      <c r="X128" s="135"/>
      <c r="Y128">
        <f>INDEX('M03-S06'!$X$16:$X$198,2*(ROWS($Y$128:Y128)-1)+1)</f>
        <v>0</v>
      </c>
      <c r="Z128" s="135"/>
      <c r="AA128" s="135"/>
      <c r="AB128" s="135"/>
      <c r="AC128" s="135"/>
      <c r="AD128" s="135"/>
      <c r="AE128" s="135"/>
      <c r="AF128" s="151" t="str">
        <f>INDEX('M03-S06'!$AW$16:$AW$198,2*(ROWS($AF$128:AF128)-1)+1)</f>
        <v/>
      </c>
      <c r="AG128" s="151" t="str">
        <f>INDEX('M03-S06'!$AX$16:$AX$198,2*(ROWS($AF$128:AF128)-1)+1)</f>
        <v/>
      </c>
      <c r="AH128" s="151" t="str">
        <f>IFERROR(AF128/AO128,"")</f>
        <v/>
      </c>
      <c r="AI128" s="151" t="str">
        <f>IFERROR(AG128/L128,"")</f>
        <v/>
      </c>
      <c r="AJ128" s="61" t="str">
        <f>IFERROR(O128/M128,"")</f>
        <v/>
      </c>
      <c r="AK128" s="61" t="str">
        <f>IFERROR(O128/N128,"")</f>
        <v/>
      </c>
      <c r="AL128" s="61" t="str">
        <f>IFERROR(O128/L128,"")</f>
        <v/>
      </c>
      <c r="AM128" s="154"/>
      <c r="AN128" s="61" t="str">
        <f t="shared" si="32"/>
        <v/>
      </c>
      <c r="AO128" s="151">
        <f>INDEX('M03-S06'!$O$16:$O$198,2*(ROWS($AO$128:AO128)-1)+1)</f>
        <v>0</v>
      </c>
      <c r="AP128" s="152"/>
      <c r="AQ128" s="61" t="str">
        <f>IF(INDEX('M03-S06'!$AK$16:$AK$198,2*(ROWS($AQ$128:AQ128)-1)+1)="","",IF(AND(INDEX('M03-S06'!$AK$16:$AK$198,2*(ROWS($AQ$128:AQ128)-1)+1)&lt;&gt;"",OR(ISNUMBER(SEARCH("AC With",M02S02F32)),M02S02F32="Heat Pump")),LIGHTHEATCOIN,1))</f>
        <v/>
      </c>
      <c r="AR128" s="414">
        <f>(IF(INDEX('M03-S06'!$AO$16:$AO$198,2*(ROWS($O$128:O128)-1)+1)=INDEX('M03-S06'!$BC$16:$BC$198,2*(ROWS($O$128:O128)-1)+1),0,(INDEX('M03-S06'!$BB$16:$BB$198,2*(ROWS($O$128:O128)-1)+1)-INDEX('M03-S06'!$BC$16:$BC$198,2*(ROWS($O$128:O128)-1)+1))))*INCENTCAPADJ</f>
        <v>0</v>
      </c>
    </row>
    <row r="129" spans="1:44" x14ac:dyDescent="0.25">
      <c r="A129" s="66">
        <f t="shared" si="33"/>
        <v>0</v>
      </c>
      <c r="B129" s="66" t="str">
        <f t="shared" ref="B129:B137" si="34">IF(C129="","",CONCATENATE(ROW(),"-",C129))</f>
        <v/>
      </c>
      <c r="C129" s="66" t="str">
        <f>IFERROR(IF(O129&gt;0,INDEX(PMEOCCSEN[Measure Number],MATCH(W129,PMEOCCSEN[Measure Type],0)),""),"")</f>
        <v/>
      </c>
      <c r="D129" t="s">
        <v>1096</v>
      </c>
      <c r="E129" t="str">
        <f>IFERROR(INDEX(PMEOCCSEN[End Use],MATCH(W129,PMEOCCSEN[Measure Type],0)),"")</f>
        <v/>
      </c>
      <c r="F129" s="151">
        <f>INDEX('M03-S06'!$V$16:$V$198,2*(ROWS($F$128:F129)-1)+1)</f>
        <v>0</v>
      </c>
      <c r="G129">
        <f>INDEX('M03-S06'!$AB$16:$AB$198,2*(ROWS($G$128:G129)-1)+1)</f>
        <v>0</v>
      </c>
      <c r="H129" s="61">
        <f>ROUND(INDEX('M03-S06'!$AE$16:$AE$198,2*(ROWS($H$128:H129)-1)+1),2)</f>
        <v>0</v>
      </c>
      <c r="I129" s="61">
        <f>ROUND(INDEX('M03-S06'!$AG$16:$AG$198,2*(ROWS($H$128:H129)-1)+1),2)</f>
        <v>0</v>
      </c>
      <c r="J129" s="61" t="str">
        <f>INDEX('M03-S06'!$AU$16:$AU$198,2*(ROWS($J$128:J129)-1)+1)</f>
        <v/>
      </c>
      <c r="K129" t="s">
        <v>119</v>
      </c>
      <c r="L129" s="151">
        <f>INDEX('M03-S06'!$O$16:$O$198,2*(ROWS($L$128:L129)-1)+1)</f>
        <v>0</v>
      </c>
      <c r="M129" s="151" cm="1">
        <f t="array" ref="M129">IFERROR(IF(ISNUMBER(INDEX('M03-S06'!$AO$16:$AO$198,2*(ROWS($O$128:O129)-1)+1)),INDEX('M03-S06'!$AK$16:$AK$198,2*(ROWS($M$128:M129)-1)+1),0),"")</f>
        <v>0</v>
      </c>
      <c r="N129" s="189" cm="1">
        <f t="array" ref="N129">IFERROR(IF(ISNUMBER(INDEX('M03-S06'!$AO$16:$AO$198,2*(ROWS($O$128:O129)-1)+1)),INDEX('M03-S06'!$AV$16:$AV$198,2*(ROWS($N$193:N194)-1)+1),0),"")</f>
        <v>0</v>
      </c>
      <c r="O129" s="61" cm="1">
        <f t="array" ref="O129">IFERROR(IF(ISNUMBER(INDEX('M03-S06'!$AO$16:$AO$198,2*(ROWS($O$128:O129)-1)+1)),INDEX('M03-S06'!$AO$16:$AO$198,2*(ROWS($O$128:O129)-1)+1)*INCENTCAPADJ,0),"")</f>
        <v>0</v>
      </c>
      <c r="P129" s="152"/>
      <c r="Q129" s="193"/>
      <c r="R129" s="135"/>
      <c r="S129" s="157"/>
      <c r="T129" s="157"/>
      <c r="U129" s="151">
        <f>INDEX('M03-S06'!$B$16:$B$198,2*(ROWS($U$128:U129)-1)+1)</f>
        <v>2</v>
      </c>
      <c r="V129" s="58" t="str">
        <f>INDEX('M03-S06'!$J$16:$J$198,2*(ROWS($W$128:W129)-1)+1)</f>
        <v/>
      </c>
      <c r="W129" s="58">
        <f>INDEX('M03-S06'!$C$16:$C$198,2*(ROWS($W$128:W129)-1)+1)</f>
        <v>0</v>
      </c>
      <c r="X129" s="135"/>
      <c r="Y129">
        <f>INDEX('M03-S06'!$X$16:$X$198,2*(ROWS($Y$128:Y129)-1)+1)</f>
        <v>0</v>
      </c>
      <c r="Z129" s="135"/>
      <c r="AA129" s="135"/>
      <c r="AB129" s="135"/>
      <c r="AC129" s="135"/>
      <c r="AD129" s="135"/>
      <c r="AE129" s="135"/>
      <c r="AF129" s="151" t="str">
        <f>INDEX('M03-S06'!$AW$16:$AW$198,2*(ROWS($AF$128:AF129)-1)+1)</f>
        <v/>
      </c>
      <c r="AG129" s="151" t="str">
        <f>INDEX('M03-S06'!$AX$16:$AX$198,2*(ROWS($AF$128:AF129)-1)+1)</f>
        <v/>
      </c>
      <c r="AH129" s="151" t="str">
        <f t="shared" ref="AH129:AH137" si="35">IFERROR(AF129/AO129,"")</f>
        <v/>
      </c>
      <c r="AI129" s="151" t="str">
        <f t="shared" ref="AI129:AI137" si="36">IFERROR(AG129/L129,"")</f>
        <v/>
      </c>
      <c r="AJ129" s="61" t="str">
        <f t="shared" ref="AJ129:AJ137" si="37">IFERROR(O129/M129,"")</f>
        <v/>
      </c>
      <c r="AK129" s="61" t="str">
        <f t="shared" ref="AK129:AK137" si="38">IFERROR(O129/N129,"")</f>
        <v/>
      </c>
      <c r="AL129" s="61" t="str">
        <f t="shared" ref="AL129:AL137" si="39">IFERROR(O129/L129,"")</f>
        <v/>
      </c>
      <c r="AM129" s="154"/>
      <c r="AN129" s="61" t="str">
        <f t="shared" si="32"/>
        <v/>
      </c>
      <c r="AO129" s="151">
        <f>INDEX('M03-S06'!$O$16:$O$198,2*(ROWS($AO$128:AO129)-1)+1)</f>
        <v>0</v>
      </c>
      <c r="AP129" s="152"/>
      <c r="AQ129" s="61" t="str">
        <f>IF(INDEX('M03-S06'!$AK$16:$AK$198,2*(ROWS($AQ$128:AQ129)-1)+1)="","",IF(AND(INDEX('M03-S06'!$AK$16:$AK$198,2*(ROWS($AQ$128:AQ129)-1)+1)&lt;&gt;"",OR(ISNUMBER(SEARCH("AC With",M02S02F32)),M02S02F32="Heat Pump")),LIGHTHEATCOIN,1))</f>
        <v/>
      </c>
      <c r="AR129" s="414">
        <f>(IF(INDEX('M03-S06'!$AO$16:$AO$198,2*(ROWS($O$128:O129)-1)+1)=INDEX('M03-S06'!$BC$16:$BC$198,2*(ROWS($O$128:O129)-1)+1),0,(INDEX('M03-S06'!$BB$16:$BB$198,2*(ROWS($O$128:O129)-1)+1)-INDEX('M03-S06'!$BC$16:$BC$198,2*(ROWS($O$128:O129)-1)+1))))*INCENTCAPADJ</f>
        <v>0</v>
      </c>
    </row>
    <row r="130" spans="1:44" x14ac:dyDescent="0.25">
      <c r="A130" s="66">
        <f t="shared" si="33"/>
        <v>0</v>
      </c>
      <c r="B130" s="66" t="str">
        <f t="shared" si="34"/>
        <v/>
      </c>
      <c r="C130" s="66" t="str">
        <f>IFERROR(IF(O130&gt;0,INDEX(PMEOCCSEN[Measure Number],MATCH(W130,PMEOCCSEN[Measure Type],0)),""),"")</f>
        <v/>
      </c>
      <c r="D130" t="s">
        <v>1096</v>
      </c>
      <c r="E130" t="str">
        <f>IFERROR(INDEX(PMEOCCSEN[End Use],MATCH(W130,PMEOCCSEN[Measure Type],0)),"")</f>
        <v/>
      </c>
      <c r="F130" s="151">
        <f>INDEX('M03-S06'!$V$16:$V$198,2*(ROWS($F$128:F130)-1)+1)</f>
        <v>0</v>
      </c>
      <c r="G130">
        <f>INDEX('M03-S06'!$AB$16:$AB$198,2*(ROWS($G$128:G130)-1)+1)</f>
        <v>0</v>
      </c>
      <c r="H130" s="61">
        <f>ROUND(INDEX('M03-S06'!$AE$16:$AE$198,2*(ROWS($H$128:H130)-1)+1),2)</f>
        <v>0</v>
      </c>
      <c r="I130" s="61">
        <f>ROUND(INDEX('M03-S06'!$AG$16:$AG$198,2*(ROWS($H$128:H130)-1)+1),2)</f>
        <v>0</v>
      </c>
      <c r="J130" s="61" t="str">
        <f>INDEX('M03-S06'!$AU$16:$AU$198,2*(ROWS($J$128:J130)-1)+1)</f>
        <v/>
      </c>
      <c r="K130" t="s">
        <v>119</v>
      </c>
      <c r="L130" s="151">
        <f>INDEX('M03-S06'!$O$16:$O$198,2*(ROWS($L$128:L130)-1)+1)</f>
        <v>0</v>
      </c>
      <c r="M130" s="151" cm="1">
        <f t="array" ref="M130">IFERROR(IF(ISNUMBER(INDEX('M03-S06'!$AO$16:$AO$198,2*(ROWS($O$128:O130)-1)+1)),INDEX('M03-S06'!$AK$16:$AK$198,2*(ROWS($M$128:M130)-1)+1),0),"")</f>
        <v>0</v>
      </c>
      <c r="N130" s="189" cm="1">
        <f t="array" ref="N130">IFERROR(IF(ISNUMBER(INDEX('M03-S06'!$AO$16:$AO$198,2*(ROWS($O$128:O130)-1)+1)),INDEX('M03-S06'!$AV$16:$AV$198,2*(ROWS($N$193:N195)-1)+1),0),"")</f>
        <v>0</v>
      </c>
      <c r="O130" s="61" cm="1">
        <f t="array" ref="O130">IFERROR(IF(ISNUMBER(INDEX('M03-S06'!$AO$16:$AO$198,2*(ROWS($O$128:O130)-1)+1)),INDEX('M03-S06'!$AO$16:$AO$198,2*(ROWS($O$128:O130)-1)+1)*INCENTCAPADJ,0),"")</f>
        <v>0</v>
      </c>
      <c r="P130" s="152"/>
      <c r="Q130" s="193"/>
      <c r="R130" s="135"/>
      <c r="S130" s="157"/>
      <c r="T130" s="157"/>
      <c r="U130" s="151">
        <f>INDEX('M03-S06'!$B$16:$B$198,2*(ROWS($U$128:U130)-1)+1)</f>
        <v>3</v>
      </c>
      <c r="V130" s="58" t="str">
        <f>INDEX('M03-S06'!$J$16:$J$198,2*(ROWS($W$128:W130)-1)+1)</f>
        <v/>
      </c>
      <c r="W130" s="58">
        <f>INDEX('M03-S06'!$C$16:$C$198,2*(ROWS($W$128:W130)-1)+1)</f>
        <v>0</v>
      </c>
      <c r="X130" s="135"/>
      <c r="Y130">
        <f>INDEX('M03-S06'!$X$16:$X$198,2*(ROWS($Y$128:Y130)-1)+1)</f>
        <v>0</v>
      </c>
      <c r="Z130" s="135"/>
      <c r="AA130" s="135"/>
      <c r="AB130" s="135"/>
      <c r="AC130" s="135"/>
      <c r="AD130" s="135"/>
      <c r="AE130" s="135"/>
      <c r="AF130" s="151" t="str">
        <f>INDEX('M03-S06'!$AW$16:$AW$198,2*(ROWS($AF$128:AF130)-1)+1)</f>
        <v/>
      </c>
      <c r="AG130" s="151" t="str">
        <f>INDEX('M03-S06'!$AX$16:$AX$198,2*(ROWS($AF$128:AF130)-1)+1)</f>
        <v/>
      </c>
      <c r="AH130" s="151" t="str">
        <f t="shared" si="35"/>
        <v/>
      </c>
      <c r="AI130" s="151" t="str">
        <f t="shared" si="36"/>
        <v/>
      </c>
      <c r="AJ130" s="61" t="str">
        <f t="shared" si="37"/>
        <v/>
      </c>
      <c r="AK130" s="61" t="str">
        <f t="shared" si="38"/>
        <v/>
      </c>
      <c r="AL130" s="61" t="str">
        <f t="shared" si="39"/>
        <v/>
      </c>
      <c r="AM130" s="154"/>
      <c r="AN130" s="61" t="str">
        <f t="shared" si="32"/>
        <v/>
      </c>
      <c r="AO130" s="151">
        <f>INDEX('M03-S06'!$O$16:$O$198,2*(ROWS($AO$128:AO130)-1)+1)</f>
        <v>0</v>
      </c>
      <c r="AP130" s="152"/>
      <c r="AQ130" s="61" t="str">
        <f>IF(INDEX('M03-S06'!$AK$16:$AK$198,2*(ROWS($AQ$128:AQ130)-1)+1)="","",IF(AND(INDEX('M03-S06'!$AK$16:$AK$198,2*(ROWS($AQ$128:AQ130)-1)+1)&lt;&gt;"",OR(ISNUMBER(SEARCH("AC With",M02S02F32)),M02S02F32="Heat Pump")),LIGHTHEATCOIN,1))</f>
        <v/>
      </c>
      <c r="AR130" s="414">
        <f>(IF(INDEX('M03-S06'!$AO$16:$AO$198,2*(ROWS($O$128:O130)-1)+1)=INDEX('M03-S06'!$BC$16:$BC$198,2*(ROWS($O$128:O130)-1)+1),0,(INDEX('M03-S06'!$BB$16:$BB$198,2*(ROWS($O$128:O130)-1)+1)-INDEX('M03-S06'!$BC$16:$BC$198,2*(ROWS($O$128:O130)-1)+1))))*INCENTCAPADJ</f>
        <v>0</v>
      </c>
    </row>
    <row r="131" spans="1:44" x14ac:dyDescent="0.25">
      <c r="A131" s="66">
        <f t="shared" si="33"/>
        <v>0</v>
      </c>
      <c r="B131" s="66" t="str">
        <f t="shared" si="34"/>
        <v/>
      </c>
      <c r="C131" s="66" t="str">
        <f>IFERROR(IF(O131&gt;0,INDEX(PMEOCCSEN[Measure Number],MATCH(W131,PMEOCCSEN[Measure Type],0)),""),"")</f>
        <v/>
      </c>
      <c r="D131" t="s">
        <v>1096</v>
      </c>
      <c r="E131" t="str">
        <f>IFERROR(INDEX(PMEOCCSEN[End Use],MATCH(W131,PMEOCCSEN[Measure Type],0)),"")</f>
        <v/>
      </c>
      <c r="F131" s="151">
        <f>INDEX('M03-S06'!$V$16:$V$198,2*(ROWS($F$128:F131)-1)+1)</f>
        <v>0</v>
      </c>
      <c r="G131">
        <f>INDEX('M03-S06'!$AB$16:$AB$198,2*(ROWS($G$128:G131)-1)+1)</f>
        <v>0</v>
      </c>
      <c r="H131" s="61">
        <f>ROUND(INDEX('M03-S06'!$AE$16:$AE$198,2*(ROWS($H$128:H131)-1)+1),2)</f>
        <v>0</v>
      </c>
      <c r="I131" s="61">
        <f>ROUND(INDEX('M03-S06'!$AG$16:$AG$198,2*(ROWS($H$128:H131)-1)+1),2)</f>
        <v>0</v>
      </c>
      <c r="J131" s="61" t="str">
        <f>INDEX('M03-S06'!$AU$16:$AU$198,2*(ROWS($J$128:J131)-1)+1)</f>
        <v/>
      </c>
      <c r="K131" t="s">
        <v>119</v>
      </c>
      <c r="L131" s="151">
        <f>INDEX('M03-S06'!$O$16:$O$198,2*(ROWS($L$128:L131)-1)+1)</f>
        <v>0</v>
      </c>
      <c r="M131" s="151" cm="1">
        <f t="array" ref="M131">IFERROR(IF(ISNUMBER(INDEX('M03-S06'!$AO$16:$AO$198,2*(ROWS($O$128:O131)-1)+1)),INDEX('M03-S06'!$AK$16:$AK$198,2*(ROWS($M$128:M131)-1)+1),0),"")</f>
        <v>0</v>
      </c>
      <c r="N131" s="189" cm="1">
        <f t="array" ref="N131">IFERROR(IF(ISNUMBER(INDEX('M03-S06'!$AO$16:$AO$198,2*(ROWS($O$128:O131)-1)+1)),INDEX('M03-S06'!$AV$16:$AV$198,2*(ROWS($N$193:N196)-1)+1),0),"")</f>
        <v>0</v>
      </c>
      <c r="O131" s="61" cm="1">
        <f t="array" ref="O131">IFERROR(IF(ISNUMBER(INDEX('M03-S06'!$AO$16:$AO$198,2*(ROWS($O$128:O131)-1)+1)),INDEX('M03-S06'!$AO$16:$AO$198,2*(ROWS($O$128:O131)-1)+1)*INCENTCAPADJ,0),"")</f>
        <v>0</v>
      </c>
      <c r="P131" s="152"/>
      <c r="Q131" s="193"/>
      <c r="R131" s="135"/>
      <c r="S131" s="157"/>
      <c r="T131" s="157"/>
      <c r="U131" s="151">
        <f>INDEX('M03-S06'!$B$16:$B$198,2*(ROWS($U$128:U131)-1)+1)</f>
        <v>4</v>
      </c>
      <c r="V131" s="58" t="str">
        <f>INDEX('M03-S06'!$J$16:$J$198,2*(ROWS($W$128:W131)-1)+1)</f>
        <v/>
      </c>
      <c r="W131" s="58">
        <f>INDEX('M03-S06'!$C$16:$C$198,2*(ROWS($W$128:W131)-1)+1)</f>
        <v>0</v>
      </c>
      <c r="X131" s="135"/>
      <c r="Y131">
        <f>INDEX('M03-S06'!$X$16:$X$198,2*(ROWS($Y$128:Y131)-1)+1)</f>
        <v>0</v>
      </c>
      <c r="Z131" s="135"/>
      <c r="AA131" s="135"/>
      <c r="AB131" s="135"/>
      <c r="AC131" s="135"/>
      <c r="AD131" s="135"/>
      <c r="AE131" s="135"/>
      <c r="AF131" s="151" t="str">
        <f>INDEX('M03-S06'!$AW$16:$AW$198,2*(ROWS($AF$128:AF131)-1)+1)</f>
        <v/>
      </c>
      <c r="AG131" s="151" t="str">
        <f>INDEX('M03-S06'!$AX$16:$AX$198,2*(ROWS($AF$128:AF131)-1)+1)</f>
        <v/>
      </c>
      <c r="AH131" s="151" t="str">
        <f t="shared" si="35"/>
        <v/>
      </c>
      <c r="AI131" s="151" t="str">
        <f t="shared" si="36"/>
        <v/>
      </c>
      <c r="AJ131" s="61" t="str">
        <f t="shared" si="37"/>
        <v/>
      </c>
      <c r="AK131" s="61" t="str">
        <f t="shared" si="38"/>
        <v/>
      </c>
      <c r="AL131" s="61" t="str">
        <f t="shared" si="39"/>
        <v/>
      </c>
      <c r="AM131" s="154"/>
      <c r="AN131" s="61" t="str">
        <f t="shared" si="32"/>
        <v/>
      </c>
      <c r="AO131" s="151">
        <f>INDEX('M03-S06'!$O$16:$O$198,2*(ROWS($AO$128:AO131)-1)+1)</f>
        <v>0</v>
      </c>
      <c r="AP131" s="152"/>
      <c r="AQ131" s="61" t="str">
        <f>IF(INDEX('M03-S06'!$AK$16:$AK$198,2*(ROWS($AQ$128:AQ131)-1)+1)="","",IF(AND(INDEX('M03-S06'!$AK$16:$AK$198,2*(ROWS($AQ$128:AQ131)-1)+1)&lt;&gt;"",OR(ISNUMBER(SEARCH("AC With",M02S02F32)),M02S02F32="Heat Pump")),LIGHTHEATCOIN,1))</f>
        <v/>
      </c>
      <c r="AR131" s="414">
        <f>(IF(INDEX('M03-S06'!$AO$16:$AO$198,2*(ROWS($O$128:O131)-1)+1)=INDEX('M03-S06'!$BC$16:$BC$198,2*(ROWS($O$128:O131)-1)+1),0,(INDEX('M03-S06'!$BB$16:$BB$198,2*(ROWS($O$128:O131)-1)+1)-INDEX('M03-S06'!$BC$16:$BC$198,2*(ROWS($O$128:O131)-1)+1))))*INCENTCAPADJ</f>
        <v>0</v>
      </c>
    </row>
    <row r="132" spans="1:44" x14ac:dyDescent="0.25">
      <c r="A132" s="66">
        <f t="shared" si="33"/>
        <v>0</v>
      </c>
      <c r="B132" s="66" t="str">
        <f t="shared" si="34"/>
        <v/>
      </c>
      <c r="C132" s="66" t="str">
        <f>IFERROR(IF(O132&gt;0,INDEX(PMEOCCSEN[Measure Number],MATCH(W132,PMEOCCSEN[Measure Type],0)),""),"")</f>
        <v/>
      </c>
      <c r="D132" t="s">
        <v>1096</v>
      </c>
      <c r="E132" t="str">
        <f>IFERROR(INDEX(PMEOCCSEN[End Use],MATCH(W132,PMEOCCSEN[Measure Type],0)),"")</f>
        <v/>
      </c>
      <c r="F132" s="151">
        <f>INDEX('M03-S06'!$V$16:$V$198,2*(ROWS($F$128:F132)-1)+1)</f>
        <v>0</v>
      </c>
      <c r="G132">
        <f>INDEX('M03-S06'!$AB$16:$AB$198,2*(ROWS($G$128:G132)-1)+1)</f>
        <v>0</v>
      </c>
      <c r="H132" s="61">
        <f>ROUND(INDEX('M03-S06'!$AE$16:$AE$198,2*(ROWS($H$128:H132)-1)+1),2)</f>
        <v>0</v>
      </c>
      <c r="I132" s="61">
        <f>ROUND(INDEX('M03-S06'!$AG$16:$AG$198,2*(ROWS($H$128:H132)-1)+1),2)</f>
        <v>0</v>
      </c>
      <c r="J132" s="61" t="str">
        <f>INDEX('M03-S06'!$AU$16:$AU$198,2*(ROWS($J$128:J132)-1)+1)</f>
        <v/>
      </c>
      <c r="K132" t="s">
        <v>119</v>
      </c>
      <c r="L132" s="151">
        <f>INDEX('M03-S06'!$O$16:$O$198,2*(ROWS($L$128:L132)-1)+1)</f>
        <v>0</v>
      </c>
      <c r="M132" s="151" cm="1">
        <f t="array" ref="M132">IFERROR(IF(ISNUMBER(INDEX('M03-S06'!$AO$16:$AO$198,2*(ROWS($O$128:O132)-1)+1)),INDEX('M03-S06'!$AK$16:$AK$198,2*(ROWS($M$128:M132)-1)+1),0),"")</f>
        <v>0</v>
      </c>
      <c r="N132" s="189" cm="1">
        <f t="array" ref="N132">IFERROR(IF(ISNUMBER(INDEX('M03-S06'!$AO$16:$AO$198,2*(ROWS($O$128:O132)-1)+1)),INDEX('M03-S06'!$AV$16:$AV$198,2*(ROWS($N$193:N197)-1)+1),0),"")</f>
        <v>0</v>
      </c>
      <c r="O132" s="61" cm="1">
        <f t="array" ref="O132">IFERROR(IF(ISNUMBER(INDEX('M03-S06'!$AO$16:$AO$198,2*(ROWS($O$128:O132)-1)+1)),INDEX('M03-S06'!$AO$16:$AO$198,2*(ROWS($O$128:O132)-1)+1)*INCENTCAPADJ,0),"")</f>
        <v>0</v>
      </c>
      <c r="P132" s="152"/>
      <c r="Q132" s="193"/>
      <c r="R132" s="135"/>
      <c r="S132" s="157"/>
      <c r="T132" s="157"/>
      <c r="U132" s="151">
        <f>INDEX('M03-S06'!$B$16:$B$198,2*(ROWS($U$128:U132)-1)+1)</f>
        <v>5</v>
      </c>
      <c r="V132" s="58" t="str">
        <f>INDEX('M03-S06'!$J$16:$J$198,2*(ROWS($W$128:W132)-1)+1)</f>
        <v/>
      </c>
      <c r="W132" s="58">
        <f>INDEX('M03-S06'!$C$16:$C$198,2*(ROWS($W$128:W132)-1)+1)</f>
        <v>0</v>
      </c>
      <c r="X132" s="135"/>
      <c r="Y132">
        <f>INDEX('M03-S06'!$X$16:$X$198,2*(ROWS($Y$128:Y132)-1)+1)</f>
        <v>0</v>
      </c>
      <c r="Z132" s="135"/>
      <c r="AA132" s="135"/>
      <c r="AB132" s="135"/>
      <c r="AC132" s="135"/>
      <c r="AD132" s="135"/>
      <c r="AE132" s="135"/>
      <c r="AF132" s="151" t="str">
        <f>INDEX('M03-S06'!$AW$16:$AW$198,2*(ROWS($AF$128:AF132)-1)+1)</f>
        <v/>
      </c>
      <c r="AG132" s="151" t="str">
        <f>INDEX('M03-S06'!$AX$16:$AX$198,2*(ROWS($AF$128:AF132)-1)+1)</f>
        <v/>
      </c>
      <c r="AH132" s="151" t="str">
        <f t="shared" si="35"/>
        <v/>
      </c>
      <c r="AI132" s="151" t="str">
        <f t="shared" si="36"/>
        <v/>
      </c>
      <c r="AJ132" s="61" t="str">
        <f t="shared" si="37"/>
        <v/>
      </c>
      <c r="AK132" s="61" t="str">
        <f t="shared" si="38"/>
        <v/>
      </c>
      <c r="AL132" s="61" t="str">
        <f t="shared" si="39"/>
        <v/>
      </c>
      <c r="AM132" s="154"/>
      <c r="AN132" s="61" t="str">
        <f t="shared" si="32"/>
        <v/>
      </c>
      <c r="AO132" s="151">
        <f>INDEX('M03-S06'!$O$16:$O$198,2*(ROWS($AO$128:AO132)-1)+1)</f>
        <v>0</v>
      </c>
      <c r="AP132" s="152"/>
      <c r="AQ132" s="61" t="str">
        <f>IF(INDEX('M03-S06'!$AK$16:$AK$198,2*(ROWS($AQ$128:AQ132)-1)+1)="","",IF(AND(INDEX('M03-S06'!$AK$16:$AK$198,2*(ROWS($AQ$128:AQ132)-1)+1)&lt;&gt;"",OR(ISNUMBER(SEARCH("AC With",M02S02F32)),M02S02F32="Heat Pump")),LIGHTHEATCOIN,1))</f>
        <v/>
      </c>
      <c r="AR132" s="414">
        <f>(IF(INDEX('M03-S06'!$AO$16:$AO$198,2*(ROWS($O$128:O132)-1)+1)=INDEX('M03-S06'!$BC$16:$BC$198,2*(ROWS($O$128:O132)-1)+1),0,(INDEX('M03-S06'!$BB$16:$BB$198,2*(ROWS($O$128:O132)-1)+1)-INDEX('M03-S06'!$BC$16:$BC$198,2*(ROWS($O$128:O132)-1)+1))))*INCENTCAPADJ</f>
        <v>0</v>
      </c>
    </row>
    <row r="133" spans="1:44" x14ac:dyDescent="0.25">
      <c r="A133" s="66">
        <f t="shared" si="33"/>
        <v>0</v>
      </c>
      <c r="B133" s="66" t="str">
        <f t="shared" si="34"/>
        <v/>
      </c>
      <c r="C133" s="66" t="str">
        <f>IFERROR(IF(O133&gt;0,INDEX(PMEOCCSEN[Measure Number],MATCH(W133,PMEOCCSEN[Measure Type],0)),""),"")</f>
        <v/>
      </c>
      <c r="D133" t="s">
        <v>1096</v>
      </c>
      <c r="E133" t="str">
        <f>IFERROR(INDEX(PMEOCCSEN[End Use],MATCH(W133,PMEOCCSEN[Measure Type],0)),"")</f>
        <v/>
      </c>
      <c r="F133" s="151">
        <f>INDEX('M03-S06'!$V$16:$V$198,2*(ROWS($F$128:F133)-1)+1)</f>
        <v>0</v>
      </c>
      <c r="G133">
        <f>INDEX('M03-S06'!$AB$16:$AB$198,2*(ROWS($G$128:G133)-1)+1)</f>
        <v>0</v>
      </c>
      <c r="H133" s="61">
        <f>ROUND(INDEX('M03-S06'!$AE$16:$AE$198,2*(ROWS($H$128:H133)-1)+1),2)</f>
        <v>0</v>
      </c>
      <c r="I133" s="61">
        <f>ROUND(INDEX('M03-S06'!$AG$16:$AG$198,2*(ROWS($H$128:H133)-1)+1),2)</f>
        <v>0</v>
      </c>
      <c r="J133" s="61" t="str">
        <f>INDEX('M03-S06'!$AU$16:$AU$198,2*(ROWS($J$128:J133)-1)+1)</f>
        <v/>
      </c>
      <c r="K133" t="s">
        <v>119</v>
      </c>
      <c r="L133" s="151">
        <f>INDEX('M03-S06'!$O$16:$O$198,2*(ROWS($L$128:L133)-1)+1)</f>
        <v>0</v>
      </c>
      <c r="M133" s="151" cm="1">
        <f t="array" ref="M133">IFERROR(IF(ISNUMBER(INDEX('M03-S06'!$AO$16:$AO$198,2*(ROWS($O$128:O133)-1)+1)),INDEX('M03-S06'!$AK$16:$AK$198,2*(ROWS($M$128:M133)-1)+1),0),"")</f>
        <v>0</v>
      </c>
      <c r="N133" s="189" cm="1">
        <f t="array" ref="N133">IFERROR(IF(ISNUMBER(INDEX('M03-S06'!$AO$16:$AO$198,2*(ROWS($O$128:O133)-1)+1)),INDEX('M03-S06'!$AV$16:$AV$198,2*(ROWS($N$193:N198)-1)+1),0),"")</f>
        <v>0</v>
      </c>
      <c r="O133" s="61" cm="1">
        <f t="array" ref="O133">IFERROR(IF(ISNUMBER(INDEX('M03-S06'!$AO$16:$AO$198,2*(ROWS($O$128:O133)-1)+1)),INDEX('M03-S06'!$AO$16:$AO$198,2*(ROWS($O$128:O133)-1)+1)*INCENTCAPADJ,0),"")</f>
        <v>0</v>
      </c>
      <c r="P133" s="152"/>
      <c r="Q133" s="193"/>
      <c r="R133" s="135"/>
      <c r="S133" s="157"/>
      <c r="T133" s="157"/>
      <c r="U133" s="151">
        <f>INDEX('M03-S06'!$B$16:$B$198,2*(ROWS($U$128:U133)-1)+1)</f>
        <v>6</v>
      </c>
      <c r="V133" s="58" t="str">
        <f>INDEX('M03-S06'!$J$16:$J$198,2*(ROWS($W$128:W133)-1)+1)</f>
        <v/>
      </c>
      <c r="W133" s="58">
        <f>INDEX('M03-S06'!$C$16:$C$198,2*(ROWS($W$128:W133)-1)+1)</f>
        <v>0</v>
      </c>
      <c r="X133" s="135"/>
      <c r="Y133">
        <f>INDEX('M03-S06'!$X$16:$X$198,2*(ROWS($Y$128:Y133)-1)+1)</f>
        <v>0</v>
      </c>
      <c r="Z133" s="135"/>
      <c r="AA133" s="135"/>
      <c r="AB133" s="135"/>
      <c r="AC133" s="135"/>
      <c r="AD133" s="135"/>
      <c r="AE133" s="135"/>
      <c r="AF133" s="151" t="str">
        <f>INDEX('M03-S06'!$AW$16:$AW$198,2*(ROWS($AF$128:AF133)-1)+1)</f>
        <v/>
      </c>
      <c r="AG133" s="151" t="str">
        <f>INDEX('M03-S06'!$AX$16:$AX$198,2*(ROWS($AF$128:AF133)-1)+1)</f>
        <v/>
      </c>
      <c r="AH133" s="151" t="str">
        <f t="shared" si="35"/>
        <v/>
      </c>
      <c r="AI133" s="151" t="str">
        <f t="shared" si="36"/>
        <v/>
      </c>
      <c r="AJ133" s="61" t="str">
        <f t="shared" si="37"/>
        <v/>
      </c>
      <c r="AK133" s="61" t="str">
        <f t="shared" si="38"/>
        <v/>
      </c>
      <c r="AL133" s="61" t="str">
        <f t="shared" si="39"/>
        <v/>
      </c>
      <c r="AM133" s="154"/>
      <c r="AN133" s="61" t="str">
        <f t="shared" si="32"/>
        <v/>
      </c>
      <c r="AO133" s="151">
        <f>INDEX('M03-S06'!$O$16:$O$198,2*(ROWS($AO$128:AO133)-1)+1)</f>
        <v>0</v>
      </c>
      <c r="AP133" s="152"/>
      <c r="AQ133" s="61" t="str">
        <f>IF(INDEX('M03-S06'!$AK$16:$AK$198,2*(ROWS($AQ$128:AQ133)-1)+1)="","",IF(AND(INDEX('M03-S06'!$AK$16:$AK$198,2*(ROWS($AQ$128:AQ133)-1)+1)&lt;&gt;"",OR(ISNUMBER(SEARCH("AC With",M02S02F32)),M02S02F32="Heat Pump")),LIGHTHEATCOIN,1))</f>
        <v/>
      </c>
      <c r="AR133" s="414">
        <f>(IF(INDEX('M03-S06'!$AO$16:$AO$198,2*(ROWS($O$128:O133)-1)+1)=INDEX('M03-S06'!$BC$16:$BC$198,2*(ROWS($O$128:O133)-1)+1),0,(INDEX('M03-S06'!$BB$16:$BB$198,2*(ROWS($O$128:O133)-1)+1)-INDEX('M03-S06'!$BC$16:$BC$198,2*(ROWS($O$128:O133)-1)+1))))*INCENTCAPADJ</f>
        <v>0</v>
      </c>
    </row>
    <row r="134" spans="1:44" x14ac:dyDescent="0.25">
      <c r="A134" s="66">
        <f t="shared" si="33"/>
        <v>0</v>
      </c>
      <c r="B134" s="66" t="str">
        <f t="shared" si="34"/>
        <v/>
      </c>
      <c r="C134" s="66" t="str">
        <f>IFERROR(IF(O134&gt;0,INDEX(PMEOCCSEN[Measure Number],MATCH(W134,PMEOCCSEN[Measure Type],0)),""),"")</f>
        <v/>
      </c>
      <c r="D134" t="s">
        <v>1096</v>
      </c>
      <c r="E134" t="str">
        <f>IFERROR(INDEX(PMEOCCSEN[End Use],MATCH(W134,PMEOCCSEN[Measure Type],0)),"")</f>
        <v/>
      </c>
      <c r="F134" s="151">
        <f>INDEX('M03-S06'!$V$16:$V$198,2*(ROWS($F$128:F134)-1)+1)</f>
        <v>0</v>
      </c>
      <c r="G134">
        <f>INDEX('M03-S06'!$AB$16:$AB$198,2*(ROWS($G$128:G134)-1)+1)</f>
        <v>0</v>
      </c>
      <c r="H134" s="61">
        <f>ROUND(INDEX('M03-S06'!$AE$16:$AE$198,2*(ROWS($H$128:H134)-1)+1),2)</f>
        <v>0</v>
      </c>
      <c r="I134" s="61">
        <f>ROUND(INDEX('M03-S06'!$AG$16:$AG$198,2*(ROWS($H$128:H134)-1)+1),2)</f>
        <v>0</v>
      </c>
      <c r="J134" s="61" t="str">
        <f>INDEX('M03-S06'!$AU$16:$AU$198,2*(ROWS($J$128:J134)-1)+1)</f>
        <v/>
      </c>
      <c r="K134" t="s">
        <v>119</v>
      </c>
      <c r="L134" s="151">
        <f>INDEX('M03-S06'!$O$16:$O$198,2*(ROWS($L$128:L134)-1)+1)</f>
        <v>0</v>
      </c>
      <c r="M134" s="151" cm="1">
        <f t="array" ref="M134">IFERROR(IF(ISNUMBER(INDEX('M03-S06'!$AO$16:$AO$198,2*(ROWS($O$128:O134)-1)+1)),INDEX('M03-S06'!$AK$16:$AK$198,2*(ROWS($M$128:M134)-1)+1),0),"")</f>
        <v>0</v>
      </c>
      <c r="N134" s="189" cm="1">
        <f t="array" ref="N134">IFERROR(IF(ISNUMBER(INDEX('M03-S06'!$AO$16:$AO$198,2*(ROWS($O$128:O134)-1)+1)),INDEX('M03-S06'!$AV$16:$AV$198,2*(ROWS($N$193:N199)-1)+1),0),"")</f>
        <v>0</v>
      </c>
      <c r="O134" s="61" cm="1">
        <f t="array" ref="O134">IFERROR(IF(ISNUMBER(INDEX('M03-S06'!$AO$16:$AO$198,2*(ROWS($O$128:O134)-1)+1)),INDEX('M03-S06'!$AO$16:$AO$198,2*(ROWS($O$128:O134)-1)+1)*INCENTCAPADJ,0),"")</f>
        <v>0</v>
      </c>
      <c r="P134" s="152"/>
      <c r="Q134" s="193"/>
      <c r="R134" s="135"/>
      <c r="S134" s="157"/>
      <c r="T134" s="157"/>
      <c r="U134" s="151">
        <f>INDEX('M03-S06'!$B$16:$B$198,2*(ROWS($U$128:U134)-1)+1)</f>
        <v>7</v>
      </c>
      <c r="V134" s="58" t="str">
        <f>INDEX('M03-S06'!$J$16:$J$198,2*(ROWS($W$128:W134)-1)+1)</f>
        <v/>
      </c>
      <c r="W134" s="58">
        <f>INDEX('M03-S06'!$C$16:$C$198,2*(ROWS($W$128:W134)-1)+1)</f>
        <v>0</v>
      </c>
      <c r="X134" s="135"/>
      <c r="Y134">
        <f>INDEX('M03-S06'!$X$16:$X$198,2*(ROWS($Y$128:Y134)-1)+1)</f>
        <v>0</v>
      </c>
      <c r="Z134" s="135"/>
      <c r="AA134" s="135"/>
      <c r="AB134" s="135"/>
      <c r="AC134" s="135"/>
      <c r="AD134" s="135"/>
      <c r="AE134" s="135"/>
      <c r="AF134" s="151" t="str">
        <f>INDEX('M03-S06'!$AW$16:$AW$198,2*(ROWS($AF$128:AF134)-1)+1)</f>
        <v/>
      </c>
      <c r="AG134" s="151" t="str">
        <f>INDEX('M03-S06'!$AX$16:$AX$198,2*(ROWS($AF$128:AF134)-1)+1)</f>
        <v/>
      </c>
      <c r="AH134" s="151" t="str">
        <f t="shared" si="35"/>
        <v/>
      </c>
      <c r="AI134" s="151" t="str">
        <f t="shared" si="36"/>
        <v/>
      </c>
      <c r="AJ134" s="61" t="str">
        <f t="shared" si="37"/>
        <v/>
      </c>
      <c r="AK134" s="61" t="str">
        <f t="shared" si="38"/>
        <v/>
      </c>
      <c r="AL134" s="61" t="str">
        <f t="shared" si="39"/>
        <v/>
      </c>
      <c r="AM134" s="154"/>
      <c r="AN134" s="61" t="str">
        <f t="shared" si="32"/>
        <v/>
      </c>
      <c r="AO134" s="151">
        <f>INDEX('M03-S06'!$O$16:$O$198,2*(ROWS($AO$128:AO134)-1)+1)</f>
        <v>0</v>
      </c>
      <c r="AP134" s="152"/>
      <c r="AQ134" s="61" t="str">
        <f>IF(INDEX('M03-S06'!$AK$16:$AK$198,2*(ROWS($AQ$128:AQ134)-1)+1)="","",IF(AND(INDEX('M03-S06'!$AK$16:$AK$198,2*(ROWS($AQ$128:AQ134)-1)+1)&lt;&gt;"",OR(ISNUMBER(SEARCH("AC With",M02S02F32)),M02S02F32="Heat Pump")),LIGHTHEATCOIN,1))</f>
        <v/>
      </c>
      <c r="AR134" s="414">
        <f>(IF(INDEX('M03-S06'!$AO$16:$AO$198,2*(ROWS($O$128:O134)-1)+1)=INDEX('M03-S06'!$BC$16:$BC$198,2*(ROWS($O$128:O134)-1)+1),0,(INDEX('M03-S06'!$BB$16:$BB$198,2*(ROWS($O$128:O134)-1)+1)-INDEX('M03-S06'!$BC$16:$BC$198,2*(ROWS($O$128:O134)-1)+1))))*INCENTCAPADJ</f>
        <v>0</v>
      </c>
    </row>
    <row r="135" spans="1:44" x14ac:dyDescent="0.25">
      <c r="A135" s="66">
        <f t="shared" si="33"/>
        <v>0</v>
      </c>
      <c r="B135" s="66" t="str">
        <f t="shared" si="34"/>
        <v/>
      </c>
      <c r="C135" s="66" t="str">
        <f>IFERROR(IF(O135&gt;0,INDEX(PMEOCCSEN[Measure Number],MATCH(W135,PMEOCCSEN[Measure Type],0)),""),"")</f>
        <v/>
      </c>
      <c r="D135" t="s">
        <v>1096</v>
      </c>
      <c r="E135" t="str">
        <f>IFERROR(INDEX(PMEOCCSEN[End Use],MATCH(W135,PMEOCCSEN[Measure Type],0)),"")</f>
        <v/>
      </c>
      <c r="F135" s="151">
        <f>INDEX('M03-S06'!$V$16:$V$198,2*(ROWS($F$128:F135)-1)+1)</f>
        <v>0</v>
      </c>
      <c r="G135">
        <f>INDEX('M03-S06'!$AB$16:$AB$198,2*(ROWS($G$128:G135)-1)+1)</f>
        <v>0</v>
      </c>
      <c r="H135" s="61">
        <f>ROUND(INDEX('M03-S06'!$AE$16:$AE$198,2*(ROWS($H$128:H135)-1)+1),2)</f>
        <v>0</v>
      </c>
      <c r="I135" s="61">
        <f>ROUND(INDEX('M03-S06'!$AG$16:$AG$198,2*(ROWS($H$128:H135)-1)+1),2)</f>
        <v>0</v>
      </c>
      <c r="J135" s="61" t="str">
        <f>INDEX('M03-S06'!$AU$16:$AU$198,2*(ROWS($J$128:J135)-1)+1)</f>
        <v/>
      </c>
      <c r="K135" t="s">
        <v>119</v>
      </c>
      <c r="L135" s="151">
        <f>INDEX('M03-S06'!$O$16:$O$198,2*(ROWS($L$128:L135)-1)+1)</f>
        <v>0</v>
      </c>
      <c r="M135" s="151" cm="1">
        <f t="array" ref="M135">IFERROR(IF(ISNUMBER(INDEX('M03-S06'!$AO$16:$AO$198,2*(ROWS($O$128:O135)-1)+1)),INDEX('M03-S06'!$AK$16:$AK$198,2*(ROWS($M$128:M135)-1)+1),0),"")</f>
        <v>0</v>
      </c>
      <c r="N135" s="189" cm="1">
        <f t="array" ref="N135">IFERROR(IF(ISNUMBER(INDEX('M03-S06'!$AO$16:$AO$198,2*(ROWS($O$128:O135)-1)+1)),INDEX('M03-S06'!$AV$16:$AV$198,2*(ROWS($N$193:N200)-1)+1),0),"")</f>
        <v>0</v>
      </c>
      <c r="O135" s="61" cm="1">
        <f t="array" ref="O135">IFERROR(IF(ISNUMBER(INDEX('M03-S06'!$AO$16:$AO$198,2*(ROWS($O$128:O135)-1)+1)),INDEX('M03-S06'!$AO$16:$AO$198,2*(ROWS($O$128:O135)-1)+1)*INCENTCAPADJ,0),"")</f>
        <v>0</v>
      </c>
      <c r="P135" s="152"/>
      <c r="Q135" s="193"/>
      <c r="R135" s="135"/>
      <c r="S135" s="157"/>
      <c r="T135" s="157"/>
      <c r="U135" s="151">
        <f>INDEX('M03-S06'!$B$16:$B$198,2*(ROWS($U$128:U135)-1)+1)</f>
        <v>8</v>
      </c>
      <c r="V135" s="58" t="str">
        <f>INDEX('M03-S06'!$J$16:$J$198,2*(ROWS($W$128:W135)-1)+1)</f>
        <v/>
      </c>
      <c r="W135" s="58">
        <f>INDEX('M03-S06'!$C$16:$C$198,2*(ROWS($W$128:W135)-1)+1)</f>
        <v>0</v>
      </c>
      <c r="X135" s="135"/>
      <c r="Y135">
        <f>INDEX('M03-S06'!$X$16:$X$198,2*(ROWS($Y$128:Y135)-1)+1)</f>
        <v>0</v>
      </c>
      <c r="Z135" s="135"/>
      <c r="AA135" s="135"/>
      <c r="AB135" s="135"/>
      <c r="AC135" s="135"/>
      <c r="AD135" s="135"/>
      <c r="AE135" s="135"/>
      <c r="AF135" s="151" t="str">
        <f>INDEX('M03-S06'!$AW$16:$AW$198,2*(ROWS($AF$128:AF135)-1)+1)</f>
        <v/>
      </c>
      <c r="AG135" s="151" t="str">
        <f>INDEX('M03-S06'!$AX$16:$AX$198,2*(ROWS($AF$128:AF135)-1)+1)</f>
        <v/>
      </c>
      <c r="AH135" s="151" t="str">
        <f t="shared" si="35"/>
        <v/>
      </c>
      <c r="AI135" s="151" t="str">
        <f t="shared" si="36"/>
        <v/>
      </c>
      <c r="AJ135" s="61" t="str">
        <f t="shared" si="37"/>
        <v/>
      </c>
      <c r="AK135" s="61" t="str">
        <f t="shared" si="38"/>
        <v/>
      </c>
      <c r="AL135" s="61" t="str">
        <f t="shared" si="39"/>
        <v/>
      </c>
      <c r="AM135" s="154"/>
      <c r="AN135" s="61" t="str">
        <f t="shared" si="32"/>
        <v/>
      </c>
      <c r="AO135" s="151">
        <f>INDEX('M03-S06'!$O$16:$O$198,2*(ROWS($AO$128:AO135)-1)+1)</f>
        <v>0</v>
      </c>
      <c r="AP135" s="152"/>
      <c r="AQ135" s="61" t="str">
        <f>IF(INDEX('M03-S06'!$AK$16:$AK$198,2*(ROWS($AQ$128:AQ135)-1)+1)="","",IF(AND(INDEX('M03-S06'!$AK$16:$AK$198,2*(ROWS($AQ$128:AQ135)-1)+1)&lt;&gt;"",OR(ISNUMBER(SEARCH("AC With",M02S02F32)),M02S02F32="Heat Pump")),LIGHTHEATCOIN,1))</f>
        <v/>
      </c>
      <c r="AR135" s="414">
        <f>(IF(INDEX('M03-S06'!$AO$16:$AO$198,2*(ROWS($O$128:O135)-1)+1)=INDEX('M03-S06'!$BC$16:$BC$198,2*(ROWS($O$128:O135)-1)+1),0,(INDEX('M03-S06'!$BB$16:$BB$198,2*(ROWS($O$128:O135)-1)+1)-INDEX('M03-S06'!$BC$16:$BC$198,2*(ROWS($O$128:O135)-1)+1))))*INCENTCAPADJ</f>
        <v>0</v>
      </c>
    </row>
    <row r="136" spans="1:44" x14ac:dyDescent="0.25">
      <c r="A136" s="66">
        <f t="shared" si="33"/>
        <v>0</v>
      </c>
      <c r="B136" s="66" t="str">
        <f t="shared" si="34"/>
        <v/>
      </c>
      <c r="C136" s="66" t="str">
        <f>IFERROR(IF(O136&gt;0,INDEX(PMEOCCSEN[Measure Number],MATCH(W136,PMEOCCSEN[Measure Type],0)),""),"")</f>
        <v/>
      </c>
      <c r="D136" t="s">
        <v>1096</v>
      </c>
      <c r="E136" t="str">
        <f>IFERROR(INDEX(PMEOCCSEN[End Use],MATCH(W136,PMEOCCSEN[Measure Type],0)),"")</f>
        <v/>
      </c>
      <c r="F136" s="151">
        <f>INDEX('M03-S06'!$V$16:$V$198,2*(ROWS($F$128:F136)-1)+1)</f>
        <v>0</v>
      </c>
      <c r="G136">
        <f>INDEX('M03-S06'!$AB$16:$AB$198,2*(ROWS($G$128:G136)-1)+1)</f>
        <v>0</v>
      </c>
      <c r="H136" s="61">
        <f>ROUND(INDEX('M03-S06'!$AE$16:$AE$198,2*(ROWS($H$128:H136)-1)+1),2)</f>
        <v>0</v>
      </c>
      <c r="I136" s="61">
        <f>ROUND(INDEX('M03-S06'!$AG$16:$AG$198,2*(ROWS($H$128:H136)-1)+1),2)</f>
        <v>0</v>
      </c>
      <c r="J136" s="61" t="str">
        <f>INDEX('M03-S06'!$AU$16:$AU$198,2*(ROWS($J$128:J136)-1)+1)</f>
        <v/>
      </c>
      <c r="K136" t="s">
        <v>119</v>
      </c>
      <c r="L136" s="151">
        <f>INDEX('M03-S06'!$O$16:$O$198,2*(ROWS($L$128:L136)-1)+1)</f>
        <v>0</v>
      </c>
      <c r="M136" s="151" cm="1">
        <f t="array" ref="M136">IFERROR(IF(ISNUMBER(INDEX('M03-S06'!$AO$16:$AO$198,2*(ROWS($O$128:O136)-1)+1)),INDEX('M03-S06'!$AK$16:$AK$198,2*(ROWS($M$128:M136)-1)+1),0),"")</f>
        <v>0</v>
      </c>
      <c r="N136" s="189" cm="1">
        <f t="array" ref="N136">IFERROR(IF(ISNUMBER(INDEX('M03-S06'!$AO$16:$AO$198,2*(ROWS($O$128:O136)-1)+1)),INDEX('M03-S06'!$AV$16:$AV$198,2*(ROWS($N$193:N201)-1)+1),0),"")</f>
        <v>0</v>
      </c>
      <c r="O136" s="61" cm="1">
        <f t="array" ref="O136">IFERROR(IF(ISNUMBER(INDEX('M03-S06'!$AO$16:$AO$198,2*(ROWS($O$128:O136)-1)+1)),INDEX('M03-S06'!$AO$16:$AO$198,2*(ROWS($O$128:O136)-1)+1)*INCENTCAPADJ,0),"")</f>
        <v>0</v>
      </c>
      <c r="P136" s="152"/>
      <c r="Q136" s="193"/>
      <c r="R136" s="135"/>
      <c r="S136" s="157"/>
      <c r="T136" s="157"/>
      <c r="U136" s="151">
        <f>INDEX('M03-S06'!$B$16:$B$198,2*(ROWS($U$128:U136)-1)+1)</f>
        <v>9</v>
      </c>
      <c r="V136" s="58" t="str">
        <f>INDEX('M03-S06'!$J$16:$J$198,2*(ROWS($W$128:W136)-1)+1)</f>
        <v/>
      </c>
      <c r="W136" s="58">
        <f>INDEX('M03-S06'!$C$16:$C$198,2*(ROWS($W$128:W136)-1)+1)</f>
        <v>0</v>
      </c>
      <c r="X136" s="135"/>
      <c r="Y136">
        <f>INDEX('M03-S06'!$X$16:$X$198,2*(ROWS($Y$128:Y136)-1)+1)</f>
        <v>0</v>
      </c>
      <c r="Z136" s="135"/>
      <c r="AA136" s="135"/>
      <c r="AB136" s="135"/>
      <c r="AC136" s="135"/>
      <c r="AD136" s="135"/>
      <c r="AE136" s="135"/>
      <c r="AF136" s="151" t="str">
        <f>INDEX('M03-S06'!$AW$16:$AW$198,2*(ROWS($AF$128:AF136)-1)+1)</f>
        <v/>
      </c>
      <c r="AG136" s="151" t="str">
        <f>INDEX('M03-S06'!$AX$16:$AX$198,2*(ROWS($AF$128:AF136)-1)+1)</f>
        <v/>
      </c>
      <c r="AH136" s="151" t="str">
        <f t="shared" si="35"/>
        <v/>
      </c>
      <c r="AI136" s="151" t="str">
        <f t="shared" si="36"/>
        <v/>
      </c>
      <c r="AJ136" s="61" t="str">
        <f t="shared" si="37"/>
        <v/>
      </c>
      <c r="AK136" s="61" t="str">
        <f t="shared" si="38"/>
        <v/>
      </c>
      <c r="AL136" s="61" t="str">
        <f t="shared" si="39"/>
        <v/>
      </c>
      <c r="AM136" s="154"/>
      <c r="AN136" s="61" t="str">
        <f t="shared" si="32"/>
        <v/>
      </c>
      <c r="AO136" s="151">
        <f>INDEX('M03-S06'!$O$16:$O$198,2*(ROWS($AO$128:AO136)-1)+1)</f>
        <v>0</v>
      </c>
      <c r="AP136" s="152"/>
      <c r="AQ136" s="61" t="str">
        <f>IF(INDEX('M03-S06'!$AK$16:$AK$198,2*(ROWS($AQ$128:AQ136)-1)+1)="","",IF(AND(INDEX('M03-S06'!$AK$16:$AK$198,2*(ROWS($AQ$128:AQ136)-1)+1)&lt;&gt;"",OR(ISNUMBER(SEARCH("AC With",M02S02F32)),M02S02F32="Heat Pump")),LIGHTHEATCOIN,1))</f>
        <v/>
      </c>
      <c r="AR136" s="414">
        <f>(IF(INDEX('M03-S06'!$AO$16:$AO$198,2*(ROWS($O$128:O136)-1)+1)=INDEX('M03-S06'!$BC$16:$BC$198,2*(ROWS($O$128:O136)-1)+1),0,(INDEX('M03-S06'!$BB$16:$BB$198,2*(ROWS($O$128:O136)-1)+1)-INDEX('M03-S06'!$BC$16:$BC$198,2*(ROWS($O$128:O136)-1)+1))))*INCENTCAPADJ</f>
        <v>0</v>
      </c>
    </row>
    <row r="137" spans="1:44" x14ac:dyDescent="0.25">
      <c r="A137" s="66">
        <f t="shared" si="33"/>
        <v>0</v>
      </c>
      <c r="B137" s="66" t="str">
        <f t="shared" si="34"/>
        <v/>
      </c>
      <c r="C137" s="66" t="str">
        <f>IFERROR(IF(O137&gt;0,INDEX(PMEOCCSEN[Measure Number],MATCH(W137,PMEOCCSEN[Measure Type],0)),""),"")</f>
        <v/>
      </c>
      <c r="D137" t="s">
        <v>1096</v>
      </c>
      <c r="E137" t="str">
        <f>IFERROR(INDEX(PMEOCCSEN[End Use],MATCH(W137,PMEOCCSEN[Measure Type],0)),"")</f>
        <v/>
      </c>
      <c r="F137" s="151">
        <f>INDEX('M03-S06'!$V$16:$V$198,2*(ROWS($F$128:F137)-1)+1)</f>
        <v>0</v>
      </c>
      <c r="G137">
        <f>INDEX('M03-S06'!$AB$16:$AB$198,2*(ROWS($G$128:G137)-1)+1)</f>
        <v>0</v>
      </c>
      <c r="H137" s="61">
        <f>ROUND(INDEX('M03-S06'!$AE$16:$AE$198,2*(ROWS($H$128:H137)-1)+1),2)</f>
        <v>0</v>
      </c>
      <c r="I137" s="61">
        <f>ROUND(INDEX('M03-S06'!$AG$16:$AG$198,2*(ROWS($H$128:H137)-1)+1),2)</f>
        <v>0</v>
      </c>
      <c r="J137" s="61" t="str">
        <f>INDEX('M03-S06'!$AU$16:$AU$198,2*(ROWS($J$128:J137)-1)+1)</f>
        <v/>
      </c>
      <c r="K137" t="s">
        <v>119</v>
      </c>
      <c r="L137" s="151">
        <f>INDEX('M03-S06'!$O$16:$O$198,2*(ROWS($L$128:L137)-1)+1)</f>
        <v>0</v>
      </c>
      <c r="M137" s="151" cm="1">
        <f t="array" ref="M137">IFERROR(IF(ISNUMBER(INDEX('M03-S06'!$AO$16:$AO$198,2*(ROWS($O$128:O137)-1)+1)),INDEX('M03-S06'!$AK$16:$AK$198,2*(ROWS($M$128:M137)-1)+1),0),"")</f>
        <v>0</v>
      </c>
      <c r="N137" s="189" cm="1">
        <f t="array" ref="N137">IFERROR(IF(ISNUMBER(INDEX('M03-S06'!$AO$16:$AO$198,2*(ROWS($O$128:O137)-1)+1)),INDEX('M03-S06'!$AV$16:$AV$198,2*(ROWS($N$193:N202)-1)+1),0),"")</f>
        <v>0</v>
      </c>
      <c r="O137" s="61" cm="1">
        <f t="array" ref="O137">IFERROR(IF(ISNUMBER(INDEX('M03-S06'!$AO$16:$AO$198,2*(ROWS($O$128:O137)-1)+1)),INDEX('M03-S06'!$AO$16:$AO$198,2*(ROWS($O$128:O137)-1)+1)*INCENTCAPADJ,0),"")</f>
        <v>0</v>
      </c>
      <c r="P137" s="152"/>
      <c r="Q137" s="193"/>
      <c r="R137" s="135"/>
      <c r="S137" s="157"/>
      <c r="T137" s="157"/>
      <c r="U137" s="151">
        <f>INDEX('M03-S06'!$B$16:$B$198,2*(ROWS($U$128:U137)-1)+1)</f>
        <v>10</v>
      </c>
      <c r="V137" s="58" t="str">
        <f>INDEX('M03-S06'!$J$16:$J$198,2*(ROWS($W$128:W137)-1)+1)</f>
        <v/>
      </c>
      <c r="W137" s="58">
        <f>INDEX('M03-S06'!$C$16:$C$198,2*(ROWS($W$128:W137)-1)+1)</f>
        <v>0</v>
      </c>
      <c r="X137" s="135"/>
      <c r="Y137">
        <f>INDEX('M03-S06'!$X$16:$X$198,2*(ROWS($Y$128:Y137)-1)+1)</f>
        <v>0</v>
      </c>
      <c r="Z137" s="135"/>
      <c r="AA137" s="135"/>
      <c r="AB137" s="135"/>
      <c r="AC137" s="135"/>
      <c r="AD137" s="135"/>
      <c r="AE137" s="135"/>
      <c r="AF137" s="151" t="str">
        <f>INDEX('M03-S06'!$AW$16:$AW$198,2*(ROWS($AF$128:AF137)-1)+1)</f>
        <v/>
      </c>
      <c r="AG137" s="151" t="str">
        <f>INDEX('M03-S06'!$AX$16:$AX$198,2*(ROWS($AF$128:AF137)-1)+1)</f>
        <v/>
      </c>
      <c r="AH137" s="151" t="str">
        <f t="shared" si="35"/>
        <v/>
      </c>
      <c r="AI137" s="151" t="str">
        <f t="shared" si="36"/>
        <v/>
      </c>
      <c r="AJ137" s="61" t="str">
        <f t="shared" si="37"/>
        <v/>
      </c>
      <c r="AK137" s="61" t="str">
        <f t="shared" si="38"/>
        <v/>
      </c>
      <c r="AL137" s="61" t="str">
        <f t="shared" si="39"/>
        <v/>
      </c>
      <c r="AM137" s="154"/>
      <c r="AN137" s="61" t="str">
        <f t="shared" si="32"/>
        <v/>
      </c>
      <c r="AO137" s="151">
        <f>INDEX('M03-S06'!$O$16:$O$198,2*(ROWS($AO$128:AO137)-1)+1)</f>
        <v>0</v>
      </c>
      <c r="AP137" s="152"/>
      <c r="AQ137" s="61" t="str">
        <f>IF(INDEX('M03-S06'!$AK$16:$AK$198,2*(ROWS($AQ$128:AQ137)-1)+1)="","",IF(AND(INDEX('M03-S06'!$AK$16:$AK$198,2*(ROWS($AQ$128:AQ137)-1)+1)&lt;&gt;"",OR(ISNUMBER(SEARCH("AC With",M02S02F32)),M02S02F32="Heat Pump")),LIGHTHEATCOIN,1))</f>
        <v/>
      </c>
      <c r="AR137" s="414">
        <f>(IF(INDEX('M03-S06'!$AO$16:$AO$198,2*(ROWS($O$128:O137)-1)+1)=INDEX('M03-S06'!$BC$16:$BC$198,2*(ROWS($O$128:O137)-1)+1),0,(INDEX('M03-S06'!$BB$16:$BB$198,2*(ROWS($O$128:O137)-1)+1)-INDEX('M03-S06'!$BC$16:$BC$198,2*(ROWS($O$128:O137)-1)+1))))*INCENTCAPADJ</f>
        <v>0</v>
      </c>
    </row>
    <row r="138" spans="1:44" x14ac:dyDescent="0.25">
      <c r="A138" s="207" t="s">
        <v>2355</v>
      </c>
      <c r="B138" s="209"/>
      <c r="C138" s="209"/>
      <c r="D138" s="164"/>
      <c r="E138" s="164"/>
      <c r="F138" s="170"/>
      <c r="G138" s="164"/>
      <c r="H138" s="171"/>
      <c r="I138" s="171"/>
      <c r="J138" s="171"/>
      <c r="K138" s="164"/>
      <c r="L138" s="170"/>
      <c r="M138" s="170"/>
      <c r="N138" s="191"/>
      <c r="O138" s="171"/>
      <c r="P138" s="170"/>
      <c r="Q138" s="191"/>
      <c r="R138" s="164"/>
      <c r="S138" s="172"/>
      <c r="T138" s="172"/>
      <c r="U138" s="170"/>
      <c r="V138" s="174"/>
      <c r="W138" s="173"/>
      <c r="X138" s="174"/>
      <c r="Y138" s="164"/>
      <c r="Z138" s="164"/>
      <c r="AA138" s="164"/>
      <c r="AB138" s="164"/>
      <c r="AC138" s="164"/>
      <c r="AD138" s="164"/>
      <c r="AE138" s="170"/>
      <c r="AF138" s="170"/>
      <c r="AG138" s="170"/>
      <c r="AH138" s="170"/>
      <c r="AI138" s="170"/>
      <c r="AJ138" s="171"/>
      <c r="AK138" s="171"/>
      <c r="AL138" s="171"/>
      <c r="AM138" s="175"/>
      <c r="AN138" s="171"/>
      <c r="AO138" s="170"/>
      <c r="AP138" s="170"/>
      <c r="AQ138" s="170"/>
      <c r="AR138" s="412"/>
    </row>
    <row r="139" spans="1:44" x14ac:dyDescent="0.25">
      <c r="A139" s="66">
        <f>PROJID</f>
        <v>0</v>
      </c>
      <c r="B139" s="66" t="str">
        <f>IF(C139="","",CONCATENATE(ROW(),"-",C139))</f>
        <v/>
      </c>
      <c r="C139" s="66" t="str">
        <f>IF(L139=1,4110200,"")</f>
        <v/>
      </c>
      <c r="D139" t="s">
        <v>212</v>
      </c>
      <c r="E139" t="s">
        <v>138</v>
      </c>
      <c r="F139" s="151">
        <f>M02S02F28</f>
        <v>0</v>
      </c>
      <c r="G139" s="152"/>
      <c r="H139" s="152"/>
      <c r="K139" t="s">
        <v>119</v>
      </c>
      <c r="L139" s="151">
        <f>IF(AND(M02S02F49="Yes",M02S02F50&lt;&gt;"",'M03-S07'!AW20=0,'M06-S07'!AI45="",M05S07F04&lt;&gt;"Final"),1,0)</f>
        <v>0</v>
      </c>
      <c r="M139" s="151">
        <f>IF(OR('M06-S07'!AI45&lt;&gt;"",'M03-S07'!AW20&gt;0,M05S07F04="Final"),0,'M02-S02'!AU43)</f>
        <v>0</v>
      </c>
      <c r="N139" s="189">
        <f>IF(OR('M06-S07'!AI45&lt;&gt;"",'M03-S07'!AW20&gt;0,M05S07F04="Final"),0,'M02-S02'!AV43)</f>
        <v>0</v>
      </c>
      <c r="O139" s="61">
        <f>IF(OR('M06-S07'!AI45&lt;&gt;"",'M03-S07'!AW20&gt;0,M05S07F04="Final"),0,'M02-S02'!AX43)</f>
        <v>0</v>
      </c>
      <c r="P139" s="152"/>
      <c r="Q139" s="193"/>
      <c r="R139" s="135"/>
      <c r="S139" s="135"/>
      <c r="T139" s="135"/>
      <c r="U139" s="151">
        <v>1</v>
      </c>
      <c r="V139" s="58" t="s">
        <v>2356</v>
      </c>
      <c r="X139" s="135"/>
      <c r="Y139" s="135"/>
      <c r="Z139" s="135"/>
      <c r="AA139" s="135"/>
      <c r="AB139" s="135"/>
      <c r="AC139" s="135"/>
      <c r="AD139" s="135"/>
      <c r="AE139" s="152"/>
      <c r="AF139" s="152"/>
      <c r="AG139" s="152"/>
      <c r="AH139" s="152"/>
      <c r="AM139" s="154"/>
      <c r="AO139" s="151">
        <v>1</v>
      </c>
      <c r="AP139" s="152"/>
      <c r="AQ139" s="152"/>
      <c r="AR139" s="414"/>
    </row>
    <row r="140" spans="1:44" x14ac:dyDescent="0.25">
      <c r="A140" s="207" t="str">
        <f>CONCATENATE(MAIN3," ",M3S7," ",'M03-S07'!R146)</f>
        <v xml:space="preserve">LIGHTING MEASURES New Load - Lighting Power Density Baseline </v>
      </c>
      <c r="B140" s="209"/>
      <c r="C140" s="209"/>
      <c r="D140" s="164"/>
      <c r="E140" s="164"/>
      <c r="F140" s="170"/>
      <c r="G140" s="164"/>
      <c r="H140" s="171"/>
      <c r="I140" s="171"/>
      <c r="J140" s="171"/>
      <c r="K140" s="164"/>
      <c r="L140" s="170"/>
      <c r="M140" s="170"/>
      <c r="N140" s="191"/>
      <c r="O140" s="171"/>
      <c r="P140" s="170"/>
      <c r="Q140" s="191"/>
      <c r="R140" s="164"/>
      <c r="S140" s="172"/>
      <c r="T140" s="172"/>
      <c r="U140" s="170"/>
      <c r="V140" s="174"/>
      <c r="W140" s="173"/>
      <c r="X140" s="174"/>
      <c r="Y140" s="164"/>
      <c r="Z140" s="164"/>
      <c r="AA140" s="164"/>
      <c r="AB140" s="164"/>
      <c r="AC140" s="164"/>
      <c r="AD140" s="164"/>
      <c r="AE140" s="170"/>
      <c r="AF140" s="170"/>
      <c r="AG140" s="170"/>
      <c r="AH140" s="170"/>
      <c r="AI140" s="170"/>
      <c r="AJ140" s="171"/>
      <c r="AK140" s="171"/>
      <c r="AL140" s="171"/>
      <c r="AM140" s="175"/>
      <c r="AN140" s="171"/>
      <c r="AO140" s="170"/>
      <c r="AP140" s="170"/>
      <c r="AQ140" s="170"/>
      <c r="AR140" s="412"/>
    </row>
    <row r="141" spans="1:44" x14ac:dyDescent="0.25">
      <c r="A141" s="66">
        <f t="shared" ref="A141" si="40">PROJID</f>
        <v>0</v>
      </c>
      <c r="B141" s="66" t="str">
        <f>IF(C141="","",CONCATENATE(ROW(),"-",C141))</f>
        <v/>
      </c>
      <c r="C141" s="66" t="str">
        <f>IFERROR(IF(J141&gt;0,LPDMEASNUM,""),"")</f>
        <v/>
      </c>
      <c r="D141" t="s">
        <v>212</v>
      </c>
      <c r="E141" t="str">
        <f>IFERROR(IF(J141&gt;0,"Lighting",""),"")</f>
        <v/>
      </c>
      <c r="F141" s="151">
        <f>M02S02F28</f>
        <v>0</v>
      </c>
      <c r="G141" s="152"/>
      <c r="H141" s="61">
        <f>ROUND(SUM('M03-S07'!$AE$22)+SUM('M03-S07'!$AE$77),2)</f>
        <v>0</v>
      </c>
      <c r="I141" s="61">
        <f>ROUND(SUM('M03-S07'!$AL$22)+SUM('M03-S07'!$AL$77),2)</f>
        <v>0</v>
      </c>
      <c r="J141" s="61">
        <f>'M03-S07'!AW20</f>
        <v>0</v>
      </c>
      <c r="K141" t="s">
        <v>119</v>
      </c>
      <c r="L141" s="151" t="str">
        <f>IF(AND(C141&lt;&gt;0,C141&lt;&gt;""),1,"")</f>
        <v/>
      </c>
      <c r="M141" s="151">
        <f>IF(ISNUMBER('M03-S07'!R12),'M03-S07'!BA22,0)</f>
        <v>0</v>
      </c>
      <c r="N141" s="189">
        <f>IF(ISNUMBER('M03-S07'!R12),'M03-S07'!AX20,0)</f>
        <v>0</v>
      </c>
      <c r="O141" s="61">
        <f>IF(ISNUMBER('M03-S07'!R12),'M03-S07'!R12,0)</f>
        <v>0</v>
      </c>
      <c r="P141" s="151">
        <f>IF('M03-S07'!R12="Not Eligible",0,IF('M03-S07'!BD22&lt;&gt;"",'M03-S07'!BA22,0))</f>
        <v>0</v>
      </c>
      <c r="Q141" s="189">
        <f>IF('M03-S07'!R12="Not Eligible",0,IF('M03-S07'!BD22&lt;&gt;"",'M03-S07'!AX22,0))</f>
        <v>0</v>
      </c>
      <c r="R141" s="61">
        <f>IF('M03-S07'!R12="Not Eligible","Not Eligible",IF('M03-S07'!BD22&lt;&gt;"","Not Eligible",0))</f>
        <v>0</v>
      </c>
      <c r="S141" s="156">
        <f>SUM('M03-S07'!I26,'M03-S07'!I81)</f>
        <v>0</v>
      </c>
      <c r="T141" s="156">
        <f>SUM('M03-S07'!O26,'M03-S07'!O81)</f>
        <v>0</v>
      </c>
      <c r="U141" s="151">
        <v>1</v>
      </c>
      <c r="V141" s="58" t="str">
        <f>CONCATENATE('M03-S07'!D22," Baseline Lighting System")</f>
        <v xml:space="preserve"> Baseline Lighting System</v>
      </c>
      <c r="W141" s="58" t="s">
        <v>2325</v>
      </c>
      <c r="X141" s="135"/>
      <c r="Y141" s="135"/>
      <c r="Z141" s="135"/>
      <c r="AA141" s="135"/>
      <c r="AB141" s="135" t="str">
        <f>IFERROR(INDEX(CMLIGHTBASE[Measure Subgroup 2],MATCH(INDEX('M03-S07'!$E$151:$E$160,2*(ROWS($V$141:V141)-1)+1),CMLIGHTBASE[Base Desc 1],0)),"")</f>
        <v/>
      </c>
      <c r="AC141" s="135"/>
      <c r="AD141" s="135" t="str">
        <f>IF(ISNUMBER(INDEX('M03-S07'!$W$151:$W$160,2*(ROWS($AD$141:AD141)-1)+1)),INDEX('M03-S07'!$W$151:$W$160,2*(ROWS($AD$141:AD141)-1)+1)&amp;" Lamp","")</f>
        <v/>
      </c>
      <c r="AE141" s="135"/>
      <c r="AF141" s="151">
        <f>ROUND('M03-S07'!AY20,0)</f>
        <v>0</v>
      </c>
      <c r="AG141" s="151">
        <f>ROUND('M03-S07'!AZ20,0)</f>
        <v>0</v>
      </c>
      <c r="AH141" s="151" t="str">
        <f>IFERROR(AF141/AO141,"")</f>
        <v/>
      </c>
      <c r="AI141" s="151" t="str">
        <f>IFERROR(AG141/L141,"")</f>
        <v/>
      </c>
      <c r="AJ141" s="61" t="str">
        <f>IFERROR(O141/M141,"")</f>
        <v/>
      </c>
      <c r="AK141" s="61" t="str">
        <f>IFERROR(O141/N141,"")</f>
        <v/>
      </c>
      <c r="AL141" s="61" t="str">
        <f>IFERROR(O141/L141,"")</f>
        <v/>
      </c>
      <c r="AM141" s="61" t="str">
        <f>'M03-S07'!BB22</f>
        <v/>
      </c>
      <c r="AN141" s="61" t="str">
        <f>IFERROR(J141/M141/M02S02F35,"")</f>
        <v/>
      </c>
      <c r="AO141" s="151" t="str">
        <f>IF(AND(C141&lt;&gt;0,C141&lt;&gt;""),1,"")</f>
        <v/>
      </c>
      <c r="AP141" s="154"/>
      <c r="AQ141" s="154"/>
      <c r="AR141" s="414"/>
    </row>
    <row r="142" spans="1:44" x14ac:dyDescent="0.25">
      <c r="A142" s="574" t="str">
        <f>CONCATENATE(MAIN3," ",M3S8," ",'M03-S08'!R146)</f>
        <v xml:space="preserve">LIGHTING MEASURES New Load - LPD-Exempt Baseline </v>
      </c>
      <c r="B142" s="209"/>
      <c r="C142" s="209"/>
      <c r="D142" s="164"/>
      <c r="E142" s="164"/>
      <c r="F142" s="170"/>
      <c r="G142" s="164"/>
      <c r="H142" s="171"/>
      <c r="I142" s="171"/>
      <c r="J142" s="171"/>
      <c r="K142" s="164"/>
      <c r="L142" s="170"/>
      <c r="M142" s="170"/>
      <c r="N142" s="191"/>
      <c r="O142" s="171"/>
      <c r="P142" s="170"/>
      <c r="Q142" s="191"/>
      <c r="R142" s="164"/>
      <c r="S142" s="172"/>
      <c r="T142" s="172"/>
      <c r="U142" s="170"/>
      <c r="V142" s="174"/>
      <c r="W142" s="173"/>
      <c r="X142" s="174"/>
      <c r="Y142" s="164"/>
      <c r="Z142" s="164"/>
      <c r="AA142" s="164"/>
      <c r="AB142" s="164"/>
      <c r="AC142" s="164"/>
      <c r="AD142" s="164"/>
      <c r="AE142" s="170"/>
      <c r="AF142" s="170"/>
      <c r="AG142" s="170"/>
      <c r="AH142" s="170"/>
      <c r="AI142" s="170"/>
      <c r="AJ142" s="171"/>
      <c r="AK142" s="171"/>
      <c r="AL142" s="171"/>
      <c r="AM142" s="175"/>
      <c r="AN142" s="171"/>
      <c r="AO142" s="170"/>
      <c r="AP142" s="170"/>
      <c r="AQ142" s="170"/>
      <c r="AR142" s="412"/>
    </row>
    <row r="143" spans="1:44" x14ac:dyDescent="0.25">
      <c r="A143" s="66">
        <f>PROJID</f>
        <v>0</v>
      </c>
      <c r="B143" s="66" t="str">
        <f>IF(C143="","",CONCATENATE(ROW(),"-",C143))</f>
        <v/>
      </c>
      <c r="C143" s="66" t="str">
        <f>IFERROR(IF(J143&gt;0,LPDEXMEASNUM,""),"")</f>
        <v/>
      </c>
      <c r="D143" t="s">
        <v>212</v>
      </c>
      <c r="E143" t="str">
        <f>IFERROR(IF(J143&gt;0,"Lighting",""),"")</f>
        <v/>
      </c>
      <c r="F143" s="151">
        <f>M02S02F28</f>
        <v>0</v>
      </c>
      <c r="G143" s="152"/>
      <c r="H143" s="61">
        <f>ROUND(SUM('M03-S08'!$AM$29)+SUM('M03-S08'!$AM$56),2)</f>
        <v>0</v>
      </c>
      <c r="I143" s="61">
        <f>ROUND(SUM('M03-S08'!$AO$29)+SUM('M03-S08'!$AO$56),2)</f>
        <v>0</v>
      </c>
      <c r="J143" s="61">
        <f>'M03-S08'!AU200</f>
        <v>0</v>
      </c>
      <c r="K143" t="s">
        <v>119</v>
      </c>
      <c r="L143" s="151" t="str">
        <f>IF(AND(C143&lt;&gt;0,C143&lt;&gt;""),1,"")</f>
        <v/>
      </c>
      <c r="M143" s="151">
        <f>IF(ISNUMBER('M03-S08'!R12),SUM('M03-S08'!AL20:AN23),0)</f>
        <v>0</v>
      </c>
      <c r="N143" s="189">
        <f>IF(ISNUMBER('M03-S08'!R12),'M03-S08'!AV200,0)</f>
        <v>0</v>
      </c>
      <c r="O143" s="61">
        <f>IF(ISNUMBER('M03-S08'!R12),'M03-S08'!R12,0)</f>
        <v>0</v>
      </c>
      <c r="P143" s="151">
        <f>IF('M03-S08'!R12="Not Eligible",0,IF('M03-S08'!BE200&lt;&gt;"",SUM('M03-S08'!AL20:AN23),0))</f>
        <v>0</v>
      </c>
      <c r="Q143" s="189">
        <f>IF('M03-S08'!R12="Not Eligible",0,IF('M03-S08'!BE200&lt;&gt;"",'M03-S08'!AV200,0))</f>
        <v>0</v>
      </c>
      <c r="R143" s="61">
        <f>IF('M03-S08'!R12="Not Eligible","Not Eligible",IF('M03-S08'!BE200&lt;&gt;"","Not Eligible",0))</f>
        <v>0</v>
      </c>
      <c r="S143" s="156">
        <f>'M03-S08'!AY200</f>
        <v>0</v>
      </c>
      <c r="T143" s="156">
        <f>'M03-S08'!AZ200</f>
        <v>0</v>
      </c>
      <c r="U143" s="151">
        <v>1</v>
      </c>
      <c r="V143" s="58" t="s">
        <v>2341</v>
      </c>
      <c r="W143" s="58" t="s">
        <v>2340</v>
      </c>
      <c r="X143" s="135"/>
      <c r="Y143" s="135"/>
      <c r="Z143" s="135"/>
      <c r="AA143" s="135"/>
      <c r="AB143" s="135" t="str">
        <f>IFERROR(INDEX(CMLIGHTBASE[Measure Subgroup 2],MATCH(INDEX('M03-S07'!$E$151:$E$160,2*(ROWS($V$141:V143)-1)+1),CMLIGHTBASE[Base Desc 1],0)),"")</f>
        <v/>
      </c>
      <c r="AC143" s="135"/>
      <c r="AD143" s="135" t="str">
        <f>IF(ISNUMBER(INDEX('M03-S07'!$W$151:$W$160,2*(ROWS($AD$141:AD143)-1)+1)),INDEX('M03-S07'!$W$151:$W$160,2*(ROWS($AD$141:AD143)-1)+1)&amp;" Lamp","")</f>
        <v/>
      </c>
      <c r="AE143" s="135"/>
      <c r="AF143" s="151">
        <f>ROUND('M03-S08'!AW200,0)</f>
        <v>0</v>
      </c>
      <c r="AG143" s="151">
        <f>ROUND('M03-S08'!AX200,0)</f>
        <v>0</v>
      </c>
      <c r="AH143" s="151" t="str">
        <f>IFERROR(AF143/AO143,"")</f>
        <v/>
      </c>
      <c r="AI143" s="151" t="str">
        <f>IFERROR(AG143/L143,"")</f>
        <v/>
      </c>
      <c r="AJ143" s="61" t="str">
        <f>IFERROR(O143/M143,"")</f>
        <v/>
      </c>
      <c r="AK143" s="61" t="str">
        <f>IFERROR(O143/N143,"")</f>
        <v/>
      </c>
      <c r="AL143" s="61" t="str">
        <f>IFERROR(O143/L143,"")</f>
        <v/>
      </c>
      <c r="AM143" s="61">
        <f>'M03-S08'!BH200</f>
        <v>0</v>
      </c>
      <c r="AN143" s="61" t="str">
        <f>IFERROR(J143/M143/M02S02F35,"")</f>
        <v/>
      </c>
      <c r="AO143" s="151" t="str">
        <f>IF(AND(C143&lt;&gt;0,C143&lt;&gt;""),1,"")</f>
        <v/>
      </c>
      <c r="AP143" s="154"/>
      <c r="AQ143" s="154"/>
      <c r="AR143" s="414"/>
    </row>
    <row r="144" spans="1:44" hidden="1" x14ac:dyDescent="0.25">
      <c r="A144" s="207"/>
      <c r="B144" s="209"/>
      <c r="C144" s="209"/>
      <c r="D144" s="164"/>
      <c r="E144" s="164"/>
      <c r="F144" s="170"/>
      <c r="G144" s="164"/>
      <c r="H144" s="171"/>
      <c r="I144" s="171"/>
      <c r="J144" s="171"/>
      <c r="K144" s="164"/>
      <c r="L144" s="170"/>
      <c r="M144" s="170"/>
      <c r="N144" s="191"/>
      <c r="O144" s="171"/>
      <c r="P144" s="170"/>
      <c r="Q144" s="191"/>
      <c r="R144" s="164"/>
      <c r="S144" s="172"/>
      <c r="T144" s="172"/>
      <c r="U144" s="170"/>
      <c r="V144" s="174"/>
      <c r="W144" s="173"/>
      <c r="X144" s="174"/>
      <c r="Y144" s="164"/>
      <c r="Z144" s="164"/>
      <c r="AA144" s="164"/>
      <c r="AB144" s="164"/>
      <c r="AC144" s="164"/>
      <c r="AD144" s="164"/>
      <c r="AE144" s="170"/>
      <c r="AF144" s="170"/>
      <c r="AG144" s="170"/>
      <c r="AH144" s="170"/>
      <c r="AI144" s="170"/>
      <c r="AJ144" s="171"/>
      <c r="AK144" s="171"/>
      <c r="AL144" s="171"/>
      <c r="AM144" s="175"/>
      <c r="AN144" s="171"/>
      <c r="AO144" s="170"/>
      <c r="AP144" s="170"/>
      <c r="AQ144" s="170"/>
      <c r="AR144" s="412"/>
    </row>
    <row r="145" spans="1:44" hidden="1" x14ac:dyDescent="0.25">
      <c r="X145" s="135"/>
      <c r="Z145" s="61"/>
      <c r="AA145" s="135"/>
      <c r="AB145" s="135"/>
      <c r="AC145" s="135"/>
      <c r="AD145" s="135"/>
      <c r="AM145" s="154"/>
      <c r="AP145" s="151"/>
      <c r="AQ145" s="61"/>
      <c r="AR145" s="414"/>
    </row>
    <row r="146" spans="1:44" hidden="1" x14ac:dyDescent="0.25">
      <c r="X146" s="135"/>
      <c r="Z146" s="61"/>
      <c r="AA146" s="135"/>
      <c r="AB146" s="135"/>
      <c r="AC146" s="135"/>
      <c r="AD146" s="135"/>
      <c r="AM146" s="154"/>
      <c r="AP146" s="151"/>
      <c r="AQ146" s="61"/>
      <c r="AR146" s="414"/>
    </row>
    <row r="147" spans="1:44" hidden="1" x14ac:dyDescent="0.25">
      <c r="X147" s="135"/>
      <c r="Z147" s="61"/>
      <c r="AA147" s="135"/>
      <c r="AB147" s="135"/>
      <c r="AC147" s="135"/>
      <c r="AD147" s="135"/>
      <c r="AM147" s="154"/>
      <c r="AP147" s="151"/>
      <c r="AQ147" s="61"/>
      <c r="AR147" s="414"/>
    </row>
    <row r="148" spans="1:44" hidden="1" x14ac:dyDescent="0.25">
      <c r="X148" s="135"/>
      <c r="Z148" s="61"/>
      <c r="AA148" s="135"/>
      <c r="AB148" s="135"/>
      <c r="AC148" s="135"/>
      <c r="AD148" s="135"/>
      <c r="AM148" s="154"/>
      <c r="AP148" s="151"/>
      <c r="AQ148" s="61"/>
      <c r="AR148" s="414"/>
    </row>
    <row r="149" spans="1:44" hidden="1" x14ac:dyDescent="0.25">
      <c r="X149" s="135"/>
      <c r="Z149" s="61"/>
      <c r="AA149" s="135"/>
      <c r="AB149" s="135"/>
      <c r="AC149" s="135"/>
      <c r="AD149" s="135"/>
      <c r="AM149" s="154"/>
      <c r="AP149" s="151"/>
      <c r="AQ149" s="61"/>
      <c r="AR149" s="414"/>
    </row>
    <row r="150" spans="1:44" x14ac:dyDescent="0.25">
      <c r="A150" s="324" t="str">
        <f>CONCATENATE(MAIN3," ",M3S5)</f>
        <v>LIGHTING MEASURES Custom Lighting</v>
      </c>
      <c r="B150" s="210"/>
      <c r="C150" s="210"/>
      <c r="D150" s="178"/>
      <c r="E150" s="178"/>
      <c r="F150" s="179"/>
      <c r="G150" s="178"/>
      <c r="H150" s="180"/>
      <c r="I150" s="180"/>
      <c r="J150" s="180"/>
      <c r="K150" s="178"/>
      <c r="L150" s="179"/>
      <c r="M150" s="179"/>
      <c r="N150" s="192"/>
      <c r="O150" s="180"/>
      <c r="P150" s="179"/>
      <c r="Q150" s="192"/>
      <c r="R150" s="178"/>
      <c r="S150" s="181"/>
      <c r="T150" s="181"/>
      <c r="U150" s="179"/>
      <c r="V150" s="178"/>
      <c r="W150" s="182"/>
      <c r="X150" s="178"/>
      <c r="Y150" s="178"/>
      <c r="Z150" s="178"/>
      <c r="AA150" s="178"/>
      <c r="AB150" s="178"/>
      <c r="AC150" s="178"/>
      <c r="AD150" s="178"/>
      <c r="AE150" s="179"/>
      <c r="AF150" s="179"/>
      <c r="AG150" s="179"/>
      <c r="AH150" s="179"/>
      <c r="AI150" s="179"/>
      <c r="AJ150" s="180" t="str">
        <f>IFERROR(O150/M150,"")</f>
        <v/>
      </c>
      <c r="AK150" s="180" t="str">
        <f>IFERROR(O150/N150,"")</f>
        <v/>
      </c>
      <c r="AL150" s="180" t="str">
        <f>IFERROR(O150/L150,"")</f>
        <v/>
      </c>
      <c r="AM150" s="180"/>
      <c r="AN150" s="180" t="str">
        <f t="shared" si="32"/>
        <v/>
      </c>
      <c r="AO150" s="179"/>
      <c r="AP150" s="179"/>
      <c r="AQ150" s="179"/>
      <c r="AR150" s="412"/>
    </row>
    <row r="151" spans="1:44" x14ac:dyDescent="0.25">
      <c r="A151" s="66">
        <f t="shared" ref="A151:A180" si="41">PROJID</f>
        <v>0</v>
      </c>
      <c r="B151" s="66" t="str">
        <f>IF(C151="","",CONCATENATE(ROW(),"-",C151))</f>
        <v/>
      </c>
      <c r="C151" s="66" t="str">
        <f>IFERROR(IF(J151&gt;0,INDEX('M03-S05'!$AY$16:$AY$198,2*(ROWS($C$151:C151)-1)+1),""),"")</f>
        <v/>
      </c>
      <c r="D151" t="str">
        <f>IF(E151="Ext Lighting", "Custom Ext Lighting", "Custom")</f>
        <v>Custom</v>
      </c>
      <c r="E151" t="str">
        <f>IFERROR(INDEX(CMELIGHT[End Use Category],MATCH(INDEX('M03-S05'!$F$16:$F$198,2*(ROWS($E151:E$151)-1)+1),CMELIGHT[Proj Desc 1],0)),"")</f>
        <v>Lighting</v>
      </c>
      <c r="F151" s="151" t="str">
        <f>INDEX('M03-S05'!$R$16:$R$198,2*(ROWS($F151:F$151)-1)+1)</f>
        <v/>
      </c>
      <c r="G151">
        <f>INDEX('M03-S05'!$C$16:$C$198,2*(ROWS($G151:G$151)-1)+1)</f>
        <v>0</v>
      </c>
      <c r="H151" s="61">
        <f>ROUND(INDEX('M03-S05'!$AA$16:$AA$198,2*(ROWS($H151:H$151)-1)+1)*INDEX('M03-S05'!$AG$16:$AG$198,2*(ROWS($H151:H$151)-1)+1),2)</f>
        <v>0</v>
      </c>
      <c r="I151" s="61">
        <f>ROUND(INDEX('M03-S05'!$AA$16:$AA$198,2*(ROWS($I151:I$151)-1)+1)*INDEX('M03-S05'!$AI$16:$AI$198,2*(ROWS($I151:I$151)-1)+1),2)</f>
        <v>0</v>
      </c>
      <c r="J151" s="61" t="str">
        <f>INDEX('M03-S05'!$AK$16:$AK$198,2*(ROWS($J151:J$151)-1)+1)</f>
        <v/>
      </c>
      <c r="K151" t="s">
        <v>119</v>
      </c>
      <c r="L151" s="151">
        <f>IF(ISNUMBER(INDEX('M03-S05'!$AN$16:$AN$198,2*(ROWS($O151:O$151)-1)+1)),INDEX('M03-S05'!$AA$16:$AA$198,2*(ROWS($L151:L$151)-1)+1),0)</f>
        <v>0</v>
      </c>
      <c r="M151" s="151">
        <f>IF(ISNUMBER(INDEX('M03-S05'!$AN$16:$AN$198,2*(ROWS($O151:O$151)-1)+1)),INDEX('M03-S05'!$AZ$16:$AZ$198,2*(ROWS($M151:M$151)-1)+1),0)</f>
        <v>0</v>
      </c>
      <c r="N151" s="189">
        <f>IF(ISNUMBER(INDEX('M03-S05'!$AN$16:$AN$198,2*(ROWS($O151:O$151)-1)+1)),INDEX('M03-S05'!$AV$16:$AV$198,2*(ROWS($N151:N$151)-1)+1),0)</f>
        <v>0</v>
      </c>
      <c r="O151" s="61">
        <f>IF(ISNUMBER(INDEX('M03-S05'!$AN$16:$AN$198,2*(ROWS($O151:O$151)-1)+1)),INDEX('M03-S05'!$AN$16:$AN$198,2*(ROWS($O151:O$151)-1)+1),0)</f>
        <v>0</v>
      </c>
      <c r="P151" s="151" t="str">
        <f>IFERROR(IF(NOT(ISNUMBER(INDEX('M03-S05'!$AN$16:$AN$198,2*(ROWS($O151:O$151)-1)+1))),INDEX('M03-S05'!$AZ$16:$AZ$198,2*(ROWS($O151:O$151)-1)+1),0),"")</f>
        <v/>
      </c>
      <c r="Q151" s="189" t="str">
        <f>IFERROR(IF(NOT(ISNUMBER(INDEX('M03-S05'!$AN$16:$AN$198,2*(ROWS($O151:O$151)-1)+1))),INDEX('M03-S05'!$AV$16:$AV$198,2*(ROWS($O151:O$151)-1)+1),0),"")</f>
        <v/>
      </c>
      <c r="R151" t="str">
        <f>IFERROR(IF(NOT(ISNUMBER(INDEX('M03-S05'!$AN$16:$AN$198,2*(ROWS($O$151:O151)-1)+1))),INDEX(SPILLOVER[Spillover Reason],MATCH(INDEX('M03-S05'!$BC$16:$BC$198,2*(ROWS($O$151:O151)-1)+1),SPILLOVER[Spillover Text],0)),""),"")</f>
        <v>Not Eligible</v>
      </c>
      <c r="S151" s="156" t="str">
        <f>INDEX('M03-S05'!$P$16:$P$198,2*(ROWS($S151:S$151)-1)+1)</f>
        <v/>
      </c>
      <c r="T151" s="156" t="str">
        <f>INDEX('M03-S05'!$AC$16:$AC$198,2*(ROWS($T151:T$151)-1)+1)</f>
        <v/>
      </c>
      <c r="U151" s="151">
        <f>INDEX('M03-S05'!$B$16:$B$198,2*(ROWS($U151:U$151)-1)+1)</f>
        <v>1</v>
      </c>
      <c r="V151" s="58">
        <f>INDEX('M03-S05'!$H$16:$H$198,2*(ROWS($V151:V$151)-1)+1)</f>
        <v>0</v>
      </c>
      <c r="W151" s="58">
        <f>INDEX('M03-S05'!$T$16:$T$198,2*(ROWS($W151:W$151)-1)+1)</f>
        <v>0</v>
      </c>
      <c r="X151">
        <f>INDEX('M03-S05'!$K$16:$K$198,2*(ROWS($X151:X$151)-1)+1)</f>
        <v>0</v>
      </c>
      <c r="Y151">
        <f>INDEX('M03-S05'!$X$16:$X$198,2*(ROWS($Y151:Y$151)-1)+1)</f>
        <v>0</v>
      </c>
      <c r="Z151" s="61">
        <f>IFERROR(INDEX('M03-S05'!$AE$16:$AE$198,2*(ROWS(Z151:$Z$151)-1)+1)/INDEX('M03-S05'!$R$16:$R$198,2*(ROWS(Z151:$Z$151)-1)+1),0)</f>
        <v>0</v>
      </c>
      <c r="AA151" t="str">
        <f>IFERROR(INDEX(CMLIGHTBASE[Measure Subgroup 1],MATCH(INDEX('M03-S05'!$H$16:$H$198,2*(ROWS($V151:V$151)-1)+1),CMLIGHTBASE[Base Desc 1],0)),"")</f>
        <v/>
      </c>
      <c r="AB151" t="str">
        <f>IFERROR(INDEX(CMLIGHTBASE[Measure Subgroup 2],MATCH(INDEX('M03-S05'!$H$16:$H$198,2*(ROWS($V151:V$151)-1)+1),CMLIGHTBASE[Base Desc 1],0)),"")</f>
        <v/>
      </c>
      <c r="AC151" t="str">
        <f>IFERROR(INDEX(CMLIGHTEFF[Measure Subgroup 1],MATCH(INDEX('M03-S05'!$T$16:$T$198,2*(ROWS($W151:W$151)-1)+1),CMLIGHTEFF[Eff Desc 1],0)),"")</f>
        <v/>
      </c>
      <c r="AD151" t="str">
        <f>IFERROR(INDEX(CMLIGHTEFF[Measure Subgroup 2],MATCH(INDEX('M03-S05'!$T$16:$T$198,2*(ROWS($W151:W$151)-1)+1),CMLIGHTEFF[Eff Desc 1],0)),"")</f>
        <v/>
      </c>
      <c r="AE151" s="151">
        <f>IF(NOT(ISNUMBER(INDEX('M03-S05'!$AN$16:$AN$198,2*(ROWS($O151:O$151)-1)+1))),INDEX('M03-S05'!$AA$16:$AA$198,2*(ROWS($L151:L$151)-1)+1),0)</f>
        <v>0</v>
      </c>
      <c r="AF151" s="151" t="str">
        <f>INDEX('M03-S05'!$AW$16:$AW$198,2*(ROWS($AF151:AF$151)-1)+1)</f>
        <v/>
      </c>
      <c r="AG151" s="151" t="str">
        <f>INDEX('M03-S05'!$AX$16:$AX$198,2*(ROWS($AG151:AG$151)-1)+1)</f>
        <v/>
      </c>
      <c r="AH151" s="151" t="str">
        <f>IFERROR(AF151/AO151,"")</f>
        <v/>
      </c>
      <c r="AI151" s="151" t="str">
        <f>IFERROR(AG151/L151,"")</f>
        <v/>
      </c>
      <c r="AJ151" s="61" t="str">
        <f>IFERROR(O151/M151,"")</f>
        <v/>
      </c>
      <c r="AK151" s="61" t="str">
        <f>IFERROR(O151/N151,"")</f>
        <v/>
      </c>
      <c r="AL151" s="61" t="str">
        <f>IFERROR(O151/L151,"")</f>
        <v/>
      </c>
      <c r="AM151" s="61" t="str">
        <f>INDEX('M03-S05'!$AU$16:$AU$198,2*(ROWS($AM151:AM$151)-1)+1)</f>
        <v/>
      </c>
      <c r="AN151" s="61" t="str">
        <f>INDEX('M03-S05'!$BB$16:$BB$198,2*(ROWS($AN151:AN$151)-1)+1)</f>
        <v/>
      </c>
      <c r="AO151" s="151">
        <f>INDEX('M03-S05'!$N$16:$N$198,2*(ROWS($AO151:AO$151)-1)+1)</f>
        <v>0</v>
      </c>
      <c r="AP151" s="135"/>
      <c r="AQ151" s="61" t="str">
        <f>IF(INDEX('M03-S05'!$AZ$16:$AZ$198,2*(ROWS($AQ$151:AQ151)-1)+1)="","",IF(AND(INDEX('M03-S05'!$AZ$16:$AZ$198,2*(ROWS($AQ$151:AQ151)-1)+1)&lt;&gt;"",OR(ISNUMBER(SEARCH("AC With",M02S02F32)),M02S02F32="Heat Pump"),INDEX('M03-S05'!$F$16:$F$198,2*(ROWS(AQ151:AQ151)-1)+1)="Interior"),LIGHTHEATCOIN,1))</f>
        <v/>
      </c>
      <c r="AR151" s="415">
        <f>(IF(INDEX('M03-S05'!$AN$16:$AN$198,2*(ROWS($O$151:O151)-1)+1)=INDEX('M03-S05'!$BJ$16:$BJ$198,2*(ROWS($O$151:O151)-1)+1),0,(INDEX('M03-S05'!$BI$16:$BI$198,2*(ROWS($O$151:O151)-1)+1)-INDEX('M03-S05'!$BJ$16:$BJ$198,2*(ROWS($O$151:O151)-1)+1))))</f>
        <v>0</v>
      </c>
    </row>
    <row r="152" spans="1:44" x14ac:dyDescent="0.25">
      <c r="A152" s="66">
        <f t="shared" si="41"/>
        <v>0</v>
      </c>
      <c r="B152" s="66" t="str">
        <f t="shared" ref="B152:B180" si="42">IF(C152="","",CONCATENATE(ROW(),"-",C152))</f>
        <v/>
      </c>
      <c r="C152" s="66" t="str">
        <f>IFERROR(IF(J152&gt;0,INDEX('M03-S05'!$AY$16:$AY$198,2*(ROWS($C$151:C152)-1)+1),""),"")</f>
        <v/>
      </c>
      <c r="D152" t="str">
        <f t="shared" ref="D152:D180" si="43">IF(E152="Ext Lighting", "Custom Ext Lighting", "Custom")</f>
        <v>Custom</v>
      </c>
      <c r="E152" t="str">
        <f>IFERROR(INDEX(CMELIGHT[End Use Category],MATCH(INDEX('M03-S05'!$F$16:$F$198,2*(ROWS($E$151:E152)-1)+1),CMELIGHT[Proj Desc 1],0)),"")</f>
        <v>Lighting</v>
      </c>
      <c r="F152" s="151" t="str">
        <f>INDEX('M03-S05'!$R$16:$R$198,2*(ROWS($F$151:F152)-1)+1)</f>
        <v/>
      </c>
      <c r="G152">
        <f>INDEX('M03-S05'!$C$16:$C$198,2*(ROWS($G$151:G152)-1)+1)</f>
        <v>0</v>
      </c>
      <c r="H152" s="61">
        <f>ROUND(INDEX('M03-S05'!$AA$16:$AA$198,2*(ROWS($H$151:H152)-1)+1)*INDEX('M03-S05'!$AG$16:$AG$198,2*(ROWS($H$151:H152)-1)+1),2)</f>
        <v>0</v>
      </c>
      <c r="I152" s="61">
        <f>ROUND(INDEX('M03-S05'!$AA$16:$AA$198,2*(ROWS($I$151:I152)-1)+1)*INDEX('M03-S05'!$AI$16:$AI$198,2*(ROWS($I$151:I152)-1)+1),2)</f>
        <v>0</v>
      </c>
      <c r="J152" s="61" t="str">
        <f>INDEX('M03-S05'!$AK$16:$AK$198,2*(ROWS($J$151:J152)-1)+1)</f>
        <v/>
      </c>
      <c r="K152" t="s">
        <v>119</v>
      </c>
      <c r="L152" s="151">
        <f>IF(ISNUMBER(INDEX('M03-S05'!$AN$16:$AN$198,2*(ROWS($O$151:O152)-1)+1)),INDEX('M03-S05'!$AA$16:$AA$198,2*(ROWS($L$151:L152)-1)+1),0)</f>
        <v>0</v>
      </c>
      <c r="M152" s="151">
        <f>IF(ISNUMBER(INDEX('M03-S05'!$AN$16:$AN$198,2*(ROWS($O$151:O152)-1)+1)),INDEX('M03-S05'!$AZ$16:$AZ$198,2*(ROWS($M$151:M152)-1)+1),0)</f>
        <v>0</v>
      </c>
      <c r="N152" s="189">
        <f>IF(ISNUMBER(INDEX('M03-S05'!$AN$16:$AN$198,2*(ROWS($O$151:O152)-1)+1)),INDEX('M03-S05'!$AV$16:$AV$198,2*(ROWS($N$151:N152)-1)+1),0)</f>
        <v>0</v>
      </c>
      <c r="O152" s="61">
        <f>IF(ISNUMBER(INDEX('M03-S05'!$AN$16:$AN$198,2*(ROWS($O$151:O152)-1)+1)),INDEX('M03-S05'!$AN$16:$AN$198,2*(ROWS($O$151:O152)-1)+1),0)</f>
        <v>0</v>
      </c>
      <c r="P152" s="151" t="str">
        <f>IFERROR(IF(NOT(ISNUMBER(INDEX('M03-S05'!$AN$16:$AN$198,2*(ROWS($O$151:O152)-1)+1))),INDEX('M03-S05'!$AZ$16:$AZ$198,2*(ROWS($O$151:O152)-1)+1),0),"")</f>
        <v/>
      </c>
      <c r="Q152" s="189" t="str">
        <f>IFERROR(IF(NOT(ISNUMBER(INDEX('M03-S05'!$AN$16:$AN$198,2*(ROWS($O$151:O152)-1)+1))),INDEX('M03-S05'!$AV$16:$AV$198,2*(ROWS($O$151:O152)-1)+1),0),"")</f>
        <v/>
      </c>
      <c r="R152" t="str">
        <f>IFERROR(IF(NOT(ISNUMBER(INDEX('M03-S05'!$AN$16:$AN$198,2*(ROWS($O$151:O152)-1)+1))),INDEX(SPILLOVER[Spillover Reason],MATCH(INDEX('M03-S05'!$BC$16:$BC$198,2*(ROWS($O$151:O152)-1)+1),SPILLOVER[Spillover Text],0)),""),"")</f>
        <v>Not Eligible</v>
      </c>
      <c r="S152" s="156" t="str">
        <f>INDEX('M03-S05'!$P$16:$P$198,2*(ROWS($S$151:S152)-1)+1)</f>
        <v/>
      </c>
      <c r="T152" s="156" t="str">
        <f>INDEX('M03-S05'!$AC$16:$AC$198,2*(ROWS($T$151:T152)-1)+1)</f>
        <v/>
      </c>
      <c r="U152" s="151">
        <f>INDEX('M03-S05'!$B$16:$B$198,2*(ROWS($U$151:U152)-1)+1)</f>
        <v>2</v>
      </c>
      <c r="V152" s="58">
        <f>INDEX('M03-S05'!$H$16:$H$198,2*(ROWS($V$151:V152)-1)+1)</f>
        <v>0</v>
      </c>
      <c r="W152" s="58">
        <f>INDEX('M03-S05'!$T$16:$T$198,2*(ROWS($W$151:W152)-1)+1)</f>
        <v>0</v>
      </c>
      <c r="X152">
        <f>INDEX('M03-S05'!$K$16:$K$198,2*(ROWS($X$151:X152)-1)+1)</f>
        <v>0</v>
      </c>
      <c r="Y152">
        <f>INDEX('M03-S05'!$X$16:$X$198,2*(ROWS($Y$151:Y152)-1)+1)</f>
        <v>0</v>
      </c>
      <c r="Z152" s="61">
        <f>IFERROR(INDEX('M03-S05'!$AE$16:$AE$198,2*(ROWS(Z$151:$Z152)-1)+1)/INDEX('M03-S05'!$R$16:$R$198,2*(ROWS(Z$151:$Z152)-1)+1),0)</f>
        <v>0</v>
      </c>
      <c r="AA152" t="str">
        <f>IFERROR(INDEX(CMLIGHTBASE[Measure Subgroup 1],MATCH(INDEX('M03-S05'!$H$16:$H$198,2*(ROWS($V$151:V152)-1)+1),CMLIGHTBASE[Base Desc 1],0)),"")</f>
        <v/>
      </c>
      <c r="AB152" t="str">
        <f>IFERROR(INDEX(CMLIGHTBASE[Measure Subgroup 2],MATCH(INDEX('M03-S05'!$H$16:$H$198,2*(ROWS($V$151:V152)-1)+1),CMLIGHTBASE[Base Desc 1],0)),"")</f>
        <v/>
      </c>
      <c r="AC152" t="str">
        <f>IFERROR(INDEX(CMLIGHTEFF[Measure Subgroup 1],MATCH(INDEX('M03-S05'!$T$16:$T$198,2*(ROWS($W$151:W152)-1)+1),CMLIGHTEFF[Eff Desc 1],0)),"")</f>
        <v/>
      </c>
      <c r="AD152" t="str">
        <f>IFERROR(INDEX(CMLIGHTEFF[Measure Subgroup 2],MATCH(INDEX('M03-S05'!$T$16:$T$198,2*(ROWS($W$151:W152)-1)+1),CMLIGHTEFF[Eff Desc 1],0)),"")</f>
        <v/>
      </c>
      <c r="AE152" s="151">
        <f>IF(NOT(ISNUMBER(INDEX('M03-S05'!$AN$16:$AN$198,2*(ROWS($O$151:O152)-1)+1))),INDEX('M03-S05'!$AA$16:$AA$198,2*(ROWS($L$151:L152)-1)+1),0)</f>
        <v>0</v>
      </c>
      <c r="AF152" s="151" t="str">
        <f>INDEX('M03-S05'!$AW$16:$AW$198,2*(ROWS($AF$151:AF152)-1)+1)</f>
        <v/>
      </c>
      <c r="AG152" s="151" t="str">
        <f>INDEX('M03-S05'!$AX$16:$AX$198,2*(ROWS($AG$151:AG152)-1)+1)</f>
        <v/>
      </c>
      <c r="AH152" s="151" t="str">
        <f t="shared" ref="AH152:AH180" si="44">IFERROR(AF152/AO152,"")</f>
        <v/>
      </c>
      <c r="AI152" s="151" t="str">
        <f t="shared" ref="AI152:AI180" si="45">IFERROR(AG152/L152,"")</f>
        <v/>
      </c>
      <c r="AJ152" s="61" t="str">
        <f t="shared" ref="AJ152:AJ180" si="46">IFERROR(O152/M152,"")</f>
        <v/>
      </c>
      <c r="AK152" s="61" t="str">
        <f t="shared" ref="AK152:AK180" si="47">IFERROR(O152/N152,"")</f>
        <v/>
      </c>
      <c r="AL152" s="61" t="str">
        <f t="shared" ref="AL152:AL180" si="48">IFERROR(O152/L152,"")</f>
        <v/>
      </c>
      <c r="AM152" s="61" t="str">
        <f>INDEX('M03-S05'!$AU$16:$AU$198,2*(ROWS($AM$151:AM152)-1)+1)</f>
        <v/>
      </c>
      <c r="AN152" s="61" t="str">
        <f>INDEX('M03-S05'!$BB$16:$BB$198,2*(ROWS($AN$151:AN152)-1)+1)</f>
        <v/>
      </c>
      <c r="AO152" s="151">
        <f>INDEX('M03-S05'!$N$16:$N$198,2*(ROWS($AO$151:AO152)-1)+1)</f>
        <v>0</v>
      </c>
      <c r="AP152" s="135"/>
      <c r="AQ152" s="61" t="str">
        <f>IF(INDEX('M03-S05'!$AZ$16:$AZ$198,2*(ROWS($AQ$151:AQ152)-1)+1)="","",IF(AND(INDEX('M03-S05'!$AZ$16:$AZ$198,2*(ROWS($AQ$151:AQ152)-1)+1)&lt;&gt;"",OR(ISNUMBER(SEARCH("AC With",M02S02F32)),M02S02F32="Heat Pump"),INDEX('M03-S05'!$F$16:$F$198,2*(ROWS(AQ152:AQ152)-1)+1)="Interior"),LIGHTHEATCOIN,1))</f>
        <v/>
      </c>
      <c r="AR152" s="415">
        <f>(IF(INDEX('M03-S05'!$AN$16:$AN$198,2*(ROWS($O$151:O152)-1)+1)=INDEX('M03-S05'!$BJ$16:$BJ$198,2*(ROWS($O$151:O152)-1)+1),0,(INDEX('M03-S05'!$BI$16:$BI$198,2*(ROWS($O$151:O152)-1)+1)-INDEX('M03-S05'!$BJ$16:$BJ$198,2*(ROWS($O$151:O152)-1)+1))))</f>
        <v>0</v>
      </c>
    </row>
    <row r="153" spans="1:44" x14ac:dyDescent="0.25">
      <c r="A153" s="66">
        <f t="shared" si="41"/>
        <v>0</v>
      </c>
      <c r="B153" s="66" t="str">
        <f t="shared" si="42"/>
        <v/>
      </c>
      <c r="C153" s="66" t="str">
        <f>IFERROR(IF(J153&gt;0,INDEX('M03-S05'!$AY$16:$AY$198,2*(ROWS($C$151:C153)-1)+1),""),"")</f>
        <v/>
      </c>
      <c r="D153" t="str">
        <f t="shared" si="43"/>
        <v>Custom</v>
      </c>
      <c r="E153" t="str">
        <f>IFERROR(INDEX(CMELIGHT[End Use Category],MATCH(INDEX('M03-S05'!$F$16:$F$198,2*(ROWS($E$151:E153)-1)+1),CMELIGHT[Proj Desc 1],0)),"")</f>
        <v>Lighting</v>
      </c>
      <c r="F153" s="151" t="str">
        <f>INDEX('M03-S05'!$R$16:$R$198,2*(ROWS($F$151:F153)-1)+1)</f>
        <v/>
      </c>
      <c r="G153">
        <f>INDEX('M03-S05'!$C$16:$C$198,2*(ROWS($G$151:G153)-1)+1)</f>
        <v>0</v>
      </c>
      <c r="H153" s="61">
        <f>ROUND(INDEX('M03-S05'!$AA$16:$AA$198,2*(ROWS($H$151:H153)-1)+1)*INDEX('M03-S05'!$AG$16:$AG$198,2*(ROWS($H$151:H153)-1)+1),2)</f>
        <v>0</v>
      </c>
      <c r="I153" s="61">
        <f>ROUND(INDEX('M03-S05'!$AA$16:$AA$198,2*(ROWS($I$151:I153)-1)+1)*INDEX('M03-S05'!$AI$16:$AI$198,2*(ROWS($I$151:I153)-1)+1),2)</f>
        <v>0</v>
      </c>
      <c r="J153" s="61" t="str">
        <f>INDEX('M03-S05'!$AK$16:$AK$198,2*(ROWS($J$151:J153)-1)+1)</f>
        <v/>
      </c>
      <c r="K153" t="s">
        <v>119</v>
      </c>
      <c r="L153" s="151">
        <f>IF(ISNUMBER(INDEX('M03-S05'!$AN$16:$AN$198,2*(ROWS($O$151:O153)-1)+1)),INDEX('M03-S05'!$AA$16:$AA$198,2*(ROWS($L$151:L153)-1)+1),0)</f>
        <v>0</v>
      </c>
      <c r="M153" s="151">
        <f>IF(ISNUMBER(INDEX('M03-S05'!$AN$16:$AN$198,2*(ROWS($O$151:O153)-1)+1)),INDEX('M03-S05'!$AZ$16:$AZ$198,2*(ROWS($M$151:M153)-1)+1),0)</f>
        <v>0</v>
      </c>
      <c r="N153" s="189">
        <f>IF(ISNUMBER(INDEX('M03-S05'!$AN$16:$AN$198,2*(ROWS($O$151:O153)-1)+1)),INDEX('M03-S05'!$AV$16:$AV$198,2*(ROWS($N$151:N153)-1)+1),0)</f>
        <v>0</v>
      </c>
      <c r="O153" s="61">
        <f>IF(ISNUMBER(INDEX('M03-S05'!$AN$16:$AN$198,2*(ROWS($O$151:O153)-1)+1)),INDEX('M03-S05'!$AN$16:$AN$198,2*(ROWS($O$151:O153)-1)+1),0)</f>
        <v>0</v>
      </c>
      <c r="P153" s="151" t="str">
        <f>IFERROR(IF(NOT(ISNUMBER(INDEX('M03-S05'!$AN$16:$AN$198,2*(ROWS($O$151:O153)-1)+1))),INDEX('M03-S05'!$AZ$16:$AZ$198,2*(ROWS($O$151:O153)-1)+1),0),"")</f>
        <v/>
      </c>
      <c r="Q153" s="189" t="str">
        <f>IFERROR(IF(NOT(ISNUMBER(INDEX('M03-S05'!$AN$16:$AN$198,2*(ROWS($O$151:O153)-1)+1))),INDEX('M03-S05'!$AV$16:$AV$198,2*(ROWS($O$151:O153)-1)+1),0),"")</f>
        <v/>
      </c>
      <c r="R153" t="str">
        <f>IFERROR(IF(NOT(ISNUMBER(INDEX('M03-S05'!$AN$16:$AN$198,2*(ROWS($O$151:O153)-1)+1))),INDEX(SPILLOVER[Spillover Reason],MATCH(INDEX('M03-S05'!$BC$16:$BC$198,2*(ROWS($O$151:O153)-1)+1),SPILLOVER[Spillover Text],0)),""),"")</f>
        <v>Not Eligible</v>
      </c>
      <c r="S153" s="156" t="str">
        <f>INDEX('M03-S05'!$P$16:$P$198,2*(ROWS($S$151:S153)-1)+1)</f>
        <v/>
      </c>
      <c r="T153" s="156" t="str">
        <f>INDEX('M03-S05'!$AC$16:$AC$198,2*(ROWS($T$151:T153)-1)+1)</f>
        <v/>
      </c>
      <c r="U153" s="151">
        <f>INDEX('M03-S05'!$B$16:$B$198,2*(ROWS($U$151:U153)-1)+1)</f>
        <v>3</v>
      </c>
      <c r="V153" s="58">
        <f>INDEX('M03-S05'!$H$16:$H$198,2*(ROWS($V$151:V153)-1)+1)</f>
        <v>0</v>
      </c>
      <c r="W153" s="58">
        <f>INDEX('M03-S05'!$T$16:$T$198,2*(ROWS($W$151:W153)-1)+1)</f>
        <v>0</v>
      </c>
      <c r="X153">
        <f>INDEX('M03-S05'!$K$16:$K$198,2*(ROWS($X$151:X153)-1)+1)</f>
        <v>0</v>
      </c>
      <c r="Y153">
        <f>INDEX('M03-S05'!$X$16:$X$198,2*(ROWS($Y$151:Y153)-1)+1)</f>
        <v>0</v>
      </c>
      <c r="Z153" s="61">
        <f>IFERROR(INDEX('M03-S05'!$AE$16:$AE$198,2*(ROWS(Z$151:$Z153)-1)+1)/INDEX('M03-S05'!$R$16:$R$198,2*(ROWS(Z$151:$Z153)-1)+1),0)</f>
        <v>0</v>
      </c>
      <c r="AA153" t="str">
        <f>IFERROR(INDEX(CMLIGHTBASE[Measure Subgroup 1],MATCH(INDEX('M03-S05'!$H$16:$H$198,2*(ROWS($V$151:V153)-1)+1),CMLIGHTBASE[Base Desc 1],0)),"")</f>
        <v/>
      </c>
      <c r="AB153" t="str">
        <f>IFERROR(INDEX(CMLIGHTBASE[Measure Subgroup 2],MATCH(INDEX('M03-S05'!$H$16:$H$198,2*(ROWS($V$151:V153)-1)+1),CMLIGHTBASE[Base Desc 1],0)),"")</f>
        <v/>
      </c>
      <c r="AC153" t="str">
        <f>IFERROR(INDEX(CMLIGHTEFF[Measure Subgroup 1],MATCH(INDEX('M03-S05'!$T$16:$T$198,2*(ROWS($W$151:W153)-1)+1),CMLIGHTEFF[Eff Desc 1],0)),"")</f>
        <v/>
      </c>
      <c r="AD153" t="str">
        <f>IFERROR(INDEX(CMLIGHTEFF[Measure Subgroup 2],MATCH(INDEX('M03-S05'!$T$16:$T$198,2*(ROWS($W$151:W153)-1)+1),CMLIGHTEFF[Eff Desc 1],0)),"")</f>
        <v/>
      </c>
      <c r="AE153" s="151">
        <f>IF(NOT(ISNUMBER(INDEX('M03-S05'!$AN$16:$AN$198,2*(ROWS($O$151:O153)-1)+1))),INDEX('M03-S05'!$AA$16:$AA$198,2*(ROWS($L$151:L153)-1)+1),0)</f>
        <v>0</v>
      </c>
      <c r="AF153" s="151" t="str">
        <f>INDEX('M03-S05'!$AW$16:$AW$198,2*(ROWS($AF$151:AF153)-1)+1)</f>
        <v/>
      </c>
      <c r="AG153" s="151" t="str">
        <f>INDEX('M03-S05'!$AX$16:$AX$198,2*(ROWS($AG$151:AG153)-1)+1)</f>
        <v/>
      </c>
      <c r="AH153" s="151" t="str">
        <f t="shared" si="44"/>
        <v/>
      </c>
      <c r="AI153" s="151" t="str">
        <f t="shared" si="45"/>
        <v/>
      </c>
      <c r="AJ153" s="61" t="str">
        <f t="shared" si="46"/>
        <v/>
      </c>
      <c r="AK153" s="61" t="str">
        <f t="shared" si="47"/>
        <v/>
      </c>
      <c r="AL153" s="61" t="str">
        <f t="shared" si="48"/>
        <v/>
      </c>
      <c r="AM153" s="61" t="str">
        <f>INDEX('M03-S05'!$AU$16:$AU$198,2*(ROWS($AM$151:AM153)-1)+1)</f>
        <v/>
      </c>
      <c r="AN153" s="61" t="str">
        <f>INDEX('M03-S05'!$BB$16:$BB$198,2*(ROWS($AN$151:AN153)-1)+1)</f>
        <v/>
      </c>
      <c r="AO153" s="151">
        <f>INDEX('M03-S05'!$N$16:$N$198,2*(ROWS($AO$151:AO153)-1)+1)</f>
        <v>0</v>
      </c>
      <c r="AP153" s="135"/>
      <c r="AQ153" s="61" t="str">
        <f>IF(INDEX('M03-S05'!$AZ$16:$AZ$198,2*(ROWS($AQ$151:AQ153)-1)+1)="","",IF(AND(INDEX('M03-S05'!$AZ$16:$AZ$198,2*(ROWS($AQ$151:AQ153)-1)+1)&lt;&gt;"",OR(ISNUMBER(SEARCH("AC With",M02S02F32)),M02S02F32="Heat Pump"),INDEX('M03-S05'!$F$16:$F$198,2*(ROWS(AQ153:AQ153)-1)+1)="Interior"),LIGHTHEATCOIN,1))</f>
        <v/>
      </c>
      <c r="AR153" s="415">
        <f>(IF(INDEX('M03-S05'!$AN$16:$AN$198,2*(ROWS($O$151:O153)-1)+1)=INDEX('M03-S05'!$BJ$16:$BJ$198,2*(ROWS($O$151:O153)-1)+1),0,(INDEX('M03-S05'!$BI$16:$BI$198,2*(ROWS($O$151:O153)-1)+1)-INDEX('M03-S05'!$BJ$16:$BJ$198,2*(ROWS($O$151:O153)-1)+1))))</f>
        <v>0</v>
      </c>
    </row>
    <row r="154" spans="1:44" x14ac:dyDescent="0.25">
      <c r="A154" s="66">
        <f t="shared" si="41"/>
        <v>0</v>
      </c>
      <c r="B154" s="66" t="str">
        <f t="shared" si="42"/>
        <v/>
      </c>
      <c r="C154" s="66" t="str">
        <f>IFERROR(IF(J154&gt;0,INDEX('M03-S05'!$AY$16:$AY$198,2*(ROWS($C$151:C154)-1)+1),""),"")</f>
        <v/>
      </c>
      <c r="D154" t="str">
        <f t="shared" si="43"/>
        <v>Custom</v>
      </c>
      <c r="E154" t="str">
        <f>IFERROR(INDEX(CMELIGHT[End Use Category],MATCH(INDEX('M03-S05'!$F$16:$F$198,2*(ROWS($E$151:E154)-1)+1),CMELIGHT[Proj Desc 1],0)),"")</f>
        <v>Lighting</v>
      </c>
      <c r="F154" s="151" t="str">
        <f>INDEX('M03-S05'!$R$16:$R$198,2*(ROWS($F$151:F154)-1)+1)</f>
        <v/>
      </c>
      <c r="G154">
        <f>INDEX('M03-S05'!$C$16:$C$198,2*(ROWS($G$151:G154)-1)+1)</f>
        <v>0</v>
      </c>
      <c r="H154" s="61">
        <f>ROUND(INDEX('M03-S05'!$AA$16:$AA$198,2*(ROWS($H$151:H154)-1)+1)*INDEX('M03-S05'!$AG$16:$AG$198,2*(ROWS($H$151:H154)-1)+1),2)</f>
        <v>0</v>
      </c>
      <c r="I154" s="61">
        <f>ROUND(INDEX('M03-S05'!$AA$16:$AA$198,2*(ROWS($I$151:I154)-1)+1)*INDEX('M03-S05'!$AI$16:$AI$198,2*(ROWS($I$151:I154)-1)+1),2)</f>
        <v>0</v>
      </c>
      <c r="J154" s="61" t="str">
        <f>INDEX('M03-S05'!$AK$16:$AK$198,2*(ROWS($J$151:J154)-1)+1)</f>
        <v/>
      </c>
      <c r="K154" t="s">
        <v>119</v>
      </c>
      <c r="L154" s="151">
        <f>IF(ISNUMBER(INDEX('M03-S05'!$AN$16:$AN$198,2*(ROWS($O$151:O154)-1)+1)),INDEX('M03-S05'!$AA$16:$AA$198,2*(ROWS($L$151:L154)-1)+1),0)</f>
        <v>0</v>
      </c>
      <c r="M154" s="151">
        <f>IF(ISNUMBER(INDEX('M03-S05'!$AN$16:$AN$198,2*(ROWS($O$151:O154)-1)+1)),INDEX('M03-S05'!$AZ$16:$AZ$198,2*(ROWS($M$151:M154)-1)+1),0)</f>
        <v>0</v>
      </c>
      <c r="N154" s="189">
        <f>IF(ISNUMBER(INDEX('M03-S05'!$AN$16:$AN$198,2*(ROWS($O$151:O154)-1)+1)),INDEX('M03-S05'!$AV$16:$AV$198,2*(ROWS($N$151:N154)-1)+1),0)</f>
        <v>0</v>
      </c>
      <c r="O154" s="61">
        <f>IF(ISNUMBER(INDEX('M03-S05'!$AN$16:$AN$198,2*(ROWS($O$151:O154)-1)+1)),INDEX('M03-S05'!$AN$16:$AN$198,2*(ROWS($O$151:O154)-1)+1),0)</f>
        <v>0</v>
      </c>
      <c r="P154" s="151" t="str">
        <f>IFERROR(IF(NOT(ISNUMBER(INDEX('M03-S05'!$AN$16:$AN$198,2*(ROWS($O$151:O154)-1)+1))),INDEX('M03-S05'!$AZ$16:$AZ$198,2*(ROWS($O$151:O154)-1)+1),0),"")</f>
        <v/>
      </c>
      <c r="Q154" s="189" t="str">
        <f>IFERROR(IF(NOT(ISNUMBER(INDEX('M03-S05'!$AN$16:$AN$198,2*(ROWS($O$151:O154)-1)+1))),INDEX('M03-S05'!$AV$16:$AV$198,2*(ROWS($O$151:O154)-1)+1),0),"")</f>
        <v/>
      </c>
      <c r="R154" t="str">
        <f>IFERROR(IF(NOT(ISNUMBER(INDEX('M03-S05'!$AN$16:$AN$198,2*(ROWS($O$151:O154)-1)+1))),INDEX(SPILLOVER[Spillover Reason],MATCH(INDEX('M03-S05'!$BC$16:$BC$198,2*(ROWS($O$151:O154)-1)+1),SPILLOVER[Spillover Text],0)),""),"")</f>
        <v>Not Eligible</v>
      </c>
      <c r="S154" s="156" t="str">
        <f>INDEX('M03-S05'!$P$16:$P$198,2*(ROWS($S$151:S154)-1)+1)</f>
        <v/>
      </c>
      <c r="T154" s="156" t="str">
        <f>INDEX('M03-S05'!$AC$16:$AC$198,2*(ROWS($T$151:T154)-1)+1)</f>
        <v/>
      </c>
      <c r="U154" s="151">
        <f>INDEX('M03-S05'!$B$16:$B$198,2*(ROWS($U$151:U154)-1)+1)</f>
        <v>4</v>
      </c>
      <c r="V154" s="58">
        <f>INDEX('M03-S05'!$H$16:$H$198,2*(ROWS($V$151:V154)-1)+1)</f>
        <v>0</v>
      </c>
      <c r="W154" s="58">
        <f>INDEX('M03-S05'!$T$16:$T$198,2*(ROWS($W$151:W154)-1)+1)</f>
        <v>0</v>
      </c>
      <c r="X154">
        <f>INDEX('M03-S05'!$K$16:$K$198,2*(ROWS($X$151:X154)-1)+1)</f>
        <v>0</v>
      </c>
      <c r="Y154">
        <f>INDEX('M03-S05'!$X$16:$X$198,2*(ROWS($Y$151:Y154)-1)+1)</f>
        <v>0</v>
      </c>
      <c r="Z154" s="61">
        <f>IFERROR(INDEX('M03-S05'!$AE$16:$AE$198,2*(ROWS(Z$151:$Z154)-1)+1)/INDEX('M03-S05'!$R$16:$R$198,2*(ROWS(Z$151:$Z154)-1)+1),0)</f>
        <v>0</v>
      </c>
      <c r="AA154" t="str">
        <f>IFERROR(INDEX(CMLIGHTBASE[Measure Subgroup 1],MATCH(INDEX('M03-S05'!$H$16:$H$198,2*(ROWS($V$151:V154)-1)+1),CMLIGHTBASE[Base Desc 1],0)),"")</f>
        <v/>
      </c>
      <c r="AB154" t="str">
        <f>IFERROR(INDEX(CMLIGHTBASE[Measure Subgroup 2],MATCH(INDEX('M03-S05'!$H$16:$H$198,2*(ROWS($V$151:V154)-1)+1),CMLIGHTBASE[Base Desc 1],0)),"")</f>
        <v/>
      </c>
      <c r="AC154" t="str">
        <f>IFERROR(INDEX(CMLIGHTEFF[Measure Subgroup 1],MATCH(INDEX('M03-S05'!$T$16:$T$198,2*(ROWS($W$151:W154)-1)+1),CMLIGHTEFF[Eff Desc 1],0)),"")</f>
        <v/>
      </c>
      <c r="AD154" t="str">
        <f>IFERROR(INDEX(CMLIGHTEFF[Measure Subgroup 2],MATCH(INDEX('M03-S05'!$T$16:$T$198,2*(ROWS($W$151:W154)-1)+1),CMLIGHTEFF[Eff Desc 1],0)),"")</f>
        <v/>
      </c>
      <c r="AE154" s="151">
        <f>IF(NOT(ISNUMBER(INDEX('M03-S05'!$AN$16:$AN$198,2*(ROWS($O$151:O154)-1)+1))),INDEX('M03-S05'!$AA$16:$AA$198,2*(ROWS($L$151:L154)-1)+1),0)</f>
        <v>0</v>
      </c>
      <c r="AF154" s="151" t="str">
        <f>INDEX('M03-S05'!$AW$16:$AW$198,2*(ROWS($AF$151:AF154)-1)+1)</f>
        <v/>
      </c>
      <c r="AG154" s="151" t="str">
        <f>INDEX('M03-S05'!$AX$16:$AX$198,2*(ROWS($AG$151:AG154)-1)+1)</f>
        <v/>
      </c>
      <c r="AH154" s="151" t="str">
        <f t="shared" si="44"/>
        <v/>
      </c>
      <c r="AI154" s="151" t="str">
        <f t="shared" si="45"/>
        <v/>
      </c>
      <c r="AJ154" s="61" t="str">
        <f t="shared" si="46"/>
        <v/>
      </c>
      <c r="AK154" s="61" t="str">
        <f t="shared" si="47"/>
        <v/>
      </c>
      <c r="AL154" s="61" t="str">
        <f t="shared" si="48"/>
        <v/>
      </c>
      <c r="AM154" s="61" t="str">
        <f>INDEX('M03-S05'!$AU$16:$AU$198,2*(ROWS($AM$151:AM154)-1)+1)</f>
        <v/>
      </c>
      <c r="AN154" s="61" t="str">
        <f>INDEX('M03-S05'!$BB$16:$BB$198,2*(ROWS($AN$151:AN154)-1)+1)</f>
        <v/>
      </c>
      <c r="AO154" s="151">
        <f>INDEX('M03-S05'!$N$16:$N$198,2*(ROWS($AO$151:AO154)-1)+1)</f>
        <v>0</v>
      </c>
      <c r="AP154" s="135"/>
      <c r="AQ154" s="61" t="str">
        <f>IF(INDEX('M03-S05'!$AZ$16:$AZ$198,2*(ROWS($AQ$151:AQ154)-1)+1)="","",IF(AND(INDEX('M03-S05'!$AZ$16:$AZ$198,2*(ROWS($AQ$151:AQ154)-1)+1)&lt;&gt;"",OR(ISNUMBER(SEARCH("AC With",M02S02F32)),M02S02F32="Heat Pump"),INDEX('M03-S05'!$F$16:$F$198,2*(ROWS(AQ154:AQ154)-1)+1)="Interior"),LIGHTHEATCOIN,1))</f>
        <v/>
      </c>
      <c r="AR154" s="415">
        <f>(IF(INDEX('M03-S05'!$AN$16:$AN$198,2*(ROWS($O$151:O154)-1)+1)=INDEX('M03-S05'!$BJ$16:$BJ$198,2*(ROWS($O$151:O154)-1)+1),0,(INDEX('M03-S05'!$BI$16:$BI$198,2*(ROWS($O$151:O154)-1)+1)-INDEX('M03-S05'!$BJ$16:$BJ$198,2*(ROWS($O$151:O154)-1)+1))))</f>
        <v>0</v>
      </c>
    </row>
    <row r="155" spans="1:44" x14ac:dyDescent="0.25">
      <c r="A155" s="66">
        <f t="shared" si="41"/>
        <v>0</v>
      </c>
      <c r="B155" s="66" t="str">
        <f t="shared" si="42"/>
        <v/>
      </c>
      <c r="C155" s="66" t="str">
        <f>IFERROR(IF(J155&gt;0,INDEX('M03-S05'!$AY$16:$AY$198,2*(ROWS($C$151:C155)-1)+1),""),"")</f>
        <v/>
      </c>
      <c r="D155" t="str">
        <f t="shared" si="43"/>
        <v>Custom</v>
      </c>
      <c r="E155" t="str">
        <f>IFERROR(INDEX(CMELIGHT[End Use Category],MATCH(INDEX('M03-S05'!$F$16:$F$198,2*(ROWS($E$151:E155)-1)+1),CMELIGHT[Proj Desc 1],0)),"")</f>
        <v>Lighting</v>
      </c>
      <c r="F155" s="151" t="str">
        <f>INDEX('M03-S05'!$R$16:$R$198,2*(ROWS($F$151:F155)-1)+1)</f>
        <v/>
      </c>
      <c r="G155">
        <f>INDEX('M03-S05'!$C$16:$C$198,2*(ROWS($G$151:G155)-1)+1)</f>
        <v>0</v>
      </c>
      <c r="H155" s="61">
        <f>ROUND(INDEX('M03-S05'!$AA$16:$AA$198,2*(ROWS($H$151:H155)-1)+1)*INDEX('M03-S05'!$AG$16:$AG$198,2*(ROWS($H$151:H155)-1)+1),2)</f>
        <v>0</v>
      </c>
      <c r="I155" s="61">
        <f>ROUND(INDEX('M03-S05'!$AA$16:$AA$198,2*(ROWS($I$151:I155)-1)+1)*INDEX('M03-S05'!$AI$16:$AI$198,2*(ROWS($I$151:I155)-1)+1),2)</f>
        <v>0</v>
      </c>
      <c r="J155" s="61" t="str">
        <f>INDEX('M03-S05'!$AK$16:$AK$198,2*(ROWS($J$151:J155)-1)+1)</f>
        <v/>
      </c>
      <c r="K155" t="s">
        <v>119</v>
      </c>
      <c r="L155" s="151">
        <f>IF(ISNUMBER(INDEX('M03-S05'!$AN$16:$AN$198,2*(ROWS($O$151:O155)-1)+1)),INDEX('M03-S05'!$AA$16:$AA$198,2*(ROWS($L$151:L155)-1)+1),0)</f>
        <v>0</v>
      </c>
      <c r="M155" s="151">
        <f>IF(ISNUMBER(INDEX('M03-S05'!$AN$16:$AN$198,2*(ROWS($O$151:O155)-1)+1)),INDEX('M03-S05'!$AZ$16:$AZ$198,2*(ROWS($M$151:M155)-1)+1),0)</f>
        <v>0</v>
      </c>
      <c r="N155" s="189">
        <f>IF(ISNUMBER(INDEX('M03-S05'!$AN$16:$AN$198,2*(ROWS($O$151:O155)-1)+1)),INDEX('M03-S05'!$AV$16:$AV$198,2*(ROWS($N$151:N155)-1)+1),0)</f>
        <v>0</v>
      </c>
      <c r="O155" s="61">
        <f>IF(ISNUMBER(INDEX('M03-S05'!$AN$16:$AN$198,2*(ROWS($O$151:O155)-1)+1)),INDEX('M03-S05'!$AN$16:$AN$198,2*(ROWS($O$151:O155)-1)+1),0)</f>
        <v>0</v>
      </c>
      <c r="P155" s="151" t="str">
        <f>IFERROR(IF(NOT(ISNUMBER(INDEX('M03-S05'!$AN$16:$AN$198,2*(ROWS($O$151:O155)-1)+1))),INDEX('M03-S05'!$AZ$16:$AZ$198,2*(ROWS($O$151:O155)-1)+1),0),"")</f>
        <v/>
      </c>
      <c r="Q155" s="189" t="str">
        <f>IFERROR(IF(NOT(ISNUMBER(INDEX('M03-S05'!$AN$16:$AN$198,2*(ROWS($O$151:O155)-1)+1))),INDEX('M03-S05'!$AV$16:$AV$198,2*(ROWS($O$151:O155)-1)+1),0),"")</f>
        <v/>
      </c>
      <c r="R155" t="str">
        <f>IFERROR(IF(NOT(ISNUMBER(INDEX('M03-S05'!$AN$16:$AN$198,2*(ROWS($O$151:O155)-1)+1))),INDEX(SPILLOVER[Spillover Reason],MATCH(INDEX('M03-S05'!$BC$16:$BC$198,2*(ROWS($O$151:O155)-1)+1),SPILLOVER[Spillover Text],0)),""),"")</f>
        <v>Not Eligible</v>
      </c>
      <c r="S155" s="156" t="str">
        <f>INDEX('M03-S05'!$P$16:$P$198,2*(ROWS($S$151:S155)-1)+1)</f>
        <v/>
      </c>
      <c r="T155" s="156" t="str">
        <f>INDEX('M03-S05'!$AC$16:$AC$198,2*(ROWS($T$151:T155)-1)+1)</f>
        <v/>
      </c>
      <c r="U155" s="151">
        <f>INDEX('M03-S05'!$B$16:$B$198,2*(ROWS($U$151:U155)-1)+1)</f>
        <v>5</v>
      </c>
      <c r="V155" s="58">
        <f>INDEX('M03-S05'!$H$16:$H$198,2*(ROWS($V$151:V155)-1)+1)</f>
        <v>0</v>
      </c>
      <c r="W155" s="58">
        <f>INDEX('M03-S05'!$T$16:$T$198,2*(ROWS($W$151:W155)-1)+1)</f>
        <v>0</v>
      </c>
      <c r="X155">
        <f>INDEX('M03-S05'!$K$16:$K$198,2*(ROWS($X$151:X155)-1)+1)</f>
        <v>0</v>
      </c>
      <c r="Y155">
        <f>INDEX('M03-S05'!$X$16:$X$198,2*(ROWS($Y$151:Y155)-1)+1)</f>
        <v>0</v>
      </c>
      <c r="Z155" s="61">
        <f>IFERROR(INDEX('M03-S05'!$AE$16:$AE$198,2*(ROWS(Z$151:$Z155)-1)+1)/INDEX('M03-S05'!$R$16:$R$198,2*(ROWS(Z$151:$Z155)-1)+1),0)</f>
        <v>0</v>
      </c>
      <c r="AA155" t="str">
        <f>IFERROR(INDEX(CMLIGHTBASE[Measure Subgroup 1],MATCH(INDEX('M03-S05'!$H$16:$H$198,2*(ROWS($V$151:V155)-1)+1),CMLIGHTBASE[Base Desc 1],0)),"")</f>
        <v/>
      </c>
      <c r="AB155" t="str">
        <f>IFERROR(INDEX(CMLIGHTBASE[Measure Subgroup 2],MATCH(INDEX('M03-S05'!$H$16:$H$198,2*(ROWS($V$151:V155)-1)+1),CMLIGHTBASE[Base Desc 1],0)),"")</f>
        <v/>
      </c>
      <c r="AC155" t="str">
        <f>IFERROR(INDEX(CMLIGHTEFF[Measure Subgroup 1],MATCH(INDEX('M03-S05'!$T$16:$T$198,2*(ROWS($W$151:W155)-1)+1),CMLIGHTEFF[Eff Desc 1],0)),"")</f>
        <v/>
      </c>
      <c r="AD155" t="str">
        <f>IFERROR(INDEX(CMLIGHTEFF[Measure Subgroup 2],MATCH(INDEX('M03-S05'!$T$16:$T$198,2*(ROWS($W$151:W155)-1)+1),CMLIGHTEFF[Eff Desc 1],0)),"")</f>
        <v/>
      </c>
      <c r="AE155" s="151">
        <f>IF(NOT(ISNUMBER(INDEX('M03-S05'!$AN$16:$AN$198,2*(ROWS($O$151:O155)-1)+1))),INDEX('M03-S05'!$AA$16:$AA$198,2*(ROWS($L$151:L155)-1)+1),0)</f>
        <v>0</v>
      </c>
      <c r="AF155" s="151" t="str">
        <f>INDEX('M03-S05'!$AW$16:$AW$198,2*(ROWS($AF$151:AF155)-1)+1)</f>
        <v/>
      </c>
      <c r="AG155" s="151" t="str">
        <f>INDEX('M03-S05'!$AX$16:$AX$198,2*(ROWS($AG$151:AG155)-1)+1)</f>
        <v/>
      </c>
      <c r="AH155" s="151" t="str">
        <f t="shared" si="44"/>
        <v/>
      </c>
      <c r="AI155" s="151" t="str">
        <f t="shared" si="45"/>
        <v/>
      </c>
      <c r="AJ155" s="61" t="str">
        <f t="shared" si="46"/>
        <v/>
      </c>
      <c r="AK155" s="61" t="str">
        <f t="shared" si="47"/>
        <v/>
      </c>
      <c r="AL155" s="61" t="str">
        <f t="shared" si="48"/>
        <v/>
      </c>
      <c r="AM155" s="61" t="str">
        <f>INDEX('M03-S05'!$AU$16:$AU$198,2*(ROWS($AM$151:AM155)-1)+1)</f>
        <v/>
      </c>
      <c r="AN155" s="61" t="str">
        <f>INDEX('M03-S05'!$BB$16:$BB$198,2*(ROWS($AN$151:AN155)-1)+1)</f>
        <v/>
      </c>
      <c r="AO155" s="151">
        <f>INDEX('M03-S05'!$N$16:$N$198,2*(ROWS($AO$151:AO155)-1)+1)</f>
        <v>0</v>
      </c>
      <c r="AP155" s="135"/>
      <c r="AQ155" s="61" t="str">
        <f>IF(INDEX('M03-S05'!$AZ$16:$AZ$198,2*(ROWS($AQ$151:AQ155)-1)+1)="","",IF(AND(INDEX('M03-S05'!$AZ$16:$AZ$198,2*(ROWS($AQ$151:AQ155)-1)+1)&lt;&gt;"",OR(ISNUMBER(SEARCH("AC With",M02S02F32)),M02S02F32="Heat Pump"),INDEX('M03-S05'!$F$16:$F$198,2*(ROWS(AQ155:AQ155)-1)+1)="Interior"),LIGHTHEATCOIN,1))</f>
        <v/>
      </c>
      <c r="AR155" s="415">
        <f>(IF(INDEX('M03-S05'!$AN$16:$AN$198,2*(ROWS($O$151:O155)-1)+1)=INDEX('M03-S05'!$BJ$16:$BJ$198,2*(ROWS($O$151:O155)-1)+1),0,(INDEX('M03-S05'!$BI$16:$BI$198,2*(ROWS($O$151:O155)-1)+1)-INDEX('M03-S05'!$BJ$16:$BJ$198,2*(ROWS($O$151:O155)-1)+1))))</f>
        <v>0</v>
      </c>
    </row>
    <row r="156" spans="1:44" x14ac:dyDescent="0.25">
      <c r="A156" s="66">
        <f t="shared" si="41"/>
        <v>0</v>
      </c>
      <c r="B156" s="66" t="str">
        <f t="shared" si="42"/>
        <v/>
      </c>
      <c r="C156" s="66" t="str">
        <f>IFERROR(IF(J156&gt;0,INDEX('M03-S05'!$AY$16:$AY$198,2*(ROWS($C$151:C156)-1)+1),""),"")</f>
        <v/>
      </c>
      <c r="D156" t="str">
        <f t="shared" si="43"/>
        <v>Custom</v>
      </c>
      <c r="E156" t="str">
        <f>IFERROR(INDEX(CMELIGHT[End Use Category],MATCH(INDEX('M03-S05'!$F$16:$F$198,2*(ROWS($E$151:E156)-1)+1),CMELIGHT[Proj Desc 1],0)),"")</f>
        <v>Lighting</v>
      </c>
      <c r="F156" s="151" t="str">
        <f>INDEX('M03-S05'!$R$16:$R$198,2*(ROWS($F$151:F156)-1)+1)</f>
        <v/>
      </c>
      <c r="G156">
        <f>INDEX('M03-S05'!$C$16:$C$198,2*(ROWS($G$151:G156)-1)+1)</f>
        <v>0</v>
      </c>
      <c r="H156" s="61">
        <f>ROUND(INDEX('M03-S05'!$AA$16:$AA$198,2*(ROWS($H$151:H156)-1)+1)*INDEX('M03-S05'!$AG$16:$AG$198,2*(ROWS($H$151:H156)-1)+1),2)</f>
        <v>0</v>
      </c>
      <c r="I156" s="61">
        <f>ROUND(INDEX('M03-S05'!$AA$16:$AA$198,2*(ROWS($I$151:I156)-1)+1)*INDEX('M03-S05'!$AI$16:$AI$198,2*(ROWS($I$151:I156)-1)+1),2)</f>
        <v>0</v>
      </c>
      <c r="J156" s="61" t="str">
        <f>INDEX('M03-S05'!$AK$16:$AK$198,2*(ROWS($J$151:J156)-1)+1)</f>
        <v/>
      </c>
      <c r="K156" t="s">
        <v>119</v>
      </c>
      <c r="L156" s="151">
        <f>IF(ISNUMBER(INDEX('M03-S05'!$AN$16:$AN$198,2*(ROWS($O$151:O156)-1)+1)),INDEX('M03-S05'!$AA$16:$AA$198,2*(ROWS($L$151:L156)-1)+1),0)</f>
        <v>0</v>
      </c>
      <c r="M156" s="151">
        <f>IF(ISNUMBER(INDEX('M03-S05'!$AN$16:$AN$198,2*(ROWS($O$151:O156)-1)+1)),INDEX('M03-S05'!$AZ$16:$AZ$198,2*(ROWS($M$151:M156)-1)+1),0)</f>
        <v>0</v>
      </c>
      <c r="N156" s="189">
        <f>IF(ISNUMBER(INDEX('M03-S05'!$AN$16:$AN$198,2*(ROWS($O$151:O156)-1)+1)),INDEX('M03-S05'!$AV$16:$AV$198,2*(ROWS($N$151:N156)-1)+1),0)</f>
        <v>0</v>
      </c>
      <c r="O156" s="61">
        <f>IF(ISNUMBER(INDEX('M03-S05'!$AN$16:$AN$198,2*(ROWS($O$151:O156)-1)+1)),INDEX('M03-S05'!$AN$16:$AN$198,2*(ROWS($O$151:O156)-1)+1),0)</f>
        <v>0</v>
      </c>
      <c r="P156" s="151" t="str">
        <f>IFERROR(IF(NOT(ISNUMBER(INDEX('M03-S05'!$AN$16:$AN$198,2*(ROWS($O$151:O156)-1)+1))),INDEX('M03-S05'!$AZ$16:$AZ$198,2*(ROWS($O$151:O156)-1)+1),0),"")</f>
        <v/>
      </c>
      <c r="Q156" s="189" t="str">
        <f>IFERROR(IF(NOT(ISNUMBER(INDEX('M03-S05'!$AN$16:$AN$198,2*(ROWS($O$151:O156)-1)+1))),INDEX('M03-S05'!$AV$16:$AV$198,2*(ROWS($O$151:O156)-1)+1),0),"")</f>
        <v/>
      </c>
      <c r="R156" t="str">
        <f>IFERROR(IF(NOT(ISNUMBER(INDEX('M03-S05'!$AN$16:$AN$198,2*(ROWS($O$151:O156)-1)+1))),INDEX(SPILLOVER[Spillover Reason],MATCH(INDEX('M03-S05'!$BC$16:$BC$198,2*(ROWS($O$151:O156)-1)+1),SPILLOVER[Spillover Text],0)),""),"")</f>
        <v>Not Eligible</v>
      </c>
      <c r="S156" s="156" t="str">
        <f>INDEX('M03-S05'!$P$16:$P$198,2*(ROWS($S$151:S156)-1)+1)</f>
        <v/>
      </c>
      <c r="T156" s="156" t="str">
        <f>INDEX('M03-S05'!$AC$16:$AC$198,2*(ROWS($T$151:T156)-1)+1)</f>
        <v/>
      </c>
      <c r="U156" s="151">
        <f>INDEX('M03-S05'!$B$16:$B$198,2*(ROWS($U$151:U156)-1)+1)</f>
        <v>6</v>
      </c>
      <c r="V156" s="58">
        <f>INDEX('M03-S05'!$H$16:$H$198,2*(ROWS($V$151:V156)-1)+1)</f>
        <v>0</v>
      </c>
      <c r="W156" s="58">
        <f>INDEX('M03-S05'!$T$16:$T$198,2*(ROWS($W$151:W156)-1)+1)</f>
        <v>0</v>
      </c>
      <c r="X156">
        <f>INDEX('M03-S05'!$K$16:$K$198,2*(ROWS($X$151:X156)-1)+1)</f>
        <v>0</v>
      </c>
      <c r="Y156">
        <f>INDEX('M03-S05'!$X$16:$X$198,2*(ROWS($Y$151:Y156)-1)+1)</f>
        <v>0</v>
      </c>
      <c r="Z156" s="61">
        <f>IFERROR(INDEX('M03-S05'!$AE$16:$AE$198,2*(ROWS(Z$151:$Z156)-1)+1)/INDEX('M03-S05'!$R$16:$R$198,2*(ROWS(Z$151:$Z156)-1)+1),0)</f>
        <v>0</v>
      </c>
      <c r="AA156" t="str">
        <f>IFERROR(INDEX(CMLIGHTBASE[Measure Subgroup 1],MATCH(INDEX('M03-S05'!$H$16:$H$198,2*(ROWS($V$151:V156)-1)+1),CMLIGHTBASE[Base Desc 1],0)),"")</f>
        <v/>
      </c>
      <c r="AB156" t="str">
        <f>IFERROR(INDEX(CMLIGHTBASE[Measure Subgroup 2],MATCH(INDEX('M03-S05'!$H$16:$H$198,2*(ROWS($V$151:V156)-1)+1),CMLIGHTBASE[Base Desc 1],0)),"")</f>
        <v/>
      </c>
      <c r="AC156" t="str">
        <f>IFERROR(INDEX(CMLIGHTEFF[Measure Subgroup 1],MATCH(INDEX('M03-S05'!$T$16:$T$198,2*(ROWS($W$151:W156)-1)+1),CMLIGHTEFF[Eff Desc 1],0)),"")</f>
        <v/>
      </c>
      <c r="AD156" t="str">
        <f>IFERROR(INDEX(CMLIGHTEFF[Measure Subgroup 2],MATCH(INDEX('M03-S05'!$T$16:$T$198,2*(ROWS($W$151:W156)-1)+1),CMLIGHTEFF[Eff Desc 1],0)),"")</f>
        <v/>
      </c>
      <c r="AE156" s="151">
        <f>IF(NOT(ISNUMBER(INDEX('M03-S05'!$AN$16:$AN$198,2*(ROWS($O$151:O156)-1)+1))),INDEX('M03-S05'!$AA$16:$AA$198,2*(ROWS($L$151:L156)-1)+1),0)</f>
        <v>0</v>
      </c>
      <c r="AF156" s="151" t="str">
        <f>INDEX('M03-S05'!$AW$16:$AW$198,2*(ROWS($AF$151:AF156)-1)+1)</f>
        <v/>
      </c>
      <c r="AG156" s="151" t="str">
        <f>INDEX('M03-S05'!$AX$16:$AX$198,2*(ROWS($AG$151:AG156)-1)+1)</f>
        <v/>
      </c>
      <c r="AH156" s="151" t="str">
        <f t="shared" si="44"/>
        <v/>
      </c>
      <c r="AI156" s="151" t="str">
        <f t="shared" si="45"/>
        <v/>
      </c>
      <c r="AJ156" s="61" t="str">
        <f t="shared" si="46"/>
        <v/>
      </c>
      <c r="AK156" s="61" t="str">
        <f t="shared" si="47"/>
        <v/>
      </c>
      <c r="AL156" s="61" t="str">
        <f t="shared" si="48"/>
        <v/>
      </c>
      <c r="AM156" s="61" t="str">
        <f>INDEX('M03-S05'!$AU$16:$AU$198,2*(ROWS($AM$151:AM156)-1)+1)</f>
        <v/>
      </c>
      <c r="AN156" s="61" t="str">
        <f>INDEX('M03-S05'!$BB$16:$BB$198,2*(ROWS($AN$151:AN156)-1)+1)</f>
        <v/>
      </c>
      <c r="AO156" s="151">
        <f>INDEX('M03-S05'!$N$16:$N$198,2*(ROWS($AO$151:AO156)-1)+1)</f>
        <v>0</v>
      </c>
      <c r="AP156" s="135"/>
      <c r="AQ156" s="61" t="str">
        <f>IF(INDEX('M03-S05'!$AZ$16:$AZ$198,2*(ROWS($AQ$151:AQ156)-1)+1)="","",IF(AND(INDEX('M03-S05'!$AZ$16:$AZ$198,2*(ROWS($AQ$151:AQ156)-1)+1)&lt;&gt;"",OR(ISNUMBER(SEARCH("AC With",M02S02F32)),M02S02F32="Heat Pump"),INDEX('M03-S05'!$F$16:$F$198,2*(ROWS(AQ156:AQ156)-1)+1)="Interior"),LIGHTHEATCOIN,1))</f>
        <v/>
      </c>
      <c r="AR156" s="415">
        <f>(IF(INDEX('M03-S05'!$AN$16:$AN$198,2*(ROWS($O$151:O156)-1)+1)=INDEX('M03-S05'!$BJ$16:$BJ$198,2*(ROWS($O$151:O156)-1)+1),0,(INDEX('M03-S05'!$BI$16:$BI$198,2*(ROWS($O$151:O156)-1)+1)-INDEX('M03-S05'!$BJ$16:$BJ$198,2*(ROWS($O$151:O156)-1)+1))))</f>
        <v>0</v>
      </c>
    </row>
    <row r="157" spans="1:44" x14ac:dyDescent="0.25">
      <c r="A157" s="66">
        <f t="shared" si="41"/>
        <v>0</v>
      </c>
      <c r="B157" s="66" t="str">
        <f t="shared" si="42"/>
        <v/>
      </c>
      <c r="C157" s="66" t="str">
        <f>IFERROR(IF(J157&gt;0,INDEX('M03-S05'!$AY$16:$AY$198,2*(ROWS($C$151:C157)-1)+1),""),"")</f>
        <v/>
      </c>
      <c r="D157" t="str">
        <f t="shared" si="43"/>
        <v>Custom</v>
      </c>
      <c r="E157" t="str">
        <f>IFERROR(INDEX(CMELIGHT[End Use Category],MATCH(INDEX('M03-S05'!$F$16:$F$198,2*(ROWS($E$151:E157)-1)+1),CMELIGHT[Proj Desc 1],0)),"")</f>
        <v>Lighting</v>
      </c>
      <c r="F157" s="151" t="str">
        <f>INDEX('M03-S05'!$R$16:$R$198,2*(ROWS($F$151:F157)-1)+1)</f>
        <v/>
      </c>
      <c r="G157">
        <f>INDEX('M03-S05'!$C$16:$C$198,2*(ROWS($G$151:G157)-1)+1)</f>
        <v>0</v>
      </c>
      <c r="H157" s="61">
        <f>ROUND(INDEX('M03-S05'!$AA$16:$AA$198,2*(ROWS($H$151:H157)-1)+1)*INDEX('M03-S05'!$AG$16:$AG$198,2*(ROWS($H$151:H157)-1)+1),2)</f>
        <v>0</v>
      </c>
      <c r="I157" s="61">
        <f>ROUND(INDEX('M03-S05'!$AA$16:$AA$198,2*(ROWS($I$151:I157)-1)+1)*INDEX('M03-S05'!$AI$16:$AI$198,2*(ROWS($I$151:I157)-1)+1),2)</f>
        <v>0</v>
      </c>
      <c r="J157" s="61" t="str">
        <f>INDEX('M03-S05'!$AK$16:$AK$198,2*(ROWS($J$151:J157)-1)+1)</f>
        <v/>
      </c>
      <c r="K157" t="s">
        <v>119</v>
      </c>
      <c r="L157" s="151">
        <f>IF(ISNUMBER(INDEX('M03-S05'!$AN$16:$AN$198,2*(ROWS($O$151:O157)-1)+1)),INDEX('M03-S05'!$AA$16:$AA$198,2*(ROWS($L$151:L157)-1)+1),0)</f>
        <v>0</v>
      </c>
      <c r="M157" s="151">
        <f>IF(ISNUMBER(INDEX('M03-S05'!$AN$16:$AN$198,2*(ROWS($O$151:O157)-1)+1)),INDEX('M03-S05'!$AZ$16:$AZ$198,2*(ROWS($M$151:M157)-1)+1),0)</f>
        <v>0</v>
      </c>
      <c r="N157" s="189">
        <f>IF(ISNUMBER(INDEX('M03-S05'!$AN$16:$AN$198,2*(ROWS($O$151:O157)-1)+1)),INDEX('M03-S05'!$AV$16:$AV$198,2*(ROWS($N$151:N157)-1)+1),0)</f>
        <v>0</v>
      </c>
      <c r="O157" s="61">
        <f>IF(ISNUMBER(INDEX('M03-S05'!$AN$16:$AN$198,2*(ROWS($O$151:O157)-1)+1)),INDEX('M03-S05'!$AN$16:$AN$198,2*(ROWS($O$151:O157)-1)+1),0)</f>
        <v>0</v>
      </c>
      <c r="P157" s="151" t="str">
        <f>IFERROR(IF(NOT(ISNUMBER(INDEX('M03-S05'!$AN$16:$AN$198,2*(ROWS($O$151:O157)-1)+1))),INDEX('M03-S05'!$AZ$16:$AZ$198,2*(ROWS($O$151:O157)-1)+1),0),"")</f>
        <v/>
      </c>
      <c r="Q157" s="189" t="str">
        <f>IFERROR(IF(NOT(ISNUMBER(INDEX('M03-S05'!$AN$16:$AN$198,2*(ROWS($O$151:O157)-1)+1))),INDEX('M03-S05'!$AV$16:$AV$198,2*(ROWS($O$151:O157)-1)+1),0),"")</f>
        <v/>
      </c>
      <c r="R157" t="str">
        <f>IFERROR(IF(NOT(ISNUMBER(INDEX('M03-S05'!$AN$16:$AN$198,2*(ROWS($O$151:O157)-1)+1))),INDEX(SPILLOVER[Spillover Reason],MATCH(INDEX('M03-S05'!$BC$16:$BC$198,2*(ROWS($O$151:O157)-1)+1),SPILLOVER[Spillover Text],0)),""),"")</f>
        <v>Not Eligible</v>
      </c>
      <c r="S157" s="156" t="str">
        <f>INDEX('M03-S05'!$P$16:$P$198,2*(ROWS($S$151:S157)-1)+1)</f>
        <v/>
      </c>
      <c r="T157" s="156" t="str">
        <f>INDEX('M03-S05'!$AC$16:$AC$198,2*(ROWS($T$151:T157)-1)+1)</f>
        <v/>
      </c>
      <c r="U157" s="151">
        <f>INDEX('M03-S05'!$B$16:$B$198,2*(ROWS($U$151:U157)-1)+1)</f>
        <v>7</v>
      </c>
      <c r="V157" s="58">
        <f>INDEX('M03-S05'!$H$16:$H$198,2*(ROWS($V$151:V157)-1)+1)</f>
        <v>0</v>
      </c>
      <c r="W157" s="58">
        <f>INDEX('M03-S05'!$T$16:$T$198,2*(ROWS($W$151:W157)-1)+1)</f>
        <v>0</v>
      </c>
      <c r="X157">
        <f>INDEX('M03-S05'!$K$16:$K$198,2*(ROWS($X$151:X157)-1)+1)</f>
        <v>0</v>
      </c>
      <c r="Y157">
        <f>INDEX('M03-S05'!$X$16:$X$198,2*(ROWS($Y$151:Y157)-1)+1)</f>
        <v>0</v>
      </c>
      <c r="Z157" s="61">
        <f>IFERROR(INDEX('M03-S05'!$AE$16:$AE$198,2*(ROWS(Z$151:$Z157)-1)+1)/INDEX('M03-S05'!$R$16:$R$198,2*(ROWS(Z$151:$Z157)-1)+1),0)</f>
        <v>0</v>
      </c>
      <c r="AA157" t="str">
        <f>IFERROR(INDEX(CMLIGHTBASE[Measure Subgroup 1],MATCH(INDEX('M03-S05'!$H$16:$H$198,2*(ROWS($V$151:V157)-1)+1),CMLIGHTBASE[Base Desc 1],0)),"")</f>
        <v/>
      </c>
      <c r="AB157" t="str">
        <f>IFERROR(INDEX(CMLIGHTBASE[Measure Subgroup 2],MATCH(INDEX('M03-S05'!$H$16:$H$198,2*(ROWS($V$151:V157)-1)+1),CMLIGHTBASE[Base Desc 1],0)),"")</f>
        <v/>
      </c>
      <c r="AC157" t="str">
        <f>IFERROR(INDEX(CMLIGHTEFF[Measure Subgroup 1],MATCH(INDEX('M03-S05'!$T$16:$T$198,2*(ROWS($W$151:W157)-1)+1),CMLIGHTEFF[Eff Desc 1],0)),"")</f>
        <v/>
      </c>
      <c r="AD157" t="str">
        <f>IFERROR(INDEX(CMLIGHTEFF[Measure Subgroup 2],MATCH(INDEX('M03-S05'!$T$16:$T$198,2*(ROWS($W$151:W157)-1)+1),CMLIGHTEFF[Eff Desc 1],0)),"")</f>
        <v/>
      </c>
      <c r="AE157" s="151">
        <f>IF(NOT(ISNUMBER(INDEX('M03-S05'!$AN$16:$AN$198,2*(ROWS($O$151:O157)-1)+1))),INDEX('M03-S05'!$AA$16:$AA$198,2*(ROWS($L$151:L157)-1)+1),0)</f>
        <v>0</v>
      </c>
      <c r="AF157" s="151" t="str">
        <f>INDEX('M03-S05'!$AW$16:$AW$198,2*(ROWS($AF$151:AF157)-1)+1)</f>
        <v/>
      </c>
      <c r="AG157" s="151" t="str">
        <f>INDEX('M03-S05'!$AX$16:$AX$198,2*(ROWS($AG$151:AG157)-1)+1)</f>
        <v/>
      </c>
      <c r="AH157" s="151" t="str">
        <f t="shared" si="44"/>
        <v/>
      </c>
      <c r="AI157" s="151" t="str">
        <f t="shared" si="45"/>
        <v/>
      </c>
      <c r="AJ157" s="61" t="str">
        <f t="shared" si="46"/>
        <v/>
      </c>
      <c r="AK157" s="61" t="str">
        <f t="shared" si="47"/>
        <v/>
      </c>
      <c r="AL157" s="61" t="str">
        <f t="shared" si="48"/>
        <v/>
      </c>
      <c r="AM157" s="61" t="str">
        <f>INDEX('M03-S05'!$AU$16:$AU$198,2*(ROWS($AM$151:AM157)-1)+1)</f>
        <v/>
      </c>
      <c r="AN157" s="61" t="str">
        <f>INDEX('M03-S05'!$BB$16:$BB$198,2*(ROWS($AN$151:AN157)-1)+1)</f>
        <v/>
      </c>
      <c r="AO157" s="151">
        <f>INDEX('M03-S05'!$N$16:$N$198,2*(ROWS($AO$151:AO157)-1)+1)</f>
        <v>0</v>
      </c>
      <c r="AP157" s="135"/>
      <c r="AQ157" s="61" t="str">
        <f>IF(INDEX('M03-S05'!$AZ$16:$AZ$198,2*(ROWS($AQ$151:AQ157)-1)+1)="","",IF(AND(INDEX('M03-S05'!$AZ$16:$AZ$198,2*(ROWS($AQ$151:AQ157)-1)+1)&lt;&gt;"",OR(ISNUMBER(SEARCH("AC With",M02S02F32)),M02S02F32="Heat Pump"),INDEX('M03-S05'!$F$16:$F$198,2*(ROWS(AQ157:AQ157)-1)+1)="Interior"),LIGHTHEATCOIN,1))</f>
        <v/>
      </c>
      <c r="AR157" s="415">
        <f>(IF(INDEX('M03-S05'!$AN$16:$AN$198,2*(ROWS($O$151:O157)-1)+1)=INDEX('M03-S05'!$BJ$16:$BJ$198,2*(ROWS($O$151:O157)-1)+1),0,(INDEX('M03-S05'!$BI$16:$BI$198,2*(ROWS($O$151:O157)-1)+1)-INDEX('M03-S05'!$BJ$16:$BJ$198,2*(ROWS($O$151:O157)-1)+1))))</f>
        <v>0</v>
      </c>
    </row>
    <row r="158" spans="1:44" x14ac:dyDescent="0.25">
      <c r="A158" s="66">
        <f t="shared" si="41"/>
        <v>0</v>
      </c>
      <c r="B158" s="66" t="str">
        <f t="shared" si="42"/>
        <v/>
      </c>
      <c r="C158" s="66" t="str">
        <f>IFERROR(IF(J158&gt;0,INDEX('M03-S05'!$AY$16:$AY$198,2*(ROWS($C$151:C158)-1)+1),""),"")</f>
        <v/>
      </c>
      <c r="D158" t="str">
        <f t="shared" si="43"/>
        <v>Custom</v>
      </c>
      <c r="E158" t="str">
        <f>IFERROR(INDEX(CMELIGHT[End Use Category],MATCH(INDEX('M03-S05'!$F$16:$F$198,2*(ROWS($E$151:E158)-1)+1),CMELIGHT[Proj Desc 1],0)),"")</f>
        <v>Lighting</v>
      </c>
      <c r="F158" s="151" t="str">
        <f>INDEX('M03-S05'!$R$16:$R$198,2*(ROWS($F$151:F158)-1)+1)</f>
        <v/>
      </c>
      <c r="G158">
        <f>INDEX('M03-S05'!$C$16:$C$198,2*(ROWS($G$151:G158)-1)+1)</f>
        <v>0</v>
      </c>
      <c r="H158" s="61">
        <f>ROUND(INDEX('M03-S05'!$AA$16:$AA$198,2*(ROWS($H$151:H158)-1)+1)*INDEX('M03-S05'!$AG$16:$AG$198,2*(ROWS($H$151:H158)-1)+1),2)</f>
        <v>0</v>
      </c>
      <c r="I158" s="61">
        <f>ROUND(INDEX('M03-S05'!$AA$16:$AA$198,2*(ROWS($I$151:I158)-1)+1)*INDEX('M03-S05'!$AI$16:$AI$198,2*(ROWS($I$151:I158)-1)+1),2)</f>
        <v>0</v>
      </c>
      <c r="J158" s="61" t="str">
        <f>INDEX('M03-S05'!$AK$16:$AK$198,2*(ROWS($J$151:J158)-1)+1)</f>
        <v/>
      </c>
      <c r="K158" t="s">
        <v>119</v>
      </c>
      <c r="L158" s="151">
        <f>IF(ISNUMBER(INDEX('M03-S05'!$AN$16:$AN$198,2*(ROWS($O$151:O158)-1)+1)),INDEX('M03-S05'!$AA$16:$AA$198,2*(ROWS($L$151:L158)-1)+1),0)</f>
        <v>0</v>
      </c>
      <c r="M158" s="151">
        <f>IF(ISNUMBER(INDEX('M03-S05'!$AN$16:$AN$198,2*(ROWS($O$151:O158)-1)+1)),INDEX('M03-S05'!$AZ$16:$AZ$198,2*(ROWS($M$151:M158)-1)+1),0)</f>
        <v>0</v>
      </c>
      <c r="N158" s="189">
        <f>IF(ISNUMBER(INDEX('M03-S05'!$AN$16:$AN$198,2*(ROWS($O$151:O158)-1)+1)),INDEX('M03-S05'!$AV$16:$AV$198,2*(ROWS($N$151:N158)-1)+1),0)</f>
        <v>0</v>
      </c>
      <c r="O158" s="61">
        <f>IF(ISNUMBER(INDEX('M03-S05'!$AN$16:$AN$198,2*(ROWS($O$151:O158)-1)+1)),INDEX('M03-S05'!$AN$16:$AN$198,2*(ROWS($O$151:O158)-1)+1),0)</f>
        <v>0</v>
      </c>
      <c r="P158" s="151" t="str">
        <f>IFERROR(IF(NOT(ISNUMBER(INDEX('M03-S05'!$AN$16:$AN$198,2*(ROWS($O$151:O158)-1)+1))),INDEX('M03-S05'!$AZ$16:$AZ$198,2*(ROWS($O$151:O158)-1)+1),0),"")</f>
        <v/>
      </c>
      <c r="Q158" s="189" t="str">
        <f>IFERROR(IF(NOT(ISNUMBER(INDEX('M03-S05'!$AN$16:$AN$198,2*(ROWS($O$151:O158)-1)+1))),INDEX('M03-S05'!$AV$16:$AV$198,2*(ROWS($O$151:O158)-1)+1),0),"")</f>
        <v/>
      </c>
      <c r="R158" t="str">
        <f>IFERROR(IF(NOT(ISNUMBER(INDEX('M03-S05'!$AN$16:$AN$198,2*(ROWS($O$151:O158)-1)+1))),INDEX(SPILLOVER[Spillover Reason],MATCH(INDEX('M03-S05'!$BC$16:$BC$198,2*(ROWS($O$151:O158)-1)+1),SPILLOVER[Spillover Text],0)),""),"")</f>
        <v>Not Eligible</v>
      </c>
      <c r="S158" s="156" t="str">
        <f>INDEX('M03-S05'!$P$16:$P$198,2*(ROWS($S$151:S158)-1)+1)</f>
        <v/>
      </c>
      <c r="T158" s="156" t="str">
        <f>INDEX('M03-S05'!$AC$16:$AC$198,2*(ROWS($T$151:T158)-1)+1)</f>
        <v/>
      </c>
      <c r="U158" s="151">
        <f>INDEX('M03-S05'!$B$16:$B$198,2*(ROWS($U$151:U158)-1)+1)</f>
        <v>8</v>
      </c>
      <c r="V158" s="58">
        <f>INDEX('M03-S05'!$H$16:$H$198,2*(ROWS($V$151:V158)-1)+1)</f>
        <v>0</v>
      </c>
      <c r="W158" s="58">
        <f>INDEX('M03-S05'!$T$16:$T$198,2*(ROWS($W$151:W158)-1)+1)</f>
        <v>0</v>
      </c>
      <c r="X158">
        <f>INDEX('M03-S05'!$K$16:$K$198,2*(ROWS($X$151:X158)-1)+1)</f>
        <v>0</v>
      </c>
      <c r="Y158">
        <f>INDEX('M03-S05'!$X$16:$X$198,2*(ROWS($Y$151:Y158)-1)+1)</f>
        <v>0</v>
      </c>
      <c r="Z158" s="61">
        <f>IFERROR(INDEX('M03-S05'!$AE$16:$AE$198,2*(ROWS(Z$151:$Z158)-1)+1)/INDEX('M03-S05'!$R$16:$R$198,2*(ROWS(Z$151:$Z158)-1)+1),0)</f>
        <v>0</v>
      </c>
      <c r="AA158" t="str">
        <f>IFERROR(INDEX(CMLIGHTBASE[Measure Subgroup 1],MATCH(INDEX('M03-S05'!$H$16:$H$198,2*(ROWS($V$151:V158)-1)+1),CMLIGHTBASE[Base Desc 1],0)),"")</f>
        <v/>
      </c>
      <c r="AB158" t="str">
        <f>IFERROR(INDEX(CMLIGHTBASE[Measure Subgroup 2],MATCH(INDEX('M03-S05'!$H$16:$H$198,2*(ROWS($V$151:V158)-1)+1),CMLIGHTBASE[Base Desc 1],0)),"")</f>
        <v/>
      </c>
      <c r="AC158" t="str">
        <f>IFERROR(INDEX(CMLIGHTEFF[Measure Subgroup 1],MATCH(INDEX('M03-S05'!$T$16:$T$198,2*(ROWS($W$151:W158)-1)+1),CMLIGHTEFF[Eff Desc 1],0)),"")</f>
        <v/>
      </c>
      <c r="AD158" t="str">
        <f>IFERROR(INDEX(CMLIGHTEFF[Measure Subgroup 2],MATCH(INDEX('M03-S05'!$T$16:$T$198,2*(ROWS($W$151:W158)-1)+1),CMLIGHTEFF[Eff Desc 1],0)),"")</f>
        <v/>
      </c>
      <c r="AE158" s="151">
        <f>IF(NOT(ISNUMBER(INDEX('M03-S05'!$AN$16:$AN$198,2*(ROWS($O$151:O158)-1)+1))),INDEX('M03-S05'!$AA$16:$AA$198,2*(ROWS($L$151:L158)-1)+1),0)</f>
        <v>0</v>
      </c>
      <c r="AF158" s="151" t="str">
        <f>INDEX('M03-S05'!$AW$16:$AW$198,2*(ROWS($AF$151:AF158)-1)+1)</f>
        <v/>
      </c>
      <c r="AG158" s="151" t="str">
        <f>INDEX('M03-S05'!$AX$16:$AX$198,2*(ROWS($AG$151:AG158)-1)+1)</f>
        <v/>
      </c>
      <c r="AH158" s="151" t="str">
        <f t="shared" si="44"/>
        <v/>
      </c>
      <c r="AI158" s="151" t="str">
        <f t="shared" si="45"/>
        <v/>
      </c>
      <c r="AJ158" s="61" t="str">
        <f t="shared" si="46"/>
        <v/>
      </c>
      <c r="AK158" s="61" t="str">
        <f t="shared" si="47"/>
        <v/>
      </c>
      <c r="AL158" s="61" t="str">
        <f t="shared" si="48"/>
        <v/>
      </c>
      <c r="AM158" s="61" t="str">
        <f>INDEX('M03-S05'!$AU$16:$AU$198,2*(ROWS($AM$151:AM158)-1)+1)</f>
        <v/>
      </c>
      <c r="AN158" s="61" t="str">
        <f>INDEX('M03-S05'!$BB$16:$BB$198,2*(ROWS($AN$151:AN158)-1)+1)</f>
        <v/>
      </c>
      <c r="AO158" s="151">
        <f>INDEX('M03-S05'!$N$16:$N$198,2*(ROWS($AO$151:AO158)-1)+1)</f>
        <v>0</v>
      </c>
      <c r="AP158" s="135"/>
      <c r="AQ158" s="61" t="str">
        <f>IF(INDEX('M03-S05'!$AZ$16:$AZ$198,2*(ROWS($AQ$151:AQ158)-1)+1)="","",IF(AND(INDEX('M03-S05'!$AZ$16:$AZ$198,2*(ROWS($AQ$151:AQ158)-1)+1)&lt;&gt;"",OR(ISNUMBER(SEARCH("AC With",M02S02F32)),M02S02F32="Heat Pump"),INDEX('M03-S05'!$F$16:$F$198,2*(ROWS(AQ158:AQ158)-1)+1)="Interior"),LIGHTHEATCOIN,1))</f>
        <v/>
      </c>
      <c r="AR158" s="415">
        <f>(IF(INDEX('M03-S05'!$AN$16:$AN$198,2*(ROWS($O$151:O158)-1)+1)=INDEX('M03-S05'!$BJ$16:$BJ$198,2*(ROWS($O$151:O158)-1)+1),0,(INDEX('M03-S05'!$BI$16:$BI$198,2*(ROWS($O$151:O158)-1)+1)-INDEX('M03-S05'!$BJ$16:$BJ$198,2*(ROWS($O$151:O158)-1)+1))))</f>
        <v>0</v>
      </c>
    </row>
    <row r="159" spans="1:44" x14ac:dyDescent="0.25">
      <c r="A159" s="66">
        <f t="shared" si="41"/>
        <v>0</v>
      </c>
      <c r="B159" s="66" t="str">
        <f t="shared" si="42"/>
        <v/>
      </c>
      <c r="C159" s="66" t="str">
        <f>IFERROR(IF(J159&gt;0,INDEX('M03-S05'!$AY$16:$AY$198,2*(ROWS($C$151:C159)-1)+1),""),"")</f>
        <v/>
      </c>
      <c r="D159" t="str">
        <f t="shared" si="43"/>
        <v>Custom</v>
      </c>
      <c r="E159" t="str">
        <f>IFERROR(INDEX(CMELIGHT[End Use Category],MATCH(INDEX('M03-S05'!$F$16:$F$198,2*(ROWS($E$151:E159)-1)+1),CMELIGHT[Proj Desc 1],0)),"")</f>
        <v>Lighting</v>
      </c>
      <c r="F159" s="151" t="str">
        <f>INDEX('M03-S05'!$R$16:$R$198,2*(ROWS($F$151:F159)-1)+1)</f>
        <v/>
      </c>
      <c r="G159">
        <f>INDEX('M03-S05'!$C$16:$C$198,2*(ROWS($G$151:G159)-1)+1)</f>
        <v>0</v>
      </c>
      <c r="H159" s="61">
        <f>ROUND(INDEX('M03-S05'!$AA$16:$AA$198,2*(ROWS($H$151:H159)-1)+1)*INDEX('M03-S05'!$AG$16:$AG$198,2*(ROWS($H$151:H159)-1)+1),2)</f>
        <v>0</v>
      </c>
      <c r="I159" s="61">
        <f>ROUND(INDEX('M03-S05'!$AA$16:$AA$198,2*(ROWS($I$151:I159)-1)+1)*INDEX('M03-S05'!$AI$16:$AI$198,2*(ROWS($I$151:I159)-1)+1),2)</f>
        <v>0</v>
      </c>
      <c r="J159" s="61" t="str">
        <f>INDEX('M03-S05'!$AK$16:$AK$198,2*(ROWS($J$151:J159)-1)+1)</f>
        <v/>
      </c>
      <c r="K159" t="s">
        <v>119</v>
      </c>
      <c r="L159" s="151">
        <f>IF(ISNUMBER(INDEX('M03-S05'!$AN$16:$AN$198,2*(ROWS($O$151:O159)-1)+1)),INDEX('M03-S05'!$AA$16:$AA$198,2*(ROWS($L$151:L159)-1)+1),0)</f>
        <v>0</v>
      </c>
      <c r="M159" s="151">
        <f>IF(ISNUMBER(INDEX('M03-S05'!$AN$16:$AN$198,2*(ROWS($O$151:O159)-1)+1)),INDEX('M03-S05'!$AZ$16:$AZ$198,2*(ROWS($M$151:M159)-1)+1),0)</f>
        <v>0</v>
      </c>
      <c r="N159" s="189">
        <f>IF(ISNUMBER(INDEX('M03-S05'!$AN$16:$AN$198,2*(ROWS($O$151:O159)-1)+1)),INDEX('M03-S05'!$AV$16:$AV$198,2*(ROWS($N$151:N159)-1)+1),0)</f>
        <v>0</v>
      </c>
      <c r="O159" s="61">
        <f>IF(ISNUMBER(INDEX('M03-S05'!$AN$16:$AN$198,2*(ROWS($O$151:O159)-1)+1)),INDEX('M03-S05'!$AN$16:$AN$198,2*(ROWS($O$151:O159)-1)+1),0)</f>
        <v>0</v>
      </c>
      <c r="P159" s="151" t="str">
        <f>IFERROR(IF(NOT(ISNUMBER(INDEX('M03-S05'!$AN$16:$AN$198,2*(ROWS($O$151:O159)-1)+1))),INDEX('M03-S05'!$AZ$16:$AZ$198,2*(ROWS($O$151:O159)-1)+1),0),"")</f>
        <v/>
      </c>
      <c r="Q159" s="189" t="str">
        <f>IFERROR(IF(NOT(ISNUMBER(INDEX('M03-S05'!$AN$16:$AN$198,2*(ROWS($O$151:O159)-1)+1))),INDEX('M03-S05'!$AV$16:$AV$198,2*(ROWS($O$151:O159)-1)+1),0),"")</f>
        <v/>
      </c>
      <c r="R159" t="str">
        <f>IFERROR(IF(NOT(ISNUMBER(INDEX('M03-S05'!$AN$16:$AN$198,2*(ROWS($O$151:O159)-1)+1))),INDEX(SPILLOVER[Spillover Reason],MATCH(INDEX('M03-S05'!$BC$16:$BC$198,2*(ROWS($O$151:O159)-1)+1),SPILLOVER[Spillover Text],0)),""),"")</f>
        <v>Not Eligible</v>
      </c>
      <c r="S159" s="156" t="str">
        <f>INDEX('M03-S05'!$P$16:$P$198,2*(ROWS($S$151:S159)-1)+1)</f>
        <v/>
      </c>
      <c r="T159" s="156" t="str">
        <f>INDEX('M03-S05'!$AC$16:$AC$198,2*(ROWS($T$151:T159)-1)+1)</f>
        <v/>
      </c>
      <c r="U159" s="151">
        <f>INDEX('M03-S05'!$B$16:$B$198,2*(ROWS($U$151:U159)-1)+1)</f>
        <v>9</v>
      </c>
      <c r="V159" s="58">
        <f>INDEX('M03-S05'!$H$16:$H$198,2*(ROWS($V$151:V159)-1)+1)</f>
        <v>0</v>
      </c>
      <c r="W159" s="58">
        <f>INDEX('M03-S05'!$T$16:$T$198,2*(ROWS($W$151:W159)-1)+1)</f>
        <v>0</v>
      </c>
      <c r="X159">
        <f>INDEX('M03-S05'!$K$16:$K$198,2*(ROWS($X$151:X159)-1)+1)</f>
        <v>0</v>
      </c>
      <c r="Y159">
        <f>INDEX('M03-S05'!$X$16:$X$198,2*(ROWS($Y$151:Y159)-1)+1)</f>
        <v>0</v>
      </c>
      <c r="Z159" s="61">
        <f>IFERROR(INDEX('M03-S05'!$AE$16:$AE$198,2*(ROWS(Z$151:$Z159)-1)+1)/INDEX('M03-S05'!$R$16:$R$198,2*(ROWS(Z$151:$Z159)-1)+1),0)</f>
        <v>0</v>
      </c>
      <c r="AA159" t="str">
        <f>IFERROR(INDEX(CMLIGHTBASE[Measure Subgroup 1],MATCH(INDEX('M03-S05'!$H$16:$H$198,2*(ROWS($V$151:V159)-1)+1),CMLIGHTBASE[Base Desc 1],0)),"")</f>
        <v/>
      </c>
      <c r="AB159" t="str">
        <f>IFERROR(INDEX(CMLIGHTBASE[Measure Subgroup 2],MATCH(INDEX('M03-S05'!$H$16:$H$198,2*(ROWS($V$151:V159)-1)+1),CMLIGHTBASE[Base Desc 1],0)),"")</f>
        <v/>
      </c>
      <c r="AC159" t="str">
        <f>IFERROR(INDEX(CMLIGHTEFF[Measure Subgroup 1],MATCH(INDEX('M03-S05'!$T$16:$T$198,2*(ROWS($W$151:W159)-1)+1),CMLIGHTEFF[Eff Desc 1],0)),"")</f>
        <v/>
      </c>
      <c r="AD159" t="str">
        <f>IFERROR(INDEX(CMLIGHTEFF[Measure Subgroup 2],MATCH(INDEX('M03-S05'!$T$16:$T$198,2*(ROWS($W$151:W159)-1)+1),CMLIGHTEFF[Eff Desc 1],0)),"")</f>
        <v/>
      </c>
      <c r="AE159" s="151">
        <f>IF(NOT(ISNUMBER(INDEX('M03-S05'!$AN$16:$AN$198,2*(ROWS($O$151:O159)-1)+1))),INDEX('M03-S05'!$AA$16:$AA$198,2*(ROWS($L$151:L159)-1)+1),0)</f>
        <v>0</v>
      </c>
      <c r="AF159" s="151" t="str">
        <f>INDEX('M03-S05'!$AW$16:$AW$198,2*(ROWS($AF$151:AF159)-1)+1)</f>
        <v/>
      </c>
      <c r="AG159" s="151" t="str">
        <f>INDEX('M03-S05'!$AX$16:$AX$198,2*(ROWS($AG$151:AG159)-1)+1)</f>
        <v/>
      </c>
      <c r="AH159" s="151" t="str">
        <f t="shared" si="44"/>
        <v/>
      </c>
      <c r="AI159" s="151" t="str">
        <f t="shared" si="45"/>
        <v/>
      </c>
      <c r="AJ159" s="61" t="str">
        <f t="shared" si="46"/>
        <v/>
      </c>
      <c r="AK159" s="61" t="str">
        <f t="shared" si="47"/>
        <v/>
      </c>
      <c r="AL159" s="61" t="str">
        <f t="shared" si="48"/>
        <v/>
      </c>
      <c r="AM159" s="61" t="str">
        <f>INDEX('M03-S05'!$AU$16:$AU$198,2*(ROWS($AM$151:AM159)-1)+1)</f>
        <v/>
      </c>
      <c r="AN159" s="61" t="str">
        <f>INDEX('M03-S05'!$BB$16:$BB$198,2*(ROWS($AN$151:AN159)-1)+1)</f>
        <v/>
      </c>
      <c r="AO159" s="151">
        <f>INDEX('M03-S05'!$N$16:$N$198,2*(ROWS($AO$151:AO159)-1)+1)</f>
        <v>0</v>
      </c>
      <c r="AP159" s="135"/>
      <c r="AQ159" s="61" t="str">
        <f>IF(INDEX('M03-S05'!$AZ$16:$AZ$198,2*(ROWS($AQ$151:AQ159)-1)+1)="","",IF(AND(INDEX('M03-S05'!$AZ$16:$AZ$198,2*(ROWS($AQ$151:AQ159)-1)+1)&lt;&gt;"",OR(ISNUMBER(SEARCH("AC With",M02S02F32)),M02S02F32="Heat Pump"),INDEX('M03-S05'!$F$16:$F$198,2*(ROWS(AQ159:AQ159)-1)+1)="Interior"),LIGHTHEATCOIN,1))</f>
        <v/>
      </c>
      <c r="AR159" s="415">
        <f>(IF(INDEX('M03-S05'!$AN$16:$AN$198,2*(ROWS($O$151:O159)-1)+1)=INDEX('M03-S05'!$BJ$16:$BJ$198,2*(ROWS($O$151:O159)-1)+1),0,(INDEX('M03-S05'!$BI$16:$BI$198,2*(ROWS($O$151:O159)-1)+1)-INDEX('M03-S05'!$BJ$16:$BJ$198,2*(ROWS($O$151:O159)-1)+1))))</f>
        <v>0</v>
      </c>
    </row>
    <row r="160" spans="1:44" x14ac:dyDescent="0.25">
      <c r="A160" s="66">
        <f t="shared" si="41"/>
        <v>0</v>
      </c>
      <c r="B160" s="66" t="str">
        <f t="shared" si="42"/>
        <v/>
      </c>
      <c r="C160" s="66" t="str">
        <f>IFERROR(IF(J160&gt;0,INDEX('M03-S05'!$AY$16:$AY$198,2*(ROWS($C$151:C160)-1)+1),""),"")</f>
        <v/>
      </c>
      <c r="D160" t="str">
        <f t="shared" si="43"/>
        <v>Custom</v>
      </c>
      <c r="E160" t="str">
        <f>IFERROR(INDEX(CMELIGHT[End Use Category],MATCH(INDEX('M03-S05'!$F$16:$F$198,2*(ROWS($E$151:E160)-1)+1),CMELIGHT[Proj Desc 1],0)),"")</f>
        <v>Lighting</v>
      </c>
      <c r="F160" s="151" t="str">
        <f>INDEX('M03-S05'!$R$16:$R$198,2*(ROWS($F$151:F160)-1)+1)</f>
        <v/>
      </c>
      <c r="G160">
        <f>INDEX('M03-S05'!$C$16:$C$198,2*(ROWS($G$151:G160)-1)+1)</f>
        <v>0</v>
      </c>
      <c r="H160" s="61">
        <f>ROUND(INDEX('M03-S05'!$AA$16:$AA$198,2*(ROWS($H$151:H160)-1)+1)*INDEX('M03-S05'!$AG$16:$AG$198,2*(ROWS($H$151:H160)-1)+1),2)</f>
        <v>0</v>
      </c>
      <c r="I160" s="61">
        <f>ROUND(INDEX('M03-S05'!$AA$16:$AA$198,2*(ROWS($I$151:I160)-1)+1)*INDEX('M03-S05'!$AI$16:$AI$198,2*(ROWS($I$151:I160)-1)+1),2)</f>
        <v>0</v>
      </c>
      <c r="J160" s="61" t="str">
        <f>INDEX('M03-S05'!$AK$16:$AK$198,2*(ROWS($J$151:J160)-1)+1)</f>
        <v/>
      </c>
      <c r="K160" t="s">
        <v>119</v>
      </c>
      <c r="L160" s="151">
        <f>IF(ISNUMBER(INDEX('M03-S05'!$AN$16:$AN$198,2*(ROWS($O$151:O160)-1)+1)),INDEX('M03-S05'!$AA$16:$AA$198,2*(ROWS($L$151:L160)-1)+1),0)</f>
        <v>0</v>
      </c>
      <c r="M160" s="151">
        <f>IF(ISNUMBER(INDEX('M03-S05'!$AN$16:$AN$198,2*(ROWS($O$151:O160)-1)+1)),INDEX('M03-S05'!$AZ$16:$AZ$198,2*(ROWS($M$151:M160)-1)+1),0)</f>
        <v>0</v>
      </c>
      <c r="N160" s="189">
        <f>IF(ISNUMBER(INDEX('M03-S05'!$AN$16:$AN$198,2*(ROWS($O$151:O160)-1)+1)),INDEX('M03-S05'!$AV$16:$AV$198,2*(ROWS($N$151:N160)-1)+1),0)</f>
        <v>0</v>
      </c>
      <c r="O160" s="61">
        <f>IF(ISNUMBER(INDEX('M03-S05'!$AN$16:$AN$198,2*(ROWS($O$151:O160)-1)+1)),INDEX('M03-S05'!$AN$16:$AN$198,2*(ROWS($O$151:O160)-1)+1),0)</f>
        <v>0</v>
      </c>
      <c r="P160" s="151" t="str">
        <f>IFERROR(IF(NOT(ISNUMBER(INDEX('M03-S05'!$AN$16:$AN$198,2*(ROWS($O$151:O160)-1)+1))),INDEX('M03-S05'!$AZ$16:$AZ$198,2*(ROWS($O$151:O160)-1)+1),0),"")</f>
        <v/>
      </c>
      <c r="Q160" s="189" t="str">
        <f>IFERROR(IF(NOT(ISNUMBER(INDEX('M03-S05'!$AN$16:$AN$198,2*(ROWS($O$151:O160)-1)+1))),INDEX('M03-S05'!$AV$16:$AV$198,2*(ROWS($O$151:O160)-1)+1),0),"")</f>
        <v/>
      </c>
      <c r="R160" t="str">
        <f>IFERROR(IF(NOT(ISNUMBER(INDEX('M03-S05'!$AN$16:$AN$198,2*(ROWS($O$151:O160)-1)+1))),INDEX(SPILLOVER[Spillover Reason],MATCH(INDEX('M03-S05'!$BC$16:$BC$198,2*(ROWS($O$151:O160)-1)+1),SPILLOVER[Spillover Text],0)),""),"")</f>
        <v>Not Eligible</v>
      </c>
      <c r="S160" s="156" t="str">
        <f>INDEX('M03-S05'!$P$16:$P$198,2*(ROWS($S$151:S160)-1)+1)</f>
        <v/>
      </c>
      <c r="T160" s="156" t="str">
        <f>INDEX('M03-S05'!$AC$16:$AC$198,2*(ROWS($T$151:T160)-1)+1)</f>
        <v/>
      </c>
      <c r="U160" s="151">
        <f>INDEX('M03-S05'!$B$16:$B$198,2*(ROWS($U$151:U160)-1)+1)</f>
        <v>10</v>
      </c>
      <c r="V160" s="58">
        <f>INDEX('M03-S05'!$H$16:$H$198,2*(ROWS($V$151:V160)-1)+1)</f>
        <v>0</v>
      </c>
      <c r="W160" s="58">
        <f>INDEX('M03-S05'!$T$16:$T$198,2*(ROWS($W$151:W160)-1)+1)</f>
        <v>0</v>
      </c>
      <c r="X160">
        <f>INDEX('M03-S05'!$K$16:$K$198,2*(ROWS($X$151:X160)-1)+1)</f>
        <v>0</v>
      </c>
      <c r="Y160">
        <f>INDEX('M03-S05'!$X$16:$X$198,2*(ROWS($Y$151:Y160)-1)+1)</f>
        <v>0</v>
      </c>
      <c r="Z160" s="61">
        <f>IFERROR(INDEX('M03-S05'!$AE$16:$AE$198,2*(ROWS(Z$151:$Z160)-1)+1)/INDEX('M03-S05'!$R$16:$R$198,2*(ROWS(Z$151:$Z160)-1)+1),0)</f>
        <v>0</v>
      </c>
      <c r="AA160" t="str">
        <f>IFERROR(INDEX(CMLIGHTBASE[Measure Subgroup 1],MATCH(INDEX('M03-S05'!$H$16:$H$198,2*(ROWS($V$151:V160)-1)+1),CMLIGHTBASE[Base Desc 1],0)),"")</f>
        <v/>
      </c>
      <c r="AB160" t="str">
        <f>IFERROR(INDEX(CMLIGHTBASE[Measure Subgroup 2],MATCH(INDEX('M03-S05'!$H$16:$H$198,2*(ROWS($V$151:V160)-1)+1),CMLIGHTBASE[Base Desc 1],0)),"")</f>
        <v/>
      </c>
      <c r="AC160" t="str">
        <f>IFERROR(INDEX(CMLIGHTEFF[Measure Subgroup 1],MATCH(INDEX('M03-S05'!$T$16:$T$198,2*(ROWS($W$151:W160)-1)+1),CMLIGHTEFF[Eff Desc 1],0)),"")</f>
        <v/>
      </c>
      <c r="AD160" t="str">
        <f>IFERROR(INDEX(CMLIGHTEFF[Measure Subgroup 2],MATCH(INDEX('M03-S05'!$T$16:$T$198,2*(ROWS($W$151:W160)-1)+1),CMLIGHTEFF[Eff Desc 1],0)),"")</f>
        <v/>
      </c>
      <c r="AE160" s="151">
        <f>IF(NOT(ISNUMBER(INDEX('M03-S05'!$AN$16:$AN$198,2*(ROWS($O$151:O160)-1)+1))),INDEX('M03-S05'!$AA$16:$AA$198,2*(ROWS($L$151:L160)-1)+1),0)</f>
        <v>0</v>
      </c>
      <c r="AF160" s="151" t="str">
        <f>INDEX('M03-S05'!$AW$16:$AW$198,2*(ROWS($AF$151:AF160)-1)+1)</f>
        <v/>
      </c>
      <c r="AG160" s="151" t="str">
        <f>INDEX('M03-S05'!$AX$16:$AX$198,2*(ROWS($AG$151:AG160)-1)+1)</f>
        <v/>
      </c>
      <c r="AH160" s="151" t="str">
        <f t="shared" si="44"/>
        <v/>
      </c>
      <c r="AI160" s="151" t="str">
        <f t="shared" si="45"/>
        <v/>
      </c>
      <c r="AJ160" s="61" t="str">
        <f t="shared" si="46"/>
        <v/>
      </c>
      <c r="AK160" s="61" t="str">
        <f t="shared" si="47"/>
        <v/>
      </c>
      <c r="AL160" s="61" t="str">
        <f t="shared" si="48"/>
        <v/>
      </c>
      <c r="AM160" s="61" t="str">
        <f>INDEX('M03-S05'!$AU$16:$AU$198,2*(ROWS($AM$151:AM160)-1)+1)</f>
        <v/>
      </c>
      <c r="AN160" s="61" t="str">
        <f>INDEX('M03-S05'!$BB$16:$BB$198,2*(ROWS($AN$151:AN160)-1)+1)</f>
        <v/>
      </c>
      <c r="AO160" s="151">
        <f>INDEX('M03-S05'!$N$16:$N$198,2*(ROWS($AO$151:AO160)-1)+1)</f>
        <v>0</v>
      </c>
      <c r="AP160" s="135"/>
      <c r="AQ160" s="61" t="str">
        <f>IF(INDEX('M03-S05'!$AZ$16:$AZ$198,2*(ROWS($AQ$151:AQ160)-1)+1)="","",IF(AND(INDEX('M03-S05'!$AZ$16:$AZ$198,2*(ROWS($AQ$151:AQ160)-1)+1)&lt;&gt;"",OR(ISNUMBER(SEARCH("AC With",M02S02F32)),M02S02F32="Heat Pump"),INDEX('M03-S05'!$F$16:$F$198,2*(ROWS(AQ160:AQ160)-1)+1)="Interior"),LIGHTHEATCOIN,1))</f>
        <v/>
      </c>
      <c r="AR160" s="415">
        <f>(IF(INDEX('M03-S05'!$AN$16:$AN$198,2*(ROWS($O$151:O160)-1)+1)=INDEX('M03-S05'!$BJ$16:$BJ$198,2*(ROWS($O$151:O160)-1)+1),0,(INDEX('M03-S05'!$BI$16:$BI$198,2*(ROWS($O$151:O160)-1)+1)-INDEX('M03-S05'!$BJ$16:$BJ$198,2*(ROWS($O$151:O160)-1)+1))))</f>
        <v>0</v>
      </c>
    </row>
    <row r="161" spans="1:44" x14ac:dyDescent="0.25">
      <c r="A161" s="66">
        <f t="shared" si="41"/>
        <v>0</v>
      </c>
      <c r="B161" s="66" t="str">
        <f t="shared" si="42"/>
        <v/>
      </c>
      <c r="C161" s="66" t="str">
        <f>IFERROR(IF(J161&gt;0,INDEX('M03-S05'!$AY$16:$AY$198,2*(ROWS($C$151:C161)-1)+1),""),"")</f>
        <v/>
      </c>
      <c r="D161" t="str">
        <f t="shared" si="43"/>
        <v>Custom</v>
      </c>
      <c r="E161" t="str">
        <f>IFERROR(INDEX(CMELIGHT[End Use Category],MATCH(INDEX('M03-S05'!$F$16:$F$198,2*(ROWS($E$151:E161)-1)+1),CMELIGHT[Proj Desc 1],0)),"")</f>
        <v>Lighting</v>
      </c>
      <c r="F161" s="151" t="str">
        <f>INDEX('M03-S05'!$R$16:$R$198,2*(ROWS($F$151:F161)-1)+1)</f>
        <v/>
      </c>
      <c r="G161">
        <f>INDEX('M03-S05'!$C$16:$C$198,2*(ROWS($G$151:G161)-1)+1)</f>
        <v>0</v>
      </c>
      <c r="H161" s="61">
        <f>ROUND(INDEX('M03-S05'!$AA$16:$AA$198,2*(ROWS($H$151:H161)-1)+1)*INDEX('M03-S05'!$AG$16:$AG$198,2*(ROWS($H$151:H161)-1)+1),2)</f>
        <v>0</v>
      </c>
      <c r="I161" s="61">
        <f>ROUND(INDEX('M03-S05'!$AA$16:$AA$198,2*(ROWS($I$151:I161)-1)+1)*INDEX('M03-S05'!$AI$16:$AI$198,2*(ROWS($I$151:I161)-1)+1),2)</f>
        <v>0</v>
      </c>
      <c r="J161" s="61" t="str">
        <f>INDEX('M03-S05'!$AK$16:$AK$198,2*(ROWS($J$151:J161)-1)+1)</f>
        <v/>
      </c>
      <c r="K161" t="s">
        <v>119</v>
      </c>
      <c r="L161" s="151">
        <f>IF(ISNUMBER(INDEX('M03-S05'!$AN$16:$AN$198,2*(ROWS($O$151:O161)-1)+1)),INDEX('M03-S05'!$AA$16:$AA$198,2*(ROWS($L$151:L161)-1)+1),0)</f>
        <v>0</v>
      </c>
      <c r="M161" s="151">
        <f>IF(ISNUMBER(INDEX('M03-S05'!$AN$16:$AN$198,2*(ROWS($O$151:O161)-1)+1)),INDEX('M03-S05'!$AZ$16:$AZ$198,2*(ROWS($M$151:M161)-1)+1),0)</f>
        <v>0</v>
      </c>
      <c r="N161" s="189">
        <f>IF(ISNUMBER(INDEX('M03-S05'!$AN$16:$AN$198,2*(ROWS($O$151:O161)-1)+1)),INDEX('M03-S05'!$AV$16:$AV$198,2*(ROWS($N$151:N161)-1)+1),0)</f>
        <v>0</v>
      </c>
      <c r="O161" s="61">
        <f>IF(ISNUMBER(INDEX('M03-S05'!$AN$16:$AN$198,2*(ROWS($O$151:O161)-1)+1)),INDEX('M03-S05'!$AN$16:$AN$198,2*(ROWS($O$151:O161)-1)+1),0)</f>
        <v>0</v>
      </c>
      <c r="P161" s="151" t="str">
        <f>IFERROR(IF(NOT(ISNUMBER(INDEX('M03-S05'!$AN$16:$AN$198,2*(ROWS($O$151:O161)-1)+1))),INDEX('M03-S05'!$AZ$16:$AZ$198,2*(ROWS($O$151:O161)-1)+1),0),"")</f>
        <v/>
      </c>
      <c r="Q161" s="189" t="str">
        <f>IFERROR(IF(NOT(ISNUMBER(INDEX('M03-S05'!$AN$16:$AN$198,2*(ROWS($O$151:O161)-1)+1))),INDEX('M03-S05'!$AV$16:$AV$198,2*(ROWS($O$151:O161)-1)+1),0),"")</f>
        <v/>
      </c>
      <c r="R161" t="str">
        <f>IFERROR(IF(NOT(ISNUMBER(INDEX('M03-S05'!$AN$16:$AN$198,2*(ROWS($O$151:O161)-1)+1))),INDEX(SPILLOVER[Spillover Reason],MATCH(INDEX('M03-S05'!$BC$16:$BC$198,2*(ROWS($O$151:O161)-1)+1),SPILLOVER[Spillover Text],0)),""),"")</f>
        <v>Not Eligible</v>
      </c>
      <c r="S161" s="156" t="str">
        <f>INDEX('M03-S05'!$P$16:$P$198,2*(ROWS($S$151:S161)-1)+1)</f>
        <v/>
      </c>
      <c r="T161" s="156" t="str">
        <f>INDEX('M03-S05'!$AC$16:$AC$198,2*(ROWS($T$151:T161)-1)+1)</f>
        <v/>
      </c>
      <c r="U161" s="151">
        <f>INDEX('M03-S05'!$B$16:$B$198,2*(ROWS($U$151:U161)-1)+1)</f>
        <v>11</v>
      </c>
      <c r="V161" s="58">
        <f>INDEX('M03-S05'!$H$16:$H$198,2*(ROWS($V$151:V161)-1)+1)</f>
        <v>0</v>
      </c>
      <c r="W161" s="58">
        <f>INDEX('M03-S05'!$T$16:$T$198,2*(ROWS($W$151:W161)-1)+1)</f>
        <v>0</v>
      </c>
      <c r="X161">
        <f>INDEX('M03-S05'!$K$16:$K$198,2*(ROWS($X$151:X161)-1)+1)</f>
        <v>0</v>
      </c>
      <c r="Y161">
        <f>INDEX('M03-S05'!$X$16:$X$198,2*(ROWS($Y$151:Y161)-1)+1)</f>
        <v>0</v>
      </c>
      <c r="Z161" s="61">
        <f>IFERROR(INDEX('M03-S05'!$AE$16:$AE$198,2*(ROWS(Z$151:$Z161)-1)+1)/INDEX('M03-S05'!$R$16:$R$198,2*(ROWS(Z$151:$Z161)-1)+1),0)</f>
        <v>0</v>
      </c>
      <c r="AA161" t="str">
        <f>IFERROR(INDEX(CMLIGHTBASE[Measure Subgroup 1],MATCH(INDEX('M03-S05'!$H$16:$H$198,2*(ROWS($V$151:V161)-1)+1),CMLIGHTBASE[Base Desc 1],0)),"")</f>
        <v/>
      </c>
      <c r="AB161" t="str">
        <f>IFERROR(INDEX(CMLIGHTBASE[Measure Subgroup 2],MATCH(INDEX('M03-S05'!$H$16:$H$198,2*(ROWS($V$151:V161)-1)+1),CMLIGHTBASE[Base Desc 1],0)),"")</f>
        <v/>
      </c>
      <c r="AC161" t="str">
        <f>IFERROR(INDEX(CMLIGHTEFF[Measure Subgroup 1],MATCH(INDEX('M03-S05'!$T$16:$T$198,2*(ROWS($W$151:W161)-1)+1),CMLIGHTEFF[Eff Desc 1],0)),"")</f>
        <v/>
      </c>
      <c r="AD161" t="str">
        <f>IFERROR(INDEX(CMLIGHTEFF[Measure Subgroup 2],MATCH(INDEX('M03-S05'!$T$16:$T$198,2*(ROWS($W$151:W161)-1)+1),CMLIGHTEFF[Eff Desc 1],0)),"")</f>
        <v/>
      </c>
      <c r="AE161" s="151">
        <f>IF(NOT(ISNUMBER(INDEX('M03-S05'!$AN$16:$AN$198,2*(ROWS($O$151:O161)-1)+1))),INDEX('M03-S05'!$AA$16:$AA$198,2*(ROWS($L$151:L161)-1)+1),0)</f>
        <v>0</v>
      </c>
      <c r="AF161" s="151" t="str">
        <f>INDEX('M03-S05'!$AW$16:$AW$198,2*(ROWS($AF$151:AF161)-1)+1)</f>
        <v/>
      </c>
      <c r="AG161" s="151" t="str">
        <f>INDEX('M03-S05'!$AX$16:$AX$198,2*(ROWS($AG$151:AG161)-1)+1)</f>
        <v/>
      </c>
      <c r="AH161" s="151" t="str">
        <f t="shared" si="44"/>
        <v/>
      </c>
      <c r="AI161" s="151" t="str">
        <f t="shared" si="45"/>
        <v/>
      </c>
      <c r="AJ161" s="61" t="str">
        <f t="shared" si="46"/>
        <v/>
      </c>
      <c r="AK161" s="61" t="str">
        <f t="shared" si="47"/>
        <v/>
      </c>
      <c r="AL161" s="61" t="str">
        <f t="shared" si="48"/>
        <v/>
      </c>
      <c r="AM161" s="61" t="str">
        <f>INDEX('M03-S05'!$AU$16:$AU$198,2*(ROWS($AM$151:AM161)-1)+1)</f>
        <v/>
      </c>
      <c r="AN161" s="61" t="str">
        <f>INDEX('M03-S05'!$BB$16:$BB$198,2*(ROWS($AN$151:AN161)-1)+1)</f>
        <v/>
      </c>
      <c r="AO161" s="151">
        <f>INDEX('M03-S05'!$N$16:$N$198,2*(ROWS($AO$151:AO161)-1)+1)</f>
        <v>0</v>
      </c>
      <c r="AP161" s="135"/>
      <c r="AQ161" s="61" t="str">
        <f>IF(INDEX('M03-S05'!$AZ$16:$AZ$198,2*(ROWS($AQ$151:AQ161)-1)+1)="","",IF(AND(INDEX('M03-S05'!$AZ$16:$AZ$198,2*(ROWS($AQ$151:AQ161)-1)+1)&lt;&gt;"",OR(ISNUMBER(SEARCH("AC With",M02S02F32)),M02S02F32="Heat Pump"),INDEX('M03-S05'!$F$16:$F$198,2*(ROWS(AQ161:AQ161)-1)+1)="Interior"),LIGHTHEATCOIN,1))</f>
        <v/>
      </c>
      <c r="AR161" s="415">
        <f>(IF(INDEX('M03-S05'!$AN$16:$AN$198,2*(ROWS($O$151:O161)-1)+1)=INDEX('M03-S05'!$BJ$16:$BJ$198,2*(ROWS($O$151:O161)-1)+1),0,(INDEX('M03-S05'!$BI$16:$BI$198,2*(ROWS($O$151:O161)-1)+1)-INDEX('M03-S05'!$BJ$16:$BJ$198,2*(ROWS($O$151:O161)-1)+1))))</f>
        <v>0</v>
      </c>
    </row>
    <row r="162" spans="1:44" x14ac:dyDescent="0.25">
      <c r="A162" s="66">
        <f t="shared" si="41"/>
        <v>0</v>
      </c>
      <c r="B162" s="66" t="str">
        <f t="shared" si="42"/>
        <v/>
      </c>
      <c r="C162" s="66" t="str">
        <f>IFERROR(IF(J162&gt;0,INDEX('M03-S05'!$AY$16:$AY$198,2*(ROWS($C$151:C162)-1)+1),""),"")</f>
        <v/>
      </c>
      <c r="D162" t="str">
        <f t="shared" si="43"/>
        <v>Custom</v>
      </c>
      <c r="E162" t="str">
        <f>IFERROR(INDEX(CMELIGHT[End Use Category],MATCH(INDEX('M03-S05'!$F$16:$F$198,2*(ROWS($E$151:E162)-1)+1),CMELIGHT[Proj Desc 1],0)),"")</f>
        <v>Lighting</v>
      </c>
      <c r="F162" s="151" t="str">
        <f>INDEX('M03-S05'!$R$16:$R$198,2*(ROWS($F$151:F162)-1)+1)</f>
        <v/>
      </c>
      <c r="G162">
        <f>INDEX('M03-S05'!$C$16:$C$198,2*(ROWS($G$151:G162)-1)+1)</f>
        <v>0</v>
      </c>
      <c r="H162" s="61">
        <f>ROUND(INDEX('M03-S05'!$AA$16:$AA$198,2*(ROWS($H$151:H162)-1)+1)*INDEX('M03-S05'!$AG$16:$AG$198,2*(ROWS($H$151:H162)-1)+1),2)</f>
        <v>0</v>
      </c>
      <c r="I162" s="61">
        <f>ROUND(INDEX('M03-S05'!$AA$16:$AA$198,2*(ROWS($I$151:I162)-1)+1)*INDEX('M03-S05'!$AI$16:$AI$198,2*(ROWS($I$151:I162)-1)+1),2)</f>
        <v>0</v>
      </c>
      <c r="J162" s="61" t="str">
        <f>INDEX('M03-S05'!$AK$16:$AK$198,2*(ROWS($J$151:J162)-1)+1)</f>
        <v/>
      </c>
      <c r="K162" t="s">
        <v>119</v>
      </c>
      <c r="L162" s="151">
        <f>IF(ISNUMBER(INDEX('M03-S05'!$AN$16:$AN$198,2*(ROWS($O$151:O162)-1)+1)),INDEX('M03-S05'!$AA$16:$AA$198,2*(ROWS($L$151:L162)-1)+1),0)</f>
        <v>0</v>
      </c>
      <c r="M162" s="151">
        <f>IF(ISNUMBER(INDEX('M03-S05'!$AN$16:$AN$198,2*(ROWS($O$151:O162)-1)+1)),INDEX('M03-S05'!$AZ$16:$AZ$198,2*(ROWS($M$151:M162)-1)+1),0)</f>
        <v>0</v>
      </c>
      <c r="N162" s="189">
        <f>IF(ISNUMBER(INDEX('M03-S05'!$AN$16:$AN$198,2*(ROWS($O$151:O162)-1)+1)),INDEX('M03-S05'!$AV$16:$AV$198,2*(ROWS($N$151:N162)-1)+1),0)</f>
        <v>0</v>
      </c>
      <c r="O162" s="61">
        <f>IF(ISNUMBER(INDEX('M03-S05'!$AN$16:$AN$198,2*(ROWS($O$151:O162)-1)+1)),INDEX('M03-S05'!$AN$16:$AN$198,2*(ROWS($O$151:O162)-1)+1),0)</f>
        <v>0</v>
      </c>
      <c r="P162" s="151" t="str">
        <f>IFERROR(IF(NOT(ISNUMBER(INDEX('M03-S05'!$AN$16:$AN$198,2*(ROWS($O$151:O162)-1)+1))),INDEX('M03-S05'!$AZ$16:$AZ$198,2*(ROWS($O$151:O162)-1)+1),0),"")</f>
        <v/>
      </c>
      <c r="Q162" s="189" t="str">
        <f>IFERROR(IF(NOT(ISNUMBER(INDEX('M03-S05'!$AN$16:$AN$198,2*(ROWS($O$151:O162)-1)+1))),INDEX('M03-S05'!$AV$16:$AV$198,2*(ROWS($O$151:O162)-1)+1),0),"")</f>
        <v/>
      </c>
      <c r="R162" t="str">
        <f>IFERROR(IF(NOT(ISNUMBER(INDEX('M03-S05'!$AN$16:$AN$198,2*(ROWS($O$151:O162)-1)+1))),INDEX(SPILLOVER[Spillover Reason],MATCH(INDEX('M03-S05'!$BC$16:$BC$198,2*(ROWS($O$151:O162)-1)+1),SPILLOVER[Spillover Text],0)),""),"")</f>
        <v>Not Eligible</v>
      </c>
      <c r="S162" s="156" t="str">
        <f>INDEX('M03-S05'!$P$16:$P$198,2*(ROWS($S$151:S162)-1)+1)</f>
        <v/>
      </c>
      <c r="T162" s="156" t="str">
        <f>INDEX('M03-S05'!$AC$16:$AC$198,2*(ROWS($T$151:T162)-1)+1)</f>
        <v/>
      </c>
      <c r="U162" s="151">
        <f>INDEX('M03-S05'!$B$16:$B$198,2*(ROWS($U$151:U162)-1)+1)</f>
        <v>12</v>
      </c>
      <c r="V162" s="58">
        <f>INDEX('M03-S05'!$H$16:$H$198,2*(ROWS($V$151:V162)-1)+1)</f>
        <v>0</v>
      </c>
      <c r="W162" s="58">
        <f>INDEX('M03-S05'!$T$16:$T$198,2*(ROWS($W$151:W162)-1)+1)</f>
        <v>0</v>
      </c>
      <c r="X162">
        <f>INDEX('M03-S05'!$K$16:$K$198,2*(ROWS($X$151:X162)-1)+1)</f>
        <v>0</v>
      </c>
      <c r="Y162">
        <f>INDEX('M03-S05'!$X$16:$X$198,2*(ROWS($Y$151:Y162)-1)+1)</f>
        <v>0</v>
      </c>
      <c r="Z162" s="61">
        <f>IFERROR(INDEX('M03-S05'!$AE$16:$AE$198,2*(ROWS(Z$151:$Z162)-1)+1)/INDEX('M03-S05'!$R$16:$R$198,2*(ROWS(Z$151:$Z162)-1)+1),0)</f>
        <v>0</v>
      </c>
      <c r="AA162" t="str">
        <f>IFERROR(INDEX(CMLIGHTBASE[Measure Subgroup 1],MATCH(INDEX('M03-S05'!$H$16:$H$198,2*(ROWS($V$151:V162)-1)+1),CMLIGHTBASE[Base Desc 1],0)),"")</f>
        <v/>
      </c>
      <c r="AB162" t="str">
        <f>IFERROR(INDEX(CMLIGHTBASE[Measure Subgroup 2],MATCH(INDEX('M03-S05'!$H$16:$H$198,2*(ROWS($V$151:V162)-1)+1),CMLIGHTBASE[Base Desc 1],0)),"")</f>
        <v/>
      </c>
      <c r="AC162" t="str">
        <f>IFERROR(INDEX(CMLIGHTEFF[Measure Subgroup 1],MATCH(INDEX('M03-S05'!$T$16:$T$198,2*(ROWS($W$151:W162)-1)+1),CMLIGHTEFF[Eff Desc 1],0)),"")</f>
        <v/>
      </c>
      <c r="AD162" t="str">
        <f>IFERROR(INDEX(CMLIGHTEFF[Measure Subgroup 2],MATCH(INDEX('M03-S05'!$T$16:$T$198,2*(ROWS($W$151:W162)-1)+1),CMLIGHTEFF[Eff Desc 1],0)),"")</f>
        <v/>
      </c>
      <c r="AE162" s="151">
        <f>IF(NOT(ISNUMBER(INDEX('M03-S05'!$AN$16:$AN$198,2*(ROWS($O$151:O162)-1)+1))),INDEX('M03-S05'!$AA$16:$AA$198,2*(ROWS($L$151:L162)-1)+1),0)</f>
        <v>0</v>
      </c>
      <c r="AF162" s="151" t="str">
        <f>INDEX('M03-S05'!$AW$16:$AW$198,2*(ROWS($AF$151:AF162)-1)+1)</f>
        <v/>
      </c>
      <c r="AG162" s="151" t="str">
        <f>INDEX('M03-S05'!$AX$16:$AX$198,2*(ROWS($AG$151:AG162)-1)+1)</f>
        <v/>
      </c>
      <c r="AH162" s="151" t="str">
        <f t="shared" si="44"/>
        <v/>
      </c>
      <c r="AI162" s="151" t="str">
        <f t="shared" si="45"/>
        <v/>
      </c>
      <c r="AJ162" s="61" t="str">
        <f t="shared" si="46"/>
        <v/>
      </c>
      <c r="AK162" s="61" t="str">
        <f t="shared" si="47"/>
        <v/>
      </c>
      <c r="AL162" s="61" t="str">
        <f t="shared" si="48"/>
        <v/>
      </c>
      <c r="AM162" s="61" t="str">
        <f>INDEX('M03-S05'!$AU$16:$AU$198,2*(ROWS($AM$151:AM162)-1)+1)</f>
        <v/>
      </c>
      <c r="AN162" s="61" t="str">
        <f>INDEX('M03-S05'!$BB$16:$BB$198,2*(ROWS($AN$151:AN162)-1)+1)</f>
        <v/>
      </c>
      <c r="AO162" s="151">
        <f>INDEX('M03-S05'!$N$16:$N$198,2*(ROWS($AO$151:AO162)-1)+1)</f>
        <v>0</v>
      </c>
      <c r="AP162" s="135"/>
      <c r="AQ162" s="61" t="str">
        <f>IF(INDEX('M03-S05'!$AZ$16:$AZ$198,2*(ROWS($AQ$151:AQ162)-1)+1)="","",IF(AND(INDEX('M03-S05'!$AZ$16:$AZ$198,2*(ROWS($AQ$151:AQ162)-1)+1)&lt;&gt;"",OR(ISNUMBER(SEARCH("AC With",M02S02F32)),M02S02F32="Heat Pump"),INDEX('M03-S05'!$F$16:$F$198,2*(ROWS(AQ162:AQ162)-1)+1)="Interior"),LIGHTHEATCOIN,1))</f>
        <v/>
      </c>
      <c r="AR162" s="415">
        <f>(IF(INDEX('M03-S05'!$AN$16:$AN$198,2*(ROWS($O$151:O162)-1)+1)=INDEX('M03-S05'!$BJ$16:$BJ$198,2*(ROWS($O$151:O162)-1)+1),0,(INDEX('M03-S05'!$BI$16:$BI$198,2*(ROWS($O$151:O162)-1)+1)-INDEX('M03-S05'!$BJ$16:$BJ$198,2*(ROWS($O$151:O162)-1)+1))))</f>
        <v>0</v>
      </c>
    </row>
    <row r="163" spans="1:44" x14ac:dyDescent="0.25">
      <c r="A163" s="66">
        <f t="shared" si="41"/>
        <v>0</v>
      </c>
      <c r="B163" s="66" t="str">
        <f t="shared" si="42"/>
        <v/>
      </c>
      <c r="C163" s="66" t="str">
        <f>IFERROR(IF(J163&gt;0,INDEX('M03-S05'!$AY$16:$AY$198,2*(ROWS($C$151:C163)-1)+1),""),"")</f>
        <v/>
      </c>
      <c r="D163" t="str">
        <f t="shared" si="43"/>
        <v>Custom</v>
      </c>
      <c r="E163" t="str">
        <f>IFERROR(INDEX(CMELIGHT[End Use Category],MATCH(INDEX('M03-S05'!$F$16:$F$198,2*(ROWS($E$151:E163)-1)+1),CMELIGHT[Proj Desc 1],0)),"")</f>
        <v>Lighting</v>
      </c>
      <c r="F163" s="151" t="str">
        <f>INDEX('M03-S05'!$R$16:$R$198,2*(ROWS($F$151:F163)-1)+1)</f>
        <v/>
      </c>
      <c r="G163">
        <f>INDEX('M03-S05'!$C$16:$C$198,2*(ROWS($G$151:G163)-1)+1)</f>
        <v>0</v>
      </c>
      <c r="H163" s="61">
        <f>ROUND(INDEX('M03-S05'!$AA$16:$AA$198,2*(ROWS($H$151:H163)-1)+1)*INDEX('M03-S05'!$AG$16:$AG$198,2*(ROWS($H$151:H163)-1)+1),2)</f>
        <v>0</v>
      </c>
      <c r="I163" s="61">
        <f>ROUND(INDEX('M03-S05'!$AA$16:$AA$198,2*(ROWS($I$151:I163)-1)+1)*INDEX('M03-S05'!$AI$16:$AI$198,2*(ROWS($I$151:I163)-1)+1),2)</f>
        <v>0</v>
      </c>
      <c r="J163" s="61" t="str">
        <f>INDEX('M03-S05'!$AK$16:$AK$198,2*(ROWS($J$151:J163)-1)+1)</f>
        <v/>
      </c>
      <c r="K163" t="s">
        <v>119</v>
      </c>
      <c r="L163" s="151">
        <f>IF(ISNUMBER(INDEX('M03-S05'!$AN$16:$AN$198,2*(ROWS($O$151:O163)-1)+1)),INDEX('M03-S05'!$AA$16:$AA$198,2*(ROWS($L$151:L163)-1)+1),0)</f>
        <v>0</v>
      </c>
      <c r="M163" s="151">
        <f>IF(ISNUMBER(INDEX('M03-S05'!$AN$16:$AN$198,2*(ROWS($O$151:O163)-1)+1)),INDEX('M03-S05'!$AZ$16:$AZ$198,2*(ROWS($M$151:M163)-1)+1),0)</f>
        <v>0</v>
      </c>
      <c r="N163" s="189">
        <f>IF(ISNUMBER(INDEX('M03-S05'!$AN$16:$AN$198,2*(ROWS($O$151:O163)-1)+1)),INDEX('M03-S05'!$AV$16:$AV$198,2*(ROWS($N$151:N163)-1)+1),0)</f>
        <v>0</v>
      </c>
      <c r="O163" s="61">
        <f>IF(ISNUMBER(INDEX('M03-S05'!$AN$16:$AN$198,2*(ROWS($O$151:O163)-1)+1)),INDEX('M03-S05'!$AN$16:$AN$198,2*(ROWS($O$151:O163)-1)+1),0)</f>
        <v>0</v>
      </c>
      <c r="P163" s="151" t="str">
        <f>IFERROR(IF(NOT(ISNUMBER(INDEX('M03-S05'!$AN$16:$AN$198,2*(ROWS($O$151:O163)-1)+1))),INDEX('M03-S05'!$AZ$16:$AZ$198,2*(ROWS($O$151:O163)-1)+1),0),"")</f>
        <v/>
      </c>
      <c r="Q163" s="189" t="str">
        <f>IFERROR(IF(NOT(ISNUMBER(INDEX('M03-S05'!$AN$16:$AN$198,2*(ROWS($O$151:O163)-1)+1))),INDEX('M03-S05'!$AV$16:$AV$198,2*(ROWS($O$151:O163)-1)+1),0),"")</f>
        <v/>
      </c>
      <c r="R163" t="str">
        <f>IFERROR(IF(NOT(ISNUMBER(INDEX('M03-S05'!$AN$16:$AN$198,2*(ROWS($O$151:O163)-1)+1))),INDEX(SPILLOVER[Spillover Reason],MATCH(INDEX('M03-S05'!$BC$16:$BC$198,2*(ROWS($O$151:O163)-1)+1),SPILLOVER[Spillover Text],0)),""),"")</f>
        <v>Not Eligible</v>
      </c>
      <c r="S163" s="156" t="str">
        <f>INDEX('M03-S05'!$P$16:$P$198,2*(ROWS($S$151:S163)-1)+1)</f>
        <v/>
      </c>
      <c r="T163" s="156" t="str">
        <f>INDEX('M03-S05'!$AC$16:$AC$198,2*(ROWS($T$151:T163)-1)+1)</f>
        <v/>
      </c>
      <c r="U163" s="151">
        <f>INDEX('M03-S05'!$B$16:$B$198,2*(ROWS($U$151:U163)-1)+1)</f>
        <v>13</v>
      </c>
      <c r="V163" s="58">
        <f>INDEX('M03-S05'!$H$16:$H$198,2*(ROWS($V$151:V163)-1)+1)</f>
        <v>0</v>
      </c>
      <c r="W163" s="58">
        <f>INDEX('M03-S05'!$T$16:$T$198,2*(ROWS($W$151:W163)-1)+1)</f>
        <v>0</v>
      </c>
      <c r="X163">
        <f>INDEX('M03-S05'!$K$16:$K$198,2*(ROWS($X$151:X163)-1)+1)</f>
        <v>0</v>
      </c>
      <c r="Y163">
        <f>INDEX('M03-S05'!$X$16:$X$198,2*(ROWS($Y$151:Y163)-1)+1)</f>
        <v>0</v>
      </c>
      <c r="Z163" s="61">
        <f>IFERROR(INDEX('M03-S05'!$AE$16:$AE$198,2*(ROWS(Z$151:$Z163)-1)+1)/INDEX('M03-S05'!$R$16:$R$198,2*(ROWS(Z$151:$Z163)-1)+1),0)</f>
        <v>0</v>
      </c>
      <c r="AA163" t="str">
        <f>IFERROR(INDEX(CMLIGHTBASE[Measure Subgroup 1],MATCH(INDEX('M03-S05'!$H$16:$H$198,2*(ROWS($V$151:V163)-1)+1),CMLIGHTBASE[Base Desc 1],0)),"")</f>
        <v/>
      </c>
      <c r="AB163" t="str">
        <f>IFERROR(INDEX(CMLIGHTBASE[Measure Subgroup 2],MATCH(INDEX('M03-S05'!$H$16:$H$198,2*(ROWS($V$151:V163)-1)+1),CMLIGHTBASE[Base Desc 1],0)),"")</f>
        <v/>
      </c>
      <c r="AC163" t="str">
        <f>IFERROR(INDEX(CMLIGHTEFF[Measure Subgroup 1],MATCH(INDEX('M03-S05'!$T$16:$T$198,2*(ROWS($W$151:W163)-1)+1),CMLIGHTEFF[Eff Desc 1],0)),"")</f>
        <v/>
      </c>
      <c r="AD163" t="str">
        <f>IFERROR(INDEX(CMLIGHTEFF[Measure Subgroup 2],MATCH(INDEX('M03-S05'!$T$16:$T$198,2*(ROWS($W$151:W163)-1)+1),CMLIGHTEFF[Eff Desc 1],0)),"")</f>
        <v/>
      </c>
      <c r="AE163" s="151">
        <f>IF(NOT(ISNUMBER(INDEX('M03-S05'!$AN$16:$AN$198,2*(ROWS($O$151:O163)-1)+1))),INDEX('M03-S05'!$AA$16:$AA$198,2*(ROWS($L$151:L163)-1)+1),0)</f>
        <v>0</v>
      </c>
      <c r="AF163" s="151" t="str">
        <f>INDEX('M03-S05'!$AW$16:$AW$198,2*(ROWS($AF$151:AF163)-1)+1)</f>
        <v/>
      </c>
      <c r="AG163" s="151" t="str">
        <f>INDEX('M03-S05'!$AX$16:$AX$198,2*(ROWS($AG$151:AG163)-1)+1)</f>
        <v/>
      </c>
      <c r="AH163" s="151" t="str">
        <f t="shared" si="44"/>
        <v/>
      </c>
      <c r="AI163" s="151" t="str">
        <f t="shared" si="45"/>
        <v/>
      </c>
      <c r="AJ163" s="61" t="str">
        <f t="shared" si="46"/>
        <v/>
      </c>
      <c r="AK163" s="61" t="str">
        <f t="shared" si="47"/>
        <v/>
      </c>
      <c r="AL163" s="61" t="str">
        <f t="shared" si="48"/>
        <v/>
      </c>
      <c r="AM163" s="61" t="str">
        <f>INDEX('M03-S05'!$AU$16:$AU$198,2*(ROWS($AM$151:AM163)-1)+1)</f>
        <v/>
      </c>
      <c r="AN163" s="61" t="str">
        <f>INDEX('M03-S05'!$BB$16:$BB$198,2*(ROWS($AN$151:AN163)-1)+1)</f>
        <v/>
      </c>
      <c r="AO163" s="151">
        <f>INDEX('M03-S05'!$N$16:$N$198,2*(ROWS($AO$151:AO163)-1)+1)</f>
        <v>0</v>
      </c>
      <c r="AP163" s="135"/>
      <c r="AQ163" s="61" t="str">
        <f>IF(INDEX('M03-S05'!$AZ$16:$AZ$198,2*(ROWS($AQ$151:AQ163)-1)+1)="","",IF(AND(INDEX('M03-S05'!$AZ$16:$AZ$198,2*(ROWS($AQ$151:AQ163)-1)+1)&lt;&gt;"",OR(ISNUMBER(SEARCH("AC With",M02S02F32)),M02S02F32="Heat Pump"),INDEX('M03-S05'!$F$16:$F$198,2*(ROWS(AQ163:AQ163)-1)+1)="Interior"),LIGHTHEATCOIN,1))</f>
        <v/>
      </c>
      <c r="AR163" s="415">
        <f>(IF(INDEX('M03-S05'!$AN$16:$AN$198,2*(ROWS($O$151:O163)-1)+1)=INDEX('M03-S05'!$BJ$16:$BJ$198,2*(ROWS($O$151:O163)-1)+1),0,(INDEX('M03-S05'!$BI$16:$BI$198,2*(ROWS($O$151:O163)-1)+1)-INDEX('M03-S05'!$BJ$16:$BJ$198,2*(ROWS($O$151:O163)-1)+1))))</f>
        <v>0</v>
      </c>
    </row>
    <row r="164" spans="1:44" x14ac:dyDescent="0.25">
      <c r="A164" s="66">
        <f t="shared" si="41"/>
        <v>0</v>
      </c>
      <c r="B164" s="66" t="str">
        <f t="shared" si="42"/>
        <v/>
      </c>
      <c r="C164" s="66" t="str">
        <f>IFERROR(IF(J164&gt;0,INDEX('M03-S05'!$AY$16:$AY$198,2*(ROWS($C$151:C164)-1)+1),""),"")</f>
        <v/>
      </c>
      <c r="D164" t="str">
        <f t="shared" si="43"/>
        <v>Custom</v>
      </c>
      <c r="E164" t="str">
        <f>IFERROR(INDEX(CMELIGHT[End Use Category],MATCH(INDEX('M03-S05'!$F$16:$F$198,2*(ROWS($E$151:E164)-1)+1),CMELIGHT[Proj Desc 1],0)),"")</f>
        <v>Lighting</v>
      </c>
      <c r="F164" s="151" t="str">
        <f>INDEX('M03-S05'!$R$16:$R$198,2*(ROWS($F$151:F164)-1)+1)</f>
        <v/>
      </c>
      <c r="G164">
        <f>INDEX('M03-S05'!$C$16:$C$198,2*(ROWS($G$151:G164)-1)+1)</f>
        <v>0</v>
      </c>
      <c r="H164" s="61">
        <f>ROUND(INDEX('M03-S05'!$AA$16:$AA$198,2*(ROWS($H$151:H164)-1)+1)*INDEX('M03-S05'!$AG$16:$AG$198,2*(ROWS($H$151:H164)-1)+1),2)</f>
        <v>0</v>
      </c>
      <c r="I164" s="61">
        <f>ROUND(INDEX('M03-S05'!$AA$16:$AA$198,2*(ROWS($I$151:I164)-1)+1)*INDEX('M03-S05'!$AI$16:$AI$198,2*(ROWS($I$151:I164)-1)+1),2)</f>
        <v>0</v>
      </c>
      <c r="J164" s="61" t="str">
        <f>INDEX('M03-S05'!$AK$16:$AK$198,2*(ROWS($J$151:J164)-1)+1)</f>
        <v/>
      </c>
      <c r="K164" t="s">
        <v>119</v>
      </c>
      <c r="L164" s="151">
        <f>IF(ISNUMBER(INDEX('M03-S05'!$AN$16:$AN$198,2*(ROWS($O$151:O164)-1)+1)),INDEX('M03-S05'!$AA$16:$AA$198,2*(ROWS($L$151:L164)-1)+1),0)</f>
        <v>0</v>
      </c>
      <c r="M164" s="151">
        <f>IF(ISNUMBER(INDEX('M03-S05'!$AN$16:$AN$198,2*(ROWS($O$151:O164)-1)+1)),INDEX('M03-S05'!$AZ$16:$AZ$198,2*(ROWS($M$151:M164)-1)+1),0)</f>
        <v>0</v>
      </c>
      <c r="N164" s="189">
        <f>IF(ISNUMBER(INDEX('M03-S05'!$AN$16:$AN$198,2*(ROWS($O$151:O164)-1)+1)),INDEX('M03-S05'!$AV$16:$AV$198,2*(ROWS($N$151:N164)-1)+1),0)</f>
        <v>0</v>
      </c>
      <c r="O164" s="61">
        <f>IF(ISNUMBER(INDEX('M03-S05'!$AN$16:$AN$198,2*(ROWS($O$151:O164)-1)+1)),INDEX('M03-S05'!$AN$16:$AN$198,2*(ROWS($O$151:O164)-1)+1),0)</f>
        <v>0</v>
      </c>
      <c r="P164" s="151" t="str">
        <f>IFERROR(IF(NOT(ISNUMBER(INDEX('M03-S05'!$AN$16:$AN$198,2*(ROWS($O$151:O164)-1)+1))),INDEX('M03-S05'!$AZ$16:$AZ$198,2*(ROWS($O$151:O164)-1)+1),0),"")</f>
        <v/>
      </c>
      <c r="Q164" s="189" t="str">
        <f>IFERROR(IF(NOT(ISNUMBER(INDEX('M03-S05'!$AN$16:$AN$198,2*(ROWS($O$151:O164)-1)+1))),INDEX('M03-S05'!$AV$16:$AV$198,2*(ROWS($O$151:O164)-1)+1),0),"")</f>
        <v/>
      </c>
      <c r="R164" t="str">
        <f>IFERROR(IF(NOT(ISNUMBER(INDEX('M03-S05'!$AN$16:$AN$198,2*(ROWS($O$151:O164)-1)+1))),INDEX(SPILLOVER[Spillover Reason],MATCH(INDEX('M03-S05'!$BC$16:$BC$198,2*(ROWS($O$151:O164)-1)+1),SPILLOVER[Spillover Text],0)),""),"")</f>
        <v>Not Eligible</v>
      </c>
      <c r="S164" s="156" t="str">
        <f>INDEX('M03-S05'!$P$16:$P$198,2*(ROWS($S$151:S164)-1)+1)</f>
        <v/>
      </c>
      <c r="T164" s="156" t="str">
        <f>INDEX('M03-S05'!$AC$16:$AC$198,2*(ROWS($T$151:T164)-1)+1)</f>
        <v/>
      </c>
      <c r="U164" s="151">
        <f>INDEX('M03-S05'!$B$16:$B$198,2*(ROWS($U$151:U164)-1)+1)</f>
        <v>14</v>
      </c>
      <c r="V164" s="58">
        <f>INDEX('M03-S05'!$H$16:$H$198,2*(ROWS($V$151:V164)-1)+1)</f>
        <v>0</v>
      </c>
      <c r="W164" s="58">
        <f>INDEX('M03-S05'!$T$16:$T$198,2*(ROWS($W$151:W164)-1)+1)</f>
        <v>0</v>
      </c>
      <c r="X164">
        <f>INDEX('M03-S05'!$K$16:$K$198,2*(ROWS($X$151:X164)-1)+1)</f>
        <v>0</v>
      </c>
      <c r="Y164">
        <f>INDEX('M03-S05'!$X$16:$X$198,2*(ROWS($Y$151:Y164)-1)+1)</f>
        <v>0</v>
      </c>
      <c r="Z164" s="61">
        <f>IFERROR(INDEX('M03-S05'!$AE$16:$AE$198,2*(ROWS(Z$151:$Z164)-1)+1)/INDEX('M03-S05'!$R$16:$R$198,2*(ROWS(Z$151:$Z164)-1)+1),0)</f>
        <v>0</v>
      </c>
      <c r="AA164" t="str">
        <f>IFERROR(INDEX(CMLIGHTBASE[Measure Subgroup 1],MATCH(INDEX('M03-S05'!$H$16:$H$198,2*(ROWS($V$151:V164)-1)+1),CMLIGHTBASE[Base Desc 1],0)),"")</f>
        <v/>
      </c>
      <c r="AB164" t="str">
        <f>IFERROR(INDEX(CMLIGHTBASE[Measure Subgroup 2],MATCH(INDEX('M03-S05'!$H$16:$H$198,2*(ROWS($V$151:V164)-1)+1),CMLIGHTBASE[Base Desc 1],0)),"")</f>
        <v/>
      </c>
      <c r="AC164" t="str">
        <f>IFERROR(INDEX(CMLIGHTEFF[Measure Subgroup 1],MATCH(INDEX('M03-S05'!$T$16:$T$198,2*(ROWS($W$151:W164)-1)+1),CMLIGHTEFF[Eff Desc 1],0)),"")</f>
        <v/>
      </c>
      <c r="AD164" t="str">
        <f>IFERROR(INDEX(CMLIGHTEFF[Measure Subgroup 2],MATCH(INDEX('M03-S05'!$T$16:$T$198,2*(ROWS($W$151:W164)-1)+1),CMLIGHTEFF[Eff Desc 1],0)),"")</f>
        <v/>
      </c>
      <c r="AE164" s="151">
        <f>IF(NOT(ISNUMBER(INDEX('M03-S05'!$AN$16:$AN$198,2*(ROWS($O$151:O164)-1)+1))),INDEX('M03-S05'!$AA$16:$AA$198,2*(ROWS($L$151:L164)-1)+1),0)</f>
        <v>0</v>
      </c>
      <c r="AF164" s="151" t="str">
        <f>INDEX('M03-S05'!$AW$16:$AW$198,2*(ROWS($AF$151:AF164)-1)+1)</f>
        <v/>
      </c>
      <c r="AG164" s="151" t="str">
        <f>INDEX('M03-S05'!$AX$16:$AX$198,2*(ROWS($AG$151:AG164)-1)+1)</f>
        <v/>
      </c>
      <c r="AH164" s="151" t="str">
        <f t="shared" si="44"/>
        <v/>
      </c>
      <c r="AI164" s="151" t="str">
        <f t="shared" si="45"/>
        <v/>
      </c>
      <c r="AJ164" s="61" t="str">
        <f t="shared" si="46"/>
        <v/>
      </c>
      <c r="AK164" s="61" t="str">
        <f t="shared" si="47"/>
        <v/>
      </c>
      <c r="AL164" s="61" t="str">
        <f t="shared" si="48"/>
        <v/>
      </c>
      <c r="AM164" s="61" t="str">
        <f>INDEX('M03-S05'!$AU$16:$AU$198,2*(ROWS($AM$151:AM164)-1)+1)</f>
        <v/>
      </c>
      <c r="AN164" s="61" t="str">
        <f>INDEX('M03-S05'!$BB$16:$BB$198,2*(ROWS($AN$151:AN164)-1)+1)</f>
        <v/>
      </c>
      <c r="AO164" s="151">
        <f>INDEX('M03-S05'!$N$16:$N$198,2*(ROWS($AO$151:AO164)-1)+1)</f>
        <v>0</v>
      </c>
      <c r="AP164" s="135"/>
      <c r="AQ164" s="61" t="str">
        <f>IF(INDEX('M03-S05'!$AZ$16:$AZ$198,2*(ROWS($AQ$151:AQ164)-1)+1)="","",IF(AND(INDEX('M03-S05'!$AZ$16:$AZ$198,2*(ROWS($AQ$151:AQ164)-1)+1)&lt;&gt;"",OR(ISNUMBER(SEARCH("AC With",M02S02F32)),M02S02F32="Heat Pump"),INDEX('M03-S05'!$F$16:$F$198,2*(ROWS(AQ164:AQ164)-1)+1)="Interior"),LIGHTHEATCOIN,1))</f>
        <v/>
      </c>
      <c r="AR164" s="415">
        <f>(IF(INDEX('M03-S05'!$AN$16:$AN$198,2*(ROWS($O$151:O164)-1)+1)=INDEX('M03-S05'!$BJ$16:$BJ$198,2*(ROWS($O$151:O164)-1)+1),0,(INDEX('M03-S05'!$BI$16:$BI$198,2*(ROWS($O$151:O164)-1)+1)-INDEX('M03-S05'!$BJ$16:$BJ$198,2*(ROWS($O$151:O164)-1)+1))))</f>
        <v>0</v>
      </c>
    </row>
    <row r="165" spans="1:44" x14ac:dyDescent="0.25">
      <c r="A165" s="66">
        <f t="shared" si="41"/>
        <v>0</v>
      </c>
      <c r="B165" s="66" t="str">
        <f t="shared" si="42"/>
        <v/>
      </c>
      <c r="C165" s="66" t="str">
        <f>IFERROR(IF(J165&gt;0,INDEX('M03-S05'!$AY$16:$AY$198,2*(ROWS($C$151:C165)-1)+1),""),"")</f>
        <v/>
      </c>
      <c r="D165" t="str">
        <f t="shared" si="43"/>
        <v>Custom</v>
      </c>
      <c r="E165" t="str">
        <f>IFERROR(INDEX(CMELIGHT[End Use Category],MATCH(INDEX('M03-S05'!$F$16:$F$198,2*(ROWS($E$151:E165)-1)+1),CMELIGHT[Proj Desc 1],0)),"")</f>
        <v>Lighting</v>
      </c>
      <c r="F165" s="151" t="str">
        <f>INDEX('M03-S05'!$R$16:$R$198,2*(ROWS($F$151:F165)-1)+1)</f>
        <v/>
      </c>
      <c r="G165">
        <f>INDEX('M03-S05'!$C$16:$C$198,2*(ROWS($G$151:G165)-1)+1)</f>
        <v>0</v>
      </c>
      <c r="H165" s="61">
        <f>ROUND(INDEX('M03-S05'!$AA$16:$AA$198,2*(ROWS($H$151:H165)-1)+1)*INDEX('M03-S05'!$AG$16:$AG$198,2*(ROWS($H$151:H165)-1)+1),2)</f>
        <v>0</v>
      </c>
      <c r="I165" s="61">
        <f>ROUND(INDEX('M03-S05'!$AA$16:$AA$198,2*(ROWS($I$151:I165)-1)+1)*INDEX('M03-S05'!$AI$16:$AI$198,2*(ROWS($I$151:I165)-1)+1),2)</f>
        <v>0</v>
      </c>
      <c r="J165" s="61" t="str">
        <f>INDEX('M03-S05'!$AK$16:$AK$198,2*(ROWS($J$151:J165)-1)+1)</f>
        <v/>
      </c>
      <c r="K165" t="s">
        <v>119</v>
      </c>
      <c r="L165" s="151">
        <f>IF(ISNUMBER(INDEX('M03-S05'!$AN$16:$AN$198,2*(ROWS($O$151:O165)-1)+1)),INDEX('M03-S05'!$AA$16:$AA$198,2*(ROWS($L$151:L165)-1)+1),0)</f>
        <v>0</v>
      </c>
      <c r="M165" s="151">
        <f>IF(ISNUMBER(INDEX('M03-S05'!$AN$16:$AN$198,2*(ROWS($O$151:O165)-1)+1)),INDEX('M03-S05'!$AZ$16:$AZ$198,2*(ROWS($M$151:M165)-1)+1),0)</f>
        <v>0</v>
      </c>
      <c r="N165" s="189">
        <f>IF(ISNUMBER(INDEX('M03-S05'!$AN$16:$AN$198,2*(ROWS($O$151:O165)-1)+1)),INDEX('M03-S05'!$AV$16:$AV$198,2*(ROWS($N$151:N165)-1)+1),0)</f>
        <v>0</v>
      </c>
      <c r="O165" s="61">
        <f>IF(ISNUMBER(INDEX('M03-S05'!$AN$16:$AN$198,2*(ROWS($O$151:O165)-1)+1)),INDEX('M03-S05'!$AN$16:$AN$198,2*(ROWS($O$151:O165)-1)+1),0)</f>
        <v>0</v>
      </c>
      <c r="P165" s="151" t="str">
        <f>IFERROR(IF(NOT(ISNUMBER(INDEX('M03-S05'!$AN$16:$AN$198,2*(ROWS($O$151:O165)-1)+1))),INDEX('M03-S05'!$AZ$16:$AZ$198,2*(ROWS($O$151:O165)-1)+1),0),"")</f>
        <v/>
      </c>
      <c r="Q165" s="189" t="str">
        <f>IFERROR(IF(NOT(ISNUMBER(INDEX('M03-S05'!$AN$16:$AN$198,2*(ROWS($O$151:O165)-1)+1))),INDEX('M03-S05'!$AV$16:$AV$198,2*(ROWS($O$151:O165)-1)+1),0),"")</f>
        <v/>
      </c>
      <c r="R165" t="str">
        <f>IFERROR(IF(NOT(ISNUMBER(INDEX('M03-S05'!$AN$16:$AN$198,2*(ROWS($O$151:O165)-1)+1))),INDEX(SPILLOVER[Spillover Reason],MATCH(INDEX('M03-S05'!$BC$16:$BC$198,2*(ROWS($O$151:O165)-1)+1),SPILLOVER[Spillover Text],0)),""),"")</f>
        <v>Not Eligible</v>
      </c>
      <c r="S165" s="156" t="str">
        <f>INDEX('M03-S05'!$P$16:$P$198,2*(ROWS($S$151:S165)-1)+1)</f>
        <v/>
      </c>
      <c r="T165" s="156" t="str">
        <f>INDEX('M03-S05'!$AC$16:$AC$198,2*(ROWS($T$151:T165)-1)+1)</f>
        <v/>
      </c>
      <c r="U165" s="151">
        <f>INDEX('M03-S05'!$B$16:$B$198,2*(ROWS($U$151:U165)-1)+1)</f>
        <v>15</v>
      </c>
      <c r="V165" s="58">
        <f>INDEX('M03-S05'!$H$16:$H$198,2*(ROWS($V$151:V165)-1)+1)</f>
        <v>0</v>
      </c>
      <c r="W165" s="58">
        <f>INDEX('M03-S05'!$T$16:$T$198,2*(ROWS($W$151:W165)-1)+1)</f>
        <v>0</v>
      </c>
      <c r="X165">
        <f>INDEX('M03-S05'!$K$16:$K$198,2*(ROWS($X$151:X165)-1)+1)</f>
        <v>0</v>
      </c>
      <c r="Y165">
        <f>INDEX('M03-S05'!$X$16:$X$198,2*(ROWS($Y$151:Y165)-1)+1)</f>
        <v>0</v>
      </c>
      <c r="Z165" s="61">
        <f>IFERROR(INDEX('M03-S05'!$AE$16:$AE$198,2*(ROWS(Z$151:$Z165)-1)+1)/INDEX('M03-S05'!$R$16:$R$198,2*(ROWS(Z$151:$Z165)-1)+1),0)</f>
        <v>0</v>
      </c>
      <c r="AA165" t="str">
        <f>IFERROR(INDEX(CMLIGHTBASE[Measure Subgroup 1],MATCH(INDEX('M03-S05'!$H$16:$H$198,2*(ROWS($V$151:V165)-1)+1),CMLIGHTBASE[Base Desc 1],0)),"")</f>
        <v/>
      </c>
      <c r="AB165" t="str">
        <f>IFERROR(INDEX(CMLIGHTBASE[Measure Subgroup 2],MATCH(INDEX('M03-S05'!$H$16:$H$198,2*(ROWS($V$151:V165)-1)+1),CMLIGHTBASE[Base Desc 1],0)),"")</f>
        <v/>
      </c>
      <c r="AC165" t="str">
        <f>IFERROR(INDEX(CMLIGHTEFF[Measure Subgroup 1],MATCH(INDEX('M03-S05'!$T$16:$T$198,2*(ROWS($W$151:W165)-1)+1),CMLIGHTEFF[Eff Desc 1],0)),"")</f>
        <v/>
      </c>
      <c r="AD165" t="str">
        <f>IFERROR(INDEX(CMLIGHTEFF[Measure Subgroup 2],MATCH(INDEX('M03-S05'!$T$16:$T$198,2*(ROWS($W$151:W165)-1)+1),CMLIGHTEFF[Eff Desc 1],0)),"")</f>
        <v/>
      </c>
      <c r="AE165" s="151">
        <f>IF(NOT(ISNUMBER(INDEX('M03-S05'!$AN$16:$AN$198,2*(ROWS($O$151:O165)-1)+1))),INDEX('M03-S05'!$AA$16:$AA$198,2*(ROWS($L$151:L165)-1)+1),0)</f>
        <v>0</v>
      </c>
      <c r="AF165" s="151" t="str">
        <f>INDEX('M03-S05'!$AW$16:$AW$198,2*(ROWS($AF$151:AF165)-1)+1)</f>
        <v/>
      </c>
      <c r="AG165" s="151" t="str">
        <f>INDEX('M03-S05'!$AX$16:$AX$198,2*(ROWS($AG$151:AG165)-1)+1)</f>
        <v/>
      </c>
      <c r="AH165" s="151" t="str">
        <f t="shared" si="44"/>
        <v/>
      </c>
      <c r="AI165" s="151" t="str">
        <f t="shared" si="45"/>
        <v/>
      </c>
      <c r="AJ165" s="61" t="str">
        <f t="shared" si="46"/>
        <v/>
      </c>
      <c r="AK165" s="61" t="str">
        <f t="shared" si="47"/>
        <v/>
      </c>
      <c r="AL165" s="61" t="str">
        <f t="shared" si="48"/>
        <v/>
      </c>
      <c r="AM165" s="61" t="str">
        <f>INDEX('M03-S05'!$AU$16:$AU$198,2*(ROWS($AM$151:AM165)-1)+1)</f>
        <v/>
      </c>
      <c r="AN165" s="61" t="str">
        <f>INDEX('M03-S05'!$BB$16:$BB$198,2*(ROWS($AN$151:AN165)-1)+1)</f>
        <v/>
      </c>
      <c r="AO165" s="151">
        <f>INDEX('M03-S05'!$N$16:$N$198,2*(ROWS($AO$151:AO165)-1)+1)</f>
        <v>0</v>
      </c>
      <c r="AP165" s="135"/>
      <c r="AQ165" s="61" t="str">
        <f>IF(INDEX('M03-S05'!$AZ$16:$AZ$198,2*(ROWS($AQ$151:AQ165)-1)+1)="","",IF(AND(INDEX('M03-S05'!$AZ$16:$AZ$198,2*(ROWS($AQ$151:AQ165)-1)+1)&lt;&gt;"",OR(ISNUMBER(SEARCH("AC With",M02S02F32)),M02S02F32="Heat Pump"),INDEX('M03-S05'!$F$16:$F$198,2*(ROWS(AQ165:AQ165)-1)+1)="Interior"),LIGHTHEATCOIN,1))</f>
        <v/>
      </c>
      <c r="AR165" s="415">
        <f>(IF(INDEX('M03-S05'!$AN$16:$AN$198,2*(ROWS($O$151:O165)-1)+1)=INDEX('M03-S05'!$BJ$16:$BJ$198,2*(ROWS($O$151:O165)-1)+1),0,(INDEX('M03-S05'!$BI$16:$BI$198,2*(ROWS($O$151:O165)-1)+1)-INDEX('M03-S05'!$BJ$16:$BJ$198,2*(ROWS($O$151:O165)-1)+1))))</f>
        <v>0</v>
      </c>
    </row>
    <row r="166" spans="1:44" x14ac:dyDescent="0.25">
      <c r="A166" s="66">
        <f t="shared" si="41"/>
        <v>0</v>
      </c>
      <c r="B166" s="66" t="str">
        <f t="shared" si="42"/>
        <v/>
      </c>
      <c r="C166" s="66" t="str">
        <f>IFERROR(IF(J166&gt;0,INDEX('M03-S05'!$AY$16:$AY$198,2*(ROWS($C$151:C166)-1)+1),""),"")</f>
        <v/>
      </c>
      <c r="D166" t="str">
        <f t="shared" si="43"/>
        <v>Custom</v>
      </c>
      <c r="E166" t="str">
        <f>IFERROR(INDEX(CMELIGHT[End Use Category],MATCH(INDEX('M03-S05'!$F$16:$F$198,2*(ROWS($E$151:E166)-1)+1),CMELIGHT[Proj Desc 1],0)),"")</f>
        <v>Lighting</v>
      </c>
      <c r="F166" s="151" t="str">
        <f>INDEX('M03-S05'!$R$16:$R$198,2*(ROWS($F$151:F166)-1)+1)</f>
        <v/>
      </c>
      <c r="G166">
        <f>INDEX('M03-S05'!$C$16:$C$198,2*(ROWS($G$151:G166)-1)+1)</f>
        <v>0</v>
      </c>
      <c r="H166" s="61">
        <f>ROUND(INDEX('M03-S05'!$AA$16:$AA$198,2*(ROWS($H$151:H166)-1)+1)*INDEX('M03-S05'!$AG$16:$AG$198,2*(ROWS($H$151:H166)-1)+1),2)</f>
        <v>0</v>
      </c>
      <c r="I166" s="61">
        <f>ROUND(INDEX('M03-S05'!$AA$16:$AA$198,2*(ROWS($I$151:I166)-1)+1)*INDEX('M03-S05'!$AI$16:$AI$198,2*(ROWS($I$151:I166)-1)+1),2)</f>
        <v>0</v>
      </c>
      <c r="J166" s="61" t="str">
        <f>INDEX('M03-S05'!$AK$16:$AK$198,2*(ROWS($J$151:J166)-1)+1)</f>
        <v/>
      </c>
      <c r="K166" t="s">
        <v>119</v>
      </c>
      <c r="L166" s="151">
        <f>IF(ISNUMBER(INDEX('M03-S05'!$AN$16:$AN$198,2*(ROWS($O$151:O166)-1)+1)),INDEX('M03-S05'!$AA$16:$AA$198,2*(ROWS($L$151:L166)-1)+1),0)</f>
        <v>0</v>
      </c>
      <c r="M166" s="151">
        <f>IF(ISNUMBER(INDEX('M03-S05'!$AN$16:$AN$198,2*(ROWS($O$151:O166)-1)+1)),INDEX('M03-S05'!$AZ$16:$AZ$198,2*(ROWS($M$151:M166)-1)+1),0)</f>
        <v>0</v>
      </c>
      <c r="N166" s="189">
        <f>IF(ISNUMBER(INDEX('M03-S05'!$AN$16:$AN$198,2*(ROWS($O$151:O166)-1)+1)),INDEX('M03-S05'!$AV$16:$AV$198,2*(ROWS($N$151:N166)-1)+1),0)</f>
        <v>0</v>
      </c>
      <c r="O166" s="61">
        <f>IF(ISNUMBER(INDEX('M03-S05'!$AN$16:$AN$198,2*(ROWS($O$151:O166)-1)+1)),INDEX('M03-S05'!$AN$16:$AN$198,2*(ROWS($O$151:O166)-1)+1),0)</f>
        <v>0</v>
      </c>
      <c r="P166" s="151" t="str">
        <f>IFERROR(IF(NOT(ISNUMBER(INDEX('M03-S05'!$AN$16:$AN$198,2*(ROWS($O$151:O166)-1)+1))),INDEX('M03-S05'!$AZ$16:$AZ$198,2*(ROWS($O$151:O166)-1)+1),0),"")</f>
        <v/>
      </c>
      <c r="Q166" s="189" t="str">
        <f>IFERROR(IF(NOT(ISNUMBER(INDEX('M03-S05'!$AN$16:$AN$198,2*(ROWS($O$151:O166)-1)+1))),INDEX('M03-S05'!$AV$16:$AV$198,2*(ROWS($O$151:O166)-1)+1),0),"")</f>
        <v/>
      </c>
      <c r="R166" t="str">
        <f>IFERROR(IF(NOT(ISNUMBER(INDEX('M03-S05'!$AN$16:$AN$198,2*(ROWS($O$151:O166)-1)+1))),INDEX(SPILLOVER[Spillover Reason],MATCH(INDEX('M03-S05'!$BC$16:$BC$198,2*(ROWS($O$151:O166)-1)+1),SPILLOVER[Spillover Text],0)),""),"")</f>
        <v>Not Eligible</v>
      </c>
      <c r="S166" s="156" t="str">
        <f>INDEX('M03-S05'!$P$16:$P$198,2*(ROWS($S$151:S166)-1)+1)</f>
        <v/>
      </c>
      <c r="T166" s="156" t="str">
        <f>INDEX('M03-S05'!$AC$16:$AC$198,2*(ROWS($T$151:T166)-1)+1)</f>
        <v/>
      </c>
      <c r="U166" s="151">
        <f>INDEX('M03-S05'!$B$16:$B$198,2*(ROWS($U$151:U166)-1)+1)</f>
        <v>16</v>
      </c>
      <c r="V166" s="58">
        <f>INDEX('M03-S05'!$H$16:$H$198,2*(ROWS($V$151:V166)-1)+1)</f>
        <v>0</v>
      </c>
      <c r="W166" s="58">
        <f>INDEX('M03-S05'!$T$16:$T$198,2*(ROWS($W$151:W166)-1)+1)</f>
        <v>0</v>
      </c>
      <c r="X166">
        <f>INDEX('M03-S05'!$K$16:$K$198,2*(ROWS($X$151:X166)-1)+1)</f>
        <v>0</v>
      </c>
      <c r="Y166">
        <f>INDEX('M03-S05'!$X$16:$X$198,2*(ROWS($Y$151:Y166)-1)+1)</f>
        <v>0</v>
      </c>
      <c r="Z166" s="61">
        <f>IFERROR(INDEX('M03-S05'!$AE$16:$AE$198,2*(ROWS(Z$151:$Z166)-1)+1)/INDEX('M03-S05'!$R$16:$R$198,2*(ROWS(Z$151:$Z166)-1)+1),0)</f>
        <v>0</v>
      </c>
      <c r="AA166" t="str">
        <f>IFERROR(INDEX(CMLIGHTBASE[Measure Subgroup 1],MATCH(INDEX('M03-S05'!$H$16:$H$198,2*(ROWS($V$151:V166)-1)+1),CMLIGHTBASE[Base Desc 1],0)),"")</f>
        <v/>
      </c>
      <c r="AB166" t="str">
        <f>IFERROR(INDEX(CMLIGHTBASE[Measure Subgroup 2],MATCH(INDEX('M03-S05'!$H$16:$H$198,2*(ROWS($V$151:V166)-1)+1),CMLIGHTBASE[Base Desc 1],0)),"")</f>
        <v/>
      </c>
      <c r="AC166" t="str">
        <f>IFERROR(INDEX(CMLIGHTEFF[Measure Subgroup 1],MATCH(INDEX('M03-S05'!$T$16:$T$198,2*(ROWS($W$151:W166)-1)+1),CMLIGHTEFF[Eff Desc 1],0)),"")</f>
        <v/>
      </c>
      <c r="AD166" t="str">
        <f>IFERROR(INDEX(CMLIGHTEFF[Measure Subgroup 2],MATCH(INDEX('M03-S05'!$T$16:$T$198,2*(ROWS($W$151:W166)-1)+1),CMLIGHTEFF[Eff Desc 1],0)),"")</f>
        <v/>
      </c>
      <c r="AE166" s="151">
        <f>IF(NOT(ISNUMBER(INDEX('M03-S05'!$AN$16:$AN$198,2*(ROWS($O$151:O166)-1)+1))),INDEX('M03-S05'!$AA$16:$AA$198,2*(ROWS($L$151:L166)-1)+1),0)</f>
        <v>0</v>
      </c>
      <c r="AF166" s="151" t="str">
        <f>INDEX('M03-S05'!$AW$16:$AW$198,2*(ROWS($AF$151:AF166)-1)+1)</f>
        <v/>
      </c>
      <c r="AG166" s="151" t="str">
        <f>INDEX('M03-S05'!$AX$16:$AX$198,2*(ROWS($AG$151:AG166)-1)+1)</f>
        <v/>
      </c>
      <c r="AH166" s="151" t="str">
        <f t="shared" si="44"/>
        <v/>
      </c>
      <c r="AI166" s="151" t="str">
        <f t="shared" si="45"/>
        <v/>
      </c>
      <c r="AJ166" s="61" t="str">
        <f t="shared" si="46"/>
        <v/>
      </c>
      <c r="AK166" s="61" t="str">
        <f t="shared" si="47"/>
        <v/>
      </c>
      <c r="AL166" s="61" t="str">
        <f t="shared" si="48"/>
        <v/>
      </c>
      <c r="AM166" s="61" t="str">
        <f>INDEX('M03-S05'!$AU$16:$AU$198,2*(ROWS($AM$151:AM166)-1)+1)</f>
        <v/>
      </c>
      <c r="AN166" s="61" t="str">
        <f>INDEX('M03-S05'!$BB$16:$BB$198,2*(ROWS($AN$151:AN166)-1)+1)</f>
        <v/>
      </c>
      <c r="AO166" s="151">
        <f>INDEX('M03-S05'!$N$16:$N$198,2*(ROWS($AO$151:AO166)-1)+1)</f>
        <v>0</v>
      </c>
      <c r="AP166" s="135"/>
      <c r="AQ166" s="61" t="str">
        <f>IF(INDEX('M03-S05'!$AZ$16:$AZ$198,2*(ROWS($AQ$151:AQ166)-1)+1)="","",IF(AND(INDEX('M03-S05'!$AZ$16:$AZ$198,2*(ROWS($AQ$151:AQ166)-1)+1)&lt;&gt;"",OR(ISNUMBER(SEARCH("AC With",M02S02F32)),M02S02F32="Heat Pump"),INDEX('M03-S05'!$F$16:$F$198,2*(ROWS(AQ166:AQ166)-1)+1)="Interior"),LIGHTHEATCOIN,1))</f>
        <v/>
      </c>
      <c r="AR166" s="415">
        <f>(IF(INDEX('M03-S05'!$AN$16:$AN$198,2*(ROWS($O$151:O166)-1)+1)=INDEX('M03-S05'!$BJ$16:$BJ$198,2*(ROWS($O$151:O166)-1)+1),0,(INDEX('M03-S05'!$BI$16:$BI$198,2*(ROWS($O$151:O166)-1)+1)-INDEX('M03-S05'!$BJ$16:$BJ$198,2*(ROWS($O$151:O166)-1)+1))))</f>
        <v>0</v>
      </c>
    </row>
    <row r="167" spans="1:44" x14ac:dyDescent="0.25">
      <c r="A167" s="66">
        <f t="shared" si="41"/>
        <v>0</v>
      </c>
      <c r="B167" s="66" t="str">
        <f t="shared" si="42"/>
        <v/>
      </c>
      <c r="C167" s="66" t="str">
        <f>IFERROR(IF(J167&gt;0,INDEX('M03-S05'!$AY$16:$AY$198,2*(ROWS($C$151:C167)-1)+1),""),"")</f>
        <v/>
      </c>
      <c r="D167" t="str">
        <f t="shared" si="43"/>
        <v>Custom</v>
      </c>
      <c r="E167" t="str">
        <f>IFERROR(INDEX(CMELIGHT[End Use Category],MATCH(INDEX('M03-S05'!$F$16:$F$198,2*(ROWS($E$151:E167)-1)+1),CMELIGHT[Proj Desc 1],0)),"")</f>
        <v>Lighting</v>
      </c>
      <c r="F167" s="151" t="str">
        <f>INDEX('M03-S05'!$R$16:$R$198,2*(ROWS($F$151:F167)-1)+1)</f>
        <v/>
      </c>
      <c r="G167">
        <f>INDEX('M03-S05'!$C$16:$C$198,2*(ROWS($G$151:G167)-1)+1)</f>
        <v>0</v>
      </c>
      <c r="H167" s="61">
        <f>ROUND(INDEX('M03-S05'!$AA$16:$AA$198,2*(ROWS($H$151:H167)-1)+1)*INDEX('M03-S05'!$AG$16:$AG$198,2*(ROWS($H$151:H167)-1)+1),2)</f>
        <v>0</v>
      </c>
      <c r="I167" s="61">
        <f>ROUND(INDEX('M03-S05'!$AA$16:$AA$198,2*(ROWS($I$151:I167)-1)+1)*INDEX('M03-S05'!$AI$16:$AI$198,2*(ROWS($I$151:I167)-1)+1),2)</f>
        <v>0</v>
      </c>
      <c r="J167" s="61" t="str">
        <f>INDEX('M03-S05'!$AK$16:$AK$198,2*(ROWS($J$151:J167)-1)+1)</f>
        <v/>
      </c>
      <c r="K167" t="s">
        <v>119</v>
      </c>
      <c r="L167" s="151">
        <f>IF(ISNUMBER(INDEX('M03-S05'!$AN$16:$AN$198,2*(ROWS($O$151:O167)-1)+1)),INDEX('M03-S05'!$AA$16:$AA$198,2*(ROWS($L$151:L167)-1)+1),0)</f>
        <v>0</v>
      </c>
      <c r="M167" s="151">
        <f>IF(ISNUMBER(INDEX('M03-S05'!$AN$16:$AN$198,2*(ROWS($O$151:O167)-1)+1)),INDEX('M03-S05'!$AZ$16:$AZ$198,2*(ROWS($M$151:M167)-1)+1),0)</f>
        <v>0</v>
      </c>
      <c r="N167" s="189">
        <f>IF(ISNUMBER(INDEX('M03-S05'!$AN$16:$AN$198,2*(ROWS($O$151:O167)-1)+1)),INDEX('M03-S05'!$AV$16:$AV$198,2*(ROWS($N$151:N167)-1)+1),0)</f>
        <v>0</v>
      </c>
      <c r="O167" s="61">
        <f>IF(ISNUMBER(INDEX('M03-S05'!$AN$16:$AN$198,2*(ROWS($O$151:O167)-1)+1)),INDEX('M03-S05'!$AN$16:$AN$198,2*(ROWS($O$151:O167)-1)+1),0)</f>
        <v>0</v>
      </c>
      <c r="P167" s="151" t="str">
        <f>IFERROR(IF(NOT(ISNUMBER(INDEX('M03-S05'!$AN$16:$AN$198,2*(ROWS($O$151:O167)-1)+1))),INDEX('M03-S05'!$AZ$16:$AZ$198,2*(ROWS($O$151:O167)-1)+1),0),"")</f>
        <v/>
      </c>
      <c r="Q167" s="189" t="str">
        <f>IFERROR(IF(NOT(ISNUMBER(INDEX('M03-S05'!$AN$16:$AN$198,2*(ROWS($O$151:O167)-1)+1))),INDEX('M03-S05'!$AV$16:$AV$198,2*(ROWS($O$151:O167)-1)+1),0),"")</f>
        <v/>
      </c>
      <c r="R167" t="str">
        <f>IFERROR(IF(NOT(ISNUMBER(INDEX('M03-S05'!$AN$16:$AN$198,2*(ROWS($O$151:O167)-1)+1))),INDEX(SPILLOVER[Spillover Reason],MATCH(INDEX('M03-S05'!$BC$16:$BC$198,2*(ROWS($O$151:O167)-1)+1),SPILLOVER[Spillover Text],0)),""),"")</f>
        <v>Not Eligible</v>
      </c>
      <c r="S167" s="156" t="str">
        <f>INDEX('M03-S05'!$P$16:$P$198,2*(ROWS($S$151:S167)-1)+1)</f>
        <v/>
      </c>
      <c r="T167" s="156" t="str">
        <f>INDEX('M03-S05'!$AC$16:$AC$198,2*(ROWS($T$151:T167)-1)+1)</f>
        <v/>
      </c>
      <c r="U167" s="151">
        <f>INDEX('M03-S05'!$B$16:$B$198,2*(ROWS($U$151:U167)-1)+1)</f>
        <v>17</v>
      </c>
      <c r="V167" s="58">
        <f>INDEX('M03-S05'!$H$16:$H$198,2*(ROWS($V$151:V167)-1)+1)</f>
        <v>0</v>
      </c>
      <c r="W167" s="58">
        <f>INDEX('M03-S05'!$T$16:$T$198,2*(ROWS($W$151:W167)-1)+1)</f>
        <v>0</v>
      </c>
      <c r="X167">
        <f>INDEX('M03-S05'!$K$16:$K$198,2*(ROWS($X$151:X167)-1)+1)</f>
        <v>0</v>
      </c>
      <c r="Y167">
        <f>INDEX('M03-S05'!$X$16:$X$198,2*(ROWS($Y$151:Y167)-1)+1)</f>
        <v>0</v>
      </c>
      <c r="Z167" s="61">
        <f>IFERROR(INDEX('M03-S05'!$AE$16:$AE$198,2*(ROWS(Z$151:$Z167)-1)+1)/INDEX('M03-S05'!$R$16:$R$198,2*(ROWS(Z$151:$Z167)-1)+1),0)</f>
        <v>0</v>
      </c>
      <c r="AA167" t="str">
        <f>IFERROR(INDEX(CMLIGHTBASE[Measure Subgroup 1],MATCH(INDEX('M03-S05'!$H$16:$H$198,2*(ROWS($V$151:V167)-1)+1),CMLIGHTBASE[Base Desc 1],0)),"")</f>
        <v/>
      </c>
      <c r="AB167" t="str">
        <f>IFERROR(INDEX(CMLIGHTBASE[Measure Subgroup 2],MATCH(INDEX('M03-S05'!$H$16:$H$198,2*(ROWS($V$151:V167)-1)+1),CMLIGHTBASE[Base Desc 1],0)),"")</f>
        <v/>
      </c>
      <c r="AC167" t="str">
        <f>IFERROR(INDEX(CMLIGHTEFF[Measure Subgroup 1],MATCH(INDEX('M03-S05'!$T$16:$T$198,2*(ROWS($W$151:W167)-1)+1),CMLIGHTEFF[Eff Desc 1],0)),"")</f>
        <v/>
      </c>
      <c r="AD167" t="str">
        <f>IFERROR(INDEX(CMLIGHTEFF[Measure Subgroup 2],MATCH(INDEX('M03-S05'!$T$16:$T$198,2*(ROWS($W$151:W167)-1)+1),CMLIGHTEFF[Eff Desc 1],0)),"")</f>
        <v/>
      </c>
      <c r="AE167" s="151">
        <f>IF(NOT(ISNUMBER(INDEX('M03-S05'!$AN$16:$AN$198,2*(ROWS($O$151:O167)-1)+1))),INDEX('M03-S05'!$AA$16:$AA$198,2*(ROWS($L$151:L167)-1)+1),0)</f>
        <v>0</v>
      </c>
      <c r="AF167" s="151" t="str">
        <f>INDEX('M03-S05'!$AW$16:$AW$198,2*(ROWS($AF$151:AF167)-1)+1)</f>
        <v/>
      </c>
      <c r="AG167" s="151" t="str">
        <f>INDEX('M03-S05'!$AX$16:$AX$198,2*(ROWS($AG$151:AG167)-1)+1)</f>
        <v/>
      </c>
      <c r="AH167" s="151" t="str">
        <f t="shared" si="44"/>
        <v/>
      </c>
      <c r="AI167" s="151" t="str">
        <f t="shared" si="45"/>
        <v/>
      </c>
      <c r="AJ167" s="61" t="str">
        <f t="shared" si="46"/>
        <v/>
      </c>
      <c r="AK167" s="61" t="str">
        <f t="shared" si="47"/>
        <v/>
      </c>
      <c r="AL167" s="61" t="str">
        <f t="shared" si="48"/>
        <v/>
      </c>
      <c r="AM167" s="61" t="str">
        <f>INDEX('M03-S05'!$AU$16:$AU$198,2*(ROWS($AM$151:AM167)-1)+1)</f>
        <v/>
      </c>
      <c r="AN167" s="61" t="str">
        <f>INDEX('M03-S05'!$BB$16:$BB$198,2*(ROWS($AN$151:AN167)-1)+1)</f>
        <v/>
      </c>
      <c r="AO167" s="151">
        <f>INDEX('M03-S05'!$N$16:$N$198,2*(ROWS($AO$151:AO167)-1)+1)</f>
        <v>0</v>
      </c>
      <c r="AP167" s="135"/>
      <c r="AQ167" s="61" t="str">
        <f>IF(INDEX('M03-S05'!$AZ$16:$AZ$198,2*(ROWS($AQ$151:AQ167)-1)+1)="","",IF(AND(INDEX('M03-S05'!$AZ$16:$AZ$198,2*(ROWS($AQ$151:AQ167)-1)+1)&lt;&gt;"",OR(ISNUMBER(SEARCH("AC With",M02S02F32)),M02S02F32="Heat Pump"),INDEX('M03-S05'!$F$16:$F$198,2*(ROWS(AQ167:AQ167)-1)+1)="Interior"),LIGHTHEATCOIN,1))</f>
        <v/>
      </c>
      <c r="AR167" s="415">
        <f>(IF(INDEX('M03-S05'!$AN$16:$AN$198,2*(ROWS($O$151:O167)-1)+1)=INDEX('M03-S05'!$BJ$16:$BJ$198,2*(ROWS($O$151:O167)-1)+1),0,(INDEX('M03-S05'!$BI$16:$BI$198,2*(ROWS($O$151:O167)-1)+1)-INDEX('M03-S05'!$BJ$16:$BJ$198,2*(ROWS($O$151:O167)-1)+1))))</f>
        <v>0</v>
      </c>
    </row>
    <row r="168" spans="1:44" x14ac:dyDescent="0.25">
      <c r="A168" s="66">
        <f t="shared" si="41"/>
        <v>0</v>
      </c>
      <c r="B168" s="66" t="str">
        <f t="shared" si="42"/>
        <v/>
      </c>
      <c r="C168" s="66" t="str">
        <f>IFERROR(IF(J168&gt;0,INDEX('M03-S05'!$AY$16:$AY$198,2*(ROWS($C$151:C168)-1)+1),""),"")</f>
        <v/>
      </c>
      <c r="D168" t="str">
        <f t="shared" si="43"/>
        <v>Custom</v>
      </c>
      <c r="E168" t="str">
        <f>IFERROR(INDEX(CMELIGHT[End Use Category],MATCH(INDEX('M03-S05'!$F$16:$F$198,2*(ROWS($E$151:E168)-1)+1),CMELIGHT[Proj Desc 1],0)),"")</f>
        <v>Lighting</v>
      </c>
      <c r="F168" s="151" t="str">
        <f>INDEX('M03-S05'!$R$16:$R$198,2*(ROWS($F$151:F168)-1)+1)</f>
        <v/>
      </c>
      <c r="G168">
        <f>INDEX('M03-S05'!$C$16:$C$198,2*(ROWS($G$151:G168)-1)+1)</f>
        <v>0</v>
      </c>
      <c r="H168" s="61">
        <f>ROUND(INDEX('M03-S05'!$AA$16:$AA$198,2*(ROWS($H$151:H168)-1)+1)*INDEX('M03-S05'!$AG$16:$AG$198,2*(ROWS($H$151:H168)-1)+1),2)</f>
        <v>0</v>
      </c>
      <c r="I168" s="61">
        <f>ROUND(INDEX('M03-S05'!$AA$16:$AA$198,2*(ROWS($I$151:I168)-1)+1)*INDEX('M03-S05'!$AI$16:$AI$198,2*(ROWS($I$151:I168)-1)+1),2)</f>
        <v>0</v>
      </c>
      <c r="J168" s="61" t="str">
        <f>INDEX('M03-S05'!$AK$16:$AK$198,2*(ROWS($J$151:J168)-1)+1)</f>
        <v/>
      </c>
      <c r="K168" t="s">
        <v>119</v>
      </c>
      <c r="L168" s="151">
        <f>IF(ISNUMBER(INDEX('M03-S05'!$AN$16:$AN$198,2*(ROWS($O$151:O168)-1)+1)),INDEX('M03-S05'!$AA$16:$AA$198,2*(ROWS($L$151:L168)-1)+1),0)</f>
        <v>0</v>
      </c>
      <c r="M168" s="151">
        <f>IF(ISNUMBER(INDEX('M03-S05'!$AN$16:$AN$198,2*(ROWS($O$151:O168)-1)+1)),INDEX('M03-S05'!$AZ$16:$AZ$198,2*(ROWS($M$151:M168)-1)+1),0)</f>
        <v>0</v>
      </c>
      <c r="N168" s="189">
        <f>IF(ISNUMBER(INDEX('M03-S05'!$AN$16:$AN$198,2*(ROWS($O$151:O168)-1)+1)),INDEX('M03-S05'!$AV$16:$AV$198,2*(ROWS($N$151:N168)-1)+1),0)</f>
        <v>0</v>
      </c>
      <c r="O168" s="61">
        <f>IF(ISNUMBER(INDEX('M03-S05'!$AN$16:$AN$198,2*(ROWS($O$151:O168)-1)+1)),INDEX('M03-S05'!$AN$16:$AN$198,2*(ROWS($O$151:O168)-1)+1),0)</f>
        <v>0</v>
      </c>
      <c r="P168" s="151" t="str">
        <f>IFERROR(IF(NOT(ISNUMBER(INDEX('M03-S05'!$AN$16:$AN$198,2*(ROWS($O$151:O168)-1)+1))),INDEX('M03-S05'!$AZ$16:$AZ$198,2*(ROWS($O$151:O168)-1)+1),0),"")</f>
        <v/>
      </c>
      <c r="Q168" s="189" t="str">
        <f>IFERROR(IF(NOT(ISNUMBER(INDEX('M03-S05'!$AN$16:$AN$198,2*(ROWS($O$151:O168)-1)+1))),INDEX('M03-S05'!$AV$16:$AV$198,2*(ROWS($O$151:O168)-1)+1),0),"")</f>
        <v/>
      </c>
      <c r="R168" t="str">
        <f>IFERROR(IF(NOT(ISNUMBER(INDEX('M03-S05'!$AN$16:$AN$198,2*(ROWS($O$151:O168)-1)+1))),INDEX(SPILLOVER[Spillover Reason],MATCH(INDEX('M03-S05'!$BC$16:$BC$198,2*(ROWS($O$151:O168)-1)+1),SPILLOVER[Spillover Text],0)),""),"")</f>
        <v>Not Eligible</v>
      </c>
      <c r="S168" s="156" t="str">
        <f>INDEX('M03-S05'!$P$16:$P$198,2*(ROWS($S$151:S168)-1)+1)</f>
        <v/>
      </c>
      <c r="T168" s="156" t="str">
        <f>INDEX('M03-S05'!$AC$16:$AC$198,2*(ROWS($T$151:T168)-1)+1)</f>
        <v/>
      </c>
      <c r="U168" s="151">
        <f>INDEX('M03-S05'!$B$16:$B$198,2*(ROWS($U$151:U168)-1)+1)</f>
        <v>18</v>
      </c>
      <c r="V168" s="58">
        <f>INDEX('M03-S05'!$H$16:$H$198,2*(ROWS($V$151:V168)-1)+1)</f>
        <v>0</v>
      </c>
      <c r="W168" s="58">
        <f>INDEX('M03-S05'!$T$16:$T$198,2*(ROWS($W$151:W168)-1)+1)</f>
        <v>0</v>
      </c>
      <c r="X168">
        <f>INDEX('M03-S05'!$K$16:$K$198,2*(ROWS($X$151:X168)-1)+1)</f>
        <v>0</v>
      </c>
      <c r="Y168">
        <f>INDEX('M03-S05'!$X$16:$X$198,2*(ROWS($Y$151:Y168)-1)+1)</f>
        <v>0</v>
      </c>
      <c r="Z168" s="61">
        <f>IFERROR(INDEX('M03-S05'!$AE$16:$AE$198,2*(ROWS(Z$151:$Z168)-1)+1)/INDEX('M03-S05'!$R$16:$R$198,2*(ROWS(Z$151:$Z168)-1)+1),0)</f>
        <v>0</v>
      </c>
      <c r="AA168" t="str">
        <f>IFERROR(INDEX(CMLIGHTBASE[Measure Subgroup 1],MATCH(INDEX('M03-S05'!$H$16:$H$198,2*(ROWS($V$151:V168)-1)+1),CMLIGHTBASE[Base Desc 1],0)),"")</f>
        <v/>
      </c>
      <c r="AB168" t="str">
        <f>IFERROR(INDEX(CMLIGHTBASE[Measure Subgroup 2],MATCH(INDEX('M03-S05'!$H$16:$H$198,2*(ROWS($V$151:V168)-1)+1),CMLIGHTBASE[Base Desc 1],0)),"")</f>
        <v/>
      </c>
      <c r="AC168" t="str">
        <f>IFERROR(INDEX(CMLIGHTEFF[Measure Subgroup 1],MATCH(INDEX('M03-S05'!$T$16:$T$198,2*(ROWS($W$151:W168)-1)+1),CMLIGHTEFF[Eff Desc 1],0)),"")</f>
        <v/>
      </c>
      <c r="AD168" t="str">
        <f>IFERROR(INDEX(CMLIGHTEFF[Measure Subgroup 2],MATCH(INDEX('M03-S05'!$T$16:$T$198,2*(ROWS($W$151:W168)-1)+1),CMLIGHTEFF[Eff Desc 1],0)),"")</f>
        <v/>
      </c>
      <c r="AE168" s="151">
        <f>IF(NOT(ISNUMBER(INDEX('M03-S05'!$AN$16:$AN$198,2*(ROWS($O$151:O168)-1)+1))),INDEX('M03-S05'!$AA$16:$AA$198,2*(ROWS($L$151:L168)-1)+1),0)</f>
        <v>0</v>
      </c>
      <c r="AF168" s="151" t="str">
        <f>INDEX('M03-S05'!$AW$16:$AW$198,2*(ROWS($AF$151:AF168)-1)+1)</f>
        <v/>
      </c>
      <c r="AG168" s="151" t="str">
        <f>INDEX('M03-S05'!$AX$16:$AX$198,2*(ROWS($AG$151:AG168)-1)+1)</f>
        <v/>
      </c>
      <c r="AH168" s="151" t="str">
        <f t="shared" si="44"/>
        <v/>
      </c>
      <c r="AI168" s="151" t="str">
        <f t="shared" si="45"/>
        <v/>
      </c>
      <c r="AJ168" s="61" t="str">
        <f t="shared" si="46"/>
        <v/>
      </c>
      <c r="AK168" s="61" t="str">
        <f t="shared" si="47"/>
        <v/>
      </c>
      <c r="AL168" s="61" t="str">
        <f t="shared" si="48"/>
        <v/>
      </c>
      <c r="AM168" s="61" t="str">
        <f>INDEX('M03-S05'!$AU$16:$AU$198,2*(ROWS($AM$151:AM168)-1)+1)</f>
        <v/>
      </c>
      <c r="AN168" s="61" t="str">
        <f>INDEX('M03-S05'!$BB$16:$BB$198,2*(ROWS($AN$151:AN168)-1)+1)</f>
        <v/>
      </c>
      <c r="AO168" s="151">
        <f>INDEX('M03-S05'!$N$16:$N$198,2*(ROWS($AO$151:AO168)-1)+1)</f>
        <v>0</v>
      </c>
      <c r="AP168" s="135"/>
      <c r="AQ168" s="61" t="str">
        <f>IF(INDEX('M03-S05'!$AZ$16:$AZ$198,2*(ROWS($AQ$151:AQ168)-1)+1)="","",IF(AND(INDEX('M03-S05'!$AZ$16:$AZ$198,2*(ROWS($AQ$151:AQ168)-1)+1)&lt;&gt;"",OR(ISNUMBER(SEARCH("AC With",M02S02F32)),M02S02F32="Heat Pump"),INDEX('M03-S05'!$F$16:$F$198,2*(ROWS(AQ168:AQ168)-1)+1)="Interior"),LIGHTHEATCOIN,1))</f>
        <v/>
      </c>
      <c r="AR168" s="415">
        <f>(IF(INDEX('M03-S05'!$AN$16:$AN$198,2*(ROWS($O$151:O168)-1)+1)=INDEX('M03-S05'!$BJ$16:$BJ$198,2*(ROWS($O$151:O168)-1)+1),0,(INDEX('M03-S05'!$BI$16:$BI$198,2*(ROWS($O$151:O168)-1)+1)-INDEX('M03-S05'!$BJ$16:$BJ$198,2*(ROWS($O$151:O168)-1)+1))))</f>
        <v>0</v>
      </c>
    </row>
    <row r="169" spans="1:44" x14ac:dyDescent="0.25">
      <c r="A169" s="66">
        <f t="shared" si="41"/>
        <v>0</v>
      </c>
      <c r="B169" s="66" t="str">
        <f t="shared" si="42"/>
        <v/>
      </c>
      <c r="C169" s="66" t="str">
        <f>IFERROR(IF(J169&gt;0,INDEX('M03-S05'!$AY$16:$AY$198,2*(ROWS($C$151:C169)-1)+1),""),"")</f>
        <v/>
      </c>
      <c r="D169" t="str">
        <f t="shared" si="43"/>
        <v>Custom</v>
      </c>
      <c r="E169" t="str">
        <f>IFERROR(INDEX(CMELIGHT[End Use Category],MATCH(INDEX('M03-S05'!$F$16:$F$198,2*(ROWS($E$151:E169)-1)+1),CMELIGHT[Proj Desc 1],0)),"")</f>
        <v>Lighting</v>
      </c>
      <c r="F169" s="151" t="str">
        <f>INDEX('M03-S05'!$R$16:$R$198,2*(ROWS($F$151:F169)-1)+1)</f>
        <v/>
      </c>
      <c r="G169">
        <f>INDEX('M03-S05'!$C$16:$C$198,2*(ROWS($G$151:G169)-1)+1)</f>
        <v>0</v>
      </c>
      <c r="H169" s="61">
        <f>ROUND(INDEX('M03-S05'!$AA$16:$AA$198,2*(ROWS($H$151:H169)-1)+1)*INDEX('M03-S05'!$AG$16:$AG$198,2*(ROWS($H$151:H169)-1)+1),2)</f>
        <v>0</v>
      </c>
      <c r="I169" s="61">
        <f>ROUND(INDEX('M03-S05'!$AA$16:$AA$198,2*(ROWS($I$151:I169)-1)+1)*INDEX('M03-S05'!$AI$16:$AI$198,2*(ROWS($I$151:I169)-1)+1),2)</f>
        <v>0</v>
      </c>
      <c r="J169" s="61" t="str">
        <f>INDEX('M03-S05'!$AK$16:$AK$198,2*(ROWS($J$151:J169)-1)+1)</f>
        <v/>
      </c>
      <c r="K169" t="s">
        <v>119</v>
      </c>
      <c r="L169" s="151">
        <f>IF(ISNUMBER(INDEX('M03-S05'!$AN$16:$AN$198,2*(ROWS($O$151:O169)-1)+1)),INDEX('M03-S05'!$AA$16:$AA$198,2*(ROWS($L$151:L169)-1)+1),0)</f>
        <v>0</v>
      </c>
      <c r="M169" s="151">
        <f>IF(ISNUMBER(INDEX('M03-S05'!$AN$16:$AN$198,2*(ROWS($O$151:O169)-1)+1)),INDEX('M03-S05'!$AZ$16:$AZ$198,2*(ROWS($M$151:M169)-1)+1),0)</f>
        <v>0</v>
      </c>
      <c r="N169" s="189">
        <f>IF(ISNUMBER(INDEX('M03-S05'!$AN$16:$AN$198,2*(ROWS($O$151:O169)-1)+1)),INDEX('M03-S05'!$AV$16:$AV$198,2*(ROWS($N$151:N169)-1)+1),0)</f>
        <v>0</v>
      </c>
      <c r="O169" s="61">
        <f>IF(ISNUMBER(INDEX('M03-S05'!$AN$16:$AN$198,2*(ROWS($O$151:O169)-1)+1)),INDEX('M03-S05'!$AN$16:$AN$198,2*(ROWS($O$151:O169)-1)+1),0)</f>
        <v>0</v>
      </c>
      <c r="P169" s="151" t="str">
        <f>IFERROR(IF(NOT(ISNUMBER(INDEX('M03-S05'!$AN$16:$AN$198,2*(ROWS($O$151:O169)-1)+1))),INDEX('M03-S05'!$AZ$16:$AZ$198,2*(ROWS($O$151:O169)-1)+1),0),"")</f>
        <v/>
      </c>
      <c r="Q169" s="189" t="str">
        <f>IFERROR(IF(NOT(ISNUMBER(INDEX('M03-S05'!$AN$16:$AN$198,2*(ROWS($O$151:O169)-1)+1))),INDEX('M03-S05'!$AV$16:$AV$198,2*(ROWS($O$151:O169)-1)+1),0),"")</f>
        <v/>
      </c>
      <c r="R169" t="str">
        <f>IFERROR(IF(NOT(ISNUMBER(INDEX('M03-S05'!$AN$16:$AN$198,2*(ROWS($O$151:O169)-1)+1))),INDEX(SPILLOVER[Spillover Reason],MATCH(INDEX('M03-S05'!$BC$16:$BC$198,2*(ROWS($O$151:O169)-1)+1),SPILLOVER[Spillover Text],0)),""),"")</f>
        <v>Not Eligible</v>
      </c>
      <c r="S169" s="156" t="str">
        <f>INDEX('M03-S05'!$P$16:$P$198,2*(ROWS($S$151:S169)-1)+1)</f>
        <v/>
      </c>
      <c r="T169" s="156" t="str">
        <f>INDEX('M03-S05'!$AC$16:$AC$198,2*(ROWS($T$151:T169)-1)+1)</f>
        <v/>
      </c>
      <c r="U169" s="151">
        <f>INDEX('M03-S05'!$B$16:$B$198,2*(ROWS($U$151:U169)-1)+1)</f>
        <v>19</v>
      </c>
      <c r="V169" s="58">
        <f>INDEX('M03-S05'!$H$16:$H$198,2*(ROWS($V$151:V169)-1)+1)</f>
        <v>0</v>
      </c>
      <c r="W169" s="58">
        <f>INDEX('M03-S05'!$T$16:$T$198,2*(ROWS($W$151:W169)-1)+1)</f>
        <v>0</v>
      </c>
      <c r="X169">
        <f>INDEX('M03-S05'!$K$16:$K$198,2*(ROWS($X$151:X169)-1)+1)</f>
        <v>0</v>
      </c>
      <c r="Y169">
        <f>INDEX('M03-S05'!$X$16:$X$198,2*(ROWS($Y$151:Y169)-1)+1)</f>
        <v>0</v>
      </c>
      <c r="Z169" s="61">
        <f>IFERROR(INDEX('M03-S05'!$AE$16:$AE$198,2*(ROWS(Z$151:$Z169)-1)+1)/INDEX('M03-S05'!$R$16:$R$198,2*(ROWS(Z$151:$Z169)-1)+1),0)</f>
        <v>0</v>
      </c>
      <c r="AA169" t="str">
        <f>IFERROR(INDEX(CMLIGHTBASE[Measure Subgroup 1],MATCH(INDEX('M03-S05'!$H$16:$H$198,2*(ROWS($V$151:V169)-1)+1),CMLIGHTBASE[Base Desc 1],0)),"")</f>
        <v/>
      </c>
      <c r="AB169" t="str">
        <f>IFERROR(INDEX(CMLIGHTBASE[Measure Subgroup 2],MATCH(INDEX('M03-S05'!$H$16:$H$198,2*(ROWS($V$151:V169)-1)+1),CMLIGHTBASE[Base Desc 1],0)),"")</f>
        <v/>
      </c>
      <c r="AC169" t="str">
        <f>IFERROR(INDEX(CMLIGHTEFF[Measure Subgroup 1],MATCH(INDEX('M03-S05'!$T$16:$T$198,2*(ROWS($W$151:W169)-1)+1),CMLIGHTEFF[Eff Desc 1],0)),"")</f>
        <v/>
      </c>
      <c r="AD169" t="str">
        <f>IFERROR(INDEX(CMLIGHTEFF[Measure Subgroup 2],MATCH(INDEX('M03-S05'!$T$16:$T$198,2*(ROWS($W$151:W169)-1)+1),CMLIGHTEFF[Eff Desc 1],0)),"")</f>
        <v/>
      </c>
      <c r="AE169" s="151">
        <f>IF(NOT(ISNUMBER(INDEX('M03-S05'!$AN$16:$AN$198,2*(ROWS($O$151:O169)-1)+1))),INDEX('M03-S05'!$AA$16:$AA$198,2*(ROWS($L$151:L169)-1)+1),0)</f>
        <v>0</v>
      </c>
      <c r="AF169" s="151" t="str">
        <f>INDEX('M03-S05'!$AW$16:$AW$198,2*(ROWS($AF$151:AF169)-1)+1)</f>
        <v/>
      </c>
      <c r="AG169" s="151" t="str">
        <f>INDEX('M03-S05'!$AX$16:$AX$198,2*(ROWS($AG$151:AG169)-1)+1)</f>
        <v/>
      </c>
      <c r="AH169" s="151" t="str">
        <f t="shared" si="44"/>
        <v/>
      </c>
      <c r="AI169" s="151" t="str">
        <f t="shared" si="45"/>
        <v/>
      </c>
      <c r="AJ169" s="61" t="str">
        <f t="shared" si="46"/>
        <v/>
      </c>
      <c r="AK169" s="61" t="str">
        <f t="shared" si="47"/>
        <v/>
      </c>
      <c r="AL169" s="61" t="str">
        <f t="shared" si="48"/>
        <v/>
      </c>
      <c r="AM169" s="61" t="str">
        <f>INDEX('M03-S05'!$AU$16:$AU$198,2*(ROWS($AM$151:AM169)-1)+1)</f>
        <v/>
      </c>
      <c r="AN169" s="61" t="str">
        <f>INDEX('M03-S05'!$BB$16:$BB$198,2*(ROWS($AN$151:AN169)-1)+1)</f>
        <v/>
      </c>
      <c r="AO169" s="151">
        <f>INDEX('M03-S05'!$N$16:$N$198,2*(ROWS($AO$151:AO169)-1)+1)</f>
        <v>0</v>
      </c>
      <c r="AP169" s="135"/>
      <c r="AQ169" s="61" t="str">
        <f>IF(INDEX('M03-S05'!$AZ$16:$AZ$198,2*(ROWS($AQ$151:AQ169)-1)+1)="","",IF(AND(INDEX('M03-S05'!$AZ$16:$AZ$198,2*(ROWS($AQ$151:AQ169)-1)+1)&lt;&gt;"",OR(ISNUMBER(SEARCH("AC With",M02S02F32)),M02S02F32="Heat Pump"),INDEX('M03-S05'!$F$16:$F$198,2*(ROWS(AQ169:AQ169)-1)+1)="Interior"),LIGHTHEATCOIN,1))</f>
        <v/>
      </c>
      <c r="AR169" s="415">
        <f>(IF(INDEX('M03-S05'!$AN$16:$AN$198,2*(ROWS($O$151:O169)-1)+1)=INDEX('M03-S05'!$BJ$16:$BJ$198,2*(ROWS($O$151:O169)-1)+1),0,(INDEX('M03-S05'!$BI$16:$BI$198,2*(ROWS($O$151:O169)-1)+1)-INDEX('M03-S05'!$BJ$16:$BJ$198,2*(ROWS($O$151:O169)-1)+1))))</f>
        <v>0</v>
      </c>
    </row>
    <row r="170" spans="1:44" x14ac:dyDescent="0.25">
      <c r="A170" s="66">
        <f t="shared" si="41"/>
        <v>0</v>
      </c>
      <c r="B170" s="66" t="str">
        <f t="shared" si="42"/>
        <v/>
      </c>
      <c r="C170" s="66" t="str">
        <f>IFERROR(IF(J170&gt;0,INDEX('M03-S05'!$AY$16:$AY$198,2*(ROWS($C$151:C170)-1)+1),""),"")</f>
        <v/>
      </c>
      <c r="D170" t="str">
        <f t="shared" si="43"/>
        <v>Custom</v>
      </c>
      <c r="E170" t="str">
        <f>IFERROR(INDEX(CMELIGHT[End Use Category],MATCH(INDEX('M03-S05'!$F$16:$F$198,2*(ROWS($E$151:E170)-1)+1),CMELIGHT[Proj Desc 1],0)),"")</f>
        <v>Lighting</v>
      </c>
      <c r="F170" s="151" t="str">
        <f>INDEX('M03-S05'!$R$16:$R$198,2*(ROWS($F$151:F170)-1)+1)</f>
        <v/>
      </c>
      <c r="G170">
        <f>INDEX('M03-S05'!$C$16:$C$198,2*(ROWS($G$151:G170)-1)+1)</f>
        <v>0</v>
      </c>
      <c r="H170" s="61">
        <f>ROUND(INDEX('M03-S05'!$AA$16:$AA$198,2*(ROWS($H$151:H170)-1)+1)*INDEX('M03-S05'!$AG$16:$AG$198,2*(ROWS($H$151:H170)-1)+1),2)</f>
        <v>0</v>
      </c>
      <c r="I170" s="61">
        <f>ROUND(INDEX('M03-S05'!$AA$16:$AA$198,2*(ROWS($I$151:I170)-1)+1)*INDEX('M03-S05'!$AI$16:$AI$198,2*(ROWS($I$151:I170)-1)+1),2)</f>
        <v>0</v>
      </c>
      <c r="J170" s="61" t="str">
        <f>INDEX('M03-S05'!$AK$16:$AK$198,2*(ROWS($J$151:J170)-1)+1)</f>
        <v/>
      </c>
      <c r="K170" t="s">
        <v>119</v>
      </c>
      <c r="L170" s="151">
        <f>IF(ISNUMBER(INDEX('M03-S05'!$AN$16:$AN$198,2*(ROWS($O$151:O170)-1)+1)),INDEX('M03-S05'!$AA$16:$AA$198,2*(ROWS($L$151:L170)-1)+1),0)</f>
        <v>0</v>
      </c>
      <c r="M170" s="151">
        <f>IF(ISNUMBER(INDEX('M03-S05'!$AN$16:$AN$198,2*(ROWS($O$151:O170)-1)+1)),INDEX('M03-S05'!$AZ$16:$AZ$198,2*(ROWS($M$151:M170)-1)+1),0)</f>
        <v>0</v>
      </c>
      <c r="N170" s="189">
        <f>IF(ISNUMBER(INDEX('M03-S05'!$AN$16:$AN$198,2*(ROWS($O$151:O170)-1)+1)),INDEX('M03-S05'!$AV$16:$AV$198,2*(ROWS($N$151:N170)-1)+1),0)</f>
        <v>0</v>
      </c>
      <c r="O170" s="61">
        <f>IF(ISNUMBER(INDEX('M03-S05'!$AN$16:$AN$198,2*(ROWS($O$151:O170)-1)+1)),INDEX('M03-S05'!$AN$16:$AN$198,2*(ROWS($O$151:O170)-1)+1),0)</f>
        <v>0</v>
      </c>
      <c r="P170" s="151" t="str">
        <f>IFERROR(IF(NOT(ISNUMBER(INDEX('M03-S05'!$AN$16:$AN$198,2*(ROWS($O$151:O170)-1)+1))),INDEX('M03-S05'!$AZ$16:$AZ$198,2*(ROWS($O$151:O170)-1)+1),0),"")</f>
        <v/>
      </c>
      <c r="Q170" s="189" t="str">
        <f>IFERROR(IF(NOT(ISNUMBER(INDEX('M03-S05'!$AN$16:$AN$198,2*(ROWS($O$151:O170)-1)+1))),INDEX('M03-S05'!$AV$16:$AV$198,2*(ROWS($O$151:O170)-1)+1),0),"")</f>
        <v/>
      </c>
      <c r="R170" t="str">
        <f>IFERROR(IF(NOT(ISNUMBER(INDEX('M03-S05'!$AN$16:$AN$198,2*(ROWS($O$151:O170)-1)+1))),INDEX(SPILLOVER[Spillover Reason],MATCH(INDEX('M03-S05'!$BC$16:$BC$198,2*(ROWS($O$151:O170)-1)+1),SPILLOVER[Spillover Text],0)),""),"")</f>
        <v>Not Eligible</v>
      </c>
      <c r="S170" s="156" t="str">
        <f>INDEX('M03-S05'!$P$16:$P$198,2*(ROWS($S$151:S170)-1)+1)</f>
        <v/>
      </c>
      <c r="T170" s="156" t="str">
        <f>INDEX('M03-S05'!$AC$16:$AC$198,2*(ROWS($T$151:T170)-1)+1)</f>
        <v/>
      </c>
      <c r="U170" s="151">
        <f>INDEX('M03-S05'!$B$16:$B$198,2*(ROWS($U$151:U170)-1)+1)</f>
        <v>20</v>
      </c>
      <c r="V170" s="58">
        <f>INDEX('M03-S05'!$H$16:$H$198,2*(ROWS($V$151:V170)-1)+1)</f>
        <v>0</v>
      </c>
      <c r="W170" s="58">
        <f>INDEX('M03-S05'!$T$16:$T$198,2*(ROWS($W$151:W170)-1)+1)</f>
        <v>0</v>
      </c>
      <c r="X170">
        <f>INDEX('M03-S05'!$K$16:$K$198,2*(ROWS($X$151:X170)-1)+1)</f>
        <v>0</v>
      </c>
      <c r="Y170">
        <f>INDEX('M03-S05'!$X$16:$X$198,2*(ROWS($Y$151:Y170)-1)+1)</f>
        <v>0</v>
      </c>
      <c r="Z170" s="61">
        <f>IFERROR(INDEX('M03-S05'!$AE$16:$AE$198,2*(ROWS(Z$151:$Z170)-1)+1)/INDEX('M03-S05'!$R$16:$R$198,2*(ROWS(Z$151:$Z170)-1)+1),0)</f>
        <v>0</v>
      </c>
      <c r="AA170" t="str">
        <f>IFERROR(INDEX(CMLIGHTBASE[Measure Subgroup 1],MATCH(INDEX('M03-S05'!$H$16:$H$198,2*(ROWS($V$151:V170)-1)+1),CMLIGHTBASE[Base Desc 1],0)),"")</f>
        <v/>
      </c>
      <c r="AB170" t="str">
        <f>IFERROR(INDEX(CMLIGHTBASE[Measure Subgroup 2],MATCH(INDEX('M03-S05'!$H$16:$H$198,2*(ROWS($V$151:V170)-1)+1),CMLIGHTBASE[Base Desc 1],0)),"")</f>
        <v/>
      </c>
      <c r="AC170" t="str">
        <f>IFERROR(INDEX(CMLIGHTEFF[Measure Subgroup 1],MATCH(INDEX('M03-S05'!$T$16:$T$198,2*(ROWS($W$151:W170)-1)+1),CMLIGHTEFF[Eff Desc 1],0)),"")</f>
        <v/>
      </c>
      <c r="AD170" t="str">
        <f>IFERROR(INDEX(CMLIGHTEFF[Measure Subgroup 2],MATCH(INDEX('M03-S05'!$T$16:$T$198,2*(ROWS($W$151:W170)-1)+1),CMLIGHTEFF[Eff Desc 1],0)),"")</f>
        <v/>
      </c>
      <c r="AE170" s="151">
        <f>IF(NOT(ISNUMBER(INDEX('M03-S05'!$AN$16:$AN$198,2*(ROWS($O$151:O170)-1)+1))),INDEX('M03-S05'!$AA$16:$AA$198,2*(ROWS($L$151:L170)-1)+1),0)</f>
        <v>0</v>
      </c>
      <c r="AF170" s="151" t="str">
        <f>INDEX('M03-S05'!$AW$16:$AW$198,2*(ROWS($AF$151:AF170)-1)+1)</f>
        <v/>
      </c>
      <c r="AG170" s="151" t="str">
        <f>INDEX('M03-S05'!$AX$16:$AX$198,2*(ROWS($AG$151:AG170)-1)+1)</f>
        <v/>
      </c>
      <c r="AH170" s="151" t="str">
        <f t="shared" si="44"/>
        <v/>
      </c>
      <c r="AI170" s="151" t="str">
        <f t="shared" si="45"/>
        <v/>
      </c>
      <c r="AJ170" s="61" t="str">
        <f t="shared" si="46"/>
        <v/>
      </c>
      <c r="AK170" s="61" t="str">
        <f t="shared" si="47"/>
        <v/>
      </c>
      <c r="AL170" s="61" t="str">
        <f t="shared" si="48"/>
        <v/>
      </c>
      <c r="AM170" s="61" t="str">
        <f>INDEX('M03-S05'!$AU$16:$AU$198,2*(ROWS($AM$151:AM170)-1)+1)</f>
        <v/>
      </c>
      <c r="AN170" s="61" t="str">
        <f>INDEX('M03-S05'!$BB$16:$BB$198,2*(ROWS($AN$151:AN170)-1)+1)</f>
        <v/>
      </c>
      <c r="AO170" s="151">
        <f>INDEX('M03-S05'!$N$16:$N$198,2*(ROWS($AO$151:AO170)-1)+1)</f>
        <v>0</v>
      </c>
      <c r="AP170" s="135"/>
      <c r="AQ170" s="61" t="str">
        <f>IF(INDEX('M03-S05'!$AZ$16:$AZ$198,2*(ROWS($AQ$151:AQ170)-1)+1)="","",IF(AND(INDEX('M03-S05'!$AZ$16:$AZ$198,2*(ROWS($AQ$151:AQ170)-1)+1)&lt;&gt;"",OR(ISNUMBER(SEARCH("AC With",M02S02F32)),M02S02F32="Heat Pump"),INDEX('M03-S05'!$F$16:$F$198,2*(ROWS(AQ170:AQ170)-1)+1)="Interior"),LIGHTHEATCOIN,1))</f>
        <v/>
      </c>
      <c r="AR170" s="415">
        <f>(IF(INDEX('M03-S05'!$AN$16:$AN$198,2*(ROWS($O$151:O170)-1)+1)=INDEX('M03-S05'!$BJ$16:$BJ$198,2*(ROWS($O$151:O170)-1)+1),0,(INDEX('M03-S05'!$BI$16:$BI$198,2*(ROWS($O$151:O170)-1)+1)-INDEX('M03-S05'!$BJ$16:$BJ$198,2*(ROWS($O$151:O170)-1)+1))))</f>
        <v>0</v>
      </c>
    </row>
    <row r="171" spans="1:44" x14ac:dyDescent="0.25">
      <c r="A171" s="66">
        <f t="shared" si="41"/>
        <v>0</v>
      </c>
      <c r="B171" s="66" t="str">
        <f t="shared" si="42"/>
        <v/>
      </c>
      <c r="C171" s="66" t="str">
        <f>IFERROR(IF(J171&gt;0,INDEX('M03-S05'!$AY$16:$AY$198,2*(ROWS($C$151:C171)-1)+1),""),"")</f>
        <v/>
      </c>
      <c r="D171" t="str">
        <f t="shared" si="43"/>
        <v>Custom</v>
      </c>
      <c r="E171" t="str">
        <f>IFERROR(INDEX(CMELIGHT[End Use Category],MATCH(INDEX('M03-S05'!$F$16:$F$198,2*(ROWS($E$151:E171)-1)+1),CMELIGHT[Proj Desc 1],0)),"")</f>
        <v>Lighting</v>
      </c>
      <c r="F171" s="151" t="str">
        <f>INDEX('M03-S05'!$R$16:$R$198,2*(ROWS($F$151:F171)-1)+1)</f>
        <v/>
      </c>
      <c r="G171">
        <f>INDEX('M03-S05'!$C$16:$C$198,2*(ROWS($G$151:G171)-1)+1)</f>
        <v>0</v>
      </c>
      <c r="H171" s="61">
        <f>ROUND(INDEX('M03-S05'!$AA$16:$AA$198,2*(ROWS($H$151:H171)-1)+1)*INDEX('M03-S05'!$AG$16:$AG$198,2*(ROWS($H$151:H171)-1)+1),2)</f>
        <v>0</v>
      </c>
      <c r="I171" s="61">
        <f>ROUND(INDEX('M03-S05'!$AA$16:$AA$198,2*(ROWS($I$151:I171)-1)+1)*INDEX('M03-S05'!$AI$16:$AI$198,2*(ROWS($I$151:I171)-1)+1),2)</f>
        <v>0</v>
      </c>
      <c r="J171" s="61" t="str">
        <f>INDEX('M03-S05'!$AK$16:$AK$198,2*(ROWS($J$151:J171)-1)+1)</f>
        <v/>
      </c>
      <c r="K171" t="s">
        <v>119</v>
      </c>
      <c r="L171" s="151">
        <f>IF(ISNUMBER(INDEX('M03-S05'!$AN$16:$AN$198,2*(ROWS($O$151:O171)-1)+1)),INDEX('M03-S05'!$AA$16:$AA$198,2*(ROWS($L$151:L171)-1)+1),0)</f>
        <v>0</v>
      </c>
      <c r="M171" s="151">
        <f>IF(ISNUMBER(INDEX('M03-S05'!$AN$16:$AN$198,2*(ROWS($O$151:O171)-1)+1)),INDEX('M03-S05'!$AZ$16:$AZ$198,2*(ROWS($M$151:M171)-1)+1),0)</f>
        <v>0</v>
      </c>
      <c r="N171" s="189">
        <f>IF(ISNUMBER(INDEX('M03-S05'!$AN$16:$AN$198,2*(ROWS($O$151:O171)-1)+1)),INDEX('M03-S05'!$AV$16:$AV$198,2*(ROWS($N$151:N171)-1)+1),0)</f>
        <v>0</v>
      </c>
      <c r="O171" s="61">
        <f>IF(ISNUMBER(INDEX('M03-S05'!$AN$16:$AN$198,2*(ROWS($O$151:O171)-1)+1)),INDEX('M03-S05'!$AN$16:$AN$198,2*(ROWS($O$151:O171)-1)+1),0)</f>
        <v>0</v>
      </c>
      <c r="P171" s="151" t="str">
        <f>IFERROR(IF(NOT(ISNUMBER(INDEX('M03-S05'!$AN$16:$AN$198,2*(ROWS($O$151:O171)-1)+1))),INDEX('M03-S05'!$AZ$16:$AZ$198,2*(ROWS($O$151:O171)-1)+1),0),"")</f>
        <v/>
      </c>
      <c r="Q171" s="189" t="str">
        <f>IFERROR(IF(NOT(ISNUMBER(INDEX('M03-S05'!$AN$16:$AN$198,2*(ROWS($O$151:O171)-1)+1))),INDEX('M03-S05'!$AV$16:$AV$198,2*(ROWS($O$151:O171)-1)+1),0),"")</f>
        <v/>
      </c>
      <c r="R171" t="str">
        <f>IFERROR(IF(NOT(ISNUMBER(INDEX('M03-S05'!$AN$16:$AN$198,2*(ROWS($O$151:O171)-1)+1))),INDEX(SPILLOVER[Spillover Reason],MATCH(INDEX('M03-S05'!$BC$16:$BC$198,2*(ROWS($O$151:O171)-1)+1),SPILLOVER[Spillover Text],0)),""),"")</f>
        <v>Not Eligible</v>
      </c>
      <c r="S171" s="156" t="str">
        <f>INDEX('M03-S05'!$P$16:$P$198,2*(ROWS($S$151:S171)-1)+1)</f>
        <v/>
      </c>
      <c r="T171" s="156" t="str">
        <f>INDEX('M03-S05'!$AC$16:$AC$198,2*(ROWS($T$151:T171)-1)+1)</f>
        <v/>
      </c>
      <c r="U171" s="151">
        <f>INDEX('M03-S05'!$B$16:$B$198,2*(ROWS($U$151:U171)-1)+1)</f>
        <v>21</v>
      </c>
      <c r="V171" s="58">
        <f>INDEX('M03-S05'!$H$16:$H$198,2*(ROWS($V$151:V171)-1)+1)</f>
        <v>0</v>
      </c>
      <c r="W171" s="58">
        <f>INDEX('M03-S05'!$T$16:$T$198,2*(ROWS($W$151:W171)-1)+1)</f>
        <v>0</v>
      </c>
      <c r="X171">
        <f>INDEX('M03-S05'!$K$16:$K$198,2*(ROWS($X$151:X171)-1)+1)</f>
        <v>0</v>
      </c>
      <c r="Y171">
        <f>INDEX('M03-S05'!$X$16:$X$198,2*(ROWS($Y$151:Y171)-1)+1)</f>
        <v>0</v>
      </c>
      <c r="Z171" s="61">
        <f>IFERROR(INDEX('M03-S05'!$AE$16:$AE$198,2*(ROWS(Z$151:$Z171)-1)+1)/INDEX('M03-S05'!$R$16:$R$198,2*(ROWS(Z$151:$Z171)-1)+1),0)</f>
        <v>0</v>
      </c>
      <c r="AA171" t="str">
        <f>IFERROR(INDEX(CMLIGHTBASE[Measure Subgroup 1],MATCH(INDEX('M03-S05'!$H$16:$H$198,2*(ROWS($V$151:V171)-1)+1),CMLIGHTBASE[Base Desc 1],0)),"")</f>
        <v/>
      </c>
      <c r="AB171" t="str">
        <f>IFERROR(INDEX(CMLIGHTBASE[Measure Subgroup 2],MATCH(INDEX('M03-S05'!$H$16:$H$198,2*(ROWS($V$151:V171)-1)+1),CMLIGHTBASE[Base Desc 1],0)),"")</f>
        <v/>
      </c>
      <c r="AC171" t="str">
        <f>IFERROR(INDEX(CMLIGHTEFF[Measure Subgroup 1],MATCH(INDEX('M03-S05'!$T$16:$T$198,2*(ROWS($W$151:W171)-1)+1),CMLIGHTEFF[Eff Desc 1],0)),"")</f>
        <v/>
      </c>
      <c r="AD171" t="str">
        <f>IFERROR(INDEX(CMLIGHTEFF[Measure Subgroup 2],MATCH(INDEX('M03-S05'!$T$16:$T$198,2*(ROWS($W$151:W171)-1)+1),CMLIGHTEFF[Eff Desc 1],0)),"")</f>
        <v/>
      </c>
      <c r="AE171" s="151">
        <f>IF(NOT(ISNUMBER(INDEX('M03-S05'!$AN$16:$AN$198,2*(ROWS($O$151:O171)-1)+1))),INDEX('M03-S05'!$AA$16:$AA$198,2*(ROWS($L$151:L171)-1)+1),0)</f>
        <v>0</v>
      </c>
      <c r="AF171" s="151" t="str">
        <f>INDEX('M03-S05'!$AW$16:$AW$198,2*(ROWS($AF$151:AF171)-1)+1)</f>
        <v/>
      </c>
      <c r="AG171" s="151" t="str">
        <f>INDEX('M03-S05'!$AX$16:$AX$198,2*(ROWS($AG$151:AG171)-1)+1)</f>
        <v/>
      </c>
      <c r="AH171" s="151" t="str">
        <f t="shared" si="44"/>
        <v/>
      </c>
      <c r="AI171" s="151" t="str">
        <f t="shared" si="45"/>
        <v/>
      </c>
      <c r="AJ171" s="61" t="str">
        <f t="shared" si="46"/>
        <v/>
      </c>
      <c r="AK171" s="61" t="str">
        <f t="shared" si="47"/>
        <v/>
      </c>
      <c r="AL171" s="61" t="str">
        <f t="shared" si="48"/>
        <v/>
      </c>
      <c r="AM171" s="61" t="str">
        <f>INDEX('M03-S05'!$AU$16:$AU$198,2*(ROWS($AM$151:AM171)-1)+1)</f>
        <v/>
      </c>
      <c r="AN171" s="61" t="str">
        <f>INDEX('M03-S05'!$BB$16:$BB$198,2*(ROWS($AN$151:AN171)-1)+1)</f>
        <v/>
      </c>
      <c r="AO171" s="151">
        <f>INDEX('M03-S05'!$N$16:$N$198,2*(ROWS($AO$151:AO171)-1)+1)</f>
        <v>0</v>
      </c>
      <c r="AP171" s="135"/>
      <c r="AQ171" s="61" t="str">
        <f>IF(INDEX('M03-S05'!$AZ$16:$AZ$198,2*(ROWS($AQ$151:AQ171)-1)+1)="","",IF(AND(INDEX('M03-S05'!$AZ$16:$AZ$198,2*(ROWS($AQ$151:AQ171)-1)+1)&lt;&gt;"",OR(ISNUMBER(SEARCH("AC With",M02S02F32)),M02S02F32="Heat Pump"),INDEX('M03-S05'!$F$16:$F$198,2*(ROWS(AQ171:AQ171)-1)+1)="Interior"),LIGHTHEATCOIN,1))</f>
        <v/>
      </c>
      <c r="AR171" s="415">
        <f>(IF(INDEX('M03-S05'!$AN$16:$AN$198,2*(ROWS($O$151:O171)-1)+1)=INDEX('M03-S05'!$BJ$16:$BJ$198,2*(ROWS($O$151:O171)-1)+1),0,(INDEX('M03-S05'!$BI$16:$BI$198,2*(ROWS($O$151:O171)-1)+1)-INDEX('M03-S05'!$BJ$16:$BJ$198,2*(ROWS($O$151:O171)-1)+1))))</f>
        <v>0</v>
      </c>
    </row>
    <row r="172" spans="1:44" x14ac:dyDescent="0.25">
      <c r="A172" s="66">
        <f t="shared" si="41"/>
        <v>0</v>
      </c>
      <c r="B172" s="66" t="str">
        <f t="shared" si="42"/>
        <v/>
      </c>
      <c r="C172" s="66" t="str">
        <f>IFERROR(IF(J172&gt;0,INDEX('M03-S05'!$AY$16:$AY$198,2*(ROWS($C$151:C172)-1)+1),""),"")</f>
        <v/>
      </c>
      <c r="D172" t="str">
        <f t="shared" si="43"/>
        <v>Custom</v>
      </c>
      <c r="E172" t="str">
        <f>IFERROR(INDEX(CMELIGHT[End Use Category],MATCH(INDEX('M03-S05'!$F$16:$F$198,2*(ROWS($E$151:E172)-1)+1),CMELIGHT[Proj Desc 1],0)),"")</f>
        <v>Lighting</v>
      </c>
      <c r="F172" s="151" t="str">
        <f>INDEX('M03-S05'!$R$16:$R$198,2*(ROWS($F$151:F172)-1)+1)</f>
        <v/>
      </c>
      <c r="G172">
        <f>INDEX('M03-S05'!$C$16:$C$198,2*(ROWS($G$151:G172)-1)+1)</f>
        <v>0</v>
      </c>
      <c r="H172" s="61">
        <f>ROUND(INDEX('M03-S05'!$AA$16:$AA$198,2*(ROWS($H$151:H172)-1)+1)*INDEX('M03-S05'!$AG$16:$AG$198,2*(ROWS($H$151:H172)-1)+1),2)</f>
        <v>0</v>
      </c>
      <c r="I172" s="61">
        <f>ROUND(INDEX('M03-S05'!$AA$16:$AA$198,2*(ROWS($I$151:I172)-1)+1)*INDEX('M03-S05'!$AI$16:$AI$198,2*(ROWS($I$151:I172)-1)+1),2)</f>
        <v>0</v>
      </c>
      <c r="J172" s="61" t="str">
        <f>INDEX('M03-S05'!$AK$16:$AK$198,2*(ROWS($J$151:J172)-1)+1)</f>
        <v/>
      </c>
      <c r="K172" t="s">
        <v>119</v>
      </c>
      <c r="L172" s="151">
        <f>IF(ISNUMBER(INDEX('M03-S05'!$AN$16:$AN$198,2*(ROWS($O$151:O172)-1)+1)),INDEX('M03-S05'!$AA$16:$AA$198,2*(ROWS($L$151:L172)-1)+1),0)</f>
        <v>0</v>
      </c>
      <c r="M172" s="151">
        <f>IF(ISNUMBER(INDEX('M03-S05'!$AN$16:$AN$198,2*(ROWS($O$151:O172)-1)+1)),INDEX('M03-S05'!$AZ$16:$AZ$198,2*(ROWS($M$151:M172)-1)+1),0)</f>
        <v>0</v>
      </c>
      <c r="N172" s="189">
        <f>IF(ISNUMBER(INDEX('M03-S05'!$AN$16:$AN$198,2*(ROWS($O$151:O172)-1)+1)),INDEX('M03-S05'!$AV$16:$AV$198,2*(ROWS($N$151:N172)-1)+1),0)</f>
        <v>0</v>
      </c>
      <c r="O172" s="61">
        <f>IF(ISNUMBER(INDEX('M03-S05'!$AN$16:$AN$198,2*(ROWS($O$151:O172)-1)+1)),INDEX('M03-S05'!$AN$16:$AN$198,2*(ROWS($O$151:O172)-1)+1),0)</f>
        <v>0</v>
      </c>
      <c r="P172" s="151" t="str">
        <f>IFERROR(IF(NOT(ISNUMBER(INDEX('M03-S05'!$AN$16:$AN$198,2*(ROWS($O$151:O172)-1)+1))),INDEX('M03-S05'!$AZ$16:$AZ$198,2*(ROWS($O$151:O172)-1)+1),0),"")</f>
        <v/>
      </c>
      <c r="Q172" s="189" t="str">
        <f>IFERROR(IF(NOT(ISNUMBER(INDEX('M03-S05'!$AN$16:$AN$198,2*(ROWS($O$151:O172)-1)+1))),INDEX('M03-S05'!$AV$16:$AV$198,2*(ROWS($O$151:O172)-1)+1),0),"")</f>
        <v/>
      </c>
      <c r="R172" t="str">
        <f>IFERROR(IF(NOT(ISNUMBER(INDEX('M03-S05'!$AN$16:$AN$198,2*(ROWS($O$151:O172)-1)+1))),INDEX(SPILLOVER[Spillover Reason],MATCH(INDEX('M03-S05'!$BC$16:$BC$198,2*(ROWS($O$151:O172)-1)+1),SPILLOVER[Spillover Text],0)),""),"")</f>
        <v>Not Eligible</v>
      </c>
      <c r="S172" s="156" t="str">
        <f>INDEX('M03-S05'!$P$16:$P$198,2*(ROWS($S$151:S172)-1)+1)</f>
        <v/>
      </c>
      <c r="T172" s="156" t="str">
        <f>INDEX('M03-S05'!$AC$16:$AC$198,2*(ROWS($T$151:T172)-1)+1)</f>
        <v/>
      </c>
      <c r="U172" s="151">
        <f>INDEX('M03-S05'!$B$16:$B$198,2*(ROWS($U$151:U172)-1)+1)</f>
        <v>22</v>
      </c>
      <c r="V172" s="58">
        <f>INDEX('M03-S05'!$H$16:$H$198,2*(ROWS($V$151:V172)-1)+1)</f>
        <v>0</v>
      </c>
      <c r="W172" s="58">
        <f>INDEX('M03-S05'!$T$16:$T$198,2*(ROWS($W$151:W172)-1)+1)</f>
        <v>0</v>
      </c>
      <c r="X172">
        <f>INDEX('M03-S05'!$K$16:$K$198,2*(ROWS($X$151:X172)-1)+1)</f>
        <v>0</v>
      </c>
      <c r="Y172">
        <f>INDEX('M03-S05'!$X$16:$X$198,2*(ROWS($Y$151:Y172)-1)+1)</f>
        <v>0</v>
      </c>
      <c r="Z172" s="61">
        <f>IFERROR(INDEX('M03-S05'!$AE$16:$AE$198,2*(ROWS(Z$151:$Z172)-1)+1)/INDEX('M03-S05'!$R$16:$R$198,2*(ROWS(Z$151:$Z172)-1)+1),0)</f>
        <v>0</v>
      </c>
      <c r="AA172" t="str">
        <f>IFERROR(INDEX(CMLIGHTBASE[Measure Subgroup 1],MATCH(INDEX('M03-S05'!$H$16:$H$198,2*(ROWS($V$151:V172)-1)+1),CMLIGHTBASE[Base Desc 1],0)),"")</f>
        <v/>
      </c>
      <c r="AB172" t="str">
        <f>IFERROR(INDEX(CMLIGHTBASE[Measure Subgroup 2],MATCH(INDEX('M03-S05'!$H$16:$H$198,2*(ROWS($V$151:V172)-1)+1),CMLIGHTBASE[Base Desc 1],0)),"")</f>
        <v/>
      </c>
      <c r="AC172" t="str">
        <f>IFERROR(INDEX(CMLIGHTEFF[Measure Subgroup 1],MATCH(INDEX('M03-S05'!$T$16:$T$198,2*(ROWS($W$151:W172)-1)+1),CMLIGHTEFF[Eff Desc 1],0)),"")</f>
        <v/>
      </c>
      <c r="AD172" t="str">
        <f>IFERROR(INDEX(CMLIGHTEFF[Measure Subgroup 2],MATCH(INDEX('M03-S05'!$T$16:$T$198,2*(ROWS($W$151:W172)-1)+1),CMLIGHTEFF[Eff Desc 1],0)),"")</f>
        <v/>
      </c>
      <c r="AE172" s="151">
        <f>IF(NOT(ISNUMBER(INDEX('M03-S05'!$AN$16:$AN$198,2*(ROWS($O$151:O172)-1)+1))),INDEX('M03-S05'!$AA$16:$AA$198,2*(ROWS($L$151:L172)-1)+1),0)</f>
        <v>0</v>
      </c>
      <c r="AF172" s="151" t="str">
        <f>INDEX('M03-S05'!$AW$16:$AW$198,2*(ROWS($AF$151:AF172)-1)+1)</f>
        <v/>
      </c>
      <c r="AG172" s="151" t="str">
        <f>INDEX('M03-S05'!$AX$16:$AX$198,2*(ROWS($AG$151:AG172)-1)+1)</f>
        <v/>
      </c>
      <c r="AH172" s="151" t="str">
        <f t="shared" si="44"/>
        <v/>
      </c>
      <c r="AI172" s="151" t="str">
        <f t="shared" si="45"/>
        <v/>
      </c>
      <c r="AJ172" s="61" t="str">
        <f t="shared" si="46"/>
        <v/>
      </c>
      <c r="AK172" s="61" t="str">
        <f t="shared" si="47"/>
        <v/>
      </c>
      <c r="AL172" s="61" t="str">
        <f t="shared" si="48"/>
        <v/>
      </c>
      <c r="AM172" s="61" t="str">
        <f>INDEX('M03-S05'!$AU$16:$AU$198,2*(ROWS($AM$151:AM172)-1)+1)</f>
        <v/>
      </c>
      <c r="AN172" s="61" t="str">
        <f>INDEX('M03-S05'!$BB$16:$BB$198,2*(ROWS($AN$151:AN172)-1)+1)</f>
        <v/>
      </c>
      <c r="AO172" s="151">
        <f>INDEX('M03-S05'!$N$16:$N$198,2*(ROWS($AO$151:AO172)-1)+1)</f>
        <v>0</v>
      </c>
      <c r="AP172" s="135"/>
      <c r="AQ172" s="61" t="str">
        <f>IF(INDEX('M03-S05'!$AZ$16:$AZ$198,2*(ROWS($AQ$151:AQ172)-1)+1)="","",IF(AND(INDEX('M03-S05'!$AZ$16:$AZ$198,2*(ROWS($AQ$151:AQ172)-1)+1)&lt;&gt;"",OR(ISNUMBER(SEARCH("AC With",M02S02F32)),M02S02F32="Heat Pump"),INDEX('M03-S05'!$F$16:$F$198,2*(ROWS(AQ172:AQ172)-1)+1)="Interior"),LIGHTHEATCOIN,1))</f>
        <v/>
      </c>
      <c r="AR172" s="415">
        <f>(IF(INDEX('M03-S05'!$AN$16:$AN$198,2*(ROWS($O$151:O172)-1)+1)=INDEX('M03-S05'!$BJ$16:$BJ$198,2*(ROWS($O$151:O172)-1)+1),0,(INDEX('M03-S05'!$BI$16:$BI$198,2*(ROWS($O$151:O172)-1)+1)-INDEX('M03-S05'!$BJ$16:$BJ$198,2*(ROWS($O$151:O172)-1)+1))))</f>
        <v>0</v>
      </c>
    </row>
    <row r="173" spans="1:44" x14ac:dyDescent="0.25">
      <c r="A173" s="66">
        <f t="shared" si="41"/>
        <v>0</v>
      </c>
      <c r="B173" s="66" t="str">
        <f t="shared" si="42"/>
        <v/>
      </c>
      <c r="C173" s="66" t="str">
        <f>IFERROR(IF(J173&gt;0,INDEX('M03-S05'!$AY$16:$AY$198,2*(ROWS($C$151:C173)-1)+1),""),"")</f>
        <v/>
      </c>
      <c r="D173" t="str">
        <f t="shared" si="43"/>
        <v>Custom</v>
      </c>
      <c r="E173" t="str">
        <f>IFERROR(INDEX(CMELIGHT[End Use Category],MATCH(INDEX('M03-S05'!$F$16:$F$198,2*(ROWS($E$151:E173)-1)+1),CMELIGHT[Proj Desc 1],0)),"")</f>
        <v>Lighting</v>
      </c>
      <c r="F173" s="151" t="str">
        <f>INDEX('M03-S05'!$R$16:$R$198,2*(ROWS($F$151:F173)-1)+1)</f>
        <v/>
      </c>
      <c r="G173">
        <f>INDEX('M03-S05'!$C$16:$C$198,2*(ROWS($G$151:G173)-1)+1)</f>
        <v>0</v>
      </c>
      <c r="H173" s="61">
        <f>ROUND(INDEX('M03-S05'!$AA$16:$AA$198,2*(ROWS($H$151:H173)-1)+1)*INDEX('M03-S05'!$AG$16:$AG$198,2*(ROWS($H$151:H173)-1)+1),2)</f>
        <v>0</v>
      </c>
      <c r="I173" s="61">
        <f>ROUND(INDEX('M03-S05'!$AA$16:$AA$198,2*(ROWS($I$151:I173)-1)+1)*INDEX('M03-S05'!$AI$16:$AI$198,2*(ROWS($I$151:I173)-1)+1),2)</f>
        <v>0</v>
      </c>
      <c r="J173" s="61" t="str">
        <f>INDEX('M03-S05'!$AK$16:$AK$198,2*(ROWS($J$151:J173)-1)+1)</f>
        <v/>
      </c>
      <c r="K173" t="s">
        <v>119</v>
      </c>
      <c r="L173" s="151">
        <f>IF(ISNUMBER(INDEX('M03-S05'!$AN$16:$AN$198,2*(ROWS($O$151:O173)-1)+1)),INDEX('M03-S05'!$AA$16:$AA$198,2*(ROWS($L$151:L173)-1)+1),0)</f>
        <v>0</v>
      </c>
      <c r="M173" s="151">
        <f>IF(ISNUMBER(INDEX('M03-S05'!$AN$16:$AN$198,2*(ROWS($O$151:O173)-1)+1)),INDEX('M03-S05'!$AZ$16:$AZ$198,2*(ROWS($M$151:M173)-1)+1),0)</f>
        <v>0</v>
      </c>
      <c r="N173" s="189">
        <f>IF(ISNUMBER(INDEX('M03-S05'!$AN$16:$AN$198,2*(ROWS($O$151:O173)-1)+1)),INDEX('M03-S05'!$AV$16:$AV$198,2*(ROWS($N$151:N173)-1)+1),0)</f>
        <v>0</v>
      </c>
      <c r="O173" s="61">
        <f>IF(ISNUMBER(INDEX('M03-S05'!$AN$16:$AN$198,2*(ROWS($O$151:O173)-1)+1)),INDEX('M03-S05'!$AN$16:$AN$198,2*(ROWS($O$151:O173)-1)+1),0)</f>
        <v>0</v>
      </c>
      <c r="P173" s="151" t="str">
        <f>IFERROR(IF(NOT(ISNUMBER(INDEX('M03-S05'!$AN$16:$AN$198,2*(ROWS($O$151:O173)-1)+1))),INDEX('M03-S05'!$AZ$16:$AZ$198,2*(ROWS($O$151:O173)-1)+1),0),"")</f>
        <v/>
      </c>
      <c r="Q173" s="189" t="str">
        <f>IFERROR(IF(NOT(ISNUMBER(INDEX('M03-S05'!$AN$16:$AN$198,2*(ROWS($O$151:O173)-1)+1))),INDEX('M03-S05'!$AV$16:$AV$198,2*(ROWS($O$151:O173)-1)+1),0),"")</f>
        <v/>
      </c>
      <c r="R173" t="str">
        <f>IFERROR(IF(NOT(ISNUMBER(INDEX('M03-S05'!$AN$16:$AN$198,2*(ROWS($O$151:O173)-1)+1))),INDEX(SPILLOVER[Spillover Reason],MATCH(INDEX('M03-S05'!$BC$16:$BC$198,2*(ROWS($O$151:O173)-1)+1),SPILLOVER[Spillover Text],0)),""),"")</f>
        <v>Not Eligible</v>
      </c>
      <c r="S173" s="156" t="str">
        <f>INDEX('M03-S05'!$P$16:$P$198,2*(ROWS($S$151:S173)-1)+1)</f>
        <v/>
      </c>
      <c r="T173" s="156" t="str">
        <f>INDEX('M03-S05'!$AC$16:$AC$198,2*(ROWS($T$151:T173)-1)+1)</f>
        <v/>
      </c>
      <c r="U173" s="151">
        <f>INDEX('M03-S05'!$B$16:$B$198,2*(ROWS($U$151:U173)-1)+1)</f>
        <v>23</v>
      </c>
      <c r="V173" s="58">
        <f>INDEX('M03-S05'!$H$16:$H$198,2*(ROWS($V$151:V173)-1)+1)</f>
        <v>0</v>
      </c>
      <c r="W173" s="58">
        <f>INDEX('M03-S05'!$T$16:$T$198,2*(ROWS($W$151:W173)-1)+1)</f>
        <v>0</v>
      </c>
      <c r="X173">
        <f>INDEX('M03-S05'!$K$16:$K$198,2*(ROWS($X$151:X173)-1)+1)</f>
        <v>0</v>
      </c>
      <c r="Y173">
        <f>INDEX('M03-S05'!$X$16:$X$198,2*(ROWS($Y$151:Y173)-1)+1)</f>
        <v>0</v>
      </c>
      <c r="Z173" s="61">
        <f>IFERROR(INDEX('M03-S05'!$AE$16:$AE$198,2*(ROWS(Z$151:$Z173)-1)+1)/INDEX('M03-S05'!$R$16:$R$198,2*(ROWS(Z$151:$Z173)-1)+1),0)</f>
        <v>0</v>
      </c>
      <c r="AA173" t="str">
        <f>IFERROR(INDEX(CMLIGHTBASE[Measure Subgroup 1],MATCH(INDEX('M03-S05'!$H$16:$H$198,2*(ROWS($V$151:V173)-1)+1),CMLIGHTBASE[Base Desc 1],0)),"")</f>
        <v/>
      </c>
      <c r="AB173" t="str">
        <f>IFERROR(INDEX(CMLIGHTBASE[Measure Subgroup 2],MATCH(INDEX('M03-S05'!$H$16:$H$198,2*(ROWS($V$151:V173)-1)+1),CMLIGHTBASE[Base Desc 1],0)),"")</f>
        <v/>
      </c>
      <c r="AC173" t="str">
        <f>IFERROR(INDEX(CMLIGHTEFF[Measure Subgroup 1],MATCH(INDEX('M03-S05'!$T$16:$T$198,2*(ROWS($W$151:W173)-1)+1),CMLIGHTEFF[Eff Desc 1],0)),"")</f>
        <v/>
      </c>
      <c r="AD173" t="str">
        <f>IFERROR(INDEX(CMLIGHTEFF[Measure Subgroup 2],MATCH(INDEX('M03-S05'!$T$16:$T$198,2*(ROWS($W$151:W173)-1)+1),CMLIGHTEFF[Eff Desc 1],0)),"")</f>
        <v/>
      </c>
      <c r="AE173" s="151">
        <f>IF(NOT(ISNUMBER(INDEX('M03-S05'!$AN$16:$AN$198,2*(ROWS($O$151:O173)-1)+1))),INDEX('M03-S05'!$AA$16:$AA$198,2*(ROWS($L$151:L173)-1)+1),0)</f>
        <v>0</v>
      </c>
      <c r="AF173" s="151" t="str">
        <f>INDEX('M03-S05'!$AW$16:$AW$198,2*(ROWS($AF$151:AF173)-1)+1)</f>
        <v/>
      </c>
      <c r="AG173" s="151" t="str">
        <f>INDEX('M03-S05'!$AX$16:$AX$198,2*(ROWS($AG$151:AG173)-1)+1)</f>
        <v/>
      </c>
      <c r="AH173" s="151" t="str">
        <f t="shared" si="44"/>
        <v/>
      </c>
      <c r="AI173" s="151" t="str">
        <f t="shared" si="45"/>
        <v/>
      </c>
      <c r="AJ173" s="61" t="str">
        <f t="shared" si="46"/>
        <v/>
      </c>
      <c r="AK173" s="61" t="str">
        <f t="shared" si="47"/>
        <v/>
      </c>
      <c r="AL173" s="61" t="str">
        <f t="shared" si="48"/>
        <v/>
      </c>
      <c r="AM173" s="61" t="str">
        <f>INDEX('M03-S05'!$AU$16:$AU$198,2*(ROWS($AM$151:AM173)-1)+1)</f>
        <v/>
      </c>
      <c r="AN173" s="61" t="str">
        <f>INDEX('M03-S05'!$BB$16:$BB$198,2*(ROWS($AN$151:AN173)-1)+1)</f>
        <v/>
      </c>
      <c r="AO173" s="151">
        <f>INDEX('M03-S05'!$N$16:$N$198,2*(ROWS($AO$151:AO173)-1)+1)</f>
        <v>0</v>
      </c>
      <c r="AP173" s="135"/>
      <c r="AQ173" s="61" t="str">
        <f>IF(INDEX('M03-S05'!$AZ$16:$AZ$198,2*(ROWS($AQ$151:AQ173)-1)+1)="","",IF(AND(INDEX('M03-S05'!$AZ$16:$AZ$198,2*(ROWS($AQ$151:AQ173)-1)+1)&lt;&gt;"",OR(ISNUMBER(SEARCH("AC With",M02S02F32)),M02S02F32="Heat Pump"),INDEX('M03-S05'!$F$16:$F$198,2*(ROWS(AQ173:AQ173)-1)+1)="Interior"),LIGHTHEATCOIN,1))</f>
        <v/>
      </c>
      <c r="AR173" s="415">
        <f>(IF(INDEX('M03-S05'!$AN$16:$AN$198,2*(ROWS($O$151:O173)-1)+1)=INDEX('M03-S05'!$BJ$16:$BJ$198,2*(ROWS($O$151:O173)-1)+1),0,(INDEX('M03-S05'!$BI$16:$BI$198,2*(ROWS($O$151:O173)-1)+1)-INDEX('M03-S05'!$BJ$16:$BJ$198,2*(ROWS($O$151:O173)-1)+1))))</f>
        <v>0</v>
      </c>
    </row>
    <row r="174" spans="1:44" x14ac:dyDescent="0.25">
      <c r="A174" s="66">
        <f t="shared" si="41"/>
        <v>0</v>
      </c>
      <c r="B174" s="66" t="str">
        <f t="shared" si="42"/>
        <v/>
      </c>
      <c r="C174" s="66" t="str">
        <f>IFERROR(IF(J174&gt;0,INDEX('M03-S05'!$AY$16:$AY$198,2*(ROWS($C$151:C174)-1)+1),""),"")</f>
        <v/>
      </c>
      <c r="D174" t="str">
        <f t="shared" si="43"/>
        <v>Custom</v>
      </c>
      <c r="E174" t="str">
        <f>IFERROR(INDEX(CMELIGHT[End Use Category],MATCH(INDEX('M03-S05'!$F$16:$F$198,2*(ROWS($E$151:E174)-1)+1),CMELIGHT[Proj Desc 1],0)),"")</f>
        <v>Lighting</v>
      </c>
      <c r="F174" s="151" t="str">
        <f>INDEX('M03-S05'!$R$16:$R$198,2*(ROWS($F$151:F174)-1)+1)</f>
        <v/>
      </c>
      <c r="G174">
        <f>INDEX('M03-S05'!$C$16:$C$198,2*(ROWS($G$151:G174)-1)+1)</f>
        <v>0</v>
      </c>
      <c r="H174" s="61">
        <f>ROUND(INDEX('M03-S05'!$AA$16:$AA$198,2*(ROWS($H$151:H174)-1)+1)*INDEX('M03-S05'!$AG$16:$AG$198,2*(ROWS($H$151:H174)-1)+1),2)</f>
        <v>0</v>
      </c>
      <c r="I174" s="61">
        <f>ROUND(INDEX('M03-S05'!$AA$16:$AA$198,2*(ROWS($I$151:I174)-1)+1)*INDEX('M03-S05'!$AI$16:$AI$198,2*(ROWS($I$151:I174)-1)+1),2)</f>
        <v>0</v>
      </c>
      <c r="J174" s="61" t="str">
        <f>INDEX('M03-S05'!$AK$16:$AK$198,2*(ROWS($J$151:J174)-1)+1)</f>
        <v/>
      </c>
      <c r="K174" t="s">
        <v>119</v>
      </c>
      <c r="L174" s="151">
        <f>IF(ISNUMBER(INDEX('M03-S05'!$AN$16:$AN$198,2*(ROWS($O$151:O174)-1)+1)),INDEX('M03-S05'!$AA$16:$AA$198,2*(ROWS($L$151:L174)-1)+1),0)</f>
        <v>0</v>
      </c>
      <c r="M174" s="151">
        <f>IF(ISNUMBER(INDEX('M03-S05'!$AN$16:$AN$198,2*(ROWS($O$151:O174)-1)+1)),INDEX('M03-S05'!$AZ$16:$AZ$198,2*(ROWS($M$151:M174)-1)+1),0)</f>
        <v>0</v>
      </c>
      <c r="N174" s="189">
        <f>IF(ISNUMBER(INDEX('M03-S05'!$AN$16:$AN$198,2*(ROWS($O$151:O174)-1)+1)),INDEX('M03-S05'!$AV$16:$AV$198,2*(ROWS($N$151:N174)-1)+1),0)</f>
        <v>0</v>
      </c>
      <c r="O174" s="61">
        <f>IF(ISNUMBER(INDEX('M03-S05'!$AN$16:$AN$198,2*(ROWS($O$151:O174)-1)+1)),INDEX('M03-S05'!$AN$16:$AN$198,2*(ROWS($O$151:O174)-1)+1),0)</f>
        <v>0</v>
      </c>
      <c r="P174" s="151" t="str">
        <f>IFERROR(IF(NOT(ISNUMBER(INDEX('M03-S05'!$AN$16:$AN$198,2*(ROWS($O$151:O174)-1)+1))),INDEX('M03-S05'!$AZ$16:$AZ$198,2*(ROWS($O$151:O174)-1)+1),0),"")</f>
        <v/>
      </c>
      <c r="Q174" s="189" t="str">
        <f>IFERROR(IF(NOT(ISNUMBER(INDEX('M03-S05'!$AN$16:$AN$198,2*(ROWS($O$151:O174)-1)+1))),INDEX('M03-S05'!$AV$16:$AV$198,2*(ROWS($O$151:O174)-1)+1),0),"")</f>
        <v/>
      </c>
      <c r="R174" t="str">
        <f>IFERROR(IF(NOT(ISNUMBER(INDEX('M03-S05'!$AN$16:$AN$198,2*(ROWS($O$151:O174)-1)+1))),INDEX(SPILLOVER[Spillover Reason],MATCH(INDEX('M03-S05'!$BC$16:$BC$198,2*(ROWS($O$151:O174)-1)+1),SPILLOVER[Spillover Text],0)),""),"")</f>
        <v>Not Eligible</v>
      </c>
      <c r="S174" s="156" t="str">
        <f>INDEX('M03-S05'!$P$16:$P$198,2*(ROWS($S$151:S174)-1)+1)</f>
        <v/>
      </c>
      <c r="T174" s="156" t="str">
        <f>INDEX('M03-S05'!$AC$16:$AC$198,2*(ROWS($T$151:T174)-1)+1)</f>
        <v/>
      </c>
      <c r="U174" s="151">
        <f>INDEX('M03-S05'!$B$16:$B$198,2*(ROWS($U$151:U174)-1)+1)</f>
        <v>24</v>
      </c>
      <c r="V174" s="58">
        <f>INDEX('M03-S05'!$H$16:$H$198,2*(ROWS($V$151:V174)-1)+1)</f>
        <v>0</v>
      </c>
      <c r="W174" s="58">
        <f>INDEX('M03-S05'!$T$16:$T$198,2*(ROWS($W$151:W174)-1)+1)</f>
        <v>0</v>
      </c>
      <c r="X174">
        <f>INDEX('M03-S05'!$K$16:$K$198,2*(ROWS($X$151:X174)-1)+1)</f>
        <v>0</v>
      </c>
      <c r="Y174">
        <f>INDEX('M03-S05'!$X$16:$X$198,2*(ROWS($Y$151:Y174)-1)+1)</f>
        <v>0</v>
      </c>
      <c r="Z174" s="61">
        <f>IFERROR(INDEX('M03-S05'!$AE$16:$AE$198,2*(ROWS(Z$151:$Z174)-1)+1)/INDEX('M03-S05'!$R$16:$R$198,2*(ROWS(Z$151:$Z174)-1)+1),0)</f>
        <v>0</v>
      </c>
      <c r="AA174" t="str">
        <f>IFERROR(INDEX(CMLIGHTBASE[Measure Subgroup 1],MATCH(INDEX('M03-S05'!$H$16:$H$198,2*(ROWS($V$151:V174)-1)+1),CMLIGHTBASE[Base Desc 1],0)),"")</f>
        <v/>
      </c>
      <c r="AB174" t="str">
        <f>IFERROR(INDEX(CMLIGHTBASE[Measure Subgroup 2],MATCH(INDEX('M03-S05'!$H$16:$H$198,2*(ROWS($V$151:V174)-1)+1),CMLIGHTBASE[Base Desc 1],0)),"")</f>
        <v/>
      </c>
      <c r="AC174" t="str">
        <f>IFERROR(INDEX(CMLIGHTEFF[Measure Subgroup 1],MATCH(INDEX('M03-S05'!$T$16:$T$198,2*(ROWS($W$151:W174)-1)+1),CMLIGHTEFF[Eff Desc 1],0)),"")</f>
        <v/>
      </c>
      <c r="AD174" t="str">
        <f>IFERROR(INDEX(CMLIGHTEFF[Measure Subgroup 2],MATCH(INDEX('M03-S05'!$T$16:$T$198,2*(ROWS($W$151:W174)-1)+1),CMLIGHTEFF[Eff Desc 1],0)),"")</f>
        <v/>
      </c>
      <c r="AE174" s="151">
        <f>IF(NOT(ISNUMBER(INDEX('M03-S05'!$AN$16:$AN$198,2*(ROWS($O$151:O174)-1)+1))),INDEX('M03-S05'!$AA$16:$AA$198,2*(ROWS($L$151:L174)-1)+1),0)</f>
        <v>0</v>
      </c>
      <c r="AF174" s="151" t="str">
        <f>INDEX('M03-S05'!$AW$16:$AW$198,2*(ROWS($AF$151:AF174)-1)+1)</f>
        <v/>
      </c>
      <c r="AG174" s="151" t="str">
        <f>INDEX('M03-S05'!$AX$16:$AX$198,2*(ROWS($AG$151:AG174)-1)+1)</f>
        <v/>
      </c>
      <c r="AH174" s="151" t="str">
        <f t="shared" si="44"/>
        <v/>
      </c>
      <c r="AI174" s="151" t="str">
        <f t="shared" si="45"/>
        <v/>
      </c>
      <c r="AJ174" s="61" t="str">
        <f t="shared" si="46"/>
        <v/>
      </c>
      <c r="AK174" s="61" t="str">
        <f t="shared" si="47"/>
        <v/>
      </c>
      <c r="AL174" s="61" t="str">
        <f t="shared" si="48"/>
        <v/>
      </c>
      <c r="AM174" s="61" t="str">
        <f>INDEX('M03-S05'!$AU$16:$AU$198,2*(ROWS($AM$151:AM174)-1)+1)</f>
        <v/>
      </c>
      <c r="AN174" s="61" t="str">
        <f>INDEX('M03-S05'!$BB$16:$BB$198,2*(ROWS($AN$151:AN174)-1)+1)</f>
        <v/>
      </c>
      <c r="AO174" s="151">
        <f>INDEX('M03-S05'!$N$16:$N$198,2*(ROWS($AO$151:AO174)-1)+1)</f>
        <v>0</v>
      </c>
      <c r="AP174" s="135"/>
      <c r="AQ174" s="61" t="str">
        <f>IF(INDEX('M03-S05'!$AZ$16:$AZ$198,2*(ROWS($AQ$151:AQ174)-1)+1)="","",IF(AND(INDEX('M03-S05'!$AZ$16:$AZ$198,2*(ROWS($AQ$151:AQ174)-1)+1)&lt;&gt;"",OR(ISNUMBER(SEARCH("AC With",M02S02F32)),M02S02F32="Heat Pump"),INDEX('M03-S05'!$F$16:$F$198,2*(ROWS(AQ174:AQ174)-1)+1)="Interior"),LIGHTHEATCOIN,1))</f>
        <v/>
      </c>
      <c r="AR174" s="415">
        <f>(IF(INDEX('M03-S05'!$AN$16:$AN$198,2*(ROWS($O$151:O174)-1)+1)=INDEX('M03-S05'!$BJ$16:$BJ$198,2*(ROWS($O$151:O174)-1)+1),0,(INDEX('M03-S05'!$BI$16:$BI$198,2*(ROWS($O$151:O174)-1)+1)-INDEX('M03-S05'!$BJ$16:$BJ$198,2*(ROWS($O$151:O174)-1)+1))))</f>
        <v>0</v>
      </c>
    </row>
    <row r="175" spans="1:44" x14ac:dyDescent="0.25">
      <c r="A175" s="66">
        <f t="shared" si="41"/>
        <v>0</v>
      </c>
      <c r="B175" s="66" t="str">
        <f t="shared" si="42"/>
        <v/>
      </c>
      <c r="C175" s="66" t="str">
        <f>IFERROR(IF(J175&gt;0,INDEX('M03-S05'!$AY$16:$AY$198,2*(ROWS($C$151:C175)-1)+1),""),"")</f>
        <v/>
      </c>
      <c r="D175" t="str">
        <f t="shared" si="43"/>
        <v>Custom</v>
      </c>
      <c r="E175" t="str">
        <f>IFERROR(INDEX(CMELIGHT[End Use Category],MATCH(INDEX('M03-S05'!$F$16:$F$198,2*(ROWS($E$151:E175)-1)+1),CMELIGHT[Proj Desc 1],0)),"")</f>
        <v>Lighting</v>
      </c>
      <c r="F175" s="151" t="str">
        <f>INDEX('M03-S05'!$R$16:$R$198,2*(ROWS($F$151:F175)-1)+1)</f>
        <v/>
      </c>
      <c r="G175">
        <f>INDEX('M03-S05'!$C$16:$C$198,2*(ROWS($G$151:G175)-1)+1)</f>
        <v>0</v>
      </c>
      <c r="H175" s="61">
        <f>ROUND(INDEX('M03-S05'!$AA$16:$AA$198,2*(ROWS($H$151:H175)-1)+1)*INDEX('M03-S05'!$AG$16:$AG$198,2*(ROWS($H$151:H175)-1)+1),2)</f>
        <v>0</v>
      </c>
      <c r="I175" s="61">
        <f>ROUND(INDEX('M03-S05'!$AA$16:$AA$198,2*(ROWS($I$151:I175)-1)+1)*INDEX('M03-S05'!$AI$16:$AI$198,2*(ROWS($I$151:I175)-1)+1),2)</f>
        <v>0</v>
      </c>
      <c r="J175" s="61" t="str">
        <f>INDEX('M03-S05'!$AK$16:$AK$198,2*(ROWS($J$151:J175)-1)+1)</f>
        <v/>
      </c>
      <c r="K175" t="s">
        <v>119</v>
      </c>
      <c r="L175" s="151">
        <f>IF(ISNUMBER(INDEX('M03-S05'!$AN$16:$AN$198,2*(ROWS($O$151:O175)-1)+1)),INDEX('M03-S05'!$AA$16:$AA$198,2*(ROWS($L$151:L175)-1)+1),0)</f>
        <v>0</v>
      </c>
      <c r="M175" s="151">
        <f>IF(ISNUMBER(INDEX('M03-S05'!$AN$16:$AN$198,2*(ROWS($O$151:O175)-1)+1)),INDEX('M03-S05'!$AZ$16:$AZ$198,2*(ROWS($M$151:M175)-1)+1),0)</f>
        <v>0</v>
      </c>
      <c r="N175" s="189">
        <f>IF(ISNUMBER(INDEX('M03-S05'!$AN$16:$AN$198,2*(ROWS($O$151:O175)-1)+1)),INDEX('M03-S05'!$AV$16:$AV$198,2*(ROWS($N$151:N175)-1)+1),0)</f>
        <v>0</v>
      </c>
      <c r="O175" s="61">
        <f>IF(ISNUMBER(INDEX('M03-S05'!$AN$16:$AN$198,2*(ROWS($O$151:O175)-1)+1)),INDEX('M03-S05'!$AN$16:$AN$198,2*(ROWS($O$151:O175)-1)+1),0)</f>
        <v>0</v>
      </c>
      <c r="P175" s="151" t="str">
        <f>IFERROR(IF(NOT(ISNUMBER(INDEX('M03-S05'!$AN$16:$AN$198,2*(ROWS($O$151:O175)-1)+1))),INDEX('M03-S05'!$AZ$16:$AZ$198,2*(ROWS($O$151:O175)-1)+1),0),"")</f>
        <v/>
      </c>
      <c r="Q175" s="189" t="str">
        <f>IFERROR(IF(NOT(ISNUMBER(INDEX('M03-S05'!$AN$16:$AN$198,2*(ROWS($O$151:O175)-1)+1))),INDEX('M03-S05'!$AV$16:$AV$198,2*(ROWS($O$151:O175)-1)+1),0),"")</f>
        <v/>
      </c>
      <c r="R175" t="str">
        <f>IFERROR(IF(NOT(ISNUMBER(INDEX('M03-S05'!$AN$16:$AN$198,2*(ROWS($O$151:O175)-1)+1))),INDEX(SPILLOVER[Spillover Reason],MATCH(INDEX('M03-S05'!$BC$16:$BC$198,2*(ROWS($O$151:O175)-1)+1),SPILLOVER[Spillover Text],0)),""),"")</f>
        <v>Not Eligible</v>
      </c>
      <c r="S175" s="156" t="str">
        <f>INDEX('M03-S05'!$P$16:$P$198,2*(ROWS($S$151:S175)-1)+1)</f>
        <v/>
      </c>
      <c r="T175" s="156" t="str">
        <f>INDEX('M03-S05'!$AC$16:$AC$198,2*(ROWS($T$151:T175)-1)+1)</f>
        <v/>
      </c>
      <c r="U175" s="151">
        <f>INDEX('M03-S05'!$B$16:$B$198,2*(ROWS($U$151:U175)-1)+1)</f>
        <v>25</v>
      </c>
      <c r="V175" s="58">
        <f>INDEX('M03-S05'!$H$16:$H$198,2*(ROWS($V$151:V175)-1)+1)</f>
        <v>0</v>
      </c>
      <c r="W175" s="58">
        <f>INDEX('M03-S05'!$T$16:$T$198,2*(ROWS($W$151:W175)-1)+1)</f>
        <v>0</v>
      </c>
      <c r="X175">
        <f>INDEX('M03-S05'!$K$16:$K$198,2*(ROWS($X$151:X175)-1)+1)</f>
        <v>0</v>
      </c>
      <c r="Y175">
        <f>INDEX('M03-S05'!$X$16:$X$198,2*(ROWS($Y$151:Y175)-1)+1)</f>
        <v>0</v>
      </c>
      <c r="Z175" s="61">
        <f>IFERROR(INDEX('M03-S05'!$AE$16:$AE$198,2*(ROWS(Z$151:$Z175)-1)+1)/INDEX('M03-S05'!$R$16:$R$198,2*(ROWS(Z$151:$Z175)-1)+1),0)</f>
        <v>0</v>
      </c>
      <c r="AA175" t="str">
        <f>IFERROR(INDEX(CMLIGHTBASE[Measure Subgroup 1],MATCH(INDEX('M03-S05'!$H$16:$H$198,2*(ROWS($V$151:V175)-1)+1),CMLIGHTBASE[Base Desc 1],0)),"")</f>
        <v/>
      </c>
      <c r="AB175" t="str">
        <f>IFERROR(INDEX(CMLIGHTBASE[Measure Subgroup 2],MATCH(INDEX('M03-S05'!$H$16:$H$198,2*(ROWS($V$151:V175)-1)+1),CMLIGHTBASE[Base Desc 1],0)),"")</f>
        <v/>
      </c>
      <c r="AC175" t="str">
        <f>IFERROR(INDEX(CMLIGHTEFF[Measure Subgroup 1],MATCH(INDEX('M03-S05'!$T$16:$T$198,2*(ROWS($W$151:W175)-1)+1),CMLIGHTEFF[Eff Desc 1],0)),"")</f>
        <v/>
      </c>
      <c r="AD175" t="str">
        <f>IFERROR(INDEX(CMLIGHTEFF[Measure Subgroup 2],MATCH(INDEX('M03-S05'!$T$16:$T$198,2*(ROWS($W$151:W175)-1)+1),CMLIGHTEFF[Eff Desc 1],0)),"")</f>
        <v/>
      </c>
      <c r="AE175" s="151">
        <f>IF(NOT(ISNUMBER(INDEX('M03-S05'!$AN$16:$AN$198,2*(ROWS($O$151:O175)-1)+1))),INDEX('M03-S05'!$AA$16:$AA$198,2*(ROWS($L$151:L175)-1)+1),0)</f>
        <v>0</v>
      </c>
      <c r="AF175" s="151" t="str">
        <f>INDEX('M03-S05'!$AW$16:$AW$198,2*(ROWS($AF$151:AF175)-1)+1)</f>
        <v/>
      </c>
      <c r="AG175" s="151" t="str">
        <f>INDEX('M03-S05'!$AX$16:$AX$198,2*(ROWS($AG$151:AG175)-1)+1)</f>
        <v/>
      </c>
      <c r="AH175" s="151" t="str">
        <f t="shared" si="44"/>
        <v/>
      </c>
      <c r="AI175" s="151" t="str">
        <f t="shared" si="45"/>
        <v/>
      </c>
      <c r="AJ175" s="61" t="str">
        <f t="shared" si="46"/>
        <v/>
      </c>
      <c r="AK175" s="61" t="str">
        <f t="shared" si="47"/>
        <v/>
      </c>
      <c r="AL175" s="61" t="str">
        <f t="shared" si="48"/>
        <v/>
      </c>
      <c r="AM175" s="61" t="str">
        <f>INDEX('M03-S05'!$AU$16:$AU$198,2*(ROWS($AM$151:AM175)-1)+1)</f>
        <v/>
      </c>
      <c r="AN175" s="61" t="str">
        <f>INDEX('M03-S05'!$BB$16:$BB$198,2*(ROWS($AN$151:AN175)-1)+1)</f>
        <v/>
      </c>
      <c r="AO175" s="151">
        <f>INDEX('M03-S05'!$N$16:$N$198,2*(ROWS($AO$151:AO175)-1)+1)</f>
        <v>0</v>
      </c>
      <c r="AP175" s="135"/>
      <c r="AQ175" s="61" t="str">
        <f>IF(INDEX('M03-S05'!$AZ$16:$AZ$198,2*(ROWS($AQ$151:AQ175)-1)+1)="","",IF(AND(INDEX('M03-S05'!$AZ$16:$AZ$198,2*(ROWS($AQ$151:AQ175)-1)+1)&lt;&gt;"",OR(ISNUMBER(SEARCH("AC With",M02S02F32)),M02S02F32="Heat Pump"),INDEX('M03-S05'!$F$16:$F$198,2*(ROWS(AQ175:AQ175)-1)+1)="Interior"),LIGHTHEATCOIN,1))</f>
        <v/>
      </c>
      <c r="AR175" s="415">
        <f>(IF(INDEX('M03-S05'!$AN$16:$AN$198,2*(ROWS($O$151:O175)-1)+1)=INDEX('M03-S05'!$BJ$16:$BJ$198,2*(ROWS($O$151:O175)-1)+1),0,(INDEX('M03-S05'!$BI$16:$BI$198,2*(ROWS($O$151:O175)-1)+1)-INDEX('M03-S05'!$BJ$16:$BJ$198,2*(ROWS($O$151:O175)-1)+1))))</f>
        <v>0</v>
      </c>
    </row>
    <row r="176" spans="1:44" x14ac:dyDescent="0.25">
      <c r="A176" s="66">
        <f t="shared" si="41"/>
        <v>0</v>
      </c>
      <c r="B176" s="66" t="str">
        <f t="shared" si="42"/>
        <v/>
      </c>
      <c r="C176" s="66" t="str">
        <f>IFERROR(IF(J176&gt;0,INDEX('M03-S05'!$AY$16:$AY$198,2*(ROWS($C$151:C176)-1)+1),""),"")</f>
        <v/>
      </c>
      <c r="D176" t="str">
        <f t="shared" si="43"/>
        <v>Custom</v>
      </c>
      <c r="E176" t="str">
        <f>IFERROR(INDEX(CMELIGHT[End Use Category],MATCH(INDEX('M03-S05'!$F$16:$F$198,2*(ROWS($E$151:E176)-1)+1),CMELIGHT[Proj Desc 1],0)),"")</f>
        <v>Lighting</v>
      </c>
      <c r="F176" s="151" t="str">
        <f>INDEX('M03-S05'!$R$16:$R$198,2*(ROWS($F$151:F176)-1)+1)</f>
        <v/>
      </c>
      <c r="G176">
        <f>INDEX('M03-S05'!$C$16:$C$198,2*(ROWS($G$151:G176)-1)+1)</f>
        <v>0</v>
      </c>
      <c r="H176" s="61">
        <f>ROUND(INDEX('M03-S05'!$AA$16:$AA$198,2*(ROWS($H$151:H176)-1)+1)*INDEX('M03-S05'!$AG$16:$AG$198,2*(ROWS($H$151:H176)-1)+1),2)</f>
        <v>0</v>
      </c>
      <c r="I176" s="61">
        <f>ROUND(INDEX('M03-S05'!$AA$16:$AA$198,2*(ROWS($I$151:I176)-1)+1)*INDEX('M03-S05'!$AI$16:$AI$198,2*(ROWS($I$151:I176)-1)+1),2)</f>
        <v>0</v>
      </c>
      <c r="J176" s="61" t="str">
        <f>INDEX('M03-S05'!$AK$16:$AK$198,2*(ROWS($J$151:J176)-1)+1)</f>
        <v/>
      </c>
      <c r="K176" t="s">
        <v>119</v>
      </c>
      <c r="L176" s="151">
        <f>IF(ISNUMBER(INDEX('M03-S05'!$AN$16:$AN$198,2*(ROWS($O$151:O176)-1)+1)),INDEX('M03-S05'!$AA$16:$AA$198,2*(ROWS($L$151:L176)-1)+1),0)</f>
        <v>0</v>
      </c>
      <c r="M176" s="151">
        <f>IF(ISNUMBER(INDEX('M03-S05'!$AN$16:$AN$198,2*(ROWS($O$151:O176)-1)+1)),INDEX('M03-S05'!$AZ$16:$AZ$198,2*(ROWS($M$151:M176)-1)+1),0)</f>
        <v>0</v>
      </c>
      <c r="N176" s="189">
        <f>IF(ISNUMBER(INDEX('M03-S05'!$AN$16:$AN$198,2*(ROWS($O$151:O176)-1)+1)),INDEX('M03-S05'!$AV$16:$AV$198,2*(ROWS($N$151:N176)-1)+1),0)</f>
        <v>0</v>
      </c>
      <c r="O176" s="61">
        <f>IF(ISNUMBER(INDEX('M03-S05'!$AN$16:$AN$198,2*(ROWS($O$151:O176)-1)+1)),INDEX('M03-S05'!$AN$16:$AN$198,2*(ROWS($O$151:O176)-1)+1),0)</f>
        <v>0</v>
      </c>
      <c r="P176" s="151" t="str">
        <f>IFERROR(IF(NOT(ISNUMBER(INDEX('M03-S05'!$AN$16:$AN$198,2*(ROWS($O$151:O176)-1)+1))),INDEX('M03-S05'!$AZ$16:$AZ$198,2*(ROWS($O$151:O176)-1)+1),0),"")</f>
        <v/>
      </c>
      <c r="Q176" s="189" t="str">
        <f>IFERROR(IF(NOT(ISNUMBER(INDEX('M03-S05'!$AN$16:$AN$198,2*(ROWS($O$151:O176)-1)+1))),INDEX('M03-S05'!$AV$16:$AV$198,2*(ROWS($O$151:O176)-1)+1),0),"")</f>
        <v/>
      </c>
      <c r="R176" t="str">
        <f>IFERROR(IF(NOT(ISNUMBER(INDEX('M03-S05'!$AN$16:$AN$198,2*(ROWS($O$151:O176)-1)+1))),INDEX(SPILLOVER[Spillover Reason],MATCH(INDEX('M03-S05'!$BC$16:$BC$198,2*(ROWS($O$151:O176)-1)+1),SPILLOVER[Spillover Text],0)),""),"")</f>
        <v>Not Eligible</v>
      </c>
      <c r="S176" s="156" t="str">
        <f>INDEX('M03-S05'!$P$16:$P$198,2*(ROWS($S$151:S176)-1)+1)</f>
        <v/>
      </c>
      <c r="T176" s="156" t="str">
        <f>INDEX('M03-S05'!$AC$16:$AC$198,2*(ROWS($T$151:T176)-1)+1)</f>
        <v/>
      </c>
      <c r="U176" s="151">
        <f>INDEX('M03-S05'!$B$16:$B$198,2*(ROWS($U$151:U176)-1)+1)</f>
        <v>26</v>
      </c>
      <c r="V176" s="58">
        <f>INDEX('M03-S05'!$H$16:$H$198,2*(ROWS($V$151:V176)-1)+1)</f>
        <v>0</v>
      </c>
      <c r="W176" s="58">
        <f>INDEX('M03-S05'!$T$16:$T$198,2*(ROWS($W$151:W176)-1)+1)</f>
        <v>0</v>
      </c>
      <c r="X176">
        <f>INDEX('M03-S05'!$K$16:$K$198,2*(ROWS($X$151:X176)-1)+1)</f>
        <v>0</v>
      </c>
      <c r="Y176">
        <f>INDEX('M03-S05'!$X$16:$X$198,2*(ROWS($Y$151:Y176)-1)+1)</f>
        <v>0</v>
      </c>
      <c r="Z176" s="61">
        <f>IFERROR(INDEX('M03-S05'!$AE$16:$AE$198,2*(ROWS(Z$151:$Z176)-1)+1)/INDEX('M03-S05'!$R$16:$R$198,2*(ROWS(Z$151:$Z176)-1)+1),0)</f>
        <v>0</v>
      </c>
      <c r="AA176" t="str">
        <f>IFERROR(INDEX(CMLIGHTBASE[Measure Subgroup 1],MATCH(INDEX('M03-S05'!$H$16:$H$198,2*(ROWS($V$151:V176)-1)+1),CMLIGHTBASE[Base Desc 1],0)),"")</f>
        <v/>
      </c>
      <c r="AB176" t="str">
        <f>IFERROR(INDEX(CMLIGHTBASE[Measure Subgroup 2],MATCH(INDEX('M03-S05'!$H$16:$H$198,2*(ROWS($V$151:V176)-1)+1),CMLIGHTBASE[Base Desc 1],0)),"")</f>
        <v/>
      </c>
      <c r="AC176" t="str">
        <f>IFERROR(INDEX(CMLIGHTEFF[Measure Subgroup 1],MATCH(INDEX('M03-S05'!$T$16:$T$198,2*(ROWS($W$151:W176)-1)+1),CMLIGHTEFF[Eff Desc 1],0)),"")</f>
        <v/>
      </c>
      <c r="AD176" t="str">
        <f>IFERROR(INDEX(CMLIGHTEFF[Measure Subgroup 2],MATCH(INDEX('M03-S05'!$T$16:$T$198,2*(ROWS($W$151:W176)-1)+1),CMLIGHTEFF[Eff Desc 1],0)),"")</f>
        <v/>
      </c>
      <c r="AE176" s="151">
        <f>IF(NOT(ISNUMBER(INDEX('M03-S05'!$AN$16:$AN$198,2*(ROWS($O$151:O176)-1)+1))),INDEX('M03-S05'!$AA$16:$AA$198,2*(ROWS($L$151:L176)-1)+1),0)</f>
        <v>0</v>
      </c>
      <c r="AF176" s="151" t="str">
        <f>INDEX('M03-S05'!$AW$16:$AW$198,2*(ROWS($AF$151:AF176)-1)+1)</f>
        <v/>
      </c>
      <c r="AG176" s="151" t="str">
        <f>INDEX('M03-S05'!$AX$16:$AX$198,2*(ROWS($AG$151:AG176)-1)+1)</f>
        <v/>
      </c>
      <c r="AH176" s="151" t="str">
        <f t="shared" si="44"/>
        <v/>
      </c>
      <c r="AI176" s="151" t="str">
        <f t="shared" si="45"/>
        <v/>
      </c>
      <c r="AJ176" s="61" t="str">
        <f t="shared" si="46"/>
        <v/>
      </c>
      <c r="AK176" s="61" t="str">
        <f t="shared" si="47"/>
        <v/>
      </c>
      <c r="AL176" s="61" t="str">
        <f t="shared" si="48"/>
        <v/>
      </c>
      <c r="AM176" s="61" t="str">
        <f>INDEX('M03-S05'!$AU$16:$AU$198,2*(ROWS($AM$151:AM176)-1)+1)</f>
        <v/>
      </c>
      <c r="AN176" s="61" t="str">
        <f>INDEX('M03-S05'!$BB$16:$BB$198,2*(ROWS($AN$151:AN176)-1)+1)</f>
        <v/>
      </c>
      <c r="AO176" s="151">
        <f>INDEX('M03-S05'!$N$16:$N$198,2*(ROWS($AO$151:AO176)-1)+1)</f>
        <v>0</v>
      </c>
      <c r="AP176" s="135"/>
      <c r="AQ176" s="61" t="str">
        <f>IF(INDEX('M03-S05'!$AZ$16:$AZ$198,2*(ROWS($AQ$151:AQ176)-1)+1)="","",IF(AND(INDEX('M03-S05'!$AZ$16:$AZ$198,2*(ROWS($AQ$151:AQ176)-1)+1)&lt;&gt;"",OR(ISNUMBER(SEARCH("AC With",M02S02F32)),M02S02F32="Heat Pump"),INDEX('M03-S05'!$F$16:$F$198,2*(ROWS(AQ176:AQ176)-1)+1)="Interior"),LIGHTHEATCOIN,1))</f>
        <v/>
      </c>
      <c r="AR176" s="415">
        <f>(IF(INDEX('M03-S05'!$AN$16:$AN$198,2*(ROWS($O$151:O176)-1)+1)=INDEX('M03-S05'!$BJ$16:$BJ$198,2*(ROWS($O$151:O176)-1)+1),0,(INDEX('M03-S05'!$BI$16:$BI$198,2*(ROWS($O$151:O176)-1)+1)-INDEX('M03-S05'!$BJ$16:$BJ$198,2*(ROWS($O$151:O176)-1)+1))))</f>
        <v>0</v>
      </c>
    </row>
    <row r="177" spans="1:44" x14ac:dyDescent="0.25">
      <c r="A177" s="66">
        <f t="shared" si="41"/>
        <v>0</v>
      </c>
      <c r="B177" s="66" t="str">
        <f t="shared" si="42"/>
        <v/>
      </c>
      <c r="C177" s="66" t="str">
        <f>IFERROR(IF(J177&gt;0,INDEX('M03-S05'!$AY$16:$AY$198,2*(ROWS($C$151:C177)-1)+1),""),"")</f>
        <v/>
      </c>
      <c r="D177" t="str">
        <f t="shared" si="43"/>
        <v>Custom</v>
      </c>
      <c r="E177" t="str">
        <f>IFERROR(INDEX(CMELIGHT[End Use Category],MATCH(INDEX('M03-S05'!$F$16:$F$198,2*(ROWS($E$151:E177)-1)+1),CMELIGHT[Proj Desc 1],0)),"")</f>
        <v>Lighting</v>
      </c>
      <c r="F177" s="151" t="str">
        <f>INDEX('M03-S05'!$R$16:$R$198,2*(ROWS($F$151:F177)-1)+1)</f>
        <v/>
      </c>
      <c r="G177">
        <f>INDEX('M03-S05'!$C$16:$C$198,2*(ROWS($G$151:G177)-1)+1)</f>
        <v>0</v>
      </c>
      <c r="H177" s="61">
        <f>ROUND(INDEX('M03-S05'!$AA$16:$AA$198,2*(ROWS($H$151:H177)-1)+1)*INDEX('M03-S05'!$AG$16:$AG$198,2*(ROWS($H$151:H177)-1)+1),2)</f>
        <v>0</v>
      </c>
      <c r="I177" s="61">
        <f>ROUND(INDEX('M03-S05'!$AA$16:$AA$198,2*(ROWS($I$151:I177)-1)+1)*INDEX('M03-S05'!$AI$16:$AI$198,2*(ROWS($I$151:I177)-1)+1),2)</f>
        <v>0</v>
      </c>
      <c r="J177" s="61" t="str">
        <f>INDEX('M03-S05'!$AK$16:$AK$198,2*(ROWS($J$151:J177)-1)+1)</f>
        <v/>
      </c>
      <c r="K177" t="s">
        <v>119</v>
      </c>
      <c r="L177" s="151">
        <f>IF(ISNUMBER(INDEX('M03-S05'!$AN$16:$AN$198,2*(ROWS($O$151:O177)-1)+1)),INDEX('M03-S05'!$AA$16:$AA$198,2*(ROWS($L$151:L177)-1)+1),0)</f>
        <v>0</v>
      </c>
      <c r="M177" s="151">
        <f>IF(ISNUMBER(INDEX('M03-S05'!$AN$16:$AN$198,2*(ROWS($O$151:O177)-1)+1)),INDEX('M03-S05'!$AZ$16:$AZ$198,2*(ROWS($M$151:M177)-1)+1),0)</f>
        <v>0</v>
      </c>
      <c r="N177" s="189">
        <f>IF(ISNUMBER(INDEX('M03-S05'!$AN$16:$AN$198,2*(ROWS($O$151:O177)-1)+1)),INDEX('M03-S05'!$AV$16:$AV$198,2*(ROWS($N$151:N177)-1)+1),0)</f>
        <v>0</v>
      </c>
      <c r="O177" s="61">
        <f>IF(ISNUMBER(INDEX('M03-S05'!$AN$16:$AN$198,2*(ROWS($O$151:O177)-1)+1)),INDEX('M03-S05'!$AN$16:$AN$198,2*(ROWS($O$151:O177)-1)+1),0)</f>
        <v>0</v>
      </c>
      <c r="P177" s="151" t="str">
        <f>IFERROR(IF(NOT(ISNUMBER(INDEX('M03-S05'!$AN$16:$AN$198,2*(ROWS($O$151:O177)-1)+1))),INDEX('M03-S05'!$AZ$16:$AZ$198,2*(ROWS($O$151:O177)-1)+1),0),"")</f>
        <v/>
      </c>
      <c r="Q177" s="189" t="str">
        <f>IFERROR(IF(NOT(ISNUMBER(INDEX('M03-S05'!$AN$16:$AN$198,2*(ROWS($O$151:O177)-1)+1))),INDEX('M03-S05'!$AV$16:$AV$198,2*(ROWS($O$151:O177)-1)+1),0),"")</f>
        <v/>
      </c>
      <c r="R177" t="str">
        <f>IFERROR(IF(NOT(ISNUMBER(INDEX('M03-S05'!$AN$16:$AN$198,2*(ROWS($O$151:O177)-1)+1))),INDEX(SPILLOVER[Spillover Reason],MATCH(INDEX('M03-S05'!$BC$16:$BC$198,2*(ROWS($O$151:O177)-1)+1),SPILLOVER[Spillover Text],0)),""),"")</f>
        <v>Not Eligible</v>
      </c>
      <c r="S177" s="156" t="str">
        <f>INDEX('M03-S05'!$P$16:$P$198,2*(ROWS($S$151:S177)-1)+1)</f>
        <v/>
      </c>
      <c r="T177" s="156" t="str">
        <f>INDEX('M03-S05'!$AC$16:$AC$198,2*(ROWS($T$151:T177)-1)+1)</f>
        <v/>
      </c>
      <c r="U177" s="151">
        <f>INDEX('M03-S05'!$B$16:$B$198,2*(ROWS($U$151:U177)-1)+1)</f>
        <v>27</v>
      </c>
      <c r="V177" s="58">
        <f>INDEX('M03-S05'!$H$16:$H$198,2*(ROWS($V$151:V177)-1)+1)</f>
        <v>0</v>
      </c>
      <c r="W177" s="58">
        <f>INDEX('M03-S05'!$T$16:$T$198,2*(ROWS($W$151:W177)-1)+1)</f>
        <v>0</v>
      </c>
      <c r="X177">
        <f>INDEX('M03-S05'!$K$16:$K$198,2*(ROWS($X$151:X177)-1)+1)</f>
        <v>0</v>
      </c>
      <c r="Y177">
        <f>INDEX('M03-S05'!$X$16:$X$198,2*(ROWS($Y$151:Y177)-1)+1)</f>
        <v>0</v>
      </c>
      <c r="Z177" s="61">
        <f>IFERROR(INDEX('M03-S05'!$AE$16:$AE$198,2*(ROWS(Z$151:$Z177)-1)+1)/INDEX('M03-S05'!$R$16:$R$198,2*(ROWS(Z$151:$Z177)-1)+1),0)</f>
        <v>0</v>
      </c>
      <c r="AA177" t="str">
        <f>IFERROR(INDEX(CMLIGHTBASE[Measure Subgroup 1],MATCH(INDEX('M03-S05'!$H$16:$H$198,2*(ROWS($V$151:V177)-1)+1),CMLIGHTBASE[Base Desc 1],0)),"")</f>
        <v/>
      </c>
      <c r="AB177" t="str">
        <f>IFERROR(INDEX(CMLIGHTBASE[Measure Subgroup 2],MATCH(INDEX('M03-S05'!$H$16:$H$198,2*(ROWS($V$151:V177)-1)+1),CMLIGHTBASE[Base Desc 1],0)),"")</f>
        <v/>
      </c>
      <c r="AC177" t="str">
        <f>IFERROR(INDEX(CMLIGHTEFF[Measure Subgroup 1],MATCH(INDEX('M03-S05'!$T$16:$T$198,2*(ROWS($W$151:W177)-1)+1),CMLIGHTEFF[Eff Desc 1],0)),"")</f>
        <v/>
      </c>
      <c r="AD177" t="str">
        <f>IFERROR(INDEX(CMLIGHTEFF[Measure Subgroup 2],MATCH(INDEX('M03-S05'!$T$16:$T$198,2*(ROWS($W$151:W177)-1)+1),CMLIGHTEFF[Eff Desc 1],0)),"")</f>
        <v/>
      </c>
      <c r="AE177" s="151">
        <f>IF(NOT(ISNUMBER(INDEX('M03-S05'!$AN$16:$AN$198,2*(ROWS($O$151:O177)-1)+1))),INDEX('M03-S05'!$AA$16:$AA$198,2*(ROWS($L$151:L177)-1)+1),0)</f>
        <v>0</v>
      </c>
      <c r="AF177" s="151" t="str">
        <f>INDEX('M03-S05'!$AW$16:$AW$198,2*(ROWS($AF$151:AF177)-1)+1)</f>
        <v/>
      </c>
      <c r="AG177" s="151" t="str">
        <f>INDEX('M03-S05'!$AX$16:$AX$198,2*(ROWS($AG$151:AG177)-1)+1)</f>
        <v/>
      </c>
      <c r="AH177" s="151" t="str">
        <f t="shared" si="44"/>
        <v/>
      </c>
      <c r="AI177" s="151" t="str">
        <f t="shared" si="45"/>
        <v/>
      </c>
      <c r="AJ177" s="61" t="str">
        <f t="shared" si="46"/>
        <v/>
      </c>
      <c r="AK177" s="61" t="str">
        <f t="shared" si="47"/>
        <v/>
      </c>
      <c r="AL177" s="61" t="str">
        <f t="shared" si="48"/>
        <v/>
      </c>
      <c r="AM177" s="61" t="str">
        <f>INDEX('M03-S05'!$AU$16:$AU$198,2*(ROWS($AM$151:AM177)-1)+1)</f>
        <v/>
      </c>
      <c r="AN177" s="61" t="str">
        <f>INDEX('M03-S05'!$BB$16:$BB$198,2*(ROWS($AN$151:AN177)-1)+1)</f>
        <v/>
      </c>
      <c r="AO177" s="151">
        <f>INDEX('M03-S05'!$N$16:$N$198,2*(ROWS($AO$151:AO177)-1)+1)</f>
        <v>0</v>
      </c>
      <c r="AP177" s="135"/>
      <c r="AQ177" s="61" t="str">
        <f>IF(INDEX('M03-S05'!$AZ$16:$AZ$198,2*(ROWS($AQ$151:AQ177)-1)+1)="","",IF(AND(INDEX('M03-S05'!$AZ$16:$AZ$198,2*(ROWS($AQ$151:AQ177)-1)+1)&lt;&gt;"",OR(ISNUMBER(SEARCH("AC With",M02S02F32)),M02S02F32="Heat Pump"),INDEX('M03-S05'!$F$16:$F$198,2*(ROWS(AQ177:AQ177)-1)+1)="Interior"),LIGHTHEATCOIN,1))</f>
        <v/>
      </c>
      <c r="AR177" s="415">
        <f>(IF(INDEX('M03-S05'!$AN$16:$AN$198,2*(ROWS($O$151:O177)-1)+1)=INDEX('M03-S05'!$BJ$16:$BJ$198,2*(ROWS($O$151:O177)-1)+1),0,(INDEX('M03-S05'!$BI$16:$BI$198,2*(ROWS($O$151:O177)-1)+1)-INDEX('M03-S05'!$BJ$16:$BJ$198,2*(ROWS($O$151:O177)-1)+1))))</f>
        <v>0</v>
      </c>
    </row>
    <row r="178" spans="1:44" x14ac:dyDescent="0.25">
      <c r="A178" s="66">
        <f t="shared" si="41"/>
        <v>0</v>
      </c>
      <c r="B178" s="66" t="str">
        <f t="shared" si="42"/>
        <v/>
      </c>
      <c r="C178" s="66" t="str">
        <f>IFERROR(IF(J178&gt;0,INDEX('M03-S05'!$AY$16:$AY$198,2*(ROWS($C$151:C178)-1)+1),""),"")</f>
        <v/>
      </c>
      <c r="D178" t="str">
        <f t="shared" si="43"/>
        <v>Custom</v>
      </c>
      <c r="E178" t="str">
        <f>IFERROR(INDEX(CMELIGHT[End Use Category],MATCH(INDEX('M03-S05'!$F$16:$F$198,2*(ROWS($E$151:E178)-1)+1),CMELIGHT[Proj Desc 1],0)),"")</f>
        <v>Lighting</v>
      </c>
      <c r="F178" s="151" t="str">
        <f>INDEX('M03-S05'!$R$16:$R$198,2*(ROWS($F$151:F178)-1)+1)</f>
        <v/>
      </c>
      <c r="G178">
        <f>INDEX('M03-S05'!$C$16:$C$198,2*(ROWS($G$151:G178)-1)+1)</f>
        <v>0</v>
      </c>
      <c r="H178" s="61">
        <f>ROUND(INDEX('M03-S05'!$AA$16:$AA$198,2*(ROWS($H$151:H178)-1)+1)*INDEX('M03-S05'!$AG$16:$AG$198,2*(ROWS($H$151:H178)-1)+1),2)</f>
        <v>0</v>
      </c>
      <c r="I178" s="61">
        <f>ROUND(INDEX('M03-S05'!$AA$16:$AA$198,2*(ROWS($I$151:I178)-1)+1)*INDEX('M03-S05'!$AI$16:$AI$198,2*(ROWS($I$151:I178)-1)+1),2)</f>
        <v>0</v>
      </c>
      <c r="J178" s="61" t="str">
        <f>INDEX('M03-S05'!$AK$16:$AK$198,2*(ROWS($J$151:J178)-1)+1)</f>
        <v/>
      </c>
      <c r="K178" t="s">
        <v>119</v>
      </c>
      <c r="L178" s="151">
        <f>IF(ISNUMBER(INDEX('M03-S05'!$AN$16:$AN$198,2*(ROWS($O$151:O178)-1)+1)),INDEX('M03-S05'!$AA$16:$AA$198,2*(ROWS($L$151:L178)-1)+1),0)</f>
        <v>0</v>
      </c>
      <c r="M178" s="151">
        <f>IF(ISNUMBER(INDEX('M03-S05'!$AN$16:$AN$198,2*(ROWS($O$151:O178)-1)+1)),INDEX('M03-S05'!$AZ$16:$AZ$198,2*(ROWS($M$151:M178)-1)+1),0)</f>
        <v>0</v>
      </c>
      <c r="N178" s="189">
        <f>IF(ISNUMBER(INDEX('M03-S05'!$AN$16:$AN$198,2*(ROWS($O$151:O178)-1)+1)),INDEX('M03-S05'!$AV$16:$AV$198,2*(ROWS($N$151:N178)-1)+1),0)</f>
        <v>0</v>
      </c>
      <c r="O178" s="61">
        <f>IF(ISNUMBER(INDEX('M03-S05'!$AN$16:$AN$198,2*(ROWS($O$151:O178)-1)+1)),INDEX('M03-S05'!$AN$16:$AN$198,2*(ROWS($O$151:O178)-1)+1),0)</f>
        <v>0</v>
      </c>
      <c r="P178" s="151" t="str">
        <f>IFERROR(IF(NOT(ISNUMBER(INDEX('M03-S05'!$AN$16:$AN$198,2*(ROWS($O$151:O178)-1)+1))),INDEX('M03-S05'!$AZ$16:$AZ$198,2*(ROWS($O$151:O178)-1)+1),0),"")</f>
        <v/>
      </c>
      <c r="Q178" s="189" t="str">
        <f>IFERROR(IF(NOT(ISNUMBER(INDEX('M03-S05'!$AN$16:$AN$198,2*(ROWS($O$151:O178)-1)+1))),INDEX('M03-S05'!$AV$16:$AV$198,2*(ROWS($O$151:O178)-1)+1),0),"")</f>
        <v/>
      </c>
      <c r="R178" t="str">
        <f>IFERROR(IF(NOT(ISNUMBER(INDEX('M03-S05'!$AN$16:$AN$198,2*(ROWS($O$151:O178)-1)+1))),INDEX(SPILLOVER[Spillover Reason],MATCH(INDEX('M03-S05'!$BC$16:$BC$198,2*(ROWS($O$151:O178)-1)+1),SPILLOVER[Spillover Text],0)),""),"")</f>
        <v>Not Eligible</v>
      </c>
      <c r="S178" s="156" t="str">
        <f>INDEX('M03-S05'!$P$16:$P$198,2*(ROWS($S$151:S178)-1)+1)</f>
        <v/>
      </c>
      <c r="T178" s="156" t="str">
        <f>INDEX('M03-S05'!$AC$16:$AC$198,2*(ROWS($T$151:T178)-1)+1)</f>
        <v/>
      </c>
      <c r="U178" s="151">
        <f>INDEX('M03-S05'!$B$16:$B$198,2*(ROWS($U$151:U178)-1)+1)</f>
        <v>28</v>
      </c>
      <c r="V178" s="58">
        <f>INDEX('M03-S05'!$H$16:$H$198,2*(ROWS($V$151:V178)-1)+1)</f>
        <v>0</v>
      </c>
      <c r="W178" s="58">
        <f>INDEX('M03-S05'!$T$16:$T$198,2*(ROWS($W$151:W178)-1)+1)</f>
        <v>0</v>
      </c>
      <c r="X178">
        <f>INDEX('M03-S05'!$K$16:$K$198,2*(ROWS($X$151:X178)-1)+1)</f>
        <v>0</v>
      </c>
      <c r="Y178">
        <f>INDEX('M03-S05'!$X$16:$X$198,2*(ROWS($Y$151:Y178)-1)+1)</f>
        <v>0</v>
      </c>
      <c r="Z178" s="61">
        <f>IFERROR(INDEX('M03-S05'!$AE$16:$AE$198,2*(ROWS(Z$151:$Z178)-1)+1)/INDEX('M03-S05'!$R$16:$R$198,2*(ROWS(Z$151:$Z178)-1)+1),0)</f>
        <v>0</v>
      </c>
      <c r="AA178" t="str">
        <f>IFERROR(INDEX(CMLIGHTBASE[Measure Subgroup 1],MATCH(INDEX('M03-S05'!$H$16:$H$198,2*(ROWS($V$151:V178)-1)+1),CMLIGHTBASE[Base Desc 1],0)),"")</f>
        <v/>
      </c>
      <c r="AB178" t="str">
        <f>IFERROR(INDEX(CMLIGHTBASE[Measure Subgroup 2],MATCH(INDEX('M03-S05'!$H$16:$H$198,2*(ROWS($V$151:V178)-1)+1),CMLIGHTBASE[Base Desc 1],0)),"")</f>
        <v/>
      </c>
      <c r="AC178" t="str">
        <f>IFERROR(INDEX(CMLIGHTEFF[Measure Subgroup 1],MATCH(INDEX('M03-S05'!$T$16:$T$198,2*(ROWS($W$151:W178)-1)+1),CMLIGHTEFF[Eff Desc 1],0)),"")</f>
        <v/>
      </c>
      <c r="AD178" t="str">
        <f>IFERROR(INDEX(CMLIGHTEFF[Measure Subgroup 2],MATCH(INDEX('M03-S05'!$T$16:$T$198,2*(ROWS($W$151:W178)-1)+1),CMLIGHTEFF[Eff Desc 1],0)),"")</f>
        <v/>
      </c>
      <c r="AE178" s="151">
        <f>IF(NOT(ISNUMBER(INDEX('M03-S05'!$AN$16:$AN$198,2*(ROWS($O$151:O178)-1)+1))),INDEX('M03-S05'!$AA$16:$AA$198,2*(ROWS($L$151:L178)-1)+1),0)</f>
        <v>0</v>
      </c>
      <c r="AF178" s="151" t="str">
        <f>INDEX('M03-S05'!$AW$16:$AW$198,2*(ROWS($AF$151:AF178)-1)+1)</f>
        <v/>
      </c>
      <c r="AG178" s="151" t="str">
        <f>INDEX('M03-S05'!$AX$16:$AX$198,2*(ROWS($AG$151:AG178)-1)+1)</f>
        <v/>
      </c>
      <c r="AH178" s="151" t="str">
        <f t="shared" si="44"/>
        <v/>
      </c>
      <c r="AI178" s="151" t="str">
        <f t="shared" si="45"/>
        <v/>
      </c>
      <c r="AJ178" s="61" t="str">
        <f t="shared" si="46"/>
        <v/>
      </c>
      <c r="AK178" s="61" t="str">
        <f t="shared" si="47"/>
        <v/>
      </c>
      <c r="AL178" s="61" t="str">
        <f t="shared" si="48"/>
        <v/>
      </c>
      <c r="AM178" s="61" t="str">
        <f>INDEX('M03-S05'!$AU$16:$AU$198,2*(ROWS($AM$151:AM178)-1)+1)</f>
        <v/>
      </c>
      <c r="AN178" s="61" t="str">
        <f>INDEX('M03-S05'!$BB$16:$BB$198,2*(ROWS($AN$151:AN178)-1)+1)</f>
        <v/>
      </c>
      <c r="AO178" s="151">
        <f>INDEX('M03-S05'!$N$16:$N$198,2*(ROWS($AO$151:AO178)-1)+1)</f>
        <v>0</v>
      </c>
      <c r="AP178" s="135"/>
      <c r="AQ178" s="61" t="str">
        <f>IF(INDEX('M03-S05'!$AZ$16:$AZ$198,2*(ROWS($AQ$151:AQ178)-1)+1)="","",IF(AND(INDEX('M03-S05'!$AZ$16:$AZ$198,2*(ROWS($AQ$151:AQ178)-1)+1)&lt;&gt;"",OR(ISNUMBER(SEARCH("AC With",M02S02F32)),M02S02F32="Heat Pump"),INDEX('M03-S05'!$F$16:$F$198,2*(ROWS(AQ178:AQ178)-1)+1)="Interior"),LIGHTHEATCOIN,1))</f>
        <v/>
      </c>
      <c r="AR178" s="415">
        <f>(IF(INDEX('M03-S05'!$AN$16:$AN$198,2*(ROWS($O$151:O178)-1)+1)=INDEX('M03-S05'!$BJ$16:$BJ$198,2*(ROWS($O$151:O178)-1)+1),0,(INDEX('M03-S05'!$BI$16:$BI$198,2*(ROWS($O$151:O178)-1)+1)-INDEX('M03-S05'!$BJ$16:$BJ$198,2*(ROWS($O$151:O178)-1)+1))))</f>
        <v>0</v>
      </c>
    </row>
    <row r="179" spans="1:44" x14ac:dyDescent="0.25">
      <c r="A179" s="66">
        <f t="shared" si="41"/>
        <v>0</v>
      </c>
      <c r="B179" s="66" t="str">
        <f t="shared" si="42"/>
        <v/>
      </c>
      <c r="C179" s="66" t="str">
        <f>IFERROR(IF(J179&gt;0,INDEX('M03-S05'!$AY$16:$AY$198,2*(ROWS($C$151:C179)-1)+1),""),"")</f>
        <v/>
      </c>
      <c r="D179" t="str">
        <f t="shared" si="43"/>
        <v>Custom</v>
      </c>
      <c r="E179" t="str">
        <f>IFERROR(INDEX(CMELIGHT[End Use Category],MATCH(INDEX('M03-S05'!$F$16:$F$198,2*(ROWS($E$151:E179)-1)+1),CMELIGHT[Proj Desc 1],0)),"")</f>
        <v>Lighting</v>
      </c>
      <c r="F179" s="151" t="str">
        <f>INDEX('M03-S05'!$R$16:$R$198,2*(ROWS($F$151:F179)-1)+1)</f>
        <v/>
      </c>
      <c r="G179">
        <f>INDEX('M03-S05'!$C$16:$C$198,2*(ROWS($G$151:G179)-1)+1)</f>
        <v>0</v>
      </c>
      <c r="H179" s="61">
        <f>ROUND(INDEX('M03-S05'!$AA$16:$AA$198,2*(ROWS($H$151:H179)-1)+1)*INDEX('M03-S05'!$AG$16:$AG$198,2*(ROWS($H$151:H179)-1)+1),2)</f>
        <v>0</v>
      </c>
      <c r="I179" s="61">
        <f>ROUND(INDEX('M03-S05'!$AA$16:$AA$198,2*(ROWS($I$151:I179)-1)+1)*INDEX('M03-S05'!$AI$16:$AI$198,2*(ROWS($I$151:I179)-1)+1),2)</f>
        <v>0</v>
      </c>
      <c r="J179" s="61" t="str">
        <f>INDEX('M03-S05'!$AK$16:$AK$198,2*(ROWS($J$151:J179)-1)+1)</f>
        <v/>
      </c>
      <c r="K179" t="s">
        <v>119</v>
      </c>
      <c r="L179" s="151">
        <f>IF(ISNUMBER(INDEX('M03-S05'!$AN$16:$AN$198,2*(ROWS($O$151:O179)-1)+1)),INDEX('M03-S05'!$AA$16:$AA$198,2*(ROWS($L$151:L179)-1)+1),0)</f>
        <v>0</v>
      </c>
      <c r="M179" s="151">
        <f>IF(ISNUMBER(INDEX('M03-S05'!$AN$16:$AN$198,2*(ROWS($O$151:O179)-1)+1)),INDEX('M03-S05'!$AZ$16:$AZ$198,2*(ROWS($M$151:M179)-1)+1),0)</f>
        <v>0</v>
      </c>
      <c r="N179" s="189">
        <f>IF(ISNUMBER(INDEX('M03-S05'!$AN$16:$AN$198,2*(ROWS($O$151:O179)-1)+1)),INDEX('M03-S05'!$AV$16:$AV$198,2*(ROWS($N$151:N179)-1)+1),0)</f>
        <v>0</v>
      </c>
      <c r="O179" s="61">
        <f>IF(ISNUMBER(INDEX('M03-S05'!$AN$16:$AN$198,2*(ROWS($O$151:O179)-1)+1)),INDEX('M03-S05'!$AN$16:$AN$198,2*(ROWS($O$151:O179)-1)+1),0)</f>
        <v>0</v>
      </c>
      <c r="P179" s="151" t="str">
        <f>IFERROR(IF(NOT(ISNUMBER(INDEX('M03-S05'!$AN$16:$AN$198,2*(ROWS($O$151:O179)-1)+1))),INDEX('M03-S05'!$AZ$16:$AZ$198,2*(ROWS($O$151:O179)-1)+1),0),"")</f>
        <v/>
      </c>
      <c r="Q179" s="189" t="str">
        <f>IFERROR(IF(NOT(ISNUMBER(INDEX('M03-S05'!$AN$16:$AN$198,2*(ROWS($O$151:O179)-1)+1))),INDEX('M03-S05'!$AV$16:$AV$198,2*(ROWS($O$151:O179)-1)+1),0),"")</f>
        <v/>
      </c>
      <c r="R179" t="str">
        <f>IFERROR(IF(NOT(ISNUMBER(INDEX('M03-S05'!$AN$16:$AN$198,2*(ROWS($O$151:O179)-1)+1))),INDEX(SPILLOVER[Spillover Reason],MATCH(INDEX('M03-S05'!$BC$16:$BC$198,2*(ROWS($O$151:O179)-1)+1),SPILLOVER[Spillover Text],0)),""),"")</f>
        <v>Not Eligible</v>
      </c>
      <c r="S179" s="156" t="str">
        <f>INDEX('M03-S05'!$P$16:$P$198,2*(ROWS($S$151:S179)-1)+1)</f>
        <v/>
      </c>
      <c r="T179" s="156" t="str">
        <f>INDEX('M03-S05'!$AC$16:$AC$198,2*(ROWS($T$151:T179)-1)+1)</f>
        <v/>
      </c>
      <c r="U179" s="151">
        <f>INDEX('M03-S05'!$B$16:$B$198,2*(ROWS($U$151:U179)-1)+1)</f>
        <v>29</v>
      </c>
      <c r="V179" s="58">
        <f>INDEX('M03-S05'!$H$16:$H$198,2*(ROWS($V$151:V179)-1)+1)</f>
        <v>0</v>
      </c>
      <c r="W179" s="58">
        <f>INDEX('M03-S05'!$T$16:$T$198,2*(ROWS($W$151:W179)-1)+1)</f>
        <v>0</v>
      </c>
      <c r="X179">
        <f>INDEX('M03-S05'!$K$16:$K$198,2*(ROWS($X$151:X179)-1)+1)</f>
        <v>0</v>
      </c>
      <c r="Y179">
        <f>INDEX('M03-S05'!$X$16:$X$198,2*(ROWS($Y$151:Y179)-1)+1)</f>
        <v>0</v>
      </c>
      <c r="Z179" s="61">
        <f>IFERROR(INDEX('M03-S05'!$AE$16:$AE$198,2*(ROWS(Z$151:$Z179)-1)+1)/INDEX('M03-S05'!$R$16:$R$198,2*(ROWS(Z$151:$Z179)-1)+1),0)</f>
        <v>0</v>
      </c>
      <c r="AA179" t="str">
        <f>IFERROR(INDEX(CMLIGHTBASE[Measure Subgroup 1],MATCH(INDEX('M03-S05'!$H$16:$H$198,2*(ROWS($V$151:V179)-1)+1),CMLIGHTBASE[Base Desc 1],0)),"")</f>
        <v/>
      </c>
      <c r="AB179" t="str">
        <f>IFERROR(INDEX(CMLIGHTBASE[Measure Subgroup 2],MATCH(INDEX('M03-S05'!$H$16:$H$198,2*(ROWS($V$151:V179)-1)+1),CMLIGHTBASE[Base Desc 1],0)),"")</f>
        <v/>
      </c>
      <c r="AC179" t="str">
        <f>IFERROR(INDEX(CMLIGHTEFF[Measure Subgroup 1],MATCH(INDEX('M03-S05'!$T$16:$T$198,2*(ROWS($W$151:W179)-1)+1),CMLIGHTEFF[Eff Desc 1],0)),"")</f>
        <v/>
      </c>
      <c r="AD179" t="str">
        <f>IFERROR(INDEX(CMLIGHTEFF[Measure Subgroup 2],MATCH(INDEX('M03-S05'!$T$16:$T$198,2*(ROWS($W$151:W179)-1)+1),CMLIGHTEFF[Eff Desc 1],0)),"")</f>
        <v/>
      </c>
      <c r="AE179" s="151">
        <f>IF(NOT(ISNUMBER(INDEX('M03-S05'!$AN$16:$AN$198,2*(ROWS($O$151:O179)-1)+1))),INDEX('M03-S05'!$AA$16:$AA$198,2*(ROWS($L$151:L179)-1)+1),0)</f>
        <v>0</v>
      </c>
      <c r="AF179" s="151" t="str">
        <f>INDEX('M03-S05'!$AW$16:$AW$198,2*(ROWS($AF$151:AF179)-1)+1)</f>
        <v/>
      </c>
      <c r="AG179" s="151" t="str">
        <f>INDEX('M03-S05'!$AX$16:$AX$198,2*(ROWS($AG$151:AG179)-1)+1)</f>
        <v/>
      </c>
      <c r="AH179" s="151" t="str">
        <f t="shared" si="44"/>
        <v/>
      </c>
      <c r="AI179" s="151" t="str">
        <f t="shared" si="45"/>
        <v/>
      </c>
      <c r="AJ179" s="61" t="str">
        <f t="shared" si="46"/>
        <v/>
      </c>
      <c r="AK179" s="61" t="str">
        <f t="shared" si="47"/>
        <v/>
      </c>
      <c r="AL179" s="61" t="str">
        <f t="shared" si="48"/>
        <v/>
      </c>
      <c r="AM179" s="61" t="str">
        <f>INDEX('M03-S05'!$AU$16:$AU$198,2*(ROWS($AM$151:AM179)-1)+1)</f>
        <v/>
      </c>
      <c r="AN179" s="61" t="str">
        <f>INDEX('M03-S05'!$BB$16:$BB$198,2*(ROWS($AN$151:AN179)-1)+1)</f>
        <v/>
      </c>
      <c r="AO179" s="151">
        <f>INDEX('M03-S05'!$N$16:$N$198,2*(ROWS($AO$151:AO179)-1)+1)</f>
        <v>0</v>
      </c>
      <c r="AP179" s="135"/>
      <c r="AQ179" s="61" t="str">
        <f>IF(INDEX('M03-S05'!$AZ$16:$AZ$198,2*(ROWS($AQ$151:AQ179)-1)+1)="","",IF(AND(INDEX('M03-S05'!$AZ$16:$AZ$198,2*(ROWS($AQ$151:AQ179)-1)+1)&lt;&gt;"",OR(ISNUMBER(SEARCH("AC With",M02S02F32)),M02S02F32="Heat Pump"),INDEX('M03-S05'!$F$16:$F$198,2*(ROWS(AQ179:AQ179)-1)+1)="Interior"),LIGHTHEATCOIN,1))</f>
        <v/>
      </c>
      <c r="AR179" s="415">
        <f>(IF(INDEX('M03-S05'!$AN$16:$AN$198,2*(ROWS($O$151:O179)-1)+1)=INDEX('M03-S05'!$BJ$16:$BJ$198,2*(ROWS($O$151:O179)-1)+1),0,(INDEX('M03-S05'!$BI$16:$BI$198,2*(ROWS($O$151:O179)-1)+1)-INDEX('M03-S05'!$BJ$16:$BJ$198,2*(ROWS($O$151:O179)-1)+1))))</f>
        <v>0</v>
      </c>
    </row>
    <row r="180" spans="1:44" x14ac:dyDescent="0.25">
      <c r="A180" s="66">
        <f t="shared" si="41"/>
        <v>0</v>
      </c>
      <c r="B180" s="66" t="str">
        <f t="shared" si="42"/>
        <v/>
      </c>
      <c r="C180" s="66" t="str">
        <f>IFERROR(IF(J180&gt;0,INDEX('M03-S05'!$AY$16:$AY$198,2*(ROWS($C$151:C180)-1)+1),""),"")</f>
        <v/>
      </c>
      <c r="D180" t="str">
        <f t="shared" si="43"/>
        <v>Custom</v>
      </c>
      <c r="E180" t="str">
        <f>IFERROR(INDEX(CMELIGHT[End Use Category],MATCH(INDEX('M03-S05'!$F$16:$F$198,2*(ROWS($E$151:E180)-1)+1),CMELIGHT[Proj Desc 1],0)),"")</f>
        <v>Lighting</v>
      </c>
      <c r="F180" s="151" t="str">
        <f>INDEX('M03-S05'!$R$16:$R$198,2*(ROWS($F$151:F180)-1)+1)</f>
        <v/>
      </c>
      <c r="G180">
        <f>INDEX('M03-S05'!$C$16:$C$198,2*(ROWS($G$151:G180)-1)+1)</f>
        <v>0</v>
      </c>
      <c r="H180" s="61">
        <f>ROUND(INDEX('M03-S05'!$AA$16:$AA$198,2*(ROWS($H$151:H180)-1)+1)*INDEX('M03-S05'!$AG$16:$AG$198,2*(ROWS($H$151:H180)-1)+1),2)</f>
        <v>0</v>
      </c>
      <c r="I180" s="61">
        <f>ROUND(INDEX('M03-S05'!$AA$16:$AA$198,2*(ROWS($I$151:I180)-1)+1)*INDEX('M03-S05'!$AI$16:$AI$198,2*(ROWS($I$151:I180)-1)+1),2)</f>
        <v>0</v>
      </c>
      <c r="J180" s="61" t="str">
        <f>INDEX('M03-S05'!$AK$16:$AK$198,2*(ROWS($J$151:J180)-1)+1)</f>
        <v/>
      </c>
      <c r="K180" t="s">
        <v>119</v>
      </c>
      <c r="L180" s="151">
        <f>IF(ISNUMBER(INDEX('M03-S05'!$AN$16:$AN$198,2*(ROWS($O$151:O180)-1)+1)),INDEX('M03-S05'!$AA$16:$AA$198,2*(ROWS($L$151:L180)-1)+1),0)</f>
        <v>0</v>
      </c>
      <c r="M180" s="151">
        <f>IF(ISNUMBER(INDEX('M03-S05'!$AN$16:$AN$198,2*(ROWS($O$151:O180)-1)+1)),INDEX('M03-S05'!$AZ$16:$AZ$198,2*(ROWS($M$151:M180)-1)+1),0)</f>
        <v>0</v>
      </c>
      <c r="N180" s="189">
        <f>IF(ISNUMBER(INDEX('M03-S05'!$AN$16:$AN$198,2*(ROWS($O$151:O180)-1)+1)),INDEX('M03-S05'!$AV$16:$AV$198,2*(ROWS($N$151:N180)-1)+1),0)</f>
        <v>0</v>
      </c>
      <c r="O180" s="61">
        <f>IF(ISNUMBER(INDEX('M03-S05'!$AN$16:$AN$198,2*(ROWS($O$151:O180)-1)+1)),INDEX('M03-S05'!$AN$16:$AN$198,2*(ROWS($O$151:O180)-1)+1),0)</f>
        <v>0</v>
      </c>
      <c r="P180" s="151" t="str">
        <f>IFERROR(IF(NOT(ISNUMBER(INDEX('M03-S05'!$AN$16:$AN$198,2*(ROWS($O$151:O180)-1)+1))),INDEX('M03-S05'!$AZ$16:$AZ$198,2*(ROWS($O$151:O180)-1)+1),0),"")</f>
        <v/>
      </c>
      <c r="Q180" s="189" t="str">
        <f>IFERROR(IF(NOT(ISNUMBER(INDEX('M03-S05'!$AN$16:$AN$198,2*(ROWS($O$151:O180)-1)+1))),INDEX('M03-S05'!$AV$16:$AV$198,2*(ROWS($O$151:O180)-1)+1),0),"")</f>
        <v/>
      </c>
      <c r="R180" t="str">
        <f>IFERROR(IF(NOT(ISNUMBER(INDEX('M03-S05'!$AN$16:$AN$198,2*(ROWS($O$151:O180)-1)+1))),INDEX(SPILLOVER[Spillover Reason],MATCH(INDEX('M03-S05'!$BC$16:$BC$198,2*(ROWS($O$151:O180)-1)+1),SPILLOVER[Spillover Text],0)),""),"")</f>
        <v>Not Eligible</v>
      </c>
      <c r="S180" s="156" t="str">
        <f>INDEX('M03-S05'!$P$16:$P$198,2*(ROWS($S$151:S180)-1)+1)</f>
        <v/>
      </c>
      <c r="T180" s="156" t="str">
        <f>INDEX('M03-S05'!$AC$16:$AC$198,2*(ROWS($T$151:T180)-1)+1)</f>
        <v/>
      </c>
      <c r="U180" s="151">
        <f>INDEX('M03-S05'!$B$16:$B$198,2*(ROWS($U$151:U180)-1)+1)</f>
        <v>30</v>
      </c>
      <c r="V180" s="58">
        <f>INDEX('M03-S05'!$H$16:$H$198,2*(ROWS($V$151:V180)-1)+1)</f>
        <v>0</v>
      </c>
      <c r="W180" s="58">
        <f>INDEX('M03-S05'!$T$16:$T$198,2*(ROWS($W$151:W180)-1)+1)</f>
        <v>0</v>
      </c>
      <c r="X180">
        <f>INDEX('M03-S05'!$K$16:$K$198,2*(ROWS($X$151:X180)-1)+1)</f>
        <v>0</v>
      </c>
      <c r="Y180">
        <f>INDEX('M03-S05'!$X$16:$X$198,2*(ROWS($Y$151:Y180)-1)+1)</f>
        <v>0</v>
      </c>
      <c r="Z180" s="61">
        <f>IFERROR(INDEX('M03-S05'!$AE$16:$AE$198,2*(ROWS(Z$151:$Z180)-1)+1)/INDEX('M03-S05'!$R$16:$R$198,2*(ROWS(Z$151:$Z180)-1)+1),0)</f>
        <v>0</v>
      </c>
      <c r="AA180" t="str">
        <f>IFERROR(INDEX(CMLIGHTBASE[Measure Subgroup 1],MATCH(INDEX('M03-S05'!$H$16:$H$198,2*(ROWS($V$151:V180)-1)+1),CMLIGHTBASE[Base Desc 1],0)),"")</f>
        <v/>
      </c>
      <c r="AB180" t="str">
        <f>IFERROR(INDEX(CMLIGHTBASE[Measure Subgroup 2],MATCH(INDEX('M03-S05'!$H$16:$H$198,2*(ROWS($V$151:V180)-1)+1),CMLIGHTBASE[Base Desc 1],0)),"")</f>
        <v/>
      </c>
      <c r="AC180" t="str">
        <f>IFERROR(INDEX(CMLIGHTEFF[Measure Subgroup 1],MATCH(INDEX('M03-S05'!$T$16:$T$198,2*(ROWS($W$151:W180)-1)+1),CMLIGHTEFF[Eff Desc 1],0)),"")</f>
        <v/>
      </c>
      <c r="AD180" t="str">
        <f>IFERROR(INDEX(CMLIGHTEFF[Measure Subgroup 2],MATCH(INDEX('M03-S05'!$T$16:$T$198,2*(ROWS($W$151:W180)-1)+1),CMLIGHTEFF[Eff Desc 1],0)),"")</f>
        <v/>
      </c>
      <c r="AE180" s="151">
        <f>IF(NOT(ISNUMBER(INDEX('M03-S05'!$AN$16:$AN$198,2*(ROWS($O$151:O180)-1)+1))),INDEX('M03-S05'!$AA$16:$AA$198,2*(ROWS($L$151:L180)-1)+1),0)</f>
        <v>0</v>
      </c>
      <c r="AF180" s="151" t="str">
        <f>INDEX('M03-S05'!$AW$16:$AW$198,2*(ROWS($AF$151:AF180)-1)+1)</f>
        <v/>
      </c>
      <c r="AG180" s="151" t="str">
        <f>INDEX('M03-S05'!$AX$16:$AX$198,2*(ROWS($AG$151:AG180)-1)+1)</f>
        <v/>
      </c>
      <c r="AH180" s="151" t="str">
        <f t="shared" si="44"/>
        <v/>
      </c>
      <c r="AI180" s="151" t="str">
        <f t="shared" si="45"/>
        <v/>
      </c>
      <c r="AJ180" s="61" t="str">
        <f t="shared" si="46"/>
        <v/>
      </c>
      <c r="AK180" s="61" t="str">
        <f t="shared" si="47"/>
        <v/>
      </c>
      <c r="AL180" s="61" t="str">
        <f t="shared" si="48"/>
        <v/>
      </c>
      <c r="AM180" s="61" t="str">
        <f>INDEX('M03-S05'!$AU$16:$AU$198,2*(ROWS($AM$151:AM180)-1)+1)</f>
        <v/>
      </c>
      <c r="AN180" s="61" t="str">
        <f>INDEX('M03-S05'!$BB$16:$BB$198,2*(ROWS($AN$151:AN180)-1)+1)</f>
        <v/>
      </c>
      <c r="AO180" s="151">
        <f>INDEX('M03-S05'!$N$16:$N$198,2*(ROWS($AO$151:AO180)-1)+1)</f>
        <v>0</v>
      </c>
      <c r="AP180" s="135"/>
      <c r="AQ180" s="61" t="str">
        <f>IF(INDEX('M03-S05'!$AZ$16:$AZ$198,2*(ROWS($AQ$151:AQ180)-1)+1)="","",IF(AND(INDEX('M03-S05'!$AZ$16:$AZ$198,2*(ROWS($AQ$151:AQ180)-1)+1)&lt;&gt;"",OR(ISNUMBER(SEARCH("AC With",M02S02F32)),M02S02F32="Heat Pump"),INDEX('M03-S05'!$F$16:$F$198,2*(ROWS(AQ180:AQ180)-1)+1)="Interior"),LIGHTHEATCOIN,1))</f>
        <v/>
      </c>
      <c r="AR180" s="415">
        <f>(IF(INDEX('M03-S05'!$AN$16:$AN$198,2*(ROWS($O$151:O180)-1)+1)=INDEX('M03-S05'!$BJ$16:$BJ$198,2*(ROWS($O$151:O180)-1)+1),0,(INDEX('M03-S05'!$BI$16:$BI$198,2*(ROWS($O$151:O180)-1)+1)-INDEX('M03-S05'!$BJ$16:$BJ$198,2*(ROWS($O$151:O180)-1)+1))))</f>
        <v>0</v>
      </c>
    </row>
    <row r="181" spans="1:44" x14ac:dyDescent="0.25">
      <c r="A181" s="207" t="str">
        <f>CONCATENATE(MAIN4," ",M4S1)</f>
        <v>STANDARD MEASURES HVAC Equipment and Thermostats</v>
      </c>
      <c r="B181" s="209"/>
      <c r="C181" s="209"/>
      <c r="D181" s="164"/>
      <c r="E181" s="164"/>
      <c r="F181" s="170"/>
      <c r="G181" s="164"/>
      <c r="H181" s="171"/>
      <c r="I181" s="171"/>
      <c r="J181" s="171"/>
      <c r="K181" s="164"/>
      <c r="L181" s="170"/>
      <c r="M181" s="170"/>
      <c r="N181" s="191"/>
      <c r="O181" s="171"/>
      <c r="P181" s="176"/>
      <c r="Q181" s="194"/>
      <c r="R181" s="174"/>
      <c r="S181" s="177"/>
      <c r="T181" s="177"/>
      <c r="U181" s="170"/>
      <c r="V181" s="174"/>
      <c r="W181" s="173"/>
      <c r="X181" s="174"/>
      <c r="Y181" s="164"/>
      <c r="Z181" s="164"/>
      <c r="AA181" s="164"/>
      <c r="AB181" s="164"/>
      <c r="AC181" s="164"/>
      <c r="AD181" s="164"/>
      <c r="AE181" s="176"/>
      <c r="AF181" s="176"/>
      <c r="AG181" s="176"/>
      <c r="AH181" s="176"/>
      <c r="AI181" s="176"/>
      <c r="AJ181" s="171" t="str">
        <f>IFERROR(O181/M181,"")</f>
        <v/>
      </c>
      <c r="AK181" s="171" t="str">
        <f>IFERROR(O181/N181,"")</f>
        <v/>
      </c>
      <c r="AL181" s="171" t="str">
        <f>IFERROR(O181/L181,"")</f>
        <v/>
      </c>
      <c r="AM181" s="175"/>
      <c r="AN181" s="171" t="str">
        <f t="shared" ref="AN181:AN182" si="49">IFERROR(J181/M181/M02S02F35,"")</f>
        <v/>
      </c>
      <c r="AO181" s="170"/>
      <c r="AP181" s="170"/>
      <c r="AQ181" s="170"/>
      <c r="AR181" s="412"/>
    </row>
    <row r="182" spans="1:44" x14ac:dyDescent="0.25">
      <c r="A182" s="66">
        <f t="shared" ref="A182:A191" si="50">PROJID</f>
        <v>0</v>
      </c>
      <c r="B182" s="66" t="str">
        <f>IF(C182="","",CONCATENATE(ROW(),"-",C182))</f>
        <v/>
      </c>
      <c r="C182" s="66" t="str">
        <f>IFERROR(IF(OR(P182&gt;0,O182&gt;0),INDEX(PMEHVAC[Measure '#],MATCH(W182,PMEHVAC[Measure Type],0)),""),"")</f>
        <v/>
      </c>
      <c r="D182" t="s">
        <v>1096</v>
      </c>
      <c r="E182" t="str">
        <f>IFERROR(INDEX(PMEHVAC[End Use Category],MATCH(W182,PMEHVAC[Measure Type],0)),"")</f>
        <v/>
      </c>
      <c r="F182" s="152"/>
      <c r="G182">
        <f>INDEX('M04-S01'!$AC$18:$AC$198,2*(ROWS($G$182:G182)-1)+1)</f>
        <v>0</v>
      </c>
      <c r="H182" s="61">
        <f>ROUND(INDEX('M04-S01'!$AF$18:$AF$200,2*(ROWS($H$182:H182)-1)+1),2)</f>
        <v>0</v>
      </c>
      <c r="I182" s="61">
        <f>ROUND(INDEX('M04-S01'!$AH$18:$AH$200,2*(ROWS($I$182:I182)-1)+1),2)</f>
        <v>0</v>
      </c>
      <c r="J182" s="61" t="str">
        <f>INDEX('M04-S01'!$AU$18:$AU$200,2*(ROWS($J$182:J182)-1)+1)</f>
        <v/>
      </c>
      <c r="K182" t="s">
        <v>119</v>
      </c>
      <c r="L182" s="156">
        <f>IF(ISNUMBER(SEARCH("Thermostat",INDEX('M04-S01'!$C$18:$C$198,2*(ROWS($L$182:L182)-1)+1))),
          INDEX('M04-S01'!$U$18:$U$198,2*(ROWS($L$182:L182)-1)+1),
          IF(ISNUMBER(SEARCH("Advanced RTU Controls",INDEX('M04-S01'!$C$18:$C$198,2*(ROWS($L$182:L182)-1)+1))),
                    ((INDEX('M04-S01'!$U$18:$U$198,2*(ROWS($L$182:L182)-1)+1))* (INDEX('M04-S01'!$Q$18:$Q$198,2*(ROWS($L$182:L182)-1)+1))) * 400 / 4000,
                    INDEX('M04-S01'!$U$18:$U$198,2*(ROWS($L$182:L182)-1)+1)
          )
)</f>
        <v>0</v>
      </c>
      <c r="M182" s="151" cm="1">
        <f t="array" ref="M182">IFERROR(IF(ISNUMBER(INDEX('M04-S01'!$AO$18:$AO$198,2*(ROWS($O$182:O182)-1)+1)),INDEX('M04-S01'!$AL$18:$AL$198,2*(ROWS($M$182:M182)-1)+1),0),"")</f>
        <v>0</v>
      </c>
      <c r="N182" s="189" cm="1">
        <f t="array" ref="N182">IFERROR(IF(ISNUMBER(INDEX('M04-S01'!$AO$18:$AO$198,2*(ROWS($O$182:O182)-1)+1)),INDEX('M04-S01'!$AV$18:$AV$198,2*(ROWS($N$182:N182)-1)+1),0),"")</f>
        <v>0</v>
      </c>
      <c r="O182" s="61">
        <f>IFERROR(IF(ISNUMBER(INDEX('M04-S01'!$AO$18:$AO$198,2*(ROWS($O$182:O182)-1)+1)),INDEX('M04-S01'!$AO$18:$AO$198,2*(ROWS($O$182:O182)-1)+1)*INCENTCAPADJ,0),"")</f>
        <v>0</v>
      </c>
      <c r="P182" s="152"/>
      <c r="Q182" s="193"/>
      <c r="R182" s="135"/>
      <c r="S182" s="157"/>
      <c r="T182" s="157"/>
      <c r="U182" s="151">
        <f>INDEX('M04-S04'!$B$16:$B$196,2*(ROWS($U$182:U182)-1)+1)</f>
        <v>1</v>
      </c>
      <c r="V182" s="385" t="str">
        <f>INDEX('M04-S01'!$I$18:$I$198,2*(ROWS($W$182:W182)-1)+1)</f>
        <v/>
      </c>
      <c r="W182" s="58" cm="1">
        <f t="array" ref="W182">INDEX('M04-S01'!$C$18:$C$198,2*(ROWS($W$182:W182)-1)+1)</f>
        <v>0</v>
      </c>
      <c r="X182" s="135"/>
      <c r="Y182">
        <f>INDEX('M04-S01'!$Y$18:$Y$198,2*(ROWS($Y$182:Y182)-1)+1)</f>
        <v>0</v>
      </c>
      <c r="Z182" s="135"/>
      <c r="AA182" s="135"/>
      <c r="AB182" s="135"/>
      <c r="AC182" s="464">
        <f>IF(ISNUMBER(SEARCH("Constant",V182)),INDEX('M04-S01'!$Q$18:$Q$198,2*(ROWS($AC$182:AC182)-1)+1)*(400/4000),INDEX('M04-S01'!$Q$18:$Q$198,2*(ROWS($AC$182:AC182)-1)+1))</f>
        <v>0</v>
      </c>
      <c r="AD182" s="58" t="str">
        <f>IF(ISNUMBER(SEARCH("Constant",V182)),"hp",INDEX('M04-S01'!$S$18:$S$198,2*(ROWS($AD$182:AD182)-1)+1))</f>
        <v>Tons</v>
      </c>
      <c r="AE182" s="152"/>
      <c r="AF182" s="152"/>
      <c r="AG182" s="152"/>
      <c r="AH182" s="152"/>
      <c r="AI182" s="152"/>
      <c r="AJ182" s="61" t="str">
        <f>IFERROR(O182/M182,"")</f>
        <v/>
      </c>
      <c r="AK182" s="61" t="str">
        <f>IFERROR(O182/N182,"")</f>
        <v/>
      </c>
      <c r="AL182" s="61" t="str">
        <f>IFERROR(O182/L182,"")</f>
        <v/>
      </c>
      <c r="AM182" s="154"/>
      <c r="AN182" s="61" t="str">
        <f t="shared" si="49"/>
        <v/>
      </c>
      <c r="AO182" s="152"/>
      <c r="AP182" s="152"/>
      <c r="AQ182" s="61" t="str">
        <f>IF(OR(ISNUMBER(SEARCH("Advanced RTU",W182)),ISNUMBER(SEARCH("Demand Control",W182)),ISNUMBER(SEARCH("Thermostat",W182))),0,INDEX('M04-S01'!$N$18:$N$198,2*(ROWS($AQ$182:AQ182)-1)+1))</f>
        <v/>
      </c>
      <c r="AR182" s="412">
        <f>(IF(INDEX('M04-S01'!$AO$18:$AO$198,2*(ROWS($O$182:O182)-1)+1)=INDEX('M04-S01'!$AZ$18:$AZ$198,2*(ROWS($O$182:O182)-1)+1),0,(INDEX('M04-S01'!$AY$18:$AY$198,2*(ROWS($O$182:O182)-1)+1)-INDEX('M04-S01'!$AZ$18:$AZ$198,2*(ROWS($O$182:O182)-1)+1))))*INCENTCAPADJ</f>
        <v>0</v>
      </c>
    </row>
    <row r="183" spans="1:44" x14ac:dyDescent="0.25">
      <c r="A183" s="66">
        <f t="shared" si="50"/>
        <v>0</v>
      </c>
      <c r="B183" s="66" t="str">
        <f t="shared" ref="B183:B191" si="51">IF(C183="","",CONCATENATE(ROW(),"-",C183))</f>
        <v/>
      </c>
      <c r="C183" s="66" t="str">
        <f>IFERROR(IF(OR(P183&gt;0,O183&gt;0),INDEX(PMEHVAC[Measure '#],MATCH(W183,PMEHVAC[Measure Type],0)),""),"")</f>
        <v/>
      </c>
      <c r="D183" t="s">
        <v>1096</v>
      </c>
      <c r="E183" t="str">
        <f>IFERROR(INDEX(PMEHVAC[End Use Category],MATCH(W183,PMEHVAC[Measure Type],0)),"")</f>
        <v/>
      </c>
      <c r="F183" s="152"/>
      <c r="G183">
        <f>INDEX('M04-S01'!$AC$18:$AC$198,2*(ROWS($G$182:G183)-1)+1)</f>
        <v>0</v>
      </c>
      <c r="H183" s="61">
        <f>ROUND(INDEX('M04-S01'!$AF$18:$AF$200,2*(ROWS($H$182:H183)-1)+1),2)</f>
        <v>0</v>
      </c>
      <c r="I183" s="61">
        <f>ROUND(INDEX('M04-S01'!$AH$18:$AH$200,2*(ROWS($I$182:I183)-1)+1),2)</f>
        <v>0</v>
      </c>
      <c r="J183" s="61" t="str">
        <f>INDEX('M04-S01'!$AU$18:$AU$200,2*(ROWS($J$182:J183)-1)+1)</f>
        <v/>
      </c>
      <c r="K183" t="s">
        <v>119</v>
      </c>
      <c r="L183" s="156">
        <f>IF(ISNUMBER(SEARCH("Thermostat",INDEX('M04-S01'!$C$18:$C$198,2*(ROWS($L$182:L183)-1)+1))),
          INDEX('M04-S01'!$U$18:$U$198,2*(ROWS($L$182:L183)-1)+1),
          IF(ISNUMBER(SEARCH("Advanced RTU Controls",INDEX('M04-S01'!$C$18:$C$198,2*(ROWS($L$182:L183)-1)+1))),
                    ((INDEX('M04-S01'!$U$18:$U$198,2*(ROWS($L$182:L183)-1)+1))* (INDEX('M04-S01'!$Q$18:$Q$198,2*(ROWS($L$182:L183)-1)+1))) * 400 / 4000,
                    INDEX('M04-S01'!$U$18:$U$198,2*(ROWS($L$182:L183)-1)+1)
          )
)</f>
        <v>0</v>
      </c>
      <c r="M183" s="151" cm="1">
        <f t="array" ref="M183">IFERROR(IF(ISNUMBER(INDEX('M04-S01'!$AO$18:$AO$198,2*(ROWS($O$182:O183)-1)+1)),INDEX('M04-S01'!$AL$18:$AL$198,2*(ROWS($M$182:M183)-1)+1),0),"")</f>
        <v>0</v>
      </c>
      <c r="N183" s="189" cm="1">
        <f t="array" ref="N183">IFERROR(IF(ISNUMBER(INDEX('M04-S01'!$AO$18:$AO$198,2*(ROWS($O$182:O183)-1)+1)),INDEX('M04-S01'!$AV$18:$AV$198,2*(ROWS($N$182:N183)-1)+1),0),"")</f>
        <v>0</v>
      </c>
      <c r="O183" s="61">
        <f>IFERROR(IF(ISNUMBER(INDEX('M04-S01'!$AO$18:$AO$198,2*(ROWS($O$182:O183)-1)+1)),INDEX('M04-S01'!$AO$18:$AO$198,2*(ROWS($O$182:O183)-1)+1)*INCENTCAPADJ,0),"")</f>
        <v>0</v>
      </c>
      <c r="P183" s="152"/>
      <c r="Q183" s="193"/>
      <c r="R183" s="135"/>
      <c r="S183" s="157"/>
      <c r="T183" s="157"/>
      <c r="U183" s="151">
        <f>INDEX('M04-S04'!$B$16:$B$196,2*(ROWS($U$182:U183)-1)+1)</f>
        <v>2</v>
      </c>
      <c r="V183" s="385" t="str">
        <f>INDEX('M04-S01'!$I$18:$I$198,2*(ROWS($W$182:W183)-1)+1)</f>
        <v/>
      </c>
      <c r="W183" s="58" cm="1">
        <f t="array" ref="W183">INDEX('M04-S01'!$C$18:$C$198,2*(ROWS($W$182:W183)-1)+1)</f>
        <v>0</v>
      </c>
      <c r="X183" s="135"/>
      <c r="Y183">
        <f>INDEX('M04-S01'!$Y$18:$Y$198,2*(ROWS($Y$182:Y183)-1)+1)</f>
        <v>0</v>
      </c>
      <c r="Z183" s="135"/>
      <c r="AA183" s="135"/>
      <c r="AB183" s="135"/>
      <c r="AC183" s="464">
        <f>IF(ISNUMBER(SEARCH("Constant",V183)),INDEX('M04-S01'!$Q$18:$Q$198,2*(ROWS($AC$182:AC183)-1)+1)*(400/4000),INDEX('M04-S01'!$Q$18:$Q$198,2*(ROWS($AC$182:AC183)-1)+1))</f>
        <v>0</v>
      </c>
      <c r="AD183" s="58" t="str">
        <f>IF(ISNUMBER(SEARCH("Constant",V183)),"hp",INDEX('M04-S01'!$S$18:$S$198,2*(ROWS($AD$182:AD183)-1)+1))</f>
        <v>Tons</v>
      </c>
      <c r="AE183" s="152"/>
      <c r="AF183" s="152"/>
      <c r="AG183" s="152"/>
      <c r="AH183" s="152"/>
      <c r="AI183" s="152"/>
      <c r="AJ183" s="61" t="str">
        <f t="shared" ref="AJ183:AJ191" si="52">IFERROR(O183/M183,"")</f>
        <v/>
      </c>
      <c r="AK183" s="61" t="str">
        <f t="shared" ref="AK183:AK191" si="53">IFERROR(O183/N183,"")</f>
        <v/>
      </c>
      <c r="AL183" s="61" t="str">
        <f t="shared" ref="AL183:AL191" si="54">IFERROR(O183/L183,"")</f>
        <v/>
      </c>
      <c r="AM183" s="154"/>
      <c r="AN183" s="61" t="str">
        <f t="shared" ref="AN183:AN191" si="55">IFERROR(J183/M183/M02S02F35,"")</f>
        <v/>
      </c>
      <c r="AO183" s="152"/>
      <c r="AP183" s="152"/>
      <c r="AQ183" s="61" t="str">
        <f>IF(OR(ISNUMBER(SEARCH("Advanced RTU",W183)),ISNUMBER(SEARCH("Demand Control",W183)),ISNUMBER(SEARCH("Thermostat",W183))),0,INDEX('M04-S01'!$N$18:$N$198,2*(ROWS($AQ$182:AQ183)-1)+1))</f>
        <v/>
      </c>
      <c r="AR183" s="412">
        <f>(IF(INDEX('M04-S01'!$AO$18:$AO$198,2*(ROWS($O$182:O183)-1)+1)=INDEX('M04-S01'!$AZ$18:$AZ$198,2*(ROWS($O$182:O183)-1)+1),0,(INDEX('M04-S01'!$AY$18:$AY$198,2*(ROWS($O$182:O183)-1)+1)-INDEX('M04-S01'!$AZ$18:$AZ$198,2*(ROWS($O$182:O183)-1)+1))))*INCENTCAPADJ</f>
        <v>0</v>
      </c>
    </row>
    <row r="184" spans="1:44" x14ac:dyDescent="0.25">
      <c r="A184" s="66">
        <f t="shared" si="50"/>
        <v>0</v>
      </c>
      <c r="B184" s="66" t="str">
        <f t="shared" si="51"/>
        <v/>
      </c>
      <c r="C184" s="66" t="str">
        <f>IFERROR(IF(OR(P184&gt;0,O184&gt;0),INDEX(PMEHVAC[Measure '#],MATCH(W184,PMEHVAC[Measure Type],0)),""),"")</f>
        <v/>
      </c>
      <c r="D184" t="s">
        <v>1096</v>
      </c>
      <c r="E184" t="str">
        <f>IFERROR(INDEX(PMEHVAC[End Use Category],MATCH(W184,PMEHVAC[Measure Type],0)),"")</f>
        <v/>
      </c>
      <c r="F184" s="152"/>
      <c r="G184">
        <f>INDEX('M04-S01'!$AC$18:$AC$198,2*(ROWS($G$182:G184)-1)+1)</f>
        <v>0</v>
      </c>
      <c r="H184" s="61">
        <f>ROUND(INDEX('M04-S01'!$AF$18:$AF$200,2*(ROWS($H$182:H184)-1)+1),2)</f>
        <v>0</v>
      </c>
      <c r="I184" s="61">
        <f>ROUND(INDEX('M04-S01'!$AH$18:$AH$200,2*(ROWS($I$182:I184)-1)+1),2)</f>
        <v>0</v>
      </c>
      <c r="J184" s="61" t="str">
        <f>INDEX('M04-S01'!$AU$18:$AU$200,2*(ROWS($J$182:J184)-1)+1)</f>
        <v/>
      </c>
      <c r="K184" t="s">
        <v>119</v>
      </c>
      <c r="L184" s="156">
        <f>IF(ISNUMBER(SEARCH("Thermostat",INDEX('M04-S01'!$C$18:$C$198,2*(ROWS($L$182:L184)-1)+1))),
          INDEX('M04-S01'!$U$18:$U$198,2*(ROWS($L$182:L184)-1)+1),
          IF(ISNUMBER(SEARCH("Advanced RTU Controls",INDEX('M04-S01'!$C$18:$C$198,2*(ROWS($L$182:L184)-1)+1))),
                    ((INDEX('M04-S01'!$U$18:$U$198,2*(ROWS($L$182:L184)-1)+1))* (INDEX('M04-S01'!$Q$18:$Q$198,2*(ROWS($L$182:L184)-1)+1))) * 400 / 4000,
                    INDEX('M04-S01'!$U$18:$U$198,2*(ROWS($L$182:L184)-1)+1)
          )
)</f>
        <v>0</v>
      </c>
      <c r="M184" s="151" cm="1">
        <f t="array" ref="M184">IFERROR(IF(ISNUMBER(INDEX('M04-S01'!$AO$18:$AO$198,2*(ROWS($O$182:O184)-1)+1)),INDEX('M04-S01'!$AL$18:$AL$198,2*(ROWS($M$182:M184)-1)+1),0),"")</f>
        <v>0</v>
      </c>
      <c r="N184" s="189" cm="1">
        <f t="array" ref="N184">IFERROR(IF(ISNUMBER(INDEX('M04-S01'!$AO$18:$AO$198,2*(ROWS($O$182:O184)-1)+1)),INDEX('M04-S01'!$AV$18:$AV$198,2*(ROWS($N$182:N184)-1)+1),0),"")</f>
        <v>0</v>
      </c>
      <c r="O184" s="61">
        <f>IFERROR(IF(ISNUMBER(INDEX('M04-S01'!$AO$18:$AO$198,2*(ROWS($O$182:O184)-1)+1)),INDEX('M04-S01'!$AO$18:$AO$198,2*(ROWS($O$182:O184)-1)+1)*INCENTCAPADJ,0),"")</f>
        <v>0</v>
      </c>
      <c r="P184" s="152"/>
      <c r="Q184" s="193"/>
      <c r="R184" s="135"/>
      <c r="S184" s="157"/>
      <c r="T184" s="157"/>
      <c r="U184" s="151">
        <f>INDEX('M04-S04'!$B$16:$B$196,2*(ROWS($U$182:U184)-1)+1)</f>
        <v>3</v>
      </c>
      <c r="V184" s="385" t="str">
        <f>INDEX('M04-S01'!$I$18:$I$198,2*(ROWS($W$182:W184)-1)+1)</f>
        <v/>
      </c>
      <c r="W184" s="58" cm="1">
        <f t="array" ref="W184">INDEX('M04-S01'!$C$18:$C$198,2*(ROWS($W$182:W184)-1)+1)</f>
        <v>0</v>
      </c>
      <c r="X184" s="135"/>
      <c r="Y184">
        <f>INDEX('M04-S01'!$Y$18:$Y$198,2*(ROWS($Y$182:Y184)-1)+1)</f>
        <v>0</v>
      </c>
      <c r="Z184" s="135"/>
      <c r="AA184" s="135"/>
      <c r="AB184" s="135"/>
      <c r="AC184" s="464">
        <f>IF(ISNUMBER(SEARCH("Constant",V184)),INDEX('M04-S01'!$Q$18:$Q$198,2*(ROWS($AC$182:AC184)-1)+1)*(400/4000),INDEX('M04-S01'!$Q$18:$Q$198,2*(ROWS($AC$182:AC184)-1)+1))</f>
        <v>0</v>
      </c>
      <c r="AD184" s="58" t="str">
        <f>IF(ISNUMBER(SEARCH("Constant",V184)),"hp",INDEX('M04-S01'!$S$18:$S$198,2*(ROWS($AD$182:AD184)-1)+1))</f>
        <v>Tons</v>
      </c>
      <c r="AE184" s="152"/>
      <c r="AF184" s="152"/>
      <c r="AG184" s="152"/>
      <c r="AH184" s="152"/>
      <c r="AI184" s="152"/>
      <c r="AJ184" s="61" t="str">
        <f t="shared" si="52"/>
        <v/>
      </c>
      <c r="AK184" s="61" t="str">
        <f t="shared" si="53"/>
        <v/>
      </c>
      <c r="AL184" s="61" t="str">
        <f t="shared" si="54"/>
        <v/>
      </c>
      <c r="AM184" s="154"/>
      <c r="AN184" s="61" t="str">
        <f t="shared" si="55"/>
        <v/>
      </c>
      <c r="AO184" s="152"/>
      <c r="AP184" s="152"/>
      <c r="AQ184" s="61" t="str">
        <f>IF(OR(ISNUMBER(SEARCH("Advanced RTU",W184)),ISNUMBER(SEARCH("Demand Control",W184)),ISNUMBER(SEARCH("Thermostat",W184))),0,INDEX('M04-S01'!$N$18:$N$198,2*(ROWS($AQ$182:AQ184)-1)+1))</f>
        <v/>
      </c>
      <c r="AR184" s="412">
        <f>(IF(INDEX('M04-S01'!$AO$18:$AO$198,2*(ROWS($O$182:O184)-1)+1)=INDEX('M04-S01'!$AZ$18:$AZ$198,2*(ROWS($O$182:O184)-1)+1),0,(INDEX('M04-S01'!$AY$18:$AY$198,2*(ROWS($O$182:O184)-1)+1)-INDEX('M04-S01'!$AZ$18:$AZ$198,2*(ROWS($O$182:O184)-1)+1))))*INCENTCAPADJ</f>
        <v>0</v>
      </c>
    </row>
    <row r="185" spans="1:44" x14ac:dyDescent="0.25">
      <c r="A185" s="66">
        <f t="shared" si="50"/>
        <v>0</v>
      </c>
      <c r="B185" s="66" t="str">
        <f t="shared" si="51"/>
        <v/>
      </c>
      <c r="C185" s="66" t="str">
        <f>IFERROR(IF(OR(P185&gt;0,O185&gt;0),INDEX(PMEHVAC[Measure '#],MATCH(W185,PMEHVAC[Measure Type],0)),""),"")</f>
        <v/>
      </c>
      <c r="D185" t="s">
        <v>1096</v>
      </c>
      <c r="E185" t="str">
        <f>IFERROR(INDEX(PMEHVAC[End Use Category],MATCH(W185,PMEHVAC[Measure Type],0)),"")</f>
        <v/>
      </c>
      <c r="F185" s="152"/>
      <c r="G185">
        <f>INDEX('M04-S01'!$AC$18:$AC$198,2*(ROWS($G$182:G185)-1)+1)</f>
        <v>0</v>
      </c>
      <c r="H185" s="61">
        <f>ROUND(INDEX('M04-S01'!$AF$18:$AF$200,2*(ROWS($H$182:H185)-1)+1),2)</f>
        <v>0</v>
      </c>
      <c r="I185" s="61">
        <f>ROUND(INDEX('M04-S01'!$AH$18:$AH$200,2*(ROWS($I$182:I185)-1)+1),2)</f>
        <v>0</v>
      </c>
      <c r="J185" s="61" t="str">
        <f>INDEX('M04-S01'!$AU$18:$AU$200,2*(ROWS($J$182:J185)-1)+1)</f>
        <v/>
      </c>
      <c r="K185" t="s">
        <v>119</v>
      </c>
      <c r="L185" s="156">
        <f>IF(ISNUMBER(SEARCH("Thermostat",INDEX('M04-S01'!$C$18:$C$198,2*(ROWS($L$182:L185)-1)+1))),
          INDEX('M04-S01'!$U$18:$U$198,2*(ROWS($L$182:L185)-1)+1),
          IF(ISNUMBER(SEARCH("Advanced RTU Controls",INDEX('M04-S01'!$C$18:$C$198,2*(ROWS($L$182:L185)-1)+1))),
                    ((INDEX('M04-S01'!$U$18:$U$198,2*(ROWS($L$182:L185)-1)+1))* (INDEX('M04-S01'!$Q$18:$Q$198,2*(ROWS($L$182:L185)-1)+1))) * 400 / 4000,
                    INDEX('M04-S01'!$U$18:$U$198,2*(ROWS($L$182:L185)-1)+1)
          )
)</f>
        <v>0</v>
      </c>
      <c r="M185" s="151" cm="1">
        <f t="array" ref="M185">IFERROR(IF(ISNUMBER(INDEX('M04-S01'!$AO$18:$AO$198,2*(ROWS($O$182:O185)-1)+1)),INDEX('M04-S01'!$AL$18:$AL$198,2*(ROWS($M$182:M185)-1)+1),0),"")</f>
        <v>0</v>
      </c>
      <c r="N185" s="189" cm="1">
        <f t="array" ref="N185">IFERROR(IF(ISNUMBER(INDEX('M04-S01'!$AO$18:$AO$198,2*(ROWS($O$182:O185)-1)+1)),INDEX('M04-S01'!$AV$18:$AV$198,2*(ROWS($N$182:N185)-1)+1),0),"")</f>
        <v>0</v>
      </c>
      <c r="O185" s="61">
        <f>IFERROR(IF(ISNUMBER(INDEX('M04-S01'!$AO$18:$AO$198,2*(ROWS($O$182:O185)-1)+1)),INDEX('M04-S01'!$AO$18:$AO$198,2*(ROWS($O$182:O185)-1)+1)*INCENTCAPADJ,0),"")</f>
        <v>0</v>
      </c>
      <c r="P185" s="152"/>
      <c r="Q185" s="193"/>
      <c r="R185" s="135"/>
      <c r="S185" s="157"/>
      <c r="T185" s="157"/>
      <c r="U185" s="151">
        <f>INDEX('M04-S04'!$B$16:$B$196,2*(ROWS($U$182:U185)-1)+1)</f>
        <v>4</v>
      </c>
      <c r="V185" s="385" t="str">
        <f>INDEX('M04-S01'!$I$18:$I$198,2*(ROWS($W$182:W185)-1)+1)</f>
        <v/>
      </c>
      <c r="W185" s="58" cm="1">
        <f t="array" ref="W185">INDEX('M04-S01'!$C$18:$C$198,2*(ROWS($W$182:W185)-1)+1)</f>
        <v>0</v>
      </c>
      <c r="X185" s="135"/>
      <c r="Y185">
        <f>INDEX('M04-S01'!$Y$18:$Y$198,2*(ROWS($Y$182:Y185)-1)+1)</f>
        <v>0</v>
      </c>
      <c r="Z185" s="135"/>
      <c r="AA185" s="135"/>
      <c r="AB185" s="135"/>
      <c r="AC185" s="464">
        <f>IF(ISNUMBER(SEARCH("Constant",V185)),INDEX('M04-S01'!$Q$18:$Q$198,2*(ROWS($AC$182:AC185)-1)+1)*(400/4000),INDEX('M04-S01'!$Q$18:$Q$198,2*(ROWS($AC$182:AC185)-1)+1))</f>
        <v>0</v>
      </c>
      <c r="AD185" s="58" t="str">
        <f>IF(ISNUMBER(SEARCH("Constant",V185)),"hp",INDEX('M04-S01'!$S$18:$S$198,2*(ROWS($AD$182:AD185)-1)+1))</f>
        <v>Tons</v>
      </c>
      <c r="AE185" s="152"/>
      <c r="AF185" s="152"/>
      <c r="AG185" s="152"/>
      <c r="AH185" s="152"/>
      <c r="AI185" s="152"/>
      <c r="AJ185" s="61" t="str">
        <f t="shared" si="52"/>
        <v/>
      </c>
      <c r="AK185" s="61" t="str">
        <f t="shared" si="53"/>
        <v/>
      </c>
      <c r="AL185" s="61" t="str">
        <f t="shared" si="54"/>
        <v/>
      </c>
      <c r="AM185" s="154"/>
      <c r="AN185" s="61" t="str">
        <f t="shared" si="55"/>
        <v/>
      </c>
      <c r="AO185" s="152"/>
      <c r="AP185" s="152"/>
      <c r="AQ185" s="61" t="str">
        <f>IF(OR(ISNUMBER(SEARCH("Advanced RTU",W185)),ISNUMBER(SEARCH("Demand Control",W185)),ISNUMBER(SEARCH("Thermostat",W185))),0,INDEX('M04-S01'!$N$18:$N$198,2*(ROWS($AQ$182:AQ185)-1)+1))</f>
        <v/>
      </c>
      <c r="AR185" s="412">
        <f>(IF(INDEX('M04-S01'!$AO$18:$AO$198,2*(ROWS($O$182:O185)-1)+1)=INDEX('M04-S01'!$AZ$18:$AZ$198,2*(ROWS($O$182:O185)-1)+1),0,(INDEX('M04-S01'!$AY$18:$AY$198,2*(ROWS($O$182:O185)-1)+1)-INDEX('M04-S01'!$AZ$18:$AZ$198,2*(ROWS($O$182:O185)-1)+1))))*INCENTCAPADJ</f>
        <v>0</v>
      </c>
    </row>
    <row r="186" spans="1:44" x14ac:dyDescent="0.25">
      <c r="A186" s="66">
        <f t="shared" si="50"/>
        <v>0</v>
      </c>
      <c r="B186" s="66" t="str">
        <f t="shared" si="51"/>
        <v/>
      </c>
      <c r="C186" s="66" t="str">
        <f>IFERROR(IF(OR(P186&gt;0,O186&gt;0),INDEX(PMEHVAC[Measure '#],MATCH(W186,PMEHVAC[Measure Type],0)),""),"")</f>
        <v/>
      </c>
      <c r="D186" t="s">
        <v>1096</v>
      </c>
      <c r="E186" t="str">
        <f>IFERROR(INDEX(PMEHVAC[End Use Category],MATCH(W186,PMEHVAC[Measure Type],0)),"")</f>
        <v/>
      </c>
      <c r="F186" s="152"/>
      <c r="G186">
        <f>INDEX('M04-S01'!$AC$18:$AC$198,2*(ROWS($G$182:G186)-1)+1)</f>
        <v>0</v>
      </c>
      <c r="H186" s="61">
        <f>ROUND(INDEX('M04-S01'!$AF$18:$AF$200,2*(ROWS($H$182:H186)-1)+1),2)</f>
        <v>0</v>
      </c>
      <c r="I186" s="61">
        <f>ROUND(INDEX('M04-S01'!$AH$18:$AH$200,2*(ROWS($I$182:I186)-1)+1),2)</f>
        <v>0</v>
      </c>
      <c r="J186" s="61" t="str">
        <f>INDEX('M04-S01'!$AU$18:$AU$200,2*(ROWS($J$182:J186)-1)+1)</f>
        <v/>
      </c>
      <c r="K186" t="s">
        <v>119</v>
      </c>
      <c r="L186" s="156">
        <f>IF(ISNUMBER(SEARCH("Thermostat",INDEX('M04-S01'!$C$18:$C$198,2*(ROWS($L$182:L186)-1)+1))),
          INDEX('M04-S01'!$U$18:$U$198,2*(ROWS($L$182:L186)-1)+1),
          IF(ISNUMBER(SEARCH("Advanced RTU Controls",INDEX('M04-S01'!$C$18:$C$198,2*(ROWS($L$182:L186)-1)+1))),
                    ((INDEX('M04-S01'!$U$18:$U$198,2*(ROWS($L$182:L186)-1)+1))* (INDEX('M04-S01'!$Q$18:$Q$198,2*(ROWS($L$182:L186)-1)+1))) * 400 / 4000,
                    INDEX('M04-S01'!$U$18:$U$198,2*(ROWS($L$182:L186)-1)+1)
          )
)</f>
        <v>0</v>
      </c>
      <c r="M186" s="151" cm="1">
        <f t="array" ref="M186">IFERROR(IF(ISNUMBER(INDEX('M04-S01'!$AO$18:$AO$198,2*(ROWS($O$182:O186)-1)+1)),INDEX('M04-S01'!$AL$18:$AL$198,2*(ROWS($M$182:M186)-1)+1),0),"")</f>
        <v>0</v>
      </c>
      <c r="N186" s="189" cm="1">
        <f t="array" ref="N186">IFERROR(IF(ISNUMBER(INDEX('M04-S01'!$AO$18:$AO$198,2*(ROWS($O$182:O186)-1)+1)),INDEX('M04-S01'!$AV$18:$AV$198,2*(ROWS($N$182:N186)-1)+1),0),"")</f>
        <v>0</v>
      </c>
      <c r="O186" s="61">
        <f>IFERROR(IF(ISNUMBER(INDEX('M04-S01'!$AO$18:$AO$198,2*(ROWS($O$182:O186)-1)+1)),INDEX('M04-S01'!$AO$18:$AO$198,2*(ROWS($O$182:O186)-1)+1)*INCENTCAPADJ,0),"")</f>
        <v>0</v>
      </c>
      <c r="P186" s="152"/>
      <c r="Q186" s="193"/>
      <c r="R186" s="135"/>
      <c r="S186" s="157"/>
      <c r="T186" s="157"/>
      <c r="U186" s="151">
        <f>INDEX('M04-S04'!$B$16:$B$196,2*(ROWS($U$182:U186)-1)+1)</f>
        <v>5</v>
      </c>
      <c r="V186" s="385" t="str">
        <f>INDEX('M04-S01'!$I$18:$I$198,2*(ROWS($W$182:W186)-1)+1)</f>
        <v/>
      </c>
      <c r="W186" s="58" cm="1">
        <f t="array" ref="W186">INDEX('M04-S01'!$C$18:$C$198,2*(ROWS($W$182:W186)-1)+1)</f>
        <v>0</v>
      </c>
      <c r="X186" s="135"/>
      <c r="Y186">
        <f>INDEX('M04-S01'!$Y$18:$Y$198,2*(ROWS($Y$182:Y186)-1)+1)</f>
        <v>0</v>
      </c>
      <c r="Z186" s="135"/>
      <c r="AA186" s="135"/>
      <c r="AB186" s="135"/>
      <c r="AC186" s="464">
        <f>IF(ISNUMBER(SEARCH("Constant",V186)),INDEX('M04-S01'!$Q$18:$Q$198,2*(ROWS($AC$182:AC186)-1)+1)*(400/4000),INDEX('M04-S01'!$Q$18:$Q$198,2*(ROWS($AC$182:AC186)-1)+1))</f>
        <v>0</v>
      </c>
      <c r="AD186" s="58" t="str">
        <f>IF(ISNUMBER(SEARCH("Constant",V186)),"hp",INDEX('M04-S01'!$S$18:$S$198,2*(ROWS($AD$182:AD186)-1)+1))</f>
        <v>Tons</v>
      </c>
      <c r="AE186" s="152"/>
      <c r="AF186" s="152"/>
      <c r="AG186" s="152"/>
      <c r="AH186" s="152"/>
      <c r="AI186" s="152"/>
      <c r="AJ186" s="61" t="str">
        <f t="shared" si="52"/>
        <v/>
      </c>
      <c r="AK186" s="61" t="str">
        <f t="shared" si="53"/>
        <v/>
      </c>
      <c r="AL186" s="61" t="str">
        <f t="shared" si="54"/>
        <v/>
      </c>
      <c r="AM186" s="154"/>
      <c r="AN186" s="61" t="str">
        <f t="shared" si="55"/>
        <v/>
      </c>
      <c r="AO186" s="152"/>
      <c r="AP186" s="152"/>
      <c r="AQ186" s="61" t="str">
        <f>IF(OR(ISNUMBER(SEARCH("Advanced RTU",W186)),ISNUMBER(SEARCH("Demand Control",W186)),ISNUMBER(SEARCH("Thermostat",W186))),0,INDEX('M04-S01'!$N$18:$N$198,2*(ROWS($AQ$182:AQ186)-1)+1))</f>
        <v/>
      </c>
      <c r="AR186" s="412">
        <f>(IF(INDEX('M04-S01'!$AO$18:$AO$198,2*(ROWS($O$182:O186)-1)+1)=INDEX('M04-S01'!$AZ$18:$AZ$198,2*(ROWS($O$182:O186)-1)+1),0,(INDEX('M04-S01'!$AY$18:$AY$198,2*(ROWS($O$182:O186)-1)+1)-INDEX('M04-S01'!$AZ$18:$AZ$198,2*(ROWS($O$182:O186)-1)+1))))*INCENTCAPADJ</f>
        <v>0</v>
      </c>
    </row>
    <row r="187" spans="1:44" x14ac:dyDescent="0.25">
      <c r="A187" s="66">
        <f t="shared" si="50"/>
        <v>0</v>
      </c>
      <c r="B187" s="66" t="str">
        <f t="shared" si="51"/>
        <v/>
      </c>
      <c r="C187" s="66" t="str">
        <f>IFERROR(IF(OR(P187&gt;0,O187&gt;0),INDEX(PMEHVAC[Measure '#],MATCH(W187,PMEHVAC[Measure Type],0)),""),"")</f>
        <v/>
      </c>
      <c r="D187" t="s">
        <v>1096</v>
      </c>
      <c r="E187" t="str">
        <f>IFERROR(INDEX(PMEHVAC[End Use Category],MATCH(W187,PMEHVAC[Measure Type],0)),"")</f>
        <v/>
      </c>
      <c r="F187" s="152"/>
      <c r="G187">
        <f>INDEX('M04-S01'!$AC$18:$AC$198,2*(ROWS($G$182:G187)-1)+1)</f>
        <v>0</v>
      </c>
      <c r="H187" s="61">
        <f>ROUND(INDEX('M04-S01'!$AF$18:$AF$200,2*(ROWS($H$182:H187)-1)+1),2)</f>
        <v>0</v>
      </c>
      <c r="I187" s="61">
        <f>ROUND(INDEX('M04-S01'!$AH$18:$AH$200,2*(ROWS($I$182:I187)-1)+1),2)</f>
        <v>0</v>
      </c>
      <c r="J187" s="61" t="str">
        <f>INDEX('M04-S01'!$AU$18:$AU$200,2*(ROWS($J$182:J187)-1)+1)</f>
        <v/>
      </c>
      <c r="K187" t="s">
        <v>119</v>
      </c>
      <c r="L187" s="156">
        <f>IF(ISNUMBER(SEARCH("Thermostat",INDEX('M04-S01'!$C$18:$C$198,2*(ROWS($L$182:L187)-1)+1))),
          INDEX('M04-S01'!$U$18:$U$198,2*(ROWS($L$182:L187)-1)+1),
          IF(ISNUMBER(SEARCH("Advanced RTU Controls",INDEX('M04-S01'!$C$18:$C$198,2*(ROWS($L$182:L187)-1)+1))),
                    ((INDEX('M04-S01'!$U$18:$U$198,2*(ROWS($L$182:L187)-1)+1))* (INDEX('M04-S01'!$Q$18:$Q$198,2*(ROWS($L$182:L187)-1)+1))) * 400 / 4000,
                    INDEX('M04-S01'!$U$18:$U$198,2*(ROWS($L$182:L187)-1)+1)
          )
)</f>
        <v>0</v>
      </c>
      <c r="M187" s="151" cm="1">
        <f t="array" ref="M187">IFERROR(IF(ISNUMBER(INDEX('M04-S01'!$AO$18:$AO$198,2*(ROWS($O$182:O187)-1)+1)),INDEX('M04-S01'!$AL$18:$AL$198,2*(ROWS($M$182:M187)-1)+1),0),"")</f>
        <v>0</v>
      </c>
      <c r="N187" s="189" cm="1">
        <f t="array" ref="N187">IFERROR(IF(ISNUMBER(INDEX('M04-S01'!$AO$18:$AO$198,2*(ROWS($O$182:O187)-1)+1)),INDEX('M04-S01'!$AV$18:$AV$198,2*(ROWS($N$182:N187)-1)+1),0),"")</f>
        <v>0</v>
      </c>
      <c r="O187" s="61">
        <f>IFERROR(IF(ISNUMBER(INDEX('M04-S01'!$AO$18:$AO$198,2*(ROWS($O$182:O187)-1)+1)),INDEX('M04-S01'!$AO$18:$AO$198,2*(ROWS($O$182:O187)-1)+1)*INCENTCAPADJ,0),"")</f>
        <v>0</v>
      </c>
      <c r="P187" s="152"/>
      <c r="Q187" s="193"/>
      <c r="R187" s="135"/>
      <c r="S187" s="157"/>
      <c r="T187" s="157"/>
      <c r="U187" s="151">
        <f>INDEX('M04-S04'!$B$16:$B$196,2*(ROWS($U$182:U187)-1)+1)</f>
        <v>6</v>
      </c>
      <c r="V187" s="385" t="str">
        <f>INDEX('M04-S01'!$I$18:$I$198,2*(ROWS($W$182:W187)-1)+1)</f>
        <v/>
      </c>
      <c r="W187" s="58" cm="1">
        <f t="array" ref="W187">INDEX('M04-S01'!$C$18:$C$198,2*(ROWS($W$182:W187)-1)+1)</f>
        <v>0</v>
      </c>
      <c r="X187" s="135"/>
      <c r="Y187">
        <f>INDEX('M04-S01'!$Y$18:$Y$198,2*(ROWS($Y$182:Y187)-1)+1)</f>
        <v>0</v>
      </c>
      <c r="Z187" s="135"/>
      <c r="AA187" s="135"/>
      <c r="AB187" s="135"/>
      <c r="AC187" s="464">
        <f>IF(ISNUMBER(SEARCH("Constant",V187)),INDEX('M04-S01'!$Q$18:$Q$198,2*(ROWS($AC$182:AC187)-1)+1)*(400/4000),INDEX('M04-S01'!$Q$18:$Q$198,2*(ROWS($AC$182:AC187)-1)+1))</f>
        <v>0</v>
      </c>
      <c r="AD187" s="58" t="str">
        <f>IF(ISNUMBER(SEARCH("Constant",V187)),"hp",INDEX('M04-S01'!$S$18:$S$198,2*(ROWS($AD$182:AD187)-1)+1))</f>
        <v>Tons</v>
      </c>
      <c r="AE187" s="152"/>
      <c r="AF187" s="152"/>
      <c r="AG187" s="152"/>
      <c r="AH187" s="152"/>
      <c r="AI187" s="152"/>
      <c r="AJ187" s="61" t="str">
        <f t="shared" si="52"/>
        <v/>
      </c>
      <c r="AK187" s="61" t="str">
        <f t="shared" si="53"/>
        <v/>
      </c>
      <c r="AL187" s="61" t="str">
        <f t="shared" si="54"/>
        <v/>
      </c>
      <c r="AM187" s="154"/>
      <c r="AN187" s="61" t="str">
        <f t="shared" si="55"/>
        <v/>
      </c>
      <c r="AO187" s="152"/>
      <c r="AP187" s="152"/>
      <c r="AQ187" s="61" t="str">
        <f>IF(OR(ISNUMBER(SEARCH("Advanced RTU",W187)),ISNUMBER(SEARCH("Demand Control",W187)),ISNUMBER(SEARCH("Thermostat",W187))),0,INDEX('M04-S01'!$N$18:$N$198,2*(ROWS($AQ$182:AQ187)-1)+1))</f>
        <v/>
      </c>
      <c r="AR187" s="412">
        <f>(IF(INDEX('M04-S01'!$AO$18:$AO$198,2*(ROWS($O$182:O187)-1)+1)=INDEX('M04-S01'!$AZ$18:$AZ$198,2*(ROWS($O$182:O187)-1)+1),0,(INDEX('M04-S01'!$AY$18:$AY$198,2*(ROWS($O$182:O187)-1)+1)-INDEX('M04-S01'!$AZ$18:$AZ$198,2*(ROWS($O$182:O187)-1)+1))))*INCENTCAPADJ</f>
        <v>0</v>
      </c>
    </row>
    <row r="188" spans="1:44" x14ac:dyDescent="0.25">
      <c r="A188" s="66">
        <f t="shared" si="50"/>
        <v>0</v>
      </c>
      <c r="B188" s="66" t="str">
        <f t="shared" si="51"/>
        <v/>
      </c>
      <c r="C188" s="66" t="str">
        <f>IFERROR(IF(OR(P188&gt;0,O188&gt;0),INDEX(PMEHVAC[Measure '#],MATCH(W188,PMEHVAC[Measure Type],0)),""),"")</f>
        <v/>
      </c>
      <c r="D188" t="s">
        <v>1096</v>
      </c>
      <c r="E188" t="str">
        <f>IFERROR(INDEX(PMEHVAC[End Use Category],MATCH(W188,PMEHVAC[Measure Type],0)),"")</f>
        <v/>
      </c>
      <c r="F188" s="152"/>
      <c r="G188">
        <f>INDEX('M04-S01'!$AC$18:$AC$198,2*(ROWS($G$182:G188)-1)+1)</f>
        <v>0</v>
      </c>
      <c r="H188" s="61">
        <f>ROUND(INDEX('M04-S01'!$AF$18:$AF$200,2*(ROWS($H$182:H188)-1)+1),2)</f>
        <v>0</v>
      </c>
      <c r="I188" s="61">
        <f>ROUND(INDEX('M04-S01'!$AH$18:$AH$200,2*(ROWS($I$182:I188)-1)+1),2)</f>
        <v>0</v>
      </c>
      <c r="J188" s="61" t="str">
        <f>INDEX('M04-S01'!$AU$18:$AU$200,2*(ROWS($J$182:J188)-1)+1)</f>
        <v/>
      </c>
      <c r="K188" t="s">
        <v>119</v>
      </c>
      <c r="L188" s="156">
        <f>IF(ISNUMBER(SEARCH("Thermostat",INDEX('M04-S01'!$C$18:$C$198,2*(ROWS($L$182:L188)-1)+1))),
          INDEX('M04-S01'!$U$18:$U$198,2*(ROWS($L$182:L188)-1)+1),
          IF(ISNUMBER(SEARCH("Advanced RTU Controls",INDEX('M04-S01'!$C$18:$C$198,2*(ROWS($L$182:L188)-1)+1))),
                    ((INDEX('M04-S01'!$U$18:$U$198,2*(ROWS($L$182:L188)-1)+1))* (INDEX('M04-S01'!$Q$18:$Q$198,2*(ROWS($L$182:L188)-1)+1))) * 400 / 4000,
                    INDEX('M04-S01'!$U$18:$U$198,2*(ROWS($L$182:L188)-1)+1)
          )
)</f>
        <v>0</v>
      </c>
      <c r="M188" s="151" cm="1">
        <f t="array" ref="M188">IFERROR(IF(ISNUMBER(INDEX('M04-S01'!$AO$18:$AO$198,2*(ROWS($O$182:O188)-1)+1)),INDEX('M04-S01'!$AL$18:$AL$198,2*(ROWS($M$182:M188)-1)+1),0),"")</f>
        <v>0</v>
      </c>
      <c r="N188" s="189" cm="1">
        <f t="array" ref="N188">IFERROR(IF(ISNUMBER(INDEX('M04-S01'!$AO$18:$AO$198,2*(ROWS($O$182:O188)-1)+1)),INDEX('M04-S01'!$AV$18:$AV$198,2*(ROWS($N$182:N188)-1)+1),0),"")</f>
        <v>0</v>
      </c>
      <c r="O188" s="61">
        <f>IFERROR(IF(ISNUMBER(INDEX('M04-S01'!$AO$18:$AO$198,2*(ROWS($O$182:O188)-1)+1)),INDEX('M04-S01'!$AO$18:$AO$198,2*(ROWS($O$182:O188)-1)+1)*INCENTCAPADJ,0),"")</f>
        <v>0</v>
      </c>
      <c r="P188" s="152"/>
      <c r="Q188" s="193"/>
      <c r="R188" s="135"/>
      <c r="S188" s="157"/>
      <c r="T188" s="157"/>
      <c r="U188" s="151">
        <f>INDEX('M04-S04'!$B$16:$B$196,2*(ROWS($U$182:U188)-1)+1)</f>
        <v>7</v>
      </c>
      <c r="V188" s="385" t="str">
        <f>INDEX('M04-S01'!$I$18:$I$198,2*(ROWS($W$182:W188)-1)+1)</f>
        <v/>
      </c>
      <c r="W188" s="58" cm="1">
        <f t="array" ref="W188">INDEX('M04-S01'!$C$18:$C$198,2*(ROWS($W$182:W188)-1)+1)</f>
        <v>0</v>
      </c>
      <c r="X188" s="135"/>
      <c r="Y188">
        <f>INDEX('M04-S01'!$Y$18:$Y$198,2*(ROWS($Y$182:Y188)-1)+1)</f>
        <v>0</v>
      </c>
      <c r="Z188" s="135"/>
      <c r="AA188" s="135"/>
      <c r="AB188" s="135"/>
      <c r="AC188" s="464">
        <f>IF(ISNUMBER(SEARCH("Constant",V188)),INDEX('M04-S01'!$Q$18:$Q$198,2*(ROWS($AC$182:AC188)-1)+1)*(400/4000),INDEX('M04-S01'!$Q$18:$Q$198,2*(ROWS($AC$182:AC188)-1)+1))</f>
        <v>0</v>
      </c>
      <c r="AD188" s="58" t="str">
        <f>IF(ISNUMBER(SEARCH("Constant",V188)),"hp",INDEX('M04-S01'!$S$18:$S$198,2*(ROWS($AD$182:AD188)-1)+1))</f>
        <v>Tons</v>
      </c>
      <c r="AE188" s="152"/>
      <c r="AF188" s="152"/>
      <c r="AG188" s="152"/>
      <c r="AH188" s="152"/>
      <c r="AI188" s="152"/>
      <c r="AJ188" s="61" t="str">
        <f t="shared" si="52"/>
        <v/>
      </c>
      <c r="AK188" s="61" t="str">
        <f t="shared" si="53"/>
        <v/>
      </c>
      <c r="AL188" s="61" t="str">
        <f t="shared" si="54"/>
        <v/>
      </c>
      <c r="AM188" s="154"/>
      <c r="AN188" s="61" t="str">
        <f t="shared" si="55"/>
        <v/>
      </c>
      <c r="AO188" s="152"/>
      <c r="AP188" s="152"/>
      <c r="AQ188" s="61" t="str">
        <f>IF(OR(ISNUMBER(SEARCH("Advanced RTU",W188)),ISNUMBER(SEARCH("Demand Control",W188)),ISNUMBER(SEARCH("Thermostat",W188))),0,INDEX('M04-S01'!$N$18:$N$198,2*(ROWS($AQ$182:AQ188)-1)+1))</f>
        <v/>
      </c>
      <c r="AR188" s="412">
        <f>(IF(INDEX('M04-S01'!$AO$18:$AO$198,2*(ROWS($O$182:O188)-1)+1)=INDEX('M04-S01'!$AZ$18:$AZ$198,2*(ROWS($O$182:O188)-1)+1),0,(INDEX('M04-S01'!$AY$18:$AY$198,2*(ROWS($O$182:O188)-1)+1)-INDEX('M04-S01'!$AZ$18:$AZ$198,2*(ROWS($O$182:O188)-1)+1))))*INCENTCAPADJ</f>
        <v>0</v>
      </c>
    </row>
    <row r="189" spans="1:44" x14ac:dyDescent="0.25">
      <c r="A189" s="66">
        <f t="shared" si="50"/>
        <v>0</v>
      </c>
      <c r="B189" s="66" t="str">
        <f t="shared" si="51"/>
        <v/>
      </c>
      <c r="C189" s="66" t="str">
        <f>IFERROR(IF(OR(P189&gt;0,O189&gt;0),INDEX(PMEHVAC[Measure '#],MATCH(W189,PMEHVAC[Measure Type],0)),""),"")</f>
        <v/>
      </c>
      <c r="D189" t="s">
        <v>1096</v>
      </c>
      <c r="E189" t="str">
        <f>IFERROR(INDEX(PMEHVAC[End Use Category],MATCH(W189,PMEHVAC[Measure Type],0)),"")</f>
        <v/>
      </c>
      <c r="F189" s="152"/>
      <c r="G189">
        <f>INDEX('M04-S01'!$AC$18:$AC$198,2*(ROWS($G$182:G189)-1)+1)</f>
        <v>0</v>
      </c>
      <c r="H189" s="61">
        <f>ROUND(INDEX('M04-S01'!$AF$18:$AF$200,2*(ROWS($H$182:H189)-1)+1),2)</f>
        <v>0</v>
      </c>
      <c r="I189" s="61">
        <f>ROUND(INDEX('M04-S01'!$AH$18:$AH$200,2*(ROWS($I$182:I189)-1)+1),2)</f>
        <v>0</v>
      </c>
      <c r="J189" s="61" t="str">
        <f>INDEX('M04-S01'!$AU$18:$AU$200,2*(ROWS($J$182:J189)-1)+1)</f>
        <v/>
      </c>
      <c r="K189" t="s">
        <v>119</v>
      </c>
      <c r="L189" s="156">
        <f>IF(ISNUMBER(SEARCH("Thermostat",INDEX('M04-S01'!$C$18:$C$198,2*(ROWS($L$182:L189)-1)+1))),
          INDEX('M04-S01'!$U$18:$U$198,2*(ROWS($L$182:L189)-1)+1),
          IF(ISNUMBER(SEARCH("Advanced RTU Controls",INDEX('M04-S01'!$C$18:$C$198,2*(ROWS($L$182:L189)-1)+1))),
                    ((INDEX('M04-S01'!$U$18:$U$198,2*(ROWS($L$182:L189)-1)+1))* (INDEX('M04-S01'!$Q$18:$Q$198,2*(ROWS($L$182:L189)-1)+1))) * 400 / 4000,
                    INDEX('M04-S01'!$U$18:$U$198,2*(ROWS($L$182:L189)-1)+1)
          )
)</f>
        <v>0</v>
      </c>
      <c r="M189" s="151" cm="1">
        <f t="array" ref="M189">IFERROR(IF(ISNUMBER(INDEX('M04-S01'!$AO$18:$AO$198,2*(ROWS($O$182:O189)-1)+1)),INDEX('M04-S01'!$AL$18:$AL$198,2*(ROWS($M$182:M189)-1)+1),0),"")</f>
        <v>0</v>
      </c>
      <c r="N189" s="189" cm="1">
        <f t="array" ref="N189">IFERROR(IF(ISNUMBER(INDEX('M04-S01'!$AO$18:$AO$198,2*(ROWS($O$182:O189)-1)+1)),INDEX('M04-S01'!$AV$18:$AV$198,2*(ROWS($N$182:N189)-1)+1),0),"")</f>
        <v>0</v>
      </c>
      <c r="O189" s="61">
        <f>IFERROR(IF(ISNUMBER(INDEX('M04-S01'!$AO$18:$AO$198,2*(ROWS($O$182:O189)-1)+1)),INDEX('M04-S01'!$AO$18:$AO$198,2*(ROWS($O$182:O189)-1)+1)*INCENTCAPADJ,0),"")</f>
        <v>0</v>
      </c>
      <c r="P189" s="152"/>
      <c r="Q189" s="193"/>
      <c r="R189" s="135"/>
      <c r="S189" s="157"/>
      <c r="T189" s="157"/>
      <c r="U189" s="151">
        <f>INDEX('M04-S04'!$B$16:$B$196,2*(ROWS($U$182:U189)-1)+1)</f>
        <v>8</v>
      </c>
      <c r="V189" s="385" t="str">
        <f>INDEX('M04-S01'!$I$18:$I$198,2*(ROWS($W$182:W189)-1)+1)</f>
        <v/>
      </c>
      <c r="W189" s="58" cm="1">
        <f t="array" ref="W189">INDEX('M04-S01'!$C$18:$C$198,2*(ROWS($W$182:W189)-1)+1)</f>
        <v>0</v>
      </c>
      <c r="X189" s="135"/>
      <c r="Y189">
        <f>INDEX('M04-S01'!$Y$18:$Y$198,2*(ROWS($Y$182:Y189)-1)+1)</f>
        <v>0</v>
      </c>
      <c r="Z189" s="135"/>
      <c r="AA189" s="135"/>
      <c r="AB189" s="135"/>
      <c r="AC189" s="464">
        <f>IF(ISNUMBER(SEARCH("Constant",V189)),INDEX('M04-S01'!$Q$18:$Q$198,2*(ROWS($AC$182:AC189)-1)+1)*(400/4000),INDEX('M04-S01'!$Q$18:$Q$198,2*(ROWS($AC$182:AC189)-1)+1))</f>
        <v>0</v>
      </c>
      <c r="AD189" s="58" t="str">
        <f>IF(ISNUMBER(SEARCH("Constant",V189)),"hp",INDEX('M04-S01'!$S$18:$S$198,2*(ROWS($AD$182:AD189)-1)+1))</f>
        <v>Tons</v>
      </c>
      <c r="AE189" s="152"/>
      <c r="AF189" s="152"/>
      <c r="AG189" s="152"/>
      <c r="AH189" s="152"/>
      <c r="AI189" s="152"/>
      <c r="AJ189" s="61" t="str">
        <f t="shared" si="52"/>
        <v/>
      </c>
      <c r="AK189" s="61" t="str">
        <f t="shared" si="53"/>
        <v/>
      </c>
      <c r="AL189" s="61" t="str">
        <f t="shared" si="54"/>
        <v/>
      </c>
      <c r="AM189" s="154"/>
      <c r="AN189" s="61" t="str">
        <f t="shared" si="55"/>
        <v/>
      </c>
      <c r="AO189" s="152"/>
      <c r="AP189" s="152"/>
      <c r="AQ189" s="61" t="str">
        <f>IF(OR(ISNUMBER(SEARCH("Advanced RTU",W189)),ISNUMBER(SEARCH("Demand Control",W189)),ISNUMBER(SEARCH("Thermostat",W189))),0,INDEX('M04-S01'!$N$18:$N$198,2*(ROWS($AQ$182:AQ189)-1)+1))</f>
        <v/>
      </c>
      <c r="AR189" s="412">
        <f>(IF(INDEX('M04-S01'!$AO$18:$AO$198,2*(ROWS($O$182:O189)-1)+1)=INDEX('M04-S01'!$AZ$18:$AZ$198,2*(ROWS($O$182:O189)-1)+1),0,(INDEX('M04-S01'!$AY$18:$AY$198,2*(ROWS($O$182:O189)-1)+1)-INDEX('M04-S01'!$AZ$18:$AZ$198,2*(ROWS($O$182:O189)-1)+1))))*INCENTCAPADJ</f>
        <v>0</v>
      </c>
    </row>
    <row r="190" spans="1:44" x14ac:dyDescent="0.25">
      <c r="A190" s="66">
        <f t="shared" si="50"/>
        <v>0</v>
      </c>
      <c r="B190" s="66" t="str">
        <f t="shared" si="51"/>
        <v/>
      </c>
      <c r="C190" s="66" t="str">
        <f>IFERROR(IF(OR(P190&gt;0,O190&gt;0),INDEX(PMEHVAC[Measure '#],MATCH(W190,PMEHVAC[Measure Type],0)),""),"")</f>
        <v/>
      </c>
      <c r="D190" t="s">
        <v>1096</v>
      </c>
      <c r="E190" t="str">
        <f>IFERROR(INDEX(PMEHVAC[End Use Category],MATCH(W190,PMEHVAC[Measure Type],0)),"")</f>
        <v/>
      </c>
      <c r="F190" s="152"/>
      <c r="G190">
        <f>INDEX('M04-S01'!$AC$18:$AC$198,2*(ROWS($G$182:G190)-1)+1)</f>
        <v>0</v>
      </c>
      <c r="H190" s="61">
        <f>ROUND(INDEX('M04-S01'!$AF$18:$AF$200,2*(ROWS($H$182:H190)-1)+1),2)</f>
        <v>0</v>
      </c>
      <c r="I190" s="61">
        <f>ROUND(INDEX('M04-S01'!$AH$18:$AH$200,2*(ROWS($I$182:I190)-1)+1),2)</f>
        <v>0</v>
      </c>
      <c r="J190" s="61" t="str">
        <f>INDEX('M04-S01'!$AU$18:$AU$200,2*(ROWS($J$182:J190)-1)+1)</f>
        <v/>
      </c>
      <c r="K190" t="s">
        <v>119</v>
      </c>
      <c r="L190" s="156">
        <f>IF(ISNUMBER(SEARCH("Thermostat",INDEX('M04-S01'!$C$18:$C$198,2*(ROWS($L$182:L190)-1)+1))),
          INDEX('M04-S01'!$U$18:$U$198,2*(ROWS($L$182:L190)-1)+1),
          IF(ISNUMBER(SEARCH("Advanced RTU Controls",INDEX('M04-S01'!$C$18:$C$198,2*(ROWS($L$182:L190)-1)+1))),
                    ((INDEX('M04-S01'!$U$18:$U$198,2*(ROWS($L$182:L190)-1)+1))* (INDEX('M04-S01'!$Q$18:$Q$198,2*(ROWS($L$182:L190)-1)+1))) * 400 / 4000,
                    INDEX('M04-S01'!$U$18:$U$198,2*(ROWS($L$182:L190)-1)+1)
          )
)</f>
        <v>0</v>
      </c>
      <c r="M190" s="151" cm="1">
        <f t="array" ref="M190">IFERROR(IF(ISNUMBER(INDEX('M04-S01'!$AO$18:$AO$198,2*(ROWS($O$182:O190)-1)+1)),INDEX('M04-S01'!$AL$18:$AL$198,2*(ROWS($M$182:M190)-1)+1),0),"")</f>
        <v>0</v>
      </c>
      <c r="N190" s="189" cm="1">
        <f t="array" ref="N190">IFERROR(IF(ISNUMBER(INDEX('M04-S01'!$AO$18:$AO$198,2*(ROWS($O$182:O190)-1)+1)),INDEX('M04-S01'!$AV$18:$AV$198,2*(ROWS($N$182:N190)-1)+1),0),"")</f>
        <v>0</v>
      </c>
      <c r="O190" s="61">
        <f>IFERROR(IF(ISNUMBER(INDEX('M04-S01'!$AO$18:$AO$198,2*(ROWS($O$182:O190)-1)+1)),INDEX('M04-S01'!$AO$18:$AO$198,2*(ROWS($O$182:O190)-1)+1)*INCENTCAPADJ,0),"")</f>
        <v>0</v>
      </c>
      <c r="P190" s="152"/>
      <c r="Q190" s="193"/>
      <c r="R190" s="135"/>
      <c r="S190" s="157"/>
      <c r="T190" s="157"/>
      <c r="U190" s="151">
        <f>INDEX('M04-S04'!$B$16:$B$196,2*(ROWS($U$182:U190)-1)+1)</f>
        <v>9</v>
      </c>
      <c r="V190" s="385" t="str">
        <f>INDEX('M04-S01'!$I$18:$I$198,2*(ROWS($W$182:W190)-1)+1)</f>
        <v/>
      </c>
      <c r="W190" s="58" cm="1">
        <f t="array" ref="W190">INDEX('M04-S01'!$C$18:$C$198,2*(ROWS($W$182:W190)-1)+1)</f>
        <v>0</v>
      </c>
      <c r="X190" s="135"/>
      <c r="Y190">
        <f>INDEX('M04-S01'!$Y$18:$Y$198,2*(ROWS($Y$182:Y190)-1)+1)</f>
        <v>0</v>
      </c>
      <c r="Z190" s="135"/>
      <c r="AA190" s="135"/>
      <c r="AB190" s="135"/>
      <c r="AC190" s="464">
        <f>IF(ISNUMBER(SEARCH("Constant",V190)),INDEX('M04-S01'!$Q$18:$Q$198,2*(ROWS($AC$182:AC190)-1)+1)*(400/4000),INDEX('M04-S01'!$Q$18:$Q$198,2*(ROWS($AC$182:AC190)-1)+1))</f>
        <v>0</v>
      </c>
      <c r="AD190" s="58" t="str">
        <f>IF(ISNUMBER(SEARCH("Constant",V190)),"hp",INDEX('M04-S01'!$S$18:$S$198,2*(ROWS($AD$182:AD190)-1)+1))</f>
        <v>Tons</v>
      </c>
      <c r="AE190" s="152"/>
      <c r="AF190" s="152"/>
      <c r="AG190" s="152"/>
      <c r="AH190" s="152"/>
      <c r="AI190" s="152"/>
      <c r="AJ190" s="61" t="str">
        <f t="shared" si="52"/>
        <v/>
      </c>
      <c r="AK190" s="61" t="str">
        <f t="shared" si="53"/>
        <v/>
      </c>
      <c r="AL190" s="61" t="str">
        <f t="shared" si="54"/>
        <v/>
      </c>
      <c r="AM190" s="154"/>
      <c r="AN190" s="61" t="str">
        <f t="shared" si="55"/>
        <v/>
      </c>
      <c r="AO190" s="152"/>
      <c r="AP190" s="152"/>
      <c r="AQ190" s="61" t="str">
        <f>IF(OR(ISNUMBER(SEARCH("Advanced RTU",W190)),ISNUMBER(SEARCH("Demand Control",W190)),ISNUMBER(SEARCH("Thermostat",W190))),0,INDEX('M04-S01'!$N$18:$N$198,2*(ROWS($AQ$182:AQ190)-1)+1))</f>
        <v/>
      </c>
      <c r="AR190" s="412">
        <f>(IF(INDEX('M04-S01'!$AO$18:$AO$198,2*(ROWS($O$182:O190)-1)+1)=INDEX('M04-S01'!$AZ$18:$AZ$198,2*(ROWS($O$182:O190)-1)+1),0,(INDEX('M04-S01'!$AY$18:$AY$198,2*(ROWS($O$182:O190)-1)+1)-INDEX('M04-S01'!$AZ$18:$AZ$198,2*(ROWS($O$182:O190)-1)+1))))*INCENTCAPADJ</f>
        <v>0</v>
      </c>
    </row>
    <row r="191" spans="1:44" x14ac:dyDescent="0.25">
      <c r="A191" s="66">
        <f t="shared" si="50"/>
        <v>0</v>
      </c>
      <c r="B191" s="66" t="str">
        <f t="shared" si="51"/>
        <v/>
      </c>
      <c r="C191" s="66" t="str">
        <f>IFERROR(IF(OR(P191&gt;0,O191&gt;0),INDEX(PMEHVAC[Measure '#],MATCH(W191,PMEHVAC[Measure Type],0)),""),"")</f>
        <v/>
      </c>
      <c r="D191" t="s">
        <v>1096</v>
      </c>
      <c r="E191" t="str">
        <f>IFERROR(INDEX(PMEHVAC[End Use Category],MATCH(W191,PMEHVAC[Measure Type],0)),"")</f>
        <v/>
      </c>
      <c r="F191" s="152"/>
      <c r="G191">
        <f>INDEX('M04-S01'!$AC$18:$AC$198,2*(ROWS($G$182:G191)-1)+1)</f>
        <v>0</v>
      </c>
      <c r="H191" s="61">
        <f>ROUND(INDEX('M04-S01'!$AF$18:$AF$200,2*(ROWS($H$182:H191)-1)+1),2)</f>
        <v>0</v>
      </c>
      <c r="I191" s="61">
        <f>ROUND(INDEX('M04-S01'!$AH$18:$AH$200,2*(ROWS($I$182:I191)-1)+1),2)</f>
        <v>0</v>
      </c>
      <c r="J191" s="61" t="str">
        <f>INDEX('M04-S01'!$AU$18:$AU$200,2*(ROWS($J$182:J191)-1)+1)</f>
        <v/>
      </c>
      <c r="K191" t="s">
        <v>119</v>
      </c>
      <c r="L191" s="156">
        <f>IF(ISNUMBER(SEARCH("Thermostat",INDEX('M04-S01'!$C$18:$C$198,2*(ROWS($L$182:L191)-1)+1))),
          INDEX('M04-S01'!$U$18:$U$198,2*(ROWS($L$182:L191)-1)+1),
          IF(ISNUMBER(SEARCH("Advanced RTU Controls",INDEX('M04-S01'!$C$18:$C$198,2*(ROWS($L$182:L191)-1)+1))),
                    ((INDEX('M04-S01'!$U$18:$U$198,2*(ROWS($L$182:L191)-1)+1))* (INDEX('M04-S01'!$Q$18:$Q$198,2*(ROWS($L$182:L191)-1)+1))) * 400 / 4000,
                    INDEX('M04-S01'!$U$18:$U$198,2*(ROWS($L$182:L191)-1)+1)
          )
)</f>
        <v>0</v>
      </c>
      <c r="M191" s="151" cm="1">
        <f t="array" ref="M191">IFERROR(IF(ISNUMBER(INDEX('M04-S01'!$AO$18:$AO$198,2*(ROWS($O$182:O191)-1)+1)),INDEX('M04-S01'!$AL$18:$AL$198,2*(ROWS($M$182:M191)-1)+1),0),"")</f>
        <v>0</v>
      </c>
      <c r="N191" s="189" cm="1">
        <f t="array" ref="N191">IFERROR(IF(ISNUMBER(INDEX('M04-S01'!$AO$18:$AO$198,2*(ROWS($O$182:O191)-1)+1)),INDEX('M04-S01'!$AV$18:$AV$198,2*(ROWS($N$182:N191)-1)+1),0),"")</f>
        <v>0</v>
      </c>
      <c r="O191" s="61">
        <f>IFERROR(IF(ISNUMBER(INDEX('M04-S01'!$AO$18:$AO$198,2*(ROWS($O$182:O191)-1)+1)),INDEX('M04-S01'!$AO$18:$AO$198,2*(ROWS($O$182:O191)-1)+1)*INCENTCAPADJ,0),"")</f>
        <v>0</v>
      </c>
      <c r="P191" s="152"/>
      <c r="Q191" s="193"/>
      <c r="R191" s="135"/>
      <c r="S191" s="157"/>
      <c r="T191" s="157"/>
      <c r="U191" s="151">
        <f>INDEX('M04-S04'!$B$16:$B$196,2*(ROWS($U$182:U191)-1)+1)</f>
        <v>10</v>
      </c>
      <c r="V191" s="385" t="str">
        <f>INDEX('M04-S01'!$I$18:$I$198,2*(ROWS($W$182:W191)-1)+1)</f>
        <v/>
      </c>
      <c r="W191" s="58" cm="1">
        <f t="array" ref="W191">INDEX('M04-S01'!$C$18:$C$198,2*(ROWS($W$182:W191)-1)+1)</f>
        <v>0</v>
      </c>
      <c r="X191" s="135"/>
      <c r="Y191">
        <f>INDEX('M04-S01'!$Y$18:$Y$198,2*(ROWS($Y$182:Y191)-1)+1)</f>
        <v>0</v>
      </c>
      <c r="Z191" s="135"/>
      <c r="AA191" s="135"/>
      <c r="AB191" s="135"/>
      <c r="AC191" s="464">
        <f>IF(ISNUMBER(SEARCH("Constant",V191)),INDEX('M04-S01'!$Q$18:$Q$198,2*(ROWS($AC$182:AC191)-1)+1)*(400/4000),INDEX('M04-S01'!$Q$18:$Q$198,2*(ROWS($AC$182:AC191)-1)+1))</f>
        <v>0</v>
      </c>
      <c r="AD191" s="58" t="str">
        <f>IF(ISNUMBER(SEARCH("Constant",V191)),"hp",INDEX('M04-S01'!$S$18:$S$198,2*(ROWS($AD$182:AD191)-1)+1))</f>
        <v>Tons</v>
      </c>
      <c r="AE191" s="152"/>
      <c r="AF191" s="152"/>
      <c r="AG191" s="152"/>
      <c r="AH191" s="152"/>
      <c r="AI191" s="152"/>
      <c r="AJ191" s="61" t="str">
        <f t="shared" si="52"/>
        <v/>
      </c>
      <c r="AK191" s="61" t="str">
        <f t="shared" si="53"/>
        <v/>
      </c>
      <c r="AL191" s="61" t="str">
        <f t="shared" si="54"/>
        <v/>
      </c>
      <c r="AM191" s="154"/>
      <c r="AN191" s="61" t="str">
        <f t="shared" si="55"/>
        <v/>
      </c>
      <c r="AO191" s="152"/>
      <c r="AP191" s="152"/>
      <c r="AQ191" s="61" t="str">
        <f>IF(OR(ISNUMBER(SEARCH("Advanced RTU",W191)),ISNUMBER(SEARCH("Demand Control",W191)),ISNUMBER(SEARCH("Thermostat",W191))),0,INDEX('M04-S01'!$N$18:$N$198,2*(ROWS($AQ$182:AQ191)-1)+1))</f>
        <v/>
      </c>
      <c r="AR191" s="412">
        <f>(IF(INDEX('M04-S01'!$AO$18:$AO$198,2*(ROWS($O$182:O191)-1)+1)=INDEX('M04-S01'!$AZ$18:$AZ$198,2*(ROWS($O$182:O191)-1)+1),0,(INDEX('M04-S01'!$AY$18:$AY$198,2*(ROWS($O$182:O191)-1)+1)-INDEX('M04-S01'!$AZ$18:$AZ$198,2*(ROWS($O$182:O191)-1)+1))))*INCENTCAPADJ</f>
        <v>0</v>
      </c>
    </row>
    <row r="192" spans="1:44" x14ac:dyDescent="0.25">
      <c r="A192" s="207" t="str">
        <f>CONCATENATE(MAIN4," ",M4S2)</f>
        <v>STANDARD MEASURES Refrigeration</v>
      </c>
      <c r="B192" s="209"/>
      <c r="C192" s="209"/>
      <c r="D192" s="164"/>
      <c r="E192" s="164"/>
      <c r="F192" s="170"/>
      <c r="G192" s="164"/>
      <c r="H192" s="171"/>
      <c r="I192" s="171"/>
      <c r="J192" s="171"/>
      <c r="K192" s="164"/>
      <c r="L192" s="170"/>
      <c r="M192" s="170"/>
      <c r="N192" s="191"/>
      <c r="O192" s="171"/>
      <c r="P192" s="176"/>
      <c r="Q192" s="194"/>
      <c r="R192" s="174"/>
      <c r="S192" s="177"/>
      <c r="T192" s="177"/>
      <c r="U192" s="170"/>
      <c r="V192" s="174"/>
      <c r="W192" s="173"/>
      <c r="X192" s="174"/>
      <c r="Y192" s="164"/>
      <c r="Z192" s="164"/>
      <c r="AA192" s="164"/>
      <c r="AB192" s="164"/>
      <c r="AC192" s="164"/>
      <c r="AD192" s="164"/>
      <c r="AE192" s="176"/>
      <c r="AF192" s="176"/>
      <c r="AG192" s="176"/>
      <c r="AH192" s="176"/>
      <c r="AI192" s="176"/>
      <c r="AJ192" s="171" t="str">
        <f>IFERROR(O192/M192,"")</f>
        <v/>
      </c>
      <c r="AK192" s="171" t="str">
        <f>IFERROR(O192/N192,"")</f>
        <v/>
      </c>
      <c r="AL192" s="171" t="str">
        <f>IFERROR(O192/L192,"")</f>
        <v/>
      </c>
      <c r="AM192" s="175"/>
      <c r="AN192" s="171" t="str">
        <f t="shared" ref="AN192" si="56">IFERROR(J192/M192/M02S02F35,"")</f>
        <v/>
      </c>
      <c r="AO192" s="170"/>
      <c r="AP192" s="170"/>
      <c r="AQ192" s="170"/>
      <c r="AR192" s="412"/>
    </row>
    <row r="193" spans="1:44" x14ac:dyDescent="0.25">
      <c r="A193" s="66">
        <f t="shared" ref="A193:A202" si="57">PROJID</f>
        <v>0</v>
      </c>
      <c r="B193" s="66" t="str">
        <f>IF(C193="","",CONCATENATE(ROW(),"-",C193))</f>
        <v/>
      </c>
      <c r="C193" s="66" t="str">
        <f>IFERROR(IF(OR(P193&gt;0,O193&gt;0),INDEX(PMEREFRI[Measure '#],MATCH(W193,PMEREFRI[Eff Desc 1],0)),""),"")</f>
        <v/>
      </c>
      <c r="D193" t="s">
        <v>1096</v>
      </c>
      <c r="E193" t="str">
        <f>IFERROR(INDEX(PMEREFRI[End Use Category],MATCH(W193,PMEREFRI[Eff Desc 1],0)),"")</f>
        <v/>
      </c>
      <c r="F193" s="152"/>
      <c r="G193">
        <f>INDEX('M04-S02'!$AB$16:$AB$198,2*(ROWS($G$193:G193)-1)+1)</f>
        <v>0</v>
      </c>
      <c r="H193" s="61">
        <f>ROUND(INDEX('M04-S02'!$AE$16:$AE$198,2*(ROWS($H$193:H193)-1)+1),2)</f>
        <v>0</v>
      </c>
      <c r="I193" s="61">
        <f>ROUND(INDEX('M04-S02'!$AG$16:$AG$198,2*(ROWS($I$193:I193)-1)+1),2)</f>
        <v>0</v>
      </c>
      <c r="J193" s="61" t="str">
        <f>INDEX('M04-S02'!$AU$16:$AU$198,2*(ROWS($J$193:J193)-1)+1)</f>
        <v/>
      </c>
      <c r="K193" t="str">
        <f>IFERROR(INDEX(PMEREFRI[Cost Basis],MATCH(W193,PMEREFRI[Eff Desc 1],0)),"")</f>
        <v/>
      </c>
      <c r="L193" s="151">
        <f>INDEX('M04-S02'!$V$16:$V$198,2*(ROWS($L$193:L193)-1)+1)</f>
        <v>0</v>
      </c>
      <c r="M193" s="151">
        <f>IFERROR(IF(ISNUMBER(INDEX('M04-S02'!$AO$16:$AO$198,2*(ROWS($O$193:O193)-1)+1)),INDEX('M04-S02'!$AK$16:$AK$198,2*(ROWS($M$193:M193)-1)+1),0),"")</f>
        <v>0</v>
      </c>
      <c r="N193" s="189" cm="1">
        <f t="array" ref="N193">IFERROR(IF(ISNUMBER(INDEX('M04-S02'!$AO$16:$AO$198,2*(ROWS($O$193:O193)-1)+1)),INDEX('M04-S02'!$AV$16:$AV$198,2*(ROWS($N$193:N193)-1)+1),0),"")</f>
        <v>0</v>
      </c>
      <c r="O193" s="61">
        <f>IFERROR(IF(ISNUMBER(INDEX('M04-S02'!$AO$16:$AO$198,2*(ROWS($O$193:O193)-1)+1)),INDEX('M04-S02'!$AO$16:$AO$198,2*(ROWS($O$193:O193)-1)+1)*INCENTCAPADJ,0),"")</f>
        <v>0</v>
      </c>
      <c r="P193" s="152"/>
      <c r="Q193" s="193"/>
      <c r="R193" s="135"/>
      <c r="S193" s="157"/>
      <c r="T193" s="157"/>
      <c r="U193" s="151">
        <f>INDEX('M04-S02'!$B$16:$B$198,2*(ROWS($U$193:U193)-1)+1)</f>
        <v>1</v>
      </c>
      <c r="V193" s="135"/>
      <c r="W193" s="58">
        <f>INDEX('M04-S02'!$C$16:$C$198,2*(ROWS($W$193:W193)-1)+1)</f>
        <v>0</v>
      </c>
      <c r="X193" s="135"/>
      <c r="Y193">
        <f>INDEX('M04-S02'!$X$16:$X$198,2*(ROWS($Y$193:Y193)-1)+1)</f>
        <v>0</v>
      </c>
      <c r="Z193" s="135"/>
      <c r="AA193" s="135"/>
      <c r="AB193" s="135"/>
      <c r="AC193" s="135"/>
      <c r="AD193" s="135"/>
      <c r="AE193" s="152"/>
      <c r="AF193" s="152"/>
      <c r="AG193" s="152"/>
      <c r="AH193" s="152"/>
      <c r="AI193" s="152"/>
      <c r="AJ193" s="61" t="str">
        <f>IFERROR(O193/M193,"")</f>
        <v/>
      </c>
      <c r="AK193" s="61" t="str">
        <f>IFERROR(O193/N193,"")</f>
        <v/>
      </c>
      <c r="AL193" s="61" t="str">
        <f>IFERROR(O193/L193,"")</f>
        <v/>
      </c>
      <c r="AM193" s="154"/>
      <c r="AN193" s="61" t="str">
        <f>IFERROR(J193/M193/M02S02F35,"")</f>
        <v/>
      </c>
      <c r="AO193" s="152"/>
      <c r="AP193" s="152"/>
      <c r="AQ193" s="152"/>
      <c r="AR193" s="416"/>
    </row>
    <row r="194" spans="1:44" x14ac:dyDescent="0.25">
      <c r="A194" s="66">
        <f t="shared" si="57"/>
        <v>0</v>
      </c>
      <c r="B194" s="66" t="str">
        <f t="shared" ref="B194:B202" si="58">IF(C194="","",CONCATENATE(ROW(),"-",C194))</f>
        <v/>
      </c>
      <c r="C194" s="66" t="str">
        <f>IFERROR(IF(OR(P194&gt;0,O194&gt;0),INDEX(PMEREFRI[Measure '#],MATCH(W194,PMEREFRI[Eff Desc 1],0)),""),"")</f>
        <v/>
      </c>
      <c r="D194" t="s">
        <v>1096</v>
      </c>
      <c r="E194" t="str">
        <f>IFERROR(INDEX(PMEREFRI[End Use Category],MATCH(W194,PMEREFRI[Eff Desc 1],0)),"")</f>
        <v/>
      </c>
      <c r="F194" s="152"/>
      <c r="G194">
        <f>INDEX('M04-S02'!$AB$16:$AB$198,2*(ROWS($G$193:G194)-1)+1)</f>
        <v>0</v>
      </c>
      <c r="H194" s="61">
        <f>ROUND(INDEX('M04-S02'!$AE$16:$AE$198,2*(ROWS($H$193:H194)-1)+1),2)</f>
        <v>0</v>
      </c>
      <c r="I194" s="61">
        <f>ROUND(INDEX('M04-S02'!$AG$16:$AG$198,2*(ROWS($I$193:I194)-1)+1),2)</f>
        <v>0</v>
      </c>
      <c r="J194" s="61" t="str">
        <f>INDEX('M04-S02'!$AU$16:$AU$198,2*(ROWS($J$193:J194)-1)+1)</f>
        <v/>
      </c>
      <c r="K194" t="str">
        <f>IFERROR(INDEX(PMEREFRI[Cost Basis],MATCH(W194,PMEREFRI[Eff Desc 1],0)),"")</f>
        <v/>
      </c>
      <c r="L194" s="151">
        <f>INDEX('M04-S02'!$V$16:$V$198,2*(ROWS($L$193:L194)-1)+1)</f>
        <v>0</v>
      </c>
      <c r="M194" s="151">
        <f>IFERROR(IF(ISNUMBER(INDEX('M04-S02'!$AO$16:$AO$198,2*(ROWS($O$193:O194)-1)+1)),INDEX('M04-S02'!$AK$16:$AK$198,2*(ROWS($M$193:M194)-1)+1),0),"")</f>
        <v>0</v>
      </c>
      <c r="N194" s="189" cm="1">
        <f t="array" ref="N194">IFERROR(IF(ISNUMBER(INDEX('M04-S02'!$AO$16:$AO$198,2*(ROWS($O$193:O194)-1)+1)),INDEX('M04-S02'!$AV$16:$AV$198,2*(ROWS($N$193:N194)-1)+1),0),"")</f>
        <v>0</v>
      </c>
      <c r="O194" s="61">
        <f>IFERROR(IF(ISNUMBER(INDEX('M04-S02'!$AO$16:$AO$198,2*(ROWS($O$193:O194)-1)+1)),INDEX('M04-S02'!$AO$16:$AO$198,2*(ROWS($O$193:O194)-1)+1)*INCENTCAPADJ,0),"")</f>
        <v>0</v>
      </c>
      <c r="P194" s="152"/>
      <c r="Q194" s="193"/>
      <c r="R194" s="135"/>
      <c r="S194" s="157"/>
      <c r="T194" s="157"/>
      <c r="U194" s="151">
        <f>INDEX('M04-S02'!$B$16:$B$198,2*(ROWS($U$193:U194)-1)+1)</f>
        <v>2</v>
      </c>
      <c r="V194" s="135"/>
      <c r="W194" s="58">
        <f>INDEX('M04-S02'!$C$16:$C$198,2*(ROWS($W$193:W194)-1)+1)</f>
        <v>0</v>
      </c>
      <c r="X194" s="135"/>
      <c r="Y194">
        <f>INDEX('M04-S02'!$X$16:$X$198,2*(ROWS($Y$193:Y194)-1)+1)</f>
        <v>0</v>
      </c>
      <c r="Z194" s="135"/>
      <c r="AA194" s="135"/>
      <c r="AB194" s="135"/>
      <c r="AC194" s="135"/>
      <c r="AD194" s="135"/>
      <c r="AE194" s="152"/>
      <c r="AF194" s="152"/>
      <c r="AG194" s="152"/>
      <c r="AH194" s="152"/>
      <c r="AI194" s="152"/>
      <c r="AJ194" s="61" t="str">
        <f t="shared" ref="AJ194:AJ202" si="59">IFERROR(O194/M194,"")</f>
        <v/>
      </c>
      <c r="AK194" s="61" t="str">
        <f t="shared" ref="AK194:AK202" si="60">IFERROR(O194/N194,"")</f>
        <v/>
      </c>
      <c r="AL194" s="61" t="str">
        <f t="shared" ref="AL194:AL202" si="61">IFERROR(O194/L194,"")</f>
        <v/>
      </c>
      <c r="AM194" s="154"/>
      <c r="AN194" s="61" t="str">
        <f t="shared" ref="AN194:AN202" si="62">IFERROR(J194/M194/M02S02F35,"")</f>
        <v/>
      </c>
      <c r="AO194" s="152"/>
      <c r="AP194" s="152"/>
      <c r="AQ194" s="152"/>
      <c r="AR194" s="416"/>
    </row>
    <row r="195" spans="1:44" x14ac:dyDescent="0.25">
      <c r="A195" s="66">
        <f t="shared" si="57"/>
        <v>0</v>
      </c>
      <c r="B195" s="66" t="str">
        <f t="shared" si="58"/>
        <v/>
      </c>
      <c r="C195" s="66" t="str">
        <f>IFERROR(IF(OR(P195&gt;0,O195&gt;0),INDEX(PMEREFRI[Measure '#],MATCH(W195,PMEREFRI[Eff Desc 1],0)),""),"")</f>
        <v/>
      </c>
      <c r="D195" t="s">
        <v>1096</v>
      </c>
      <c r="E195" t="str">
        <f>IFERROR(INDEX(PMEREFRI[End Use Category],MATCH(W195,PMEREFRI[Eff Desc 1],0)),"")</f>
        <v/>
      </c>
      <c r="F195" s="152"/>
      <c r="G195">
        <f>INDEX('M04-S02'!$AB$16:$AB$198,2*(ROWS($G$193:G195)-1)+1)</f>
        <v>0</v>
      </c>
      <c r="H195" s="61">
        <f>ROUND(INDEX('M04-S02'!$AE$16:$AE$198,2*(ROWS($H$193:H195)-1)+1),2)</f>
        <v>0</v>
      </c>
      <c r="I195" s="61">
        <f>ROUND(INDEX('M04-S02'!$AG$16:$AG$198,2*(ROWS($I$193:I195)-1)+1),2)</f>
        <v>0</v>
      </c>
      <c r="J195" s="61" t="str">
        <f>INDEX('M04-S02'!$AU$16:$AU$198,2*(ROWS($J$193:J195)-1)+1)</f>
        <v/>
      </c>
      <c r="K195" t="str">
        <f>IFERROR(INDEX(PMEREFRI[Cost Basis],MATCH(W195,PMEREFRI[Eff Desc 1],0)),"")</f>
        <v/>
      </c>
      <c r="L195" s="151">
        <f>INDEX('M04-S02'!$V$16:$V$198,2*(ROWS($L$193:L195)-1)+1)</f>
        <v>0</v>
      </c>
      <c r="M195" s="151">
        <f>IFERROR(IF(ISNUMBER(INDEX('M04-S02'!$AO$16:$AO$198,2*(ROWS($O$193:O195)-1)+1)),INDEX('M04-S02'!$AK$16:$AK$198,2*(ROWS($M$193:M195)-1)+1),0),"")</f>
        <v>0</v>
      </c>
      <c r="N195" s="189" cm="1">
        <f t="array" ref="N195">IFERROR(IF(ISNUMBER(INDEX('M04-S02'!$AO$16:$AO$198,2*(ROWS($O$193:O195)-1)+1)),INDEX('M04-S02'!$AV$16:$AV$198,2*(ROWS($N$193:N195)-1)+1),0),"")</f>
        <v>0</v>
      </c>
      <c r="O195" s="61">
        <f>IFERROR(IF(ISNUMBER(INDEX('M04-S02'!$AO$16:$AO$198,2*(ROWS($O$193:O195)-1)+1)),INDEX('M04-S02'!$AO$16:$AO$198,2*(ROWS($O$193:O195)-1)+1)*INCENTCAPADJ,0),"")</f>
        <v>0</v>
      </c>
      <c r="P195" s="152"/>
      <c r="Q195" s="193"/>
      <c r="R195" s="135"/>
      <c r="S195" s="157"/>
      <c r="T195" s="157"/>
      <c r="U195" s="151">
        <f>INDEX('M04-S02'!$B$16:$B$198,2*(ROWS($U$193:U195)-1)+1)</f>
        <v>3</v>
      </c>
      <c r="V195" s="135"/>
      <c r="W195" s="58">
        <f>INDEX('M04-S02'!$C$16:$C$198,2*(ROWS($W$193:W195)-1)+1)</f>
        <v>0</v>
      </c>
      <c r="X195" s="135"/>
      <c r="Y195">
        <f>INDEX('M04-S02'!$X$16:$X$198,2*(ROWS($Y$193:Y195)-1)+1)</f>
        <v>0</v>
      </c>
      <c r="Z195" s="135"/>
      <c r="AA195" s="135"/>
      <c r="AB195" s="135"/>
      <c r="AC195" s="135"/>
      <c r="AD195" s="135"/>
      <c r="AE195" s="152"/>
      <c r="AF195" s="152"/>
      <c r="AG195" s="152"/>
      <c r="AH195" s="152"/>
      <c r="AI195" s="152"/>
      <c r="AJ195" s="61" t="str">
        <f t="shared" si="59"/>
        <v/>
      </c>
      <c r="AK195" s="61" t="str">
        <f t="shared" si="60"/>
        <v/>
      </c>
      <c r="AL195" s="61" t="str">
        <f t="shared" si="61"/>
        <v/>
      </c>
      <c r="AM195" s="154"/>
      <c r="AN195" s="61" t="str">
        <f t="shared" si="62"/>
        <v/>
      </c>
      <c r="AO195" s="152"/>
      <c r="AP195" s="152"/>
      <c r="AQ195" s="152"/>
      <c r="AR195" s="416"/>
    </row>
    <row r="196" spans="1:44" x14ac:dyDescent="0.25">
      <c r="A196" s="66">
        <f t="shared" si="57"/>
        <v>0</v>
      </c>
      <c r="B196" s="66" t="str">
        <f t="shared" si="58"/>
        <v/>
      </c>
      <c r="C196" s="66" t="str">
        <f>IFERROR(IF(OR(P196&gt;0,O196&gt;0),INDEX(PMEREFRI[Measure '#],MATCH(W196,PMEREFRI[Eff Desc 1],0)),""),"")</f>
        <v/>
      </c>
      <c r="D196" t="s">
        <v>1096</v>
      </c>
      <c r="E196" t="str">
        <f>IFERROR(INDEX(PMEREFRI[End Use Category],MATCH(W196,PMEREFRI[Eff Desc 1],0)),"")</f>
        <v/>
      </c>
      <c r="F196" s="152"/>
      <c r="G196">
        <f>INDEX('M04-S02'!$AB$16:$AB$198,2*(ROWS($G$193:G196)-1)+1)</f>
        <v>0</v>
      </c>
      <c r="H196" s="61">
        <f>ROUND(INDEX('M04-S02'!$AE$16:$AE$198,2*(ROWS($H$193:H196)-1)+1),2)</f>
        <v>0</v>
      </c>
      <c r="I196" s="61">
        <f>ROUND(INDEX('M04-S02'!$AG$16:$AG$198,2*(ROWS($I$193:I196)-1)+1),2)</f>
        <v>0</v>
      </c>
      <c r="J196" s="61" t="str">
        <f>INDEX('M04-S02'!$AU$16:$AU$198,2*(ROWS($J$193:J196)-1)+1)</f>
        <v/>
      </c>
      <c r="K196" t="str">
        <f>IFERROR(INDEX(PMEREFRI[Cost Basis],MATCH(W196,PMEREFRI[Eff Desc 1],0)),"")</f>
        <v/>
      </c>
      <c r="L196" s="151">
        <f>INDEX('M04-S02'!$V$16:$V$198,2*(ROWS($L$193:L196)-1)+1)</f>
        <v>0</v>
      </c>
      <c r="M196" s="151">
        <f>IFERROR(IF(ISNUMBER(INDEX('M04-S02'!$AO$16:$AO$198,2*(ROWS($O$193:O196)-1)+1)),INDEX('M04-S02'!$AK$16:$AK$198,2*(ROWS($M$193:M196)-1)+1),0),"")</f>
        <v>0</v>
      </c>
      <c r="N196" s="189" cm="1">
        <f t="array" ref="N196">IFERROR(IF(ISNUMBER(INDEX('M04-S02'!$AO$16:$AO$198,2*(ROWS($O$193:O196)-1)+1)),INDEX('M04-S02'!$AV$16:$AV$198,2*(ROWS($N$193:N196)-1)+1),0),"")</f>
        <v>0</v>
      </c>
      <c r="O196" s="61">
        <f>IFERROR(IF(ISNUMBER(INDEX('M04-S02'!$AO$16:$AO$198,2*(ROWS($O$193:O196)-1)+1)),INDEX('M04-S02'!$AO$16:$AO$198,2*(ROWS($O$193:O196)-1)+1)*INCENTCAPADJ,0),"")</f>
        <v>0</v>
      </c>
      <c r="P196" s="152"/>
      <c r="Q196" s="193"/>
      <c r="R196" s="135"/>
      <c r="S196" s="157"/>
      <c r="T196" s="157"/>
      <c r="U196" s="151">
        <f>INDEX('M04-S02'!$B$16:$B$198,2*(ROWS($U$193:U196)-1)+1)</f>
        <v>4</v>
      </c>
      <c r="V196" s="135"/>
      <c r="W196" s="58">
        <f>INDEX('M04-S02'!$C$16:$C$198,2*(ROWS($W$193:W196)-1)+1)</f>
        <v>0</v>
      </c>
      <c r="X196" s="135"/>
      <c r="Y196">
        <f>INDEX('M04-S02'!$X$16:$X$198,2*(ROWS($Y$193:Y196)-1)+1)</f>
        <v>0</v>
      </c>
      <c r="Z196" s="135"/>
      <c r="AA196" s="135"/>
      <c r="AB196" s="135"/>
      <c r="AC196" s="135"/>
      <c r="AD196" s="135"/>
      <c r="AE196" s="152"/>
      <c r="AF196" s="152"/>
      <c r="AG196" s="152"/>
      <c r="AH196" s="152"/>
      <c r="AI196" s="152"/>
      <c r="AJ196" s="61" t="str">
        <f t="shared" si="59"/>
        <v/>
      </c>
      <c r="AK196" s="61" t="str">
        <f t="shared" si="60"/>
        <v/>
      </c>
      <c r="AL196" s="61" t="str">
        <f t="shared" si="61"/>
        <v/>
      </c>
      <c r="AM196" s="154"/>
      <c r="AN196" s="61" t="str">
        <f t="shared" si="62"/>
        <v/>
      </c>
      <c r="AO196" s="152"/>
      <c r="AP196" s="152"/>
      <c r="AQ196" s="152"/>
      <c r="AR196" s="416"/>
    </row>
    <row r="197" spans="1:44" x14ac:dyDescent="0.25">
      <c r="A197" s="66">
        <f t="shared" si="57"/>
        <v>0</v>
      </c>
      <c r="B197" s="66" t="str">
        <f t="shared" si="58"/>
        <v/>
      </c>
      <c r="C197" s="66" t="str">
        <f>IFERROR(IF(OR(P197&gt;0,O197&gt;0),INDEX(PMEREFRI[Measure '#],MATCH(W197,PMEREFRI[Eff Desc 1],0)),""),"")</f>
        <v/>
      </c>
      <c r="D197" t="s">
        <v>1096</v>
      </c>
      <c r="E197" t="str">
        <f>IFERROR(INDEX(PMEREFRI[End Use Category],MATCH(W197,PMEREFRI[Eff Desc 1],0)),"")</f>
        <v/>
      </c>
      <c r="F197" s="152"/>
      <c r="G197">
        <f>INDEX('M04-S02'!$AB$16:$AB$198,2*(ROWS($G$193:G197)-1)+1)</f>
        <v>0</v>
      </c>
      <c r="H197" s="61">
        <f>ROUND(INDEX('M04-S02'!$AE$16:$AE$198,2*(ROWS($H$193:H197)-1)+1),2)</f>
        <v>0</v>
      </c>
      <c r="I197" s="61">
        <f>ROUND(INDEX('M04-S02'!$AG$16:$AG$198,2*(ROWS($I$193:I197)-1)+1),2)</f>
        <v>0</v>
      </c>
      <c r="J197" s="61" t="str">
        <f>INDEX('M04-S02'!$AU$16:$AU$198,2*(ROWS($J$193:J197)-1)+1)</f>
        <v/>
      </c>
      <c r="K197" t="str">
        <f>IFERROR(INDEX(PMEREFRI[Cost Basis],MATCH(W197,PMEREFRI[Eff Desc 1],0)),"")</f>
        <v/>
      </c>
      <c r="L197" s="151">
        <f>INDEX('M04-S02'!$V$16:$V$198,2*(ROWS($L$193:L197)-1)+1)</f>
        <v>0</v>
      </c>
      <c r="M197" s="151">
        <f>IFERROR(IF(ISNUMBER(INDEX('M04-S02'!$AO$16:$AO$198,2*(ROWS($O$193:O197)-1)+1)),INDEX('M04-S02'!$AK$16:$AK$198,2*(ROWS($M$193:M197)-1)+1),0),"")</f>
        <v>0</v>
      </c>
      <c r="N197" s="189" cm="1">
        <f t="array" ref="N197">IFERROR(IF(ISNUMBER(INDEX('M04-S02'!$AO$16:$AO$198,2*(ROWS($O$193:O197)-1)+1)),INDEX('M04-S02'!$AV$16:$AV$198,2*(ROWS($N$193:N197)-1)+1),0),"")</f>
        <v>0</v>
      </c>
      <c r="O197" s="61">
        <f>IFERROR(IF(ISNUMBER(INDEX('M04-S02'!$AO$16:$AO$198,2*(ROWS($O$193:O197)-1)+1)),INDEX('M04-S02'!$AO$16:$AO$198,2*(ROWS($O$193:O197)-1)+1)*INCENTCAPADJ,0),"")</f>
        <v>0</v>
      </c>
      <c r="P197" s="152"/>
      <c r="Q197" s="193"/>
      <c r="R197" s="135"/>
      <c r="S197" s="157"/>
      <c r="T197" s="157"/>
      <c r="U197" s="151">
        <f>INDEX('M04-S02'!$B$16:$B$198,2*(ROWS($U$193:U197)-1)+1)</f>
        <v>5</v>
      </c>
      <c r="V197" s="135"/>
      <c r="W197" s="58">
        <f>INDEX('M04-S02'!$C$16:$C$198,2*(ROWS($W$193:W197)-1)+1)</f>
        <v>0</v>
      </c>
      <c r="X197" s="135"/>
      <c r="Y197">
        <f>INDEX('M04-S02'!$X$16:$X$198,2*(ROWS($Y$193:Y197)-1)+1)</f>
        <v>0</v>
      </c>
      <c r="Z197" s="135"/>
      <c r="AA197" s="135"/>
      <c r="AB197" s="135"/>
      <c r="AC197" s="135"/>
      <c r="AD197" s="135"/>
      <c r="AE197" s="152"/>
      <c r="AF197" s="152"/>
      <c r="AG197" s="152"/>
      <c r="AH197" s="152"/>
      <c r="AI197" s="152"/>
      <c r="AJ197" s="61" t="str">
        <f t="shared" si="59"/>
        <v/>
      </c>
      <c r="AK197" s="61" t="str">
        <f t="shared" si="60"/>
        <v/>
      </c>
      <c r="AL197" s="61" t="str">
        <f t="shared" si="61"/>
        <v/>
      </c>
      <c r="AM197" s="154"/>
      <c r="AN197" s="61" t="str">
        <f t="shared" si="62"/>
        <v/>
      </c>
      <c r="AO197" s="152"/>
      <c r="AP197" s="152"/>
      <c r="AQ197" s="152"/>
      <c r="AR197" s="416"/>
    </row>
    <row r="198" spans="1:44" x14ac:dyDescent="0.25">
      <c r="A198" s="66">
        <f t="shared" si="57"/>
        <v>0</v>
      </c>
      <c r="B198" s="66" t="str">
        <f t="shared" si="58"/>
        <v/>
      </c>
      <c r="C198" s="66" t="str">
        <f>IFERROR(IF(OR(P198&gt;0,O198&gt;0),INDEX(PMEREFRI[Measure '#],MATCH(W198,PMEREFRI[Eff Desc 1],0)),""),"")</f>
        <v/>
      </c>
      <c r="D198" t="s">
        <v>1096</v>
      </c>
      <c r="E198" t="str">
        <f>IFERROR(INDEX(PMEREFRI[End Use Category],MATCH(W198,PMEREFRI[Eff Desc 1],0)),"")</f>
        <v/>
      </c>
      <c r="F198" s="152"/>
      <c r="G198">
        <f>INDEX('M04-S02'!$AB$16:$AB$198,2*(ROWS($G$193:G198)-1)+1)</f>
        <v>0</v>
      </c>
      <c r="H198" s="61">
        <f>ROUND(INDEX('M04-S02'!$AE$16:$AE$198,2*(ROWS($H$193:H198)-1)+1),2)</f>
        <v>0</v>
      </c>
      <c r="I198" s="61">
        <f>ROUND(INDEX('M04-S02'!$AG$16:$AG$198,2*(ROWS($I$193:I198)-1)+1),2)</f>
        <v>0</v>
      </c>
      <c r="J198" s="61" t="str">
        <f>INDEX('M04-S02'!$AU$16:$AU$198,2*(ROWS($J$193:J198)-1)+1)</f>
        <v/>
      </c>
      <c r="K198" t="str">
        <f>IFERROR(INDEX(PMEREFRI[Cost Basis],MATCH(W198,PMEREFRI[Eff Desc 1],0)),"")</f>
        <v/>
      </c>
      <c r="L198" s="151">
        <f>INDEX('M04-S02'!$V$16:$V$198,2*(ROWS($L$193:L198)-1)+1)</f>
        <v>0</v>
      </c>
      <c r="M198" s="151">
        <f>IFERROR(IF(ISNUMBER(INDEX('M04-S02'!$AO$16:$AO$198,2*(ROWS($O$193:O198)-1)+1)),INDEX('M04-S02'!$AK$16:$AK$198,2*(ROWS($M$193:M198)-1)+1),0),"")</f>
        <v>0</v>
      </c>
      <c r="N198" s="189" cm="1">
        <f t="array" ref="N198">IFERROR(IF(ISNUMBER(INDEX('M04-S02'!$AO$16:$AO$198,2*(ROWS($O$193:O198)-1)+1)),INDEX('M04-S02'!$AV$16:$AV$198,2*(ROWS($N$193:N198)-1)+1),0),"")</f>
        <v>0</v>
      </c>
      <c r="O198" s="61">
        <f>IFERROR(IF(ISNUMBER(INDEX('M04-S02'!$AO$16:$AO$198,2*(ROWS($O$193:O198)-1)+1)),INDEX('M04-S02'!$AO$16:$AO$198,2*(ROWS($O$193:O198)-1)+1)*INCENTCAPADJ,0),"")</f>
        <v>0</v>
      </c>
      <c r="P198" s="152"/>
      <c r="Q198" s="193"/>
      <c r="R198" s="135"/>
      <c r="S198" s="157"/>
      <c r="T198" s="157"/>
      <c r="U198" s="151">
        <f>INDEX('M04-S02'!$B$16:$B$198,2*(ROWS($U$193:U198)-1)+1)</f>
        <v>6</v>
      </c>
      <c r="V198" s="135"/>
      <c r="W198" s="58">
        <f>INDEX('M04-S02'!$C$16:$C$198,2*(ROWS($W$193:W198)-1)+1)</f>
        <v>0</v>
      </c>
      <c r="X198" s="135"/>
      <c r="Y198">
        <f>INDEX('M04-S02'!$X$16:$X$198,2*(ROWS($Y$193:Y198)-1)+1)</f>
        <v>0</v>
      </c>
      <c r="Z198" s="135"/>
      <c r="AA198" s="135"/>
      <c r="AB198" s="135"/>
      <c r="AC198" s="135"/>
      <c r="AD198" s="135"/>
      <c r="AE198" s="152"/>
      <c r="AF198" s="152"/>
      <c r="AG198" s="152"/>
      <c r="AH198" s="152"/>
      <c r="AI198" s="152"/>
      <c r="AJ198" s="61" t="str">
        <f t="shared" si="59"/>
        <v/>
      </c>
      <c r="AK198" s="61" t="str">
        <f t="shared" si="60"/>
        <v/>
      </c>
      <c r="AL198" s="61" t="str">
        <f t="shared" si="61"/>
        <v/>
      </c>
      <c r="AM198" s="154"/>
      <c r="AN198" s="61" t="str">
        <f t="shared" si="62"/>
        <v/>
      </c>
      <c r="AO198" s="152"/>
      <c r="AP198" s="152"/>
      <c r="AQ198" s="152"/>
      <c r="AR198" s="416"/>
    </row>
    <row r="199" spans="1:44" x14ac:dyDescent="0.25">
      <c r="A199" s="66">
        <f t="shared" si="57"/>
        <v>0</v>
      </c>
      <c r="B199" s="66" t="str">
        <f t="shared" si="58"/>
        <v/>
      </c>
      <c r="C199" s="66" t="str">
        <f>IFERROR(IF(OR(P199&gt;0,O199&gt;0),INDEX(PMEREFRI[Measure '#],MATCH(W199,PMEREFRI[Eff Desc 1],0)),""),"")</f>
        <v/>
      </c>
      <c r="D199" t="s">
        <v>1096</v>
      </c>
      <c r="E199" t="str">
        <f>IFERROR(INDEX(PMEREFRI[End Use Category],MATCH(W199,PMEREFRI[Eff Desc 1],0)),"")</f>
        <v/>
      </c>
      <c r="F199" s="152"/>
      <c r="G199">
        <f>INDEX('M04-S02'!$AB$16:$AB$198,2*(ROWS($G$193:G199)-1)+1)</f>
        <v>0</v>
      </c>
      <c r="H199" s="61">
        <f>ROUND(INDEX('M04-S02'!$AE$16:$AE$198,2*(ROWS($H$193:H199)-1)+1),2)</f>
        <v>0</v>
      </c>
      <c r="I199" s="61">
        <f>ROUND(INDEX('M04-S02'!$AG$16:$AG$198,2*(ROWS($I$193:I199)-1)+1),2)</f>
        <v>0</v>
      </c>
      <c r="J199" s="61" t="str">
        <f>INDEX('M04-S02'!$AU$16:$AU$198,2*(ROWS($J$193:J199)-1)+1)</f>
        <v/>
      </c>
      <c r="K199" t="str">
        <f>IFERROR(INDEX(PMEREFRI[Cost Basis],MATCH(W199,PMEREFRI[Eff Desc 1],0)),"")</f>
        <v/>
      </c>
      <c r="L199" s="151">
        <f>INDEX('M04-S02'!$V$16:$V$198,2*(ROWS($L$193:L199)-1)+1)</f>
        <v>0</v>
      </c>
      <c r="M199" s="151">
        <f>IFERROR(IF(ISNUMBER(INDEX('M04-S02'!$AO$16:$AO$198,2*(ROWS($O$193:O199)-1)+1)),INDEX('M04-S02'!$AK$16:$AK$198,2*(ROWS($M$193:M199)-1)+1),0),"")</f>
        <v>0</v>
      </c>
      <c r="N199" s="189" cm="1">
        <f t="array" ref="N199">IFERROR(IF(ISNUMBER(INDEX('M04-S02'!$AO$16:$AO$198,2*(ROWS($O$193:O199)-1)+1)),INDEX('M04-S02'!$AV$16:$AV$198,2*(ROWS($N$193:N199)-1)+1),0),"")</f>
        <v>0</v>
      </c>
      <c r="O199" s="61">
        <f>IFERROR(IF(ISNUMBER(INDEX('M04-S02'!$AO$16:$AO$198,2*(ROWS($O$193:O199)-1)+1)),INDEX('M04-S02'!$AO$16:$AO$198,2*(ROWS($O$193:O199)-1)+1)*INCENTCAPADJ,0),"")</f>
        <v>0</v>
      </c>
      <c r="P199" s="152"/>
      <c r="Q199" s="193"/>
      <c r="R199" s="135"/>
      <c r="S199" s="157"/>
      <c r="T199" s="157"/>
      <c r="U199" s="151">
        <f>INDEX('M04-S02'!$B$16:$B$198,2*(ROWS($U$193:U199)-1)+1)</f>
        <v>7</v>
      </c>
      <c r="V199" s="135"/>
      <c r="W199" s="58">
        <f>INDEX('M04-S02'!$C$16:$C$198,2*(ROWS($W$193:W199)-1)+1)</f>
        <v>0</v>
      </c>
      <c r="X199" s="135"/>
      <c r="Y199">
        <f>INDEX('M04-S02'!$X$16:$X$198,2*(ROWS($Y$193:Y199)-1)+1)</f>
        <v>0</v>
      </c>
      <c r="Z199" s="135"/>
      <c r="AA199" s="135"/>
      <c r="AB199" s="135"/>
      <c r="AC199" s="135"/>
      <c r="AD199" s="135"/>
      <c r="AE199" s="152"/>
      <c r="AF199" s="152"/>
      <c r="AG199" s="152"/>
      <c r="AH199" s="152"/>
      <c r="AI199" s="152"/>
      <c r="AJ199" s="61" t="str">
        <f t="shared" si="59"/>
        <v/>
      </c>
      <c r="AK199" s="61" t="str">
        <f t="shared" si="60"/>
        <v/>
      </c>
      <c r="AL199" s="61" t="str">
        <f t="shared" si="61"/>
        <v/>
      </c>
      <c r="AM199" s="154"/>
      <c r="AN199" s="61" t="str">
        <f t="shared" si="62"/>
        <v/>
      </c>
      <c r="AO199" s="152"/>
      <c r="AP199" s="152"/>
      <c r="AQ199" s="152"/>
      <c r="AR199" s="416"/>
    </row>
    <row r="200" spans="1:44" x14ac:dyDescent="0.25">
      <c r="A200" s="66">
        <f t="shared" si="57"/>
        <v>0</v>
      </c>
      <c r="B200" s="66" t="str">
        <f t="shared" si="58"/>
        <v/>
      </c>
      <c r="C200" s="66" t="str">
        <f>IFERROR(IF(OR(P200&gt;0,O200&gt;0),INDEX(PMEREFRI[Measure '#],MATCH(W200,PMEREFRI[Eff Desc 1],0)),""),"")</f>
        <v/>
      </c>
      <c r="D200" t="s">
        <v>1096</v>
      </c>
      <c r="E200" t="str">
        <f>IFERROR(INDEX(PMEREFRI[End Use Category],MATCH(W200,PMEREFRI[Eff Desc 1],0)),"")</f>
        <v/>
      </c>
      <c r="F200" s="152"/>
      <c r="G200">
        <f>INDEX('M04-S02'!$AB$16:$AB$198,2*(ROWS($G$193:G200)-1)+1)</f>
        <v>0</v>
      </c>
      <c r="H200" s="61">
        <f>ROUND(INDEX('M04-S02'!$AE$16:$AE$198,2*(ROWS($H$193:H200)-1)+1),2)</f>
        <v>0</v>
      </c>
      <c r="I200" s="61">
        <f>ROUND(INDEX('M04-S02'!$AG$16:$AG$198,2*(ROWS($I$193:I200)-1)+1),2)</f>
        <v>0</v>
      </c>
      <c r="J200" s="61" t="str">
        <f>INDEX('M04-S02'!$AU$16:$AU$198,2*(ROWS($J$193:J200)-1)+1)</f>
        <v/>
      </c>
      <c r="K200" t="str">
        <f>IFERROR(INDEX(PMEREFRI[Cost Basis],MATCH(W200,PMEREFRI[Eff Desc 1],0)),"")</f>
        <v/>
      </c>
      <c r="L200" s="151">
        <f>INDEX('M04-S02'!$V$16:$V$198,2*(ROWS($L$193:L200)-1)+1)</f>
        <v>0</v>
      </c>
      <c r="M200" s="151">
        <f>IFERROR(IF(ISNUMBER(INDEX('M04-S02'!$AO$16:$AO$198,2*(ROWS($O$193:O200)-1)+1)),INDEX('M04-S02'!$AK$16:$AK$198,2*(ROWS($M$193:M200)-1)+1),0),"")</f>
        <v>0</v>
      </c>
      <c r="N200" s="189" cm="1">
        <f t="array" ref="N200">IFERROR(IF(ISNUMBER(INDEX('M04-S02'!$AO$16:$AO$198,2*(ROWS($O$193:O200)-1)+1)),INDEX('M04-S02'!$AV$16:$AV$198,2*(ROWS($N$193:N200)-1)+1),0),"")</f>
        <v>0</v>
      </c>
      <c r="O200" s="61">
        <f>IFERROR(IF(ISNUMBER(INDEX('M04-S02'!$AO$16:$AO$198,2*(ROWS($O$193:O200)-1)+1)),INDEX('M04-S02'!$AO$16:$AO$198,2*(ROWS($O$193:O200)-1)+1)*INCENTCAPADJ,0),"")</f>
        <v>0</v>
      </c>
      <c r="P200" s="152"/>
      <c r="Q200" s="193"/>
      <c r="R200" s="135"/>
      <c r="S200" s="157"/>
      <c r="T200" s="157"/>
      <c r="U200" s="151">
        <f>INDEX('M04-S02'!$B$16:$B$198,2*(ROWS($U$193:U200)-1)+1)</f>
        <v>8</v>
      </c>
      <c r="V200" s="135"/>
      <c r="W200" s="58">
        <f>INDEX('M04-S02'!$C$16:$C$198,2*(ROWS($W$193:W200)-1)+1)</f>
        <v>0</v>
      </c>
      <c r="X200" s="135"/>
      <c r="Y200">
        <f>INDEX('M04-S02'!$X$16:$X$198,2*(ROWS($Y$193:Y200)-1)+1)</f>
        <v>0</v>
      </c>
      <c r="Z200" s="135"/>
      <c r="AA200" s="135"/>
      <c r="AB200" s="135"/>
      <c r="AC200" s="135"/>
      <c r="AD200" s="135"/>
      <c r="AE200" s="152"/>
      <c r="AF200" s="152"/>
      <c r="AG200" s="152"/>
      <c r="AH200" s="152"/>
      <c r="AI200" s="152"/>
      <c r="AJ200" s="61" t="str">
        <f t="shared" si="59"/>
        <v/>
      </c>
      <c r="AK200" s="61" t="str">
        <f t="shared" si="60"/>
        <v/>
      </c>
      <c r="AL200" s="61" t="str">
        <f t="shared" si="61"/>
        <v/>
      </c>
      <c r="AM200" s="154"/>
      <c r="AN200" s="61" t="str">
        <f t="shared" si="62"/>
        <v/>
      </c>
      <c r="AO200" s="152"/>
      <c r="AP200" s="152"/>
      <c r="AQ200" s="152"/>
      <c r="AR200" s="416"/>
    </row>
    <row r="201" spans="1:44" x14ac:dyDescent="0.25">
      <c r="A201" s="66">
        <f t="shared" si="57"/>
        <v>0</v>
      </c>
      <c r="B201" s="66" t="str">
        <f t="shared" si="58"/>
        <v/>
      </c>
      <c r="C201" s="66" t="str">
        <f>IFERROR(IF(OR(P201&gt;0,O201&gt;0),INDEX(PMEREFRI[Measure '#],MATCH(W201,PMEREFRI[Eff Desc 1],0)),""),"")</f>
        <v/>
      </c>
      <c r="D201" t="s">
        <v>1096</v>
      </c>
      <c r="E201" t="str">
        <f>IFERROR(INDEX(PMEREFRI[End Use Category],MATCH(W201,PMEREFRI[Eff Desc 1],0)),"")</f>
        <v/>
      </c>
      <c r="F201" s="152"/>
      <c r="G201">
        <f>INDEX('M04-S02'!$AB$16:$AB$198,2*(ROWS($G$193:G201)-1)+1)</f>
        <v>0</v>
      </c>
      <c r="H201" s="61">
        <f>ROUND(INDEX('M04-S02'!$AE$16:$AE$198,2*(ROWS($H$193:H201)-1)+1),2)</f>
        <v>0</v>
      </c>
      <c r="I201" s="61">
        <f>ROUND(INDEX('M04-S02'!$AG$16:$AG$198,2*(ROWS($I$193:I201)-1)+1),2)</f>
        <v>0</v>
      </c>
      <c r="J201" s="61" t="str">
        <f>INDEX('M04-S02'!$AU$16:$AU$198,2*(ROWS($J$193:J201)-1)+1)</f>
        <v/>
      </c>
      <c r="K201" t="str">
        <f>IFERROR(INDEX(PMEREFRI[Cost Basis],MATCH(W201,PMEREFRI[Eff Desc 1],0)),"")</f>
        <v/>
      </c>
      <c r="L201" s="151">
        <f>INDEX('M04-S02'!$V$16:$V$198,2*(ROWS($L$193:L201)-1)+1)</f>
        <v>0</v>
      </c>
      <c r="M201" s="151">
        <f>IFERROR(IF(ISNUMBER(INDEX('M04-S02'!$AO$16:$AO$198,2*(ROWS($O$193:O201)-1)+1)),INDEX('M04-S02'!$AK$16:$AK$198,2*(ROWS($M$193:M201)-1)+1),0),"")</f>
        <v>0</v>
      </c>
      <c r="N201" s="189" cm="1">
        <f t="array" ref="N201">IFERROR(IF(ISNUMBER(INDEX('M04-S02'!$AO$16:$AO$198,2*(ROWS($O$193:O201)-1)+1)),INDEX('M04-S02'!$AV$16:$AV$198,2*(ROWS($N$193:N201)-1)+1),0),"")</f>
        <v>0</v>
      </c>
      <c r="O201" s="61">
        <f>IFERROR(IF(ISNUMBER(INDEX('M04-S02'!$AO$16:$AO$198,2*(ROWS($O$193:O201)-1)+1)),INDEX('M04-S02'!$AO$16:$AO$198,2*(ROWS($O$193:O201)-1)+1)*INCENTCAPADJ,0),"")</f>
        <v>0</v>
      </c>
      <c r="P201" s="152"/>
      <c r="Q201" s="193"/>
      <c r="R201" s="135"/>
      <c r="S201" s="157"/>
      <c r="T201" s="157"/>
      <c r="U201" s="151">
        <f>INDEX('M04-S02'!$B$16:$B$198,2*(ROWS($U$193:U201)-1)+1)</f>
        <v>9</v>
      </c>
      <c r="V201" s="135"/>
      <c r="W201" s="58">
        <f>INDEX('M04-S02'!$C$16:$C$198,2*(ROWS($W$193:W201)-1)+1)</f>
        <v>0</v>
      </c>
      <c r="X201" s="135"/>
      <c r="Y201">
        <f>INDEX('M04-S02'!$X$16:$X$198,2*(ROWS($Y$193:Y201)-1)+1)</f>
        <v>0</v>
      </c>
      <c r="Z201" s="135"/>
      <c r="AA201" s="135"/>
      <c r="AB201" s="135"/>
      <c r="AC201" s="135"/>
      <c r="AD201" s="135"/>
      <c r="AE201" s="152"/>
      <c r="AF201" s="152"/>
      <c r="AG201" s="152"/>
      <c r="AH201" s="152"/>
      <c r="AI201" s="152"/>
      <c r="AJ201" s="61" t="str">
        <f t="shared" si="59"/>
        <v/>
      </c>
      <c r="AK201" s="61" t="str">
        <f t="shared" si="60"/>
        <v/>
      </c>
      <c r="AL201" s="61" t="str">
        <f t="shared" si="61"/>
        <v/>
      </c>
      <c r="AM201" s="154"/>
      <c r="AN201" s="61" t="str">
        <f t="shared" si="62"/>
        <v/>
      </c>
      <c r="AO201" s="152"/>
      <c r="AP201" s="152"/>
      <c r="AQ201" s="152"/>
      <c r="AR201" s="416"/>
    </row>
    <row r="202" spans="1:44" x14ac:dyDescent="0.25">
      <c r="A202" s="66">
        <f t="shared" si="57"/>
        <v>0</v>
      </c>
      <c r="B202" s="66" t="str">
        <f t="shared" si="58"/>
        <v/>
      </c>
      <c r="C202" s="66" t="str">
        <f>IFERROR(IF(OR(P202&gt;0,O202&gt;0),INDEX(PMEREFRI[Measure '#],MATCH(W202,PMEREFRI[Eff Desc 1],0)),""),"")</f>
        <v/>
      </c>
      <c r="D202" t="s">
        <v>1096</v>
      </c>
      <c r="E202" t="str">
        <f>IFERROR(INDEX(PMEREFRI[End Use Category],MATCH(W202,PMEREFRI[Eff Desc 1],0)),"")</f>
        <v/>
      </c>
      <c r="F202" s="152"/>
      <c r="G202">
        <f>INDEX('M04-S02'!$AB$16:$AB$198,2*(ROWS($G$193:G202)-1)+1)</f>
        <v>0</v>
      </c>
      <c r="H202" s="61">
        <f>ROUND(INDEX('M04-S02'!$AE$16:$AE$198,2*(ROWS($H$193:H202)-1)+1),2)</f>
        <v>0</v>
      </c>
      <c r="I202" s="61">
        <f>ROUND(INDEX('M04-S02'!$AG$16:$AG$198,2*(ROWS($I$193:I202)-1)+1),2)</f>
        <v>0</v>
      </c>
      <c r="J202" s="61" t="str">
        <f>INDEX('M04-S02'!$AU$16:$AU$198,2*(ROWS($J$193:J202)-1)+1)</f>
        <v/>
      </c>
      <c r="K202" t="str">
        <f>IFERROR(INDEX(PMEREFRI[Cost Basis],MATCH(W202,PMEREFRI[Eff Desc 1],0)),"")</f>
        <v/>
      </c>
      <c r="L202" s="151">
        <f>INDEX('M04-S02'!$V$16:$V$198,2*(ROWS($L$193:L202)-1)+1)</f>
        <v>0</v>
      </c>
      <c r="M202" s="151">
        <f>IFERROR(IF(ISNUMBER(INDEX('M04-S02'!$AO$16:$AO$198,2*(ROWS($O$193:O202)-1)+1)),INDEX('M04-S02'!$AK$16:$AK$198,2*(ROWS($M$193:M202)-1)+1),0),"")</f>
        <v>0</v>
      </c>
      <c r="N202" s="189" cm="1">
        <f t="array" ref="N202">IFERROR(IF(ISNUMBER(INDEX('M04-S02'!$AO$16:$AO$198,2*(ROWS($O$193:O202)-1)+1)),INDEX('M04-S02'!$AV$16:$AV$198,2*(ROWS($N$193:N202)-1)+1),0),"")</f>
        <v>0</v>
      </c>
      <c r="O202" s="61">
        <f>IFERROR(IF(ISNUMBER(INDEX('M04-S02'!$AO$16:$AO$198,2*(ROWS($O$193:O202)-1)+1)),INDEX('M04-S02'!$AO$16:$AO$198,2*(ROWS($O$193:O202)-1)+1)*INCENTCAPADJ,0),"")</f>
        <v>0</v>
      </c>
      <c r="P202" s="152"/>
      <c r="Q202" s="193"/>
      <c r="R202" s="135"/>
      <c r="S202" s="157"/>
      <c r="T202" s="157"/>
      <c r="U202" s="151">
        <f>INDEX('M04-S02'!$B$16:$B$198,2*(ROWS($U$193:U202)-1)+1)</f>
        <v>10</v>
      </c>
      <c r="V202" s="135"/>
      <c r="W202" s="58">
        <f>INDEX('M04-S02'!$C$16:$C$198,2*(ROWS($W$193:W202)-1)+1)</f>
        <v>0</v>
      </c>
      <c r="X202" s="135"/>
      <c r="Y202">
        <f>INDEX('M04-S02'!$X$16:$X$198,2*(ROWS($Y$193:Y202)-1)+1)</f>
        <v>0</v>
      </c>
      <c r="Z202" s="135"/>
      <c r="AA202" s="135"/>
      <c r="AB202" s="135"/>
      <c r="AC202" s="135"/>
      <c r="AD202" s="135"/>
      <c r="AE202" s="152"/>
      <c r="AF202" s="152"/>
      <c r="AG202" s="152"/>
      <c r="AH202" s="152"/>
      <c r="AI202" s="152"/>
      <c r="AJ202" s="61" t="str">
        <f t="shared" si="59"/>
        <v/>
      </c>
      <c r="AK202" s="61" t="str">
        <f t="shared" si="60"/>
        <v/>
      </c>
      <c r="AL202" s="61" t="str">
        <f t="shared" si="61"/>
        <v/>
      </c>
      <c r="AM202" s="154"/>
      <c r="AN202" s="61" t="str">
        <f t="shared" si="62"/>
        <v/>
      </c>
      <c r="AO202" s="152"/>
      <c r="AP202" s="152"/>
      <c r="AQ202" s="152"/>
      <c r="AR202" s="416"/>
    </row>
    <row r="203" spans="1:44" x14ac:dyDescent="0.25">
      <c r="A203" s="207" t="str">
        <f>CONCATENATE(MAIN4," ",M4S3)</f>
        <v>STANDARD MEASURES Commercial Cooking</v>
      </c>
      <c r="B203" s="209"/>
      <c r="C203" s="209"/>
      <c r="D203" s="164"/>
      <c r="E203" s="164"/>
      <c r="F203" s="170"/>
      <c r="G203" s="164"/>
      <c r="H203" s="171"/>
      <c r="I203" s="171"/>
      <c r="J203" s="171"/>
      <c r="K203" s="164"/>
      <c r="L203" s="170"/>
      <c r="M203" s="170"/>
      <c r="N203" s="191"/>
      <c r="O203" s="171"/>
      <c r="P203" s="176"/>
      <c r="Q203" s="194"/>
      <c r="R203" s="174"/>
      <c r="S203" s="177"/>
      <c r="T203" s="177"/>
      <c r="U203" s="170"/>
      <c r="V203" s="174"/>
      <c r="W203" s="173"/>
      <c r="X203" s="174"/>
      <c r="Y203" s="164"/>
      <c r="Z203" s="164"/>
      <c r="AA203" s="164"/>
      <c r="AB203" s="164"/>
      <c r="AC203" s="164"/>
      <c r="AD203" s="164"/>
      <c r="AE203" s="176"/>
      <c r="AF203" s="176"/>
      <c r="AG203" s="176"/>
      <c r="AH203" s="176"/>
      <c r="AI203" s="176"/>
      <c r="AJ203" s="171" t="str">
        <f>IFERROR(O203/M203,"")</f>
        <v/>
      </c>
      <c r="AK203" s="171" t="str">
        <f>IFERROR(O203/N203,"")</f>
        <v/>
      </c>
      <c r="AL203" s="171" t="str">
        <f>IFERROR(O203/L203,"")</f>
        <v/>
      </c>
      <c r="AM203" s="175"/>
      <c r="AN203" s="171" t="str">
        <f>IFERROR(J203/M203/M02S02F35,"")</f>
        <v/>
      </c>
      <c r="AO203" s="170"/>
      <c r="AP203" s="170"/>
      <c r="AQ203" s="170"/>
      <c r="AR203" s="412"/>
    </row>
    <row r="204" spans="1:44" x14ac:dyDescent="0.25">
      <c r="A204" s="66">
        <f t="shared" ref="A204:A213" si="63">PROJID</f>
        <v>0</v>
      </c>
      <c r="B204" s="66" t="str">
        <f>IF(C204="","",CONCATENATE(ROW(),"-",C204))</f>
        <v/>
      </c>
      <c r="C204" s="66" t="str">
        <f>IFERROR(IF(O204&gt;0,INDEX(PMEKITCHEN[Measure '#],MATCH(W204,PMEKITCHEN[Eff Desc 1],0)),""),"")</f>
        <v/>
      </c>
      <c r="D204" t="s">
        <v>1096</v>
      </c>
      <c r="E204" t="str">
        <f>IFERROR(INDEX(PMEKITCHEN[End Use Category],MATCH(W204,PMEKITCHEN[Eff Desc 1],0)),"")</f>
        <v/>
      </c>
      <c r="F204" s="152"/>
      <c r="G204">
        <f>INDEX('M04-S03'!$AB$16:$AB$198,2*(ROWS($G$204:G204)-1)+1)</f>
        <v>0</v>
      </c>
      <c r="H204" s="61">
        <f>ROUND(INDEX('M04-S03'!$AE$16:$AE$198,2*(ROWS($H$204:H204)-1)+1),2)</f>
        <v>0</v>
      </c>
      <c r="I204" s="61">
        <f>ROUND(INDEX('M04-S03'!$AG$16:$AG$198,2*(ROWS($I$204:I204)-1)+1),2)</f>
        <v>0</v>
      </c>
      <c r="J204" s="61" t="str">
        <f>INDEX('M04-S03'!$AU$16:$AU$198,2*(ROWS($J$204:J204)-1)+1)</f>
        <v/>
      </c>
      <c r="K204" t="str">
        <f>IFERROR(INDEX(PMEKITCHEN[Cost Basis],MATCH(W204,PMEKITCHEN[Eff Desc 1],0)),"")</f>
        <v/>
      </c>
      <c r="L204" s="151">
        <f>IFERROR(IF(ISNUMBER(SEARCH("Demand Control",INDEX('M04-S03'!$C$16:$C$198,2*(ROWS($L$204:L204)-1)+1))),INDEX('M04-S03'!$V$16:$V$198,2*(ROWS($L$204:L204)-1)+1)*INDEX('M04-S03'!$S$16:$S$198,2*(ROWS($L$204:L204)-1)+1),INDEX('M04-S03'!$V$16:$V$198,2*(ROWS($L$204:L204)-1)+1)),0)</f>
        <v>0</v>
      </c>
      <c r="M204" s="151" cm="1">
        <f t="array" ref="M204">IFERROR(IF(ISNUMBER(INDEX('M04-S03'!$AO$16:$AO$198,2*(ROWS($O$204:O204)-1)+1)),INDEX('M04-S03'!$AK$16:$AK$198,2*(ROWS($M$204:M204)-1)+1),0),"")</f>
        <v>0</v>
      </c>
      <c r="N204" s="189" cm="1">
        <f t="array" ref="N204">IFERROR(IF(ISNUMBER(INDEX('M04-S03'!$AO$16:$AO$198,2*(ROWS($O$204:O204)-1)+1)),INDEX('M04-S03'!$AV$16:$AV$198,2*(ROWS($N$204:N204)-1)+1),0),"")</f>
        <v>0</v>
      </c>
      <c r="O204" s="61" cm="1">
        <f t="array" ref="O204">IFERROR(IF(ISNUMBER(INDEX('M04-S03'!$AO$16:$AO$198,2*(ROWS($O$204:O204)-1)+1)),INDEX('M04-S03'!$AO$16:$AO$198,2*(ROWS($O$204:O204)-1)+1)*INCENTCAPADJ,0),"")</f>
        <v>0</v>
      </c>
      <c r="P204" s="152"/>
      <c r="Q204" s="193"/>
      <c r="R204" s="135"/>
      <c r="S204" s="157"/>
      <c r="T204" s="157"/>
      <c r="U204" s="151">
        <f>INDEX('M04-S03'!$B$16:$B$198,2*(ROWS($U$204:U204)-1)+1)</f>
        <v>1</v>
      </c>
      <c r="V204" s="135"/>
      <c r="W204" s="58">
        <f>INDEX('M04-S03'!$C$16:$C$198,2*(ROWS($W$204:W204)-1)+1)</f>
        <v>0</v>
      </c>
      <c r="X204" s="135"/>
      <c r="Y204">
        <f>INDEX('M04-S03'!$X$16:$X$198,2*(ROWS($Y$204:Y204)-1)+1)</f>
        <v>0</v>
      </c>
      <c r="Z204" s="135"/>
      <c r="AA204" s="135"/>
      <c r="AB204" s="135"/>
      <c r="AC204" s="135"/>
      <c r="AD204" s="135"/>
      <c r="AE204" s="152"/>
      <c r="AF204" s="152"/>
      <c r="AG204" s="152"/>
      <c r="AH204" s="152"/>
      <c r="AI204" s="152"/>
      <c r="AJ204" s="61" t="str">
        <f>IFERROR(O204/M204,"")</f>
        <v/>
      </c>
      <c r="AK204" s="61" t="str">
        <f>IFERROR(O204/N204,"")</f>
        <v/>
      </c>
      <c r="AL204" s="61" t="str">
        <f>IFERROR(O204/L204,"")</f>
        <v/>
      </c>
      <c r="AM204" s="154"/>
      <c r="AN204" s="61" t="str">
        <f>IFERROR(J204/M204/M02S02F35,"")</f>
        <v/>
      </c>
      <c r="AO204" s="152"/>
      <c r="AP204" s="152"/>
      <c r="AQ204" s="152"/>
      <c r="AR204" s="416"/>
    </row>
    <row r="205" spans="1:44" x14ac:dyDescent="0.25">
      <c r="A205" s="66">
        <f t="shared" si="63"/>
        <v>0</v>
      </c>
      <c r="B205" s="66" t="str">
        <f t="shared" ref="B205:B213" si="64">IF(C205="","",CONCATENATE(ROW(),"-",C205))</f>
        <v/>
      </c>
      <c r="C205" s="66" t="str">
        <f>IFERROR(IF(O205&gt;0,INDEX(PMEKITCHEN[Measure '#],MATCH(W205,PMEKITCHEN[Eff Desc 1],0)),""),"")</f>
        <v/>
      </c>
      <c r="D205" t="s">
        <v>1096</v>
      </c>
      <c r="E205" t="str">
        <f>IFERROR(INDEX(PMEKITCHEN[End Use Category],MATCH(W205,PMEKITCHEN[Eff Desc 1],0)),"")</f>
        <v/>
      </c>
      <c r="F205" s="152"/>
      <c r="G205">
        <f>INDEX('M04-S03'!$AB$16:$AB$198,2*(ROWS($G$204:G205)-1)+1)</f>
        <v>0</v>
      </c>
      <c r="H205" s="61">
        <f>ROUND(INDEX('M04-S03'!$AE$16:$AE$198,2*(ROWS($H$204:H205)-1)+1),2)</f>
        <v>0</v>
      </c>
      <c r="I205" s="61">
        <f>ROUND(INDEX('M04-S03'!$AG$16:$AG$198,2*(ROWS($I$204:I205)-1)+1),2)</f>
        <v>0</v>
      </c>
      <c r="J205" s="61" t="str">
        <f>INDEX('M04-S03'!$AU$16:$AU$198,2*(ROWS($J$204:J205)-1)+1)</f>
        <v/>
      </c>
      <c r="K205" t="str">
        <f>IFERROR(INDEX(PMEKITCHEN[Cost Basis],MATCH(W205,PMEKITCHEN[Eff Desc 1],0)),"")</f>
        <v/>
      </c>
      <c r="L205" s="151">
        <f>IFERROR(IF(ISNUMBER(SEARCH("Demand Control",INDEX('M04-S03'!$C$16:$C$198,2*(ROWS($L$204:L205)-1)+1))),INDEX('M04-S03'!$V$16:$V$198,2*(ROWS($L$204:L205)-1)+1)*INDEX('M04-S03'!$S$16:$S$198,2*(ROWS($L$204:L205)-1)+1),INDEX('M04-S03'!$V$16:$V$198,2*(ROWS($L$204:L205)-1)+1)),0)</f>
        <v>0</v>
      </c>
      <c r="M205" s="151" cm="1">
        <f t="array" ref="M205">IFERROR(IF(ISNUMBER(INDEX('M04-S03'!$AO$16:$AO$198,2*(ROWS($O$204:O205)-1)+1)),INDEX('M04-S03'!$AK$16:$AK$198,2*(ROWS($M$204:M205)-1)+1),0),"")</f>
        <v>0</v>
      </c>
      <c r="N205" s="189" cm="1">
        <f t="array" ref="N205">IFERROR(IF(ISNUMBER(INDEX('M04-S03'!$AO$16:$AO$198,2*(ROWS($O$204:O205)-1)+1)),INDEX('M04-S03'!$AV$16:$AV$198,2*(ROWS($N$204:N205)-1)+1),0),"")</f>
        <v>0</v>
      </c>
      <c r="O205" s="61" cm="1">
        <f t="array" ref="O205">IFERROR(IF(ISNUMBER(INDEX('M04-S03'!$AO$16:$AO$198,2*(ROWS($O$204:O205)-1)+1)),INDEX('M04-S03'!$AO$16:$AO$198,2*(ROWS($O$204:O205)-1)+1)*INCENTCAPADJ,0),"")</f>
        <v>0</v>
      </c>
      <c r="P205" s="152"/>
      <c r="Q205" s="193"/>
      <c r="R205" s="135"/>
      <c r="S205" s="157"/>
      <c r="T205" s="157"/>
      <c r="U205" s="151">
        <f>INDEX('M04-S03'!$B$16:$B$198,2*(ROWS($U$204:U205)-1)+1)</f>
        <v>2</v>
      </c>
      <c r="V205" s="135"/>
      <c r="W205" s="58">
        <f>INDEX('M04-S03'!$C$16:$C$198,2*(ROWS($W$204:W205)-1)+1)</f>
        <v>0</v>
      </c>
      <c r="X205" s="135"/>
      <c r="Y205">
        <f>INDEX('M04-S03'!$X$16:$X$198,2*(ROWS($Y$204:Y205)-1)+1)</f>
        <v>0</v>
      </c>
      <c r="Z205" s="135"/>
      <c r="AA205" s="135"/>
      <c r="AB205" s="135"/>
      <c r="AC205" s="135"/>
      <c r="AD205" s="135"/>
      <c r="AE205" s="152"/>
      <c r="AF205" s="152"/>
      <c r="AG205" s="152"/>
      <c r="AH205" s="152"/>
      <c r="AI205" s="152"/>
      <c r="AJ205" s="61" t="str">
        <f t="shared" ref="AJ205:AJ213" si="65">IFERROR(O205/M205,"")</f>
        <v/>
      </c>
      <c r="AK205" s="61" t="str">
        <f t="shared" ref="AK205:AK213" si="66">IFERROR(O205/N205,"")</f>
        <v/>
      </c>
      <c r="AL205" s="61" t="str">
        <f t="shared" ref="AL205:AL213" si="67">IFERROR(O205/L205,"")</f>
        <v/>
      </c>
      <c r="AM205" s="154"/>
      <c r="AN205" s="61" t="str">
        <f t="shared" ref="AN205:AN213" si="68">IFERROR(J205/M205/M02S02F35,"")</f>
        <v/>
      </c>
      <c r="AO205" s="152"/>
      <c r="AP205" s="152"/>
      <c r="AQ205" s="152"/>
      <c r="AR205" s="416"/>
    </row>
    <row r="206" spans="1:44" x14ac:dyDescent="0.25">
      <c r="A206" s="66">
        <f t="shared" si="63"/>
        <v>0</v>
      </c>
      <c r="B206" s="66" t="str">
        <f t="shared" si="64"/>
        <v/>
      </c>
      <c r="C206" s="66" t="str">
        <f>IFERROR(IF(O206&gt;0,INDEX(PMEKITCHEN[Measure '#],MATCH(W206,PMEKITCHEN[Eff Desc 1],0)),""),"")</f>
        <v/>
      </c>
      <c r="D206" t="s">
        <v>1096</v>
      </c>
      <c r="E206" t="str">
        <f>IFERROR(INDEX(PMEKITCHEN[End Use Category],MATCH(W206,PMEKITCHEN[Eff Desc 1],0)),"")</f>
        <v/>
      </c>
      <c r="F206" s="152"/>
      <c r="G206">
        <f>INDEX('M04-S03'!$AB$16:$AB$198,2*(ROWS($G$204:G206)-1)+1)</f>
        <v>0</v>
      </c>
      <c r="H206" s="61">
        <f>ROUND(INDEX('M04-S03'!$AE$16:$AE$198,2*(ROWS($H$204:H206)-1)+1),2)</f>
        <v>0</v>
      </c>
      <c r="I206" s="61">
        <f>ROUND(INDEX('M04-S03'!$AG$16:$AG$198,2*(ROWS($I$204:I206)-1)+1),2)</f>
        <v>0</v>
      </c>
      <c r="J206" s="61" t="str">
        <f>INDEX('M04-S03'!$AU$16:$AU$198,2*(ROWS($J$204:J206)-1)+1)</f>
        <v/>
      </c>
      <c r="K206" t="str">
        <f>IFERROR(INDEX(PMEKITCHEN[Cost Basis],MATCH(W206,PMEKITCHEN[Eff Desc 1],0)),"")</f>
        <v/>
      </c>
      <c r="L206" s="151">
        <f>IFERROR(IF(ISNUMBER(SEARCH("Demand Control",INDEX('M04-S03'!$C$16:$C$198,2*(ROWS($L$204:L206)-1)+1))),INDEX('M04-S03'!$V$16:$V$198,2*(ROWS($L$204:L206)-1)+1)*INDEX('M04-S03'!$S$16:$S$198,2*(ROWS($L$204:L206)-1)+1),INDEX('M04-S03'!$V$16:$V$198,2*(ROWS($L$204:L206)-1)+1)),0)</f>
        <v>0</v>
      </c>
      <c r="M206" s="151" cm="1">
        <f t="array" ref="M206">IFERROR(IF(ISNUMBER(INDEX('M04-S03'!$AO$16:$AO$198,2*(ROWS($O$204:O206)-1)+1)),INDEX('M04-S03'!$AK$16:$AK$198,2*(ROWS($M$204:M206)-1)+1),0),"")</f>
        <v>0</v>
      </c>
      <c r="N206" s="189" cm="1">
        <f t="array" ref="N206">IFERROR(IF(ISNUMBER(INDEX('M04-S03'!$AO$16:$AO$198,2*(ROWS($O$204:O206)-1)+1)),INDEX('M04-S03'!$AV$16:$AV$198,2*(ROWS($N$204:N206)-1)+1),0),"")</f>
        <v>0</v>
      </c>
      <c r="O206" s="61" cm="1">
        <f t="array" ref="O206">IFERROR(IF(ISNUMBER(INDEX('M04-S03'!$AO$16:$AO$198,2*(ROWS($O$204:O206)-1)+1)),INDEX('M04-S03'!$AO$16:$AO$198,2*(ROWS($O$204:O206)-1)+1)*INCENTCAPADJ,0),"")</f>
        <v>0</v>
      </c>
      <c r="P206" s="152"/>
      <c r="Q206" s="193"/>
      <c r="R206" s="135"/>
      <c r="S206" s="157"/>
      <c r="T206" s="157"/>
      <c r="U206" s="151">
        <f>INDEX('M04-S03'!$B$16:$B$198,2*(ROWS($U$204:U206)-1)+1)</f>
        <v>3</v>
      </c>
      <c r="V206" s="135"/>
      <c r="W206" s="58">
        <f>INDEX('M04-S03'!$C$16:$C$198,2*(ROWS($W$204:W206)-1)+1)</f>
        <v>0</v>
      </c>
      <c r="X206" s="135"/>
      <c r="Y206">
        <f>INDEX('M04-S03'!$X$16:$X$198,2*(ROWS($Y$204:Y206)-1)+1)</f>
        <v>0</v>
      </c>
      <c r="Z206" s="135"/>
      <c r="AA206" s="135"/>
      <c r="AB206" s="135"/>
      <c r="AC206" s="135"/>
      <c r="AD206" s="135"/>
      <c r="AE206" s="152"/>
      <c r="AF206" s="152"/>
      <c r="AG206" s="152"/>
      <c r="AH206" s="152"/>
      <c r="AI206" s="152"/>
      <c r="AJ206" s="61" t="str">
        <f t="shared" si="65"/>
        <v/>
      </c>
      <c r="AK206" s="61" t="str">
        <f t="shared" si="66"/>
        <v/>
      </c>
      <c r="AL206" s="61" t="str">
        <f t="shared" si="67"/>
        <v/>
      </c>
      <c r="AM206" s="154"/>
      <c r="AN206" s="61" t="str">
        <f t="shared" si="68"/>
        <v/>
      </c>
      <c r="AO206" s="152"/>
      <c r="AP206" s="152"/>
      <c r="AQ206" s="152"/>
      <c r="AR206" s="416"/>
    </row>
    <row r="207" spans="1:44" x14ac:dyDescent="0.25">
      <c r="A207" s="66">
        <f t="shared" si="63"/>
        <v>0</v>
      </c>
      <c r="B207" s="66" t="str">
        <f t="shared" si="64"/>
        <v/>
      </c>
      <c r="C207" s="66" t="str">
        <f>IFERROR(IF(O207&gt;0,INDEX(PMEKITCHEN[Measure '#],MATCH(W207,PMEKITCHEN[Eff Desc 1],0)),""),"")</f>
        <v/>
      </c>
      <c r="D207" t="s">
        <v>1096</v>
      </c>
      <c r="E207" t="str">
        <f>IFERROR(INDEX(PMEKITCHEN[End Use Category],MATCH(W207,PMEKITCHEN[Eff Desc 1],0)),"")</f>
        <v/>
      </c>
      <c r="F207" s="152"/>
      <c r="G207">
        <f>INDEX('M04-S03'!$AB$16:$AB$198,2*(ROWS($G$204:G207)-1)+1)</f>
        <v>0</v>
      </c>
      <c r="H207" s="61">
        <f>ROUND(INDEX('M04-S03'!$AE$16:$AE$198,2*(ROWS($H$204:H207)-1)+1),2)</f>
        <v>0</v>
      </c>
      <c r="I207" s="61">
        <f>ROUND(INDEX('M04-S03'!$AG$16:$AG$198,2*(ROWS($I$204:I207)-1)+1),2)</f>
        <v>0</v>
      </c>
      <c r="J207" s="61" t="str">
        <f>INDEX('M04-S03'!$AU$16:$AU$198,2*(ROWS($J$204:J207)-1)+1)</f>
        <v/>
      </c>
      <c r="K207" t="str">
        <f>IFERROR(INDEX(PMEKITCHEN[Cost Basis],MATCH(W207,PMEKITCHEN[Eff Desc 1],0)),"")</f>
        <v/>
      </c>
      <c r="L207" s="151">
        <f>IFERROR(IF(ISNUMBER(SEARCH("Demand Control",INDEX('M04-S03'!$C$16:$C$198,2*(ROWS($L$204:L207)-1)+1))),INDEX('M04-S03'!$V$16:$V$198,2*(ROWS($L$204:L207)-1)+1)*INDEX('M04-S03'!$S$16:$S$198,2*(ROWS($L$204:L207)-1)+1),INDEX('M04-S03'!$V$16:$V$198,2*(ROWS($L$204:L207)-1)+1)),0)</f>
        <v>0</v>
      </c>
      <c r="M207" s="151" cm="1">
        <f t="array" ref="M207">IFERROR(IF(ISNUMBER(INDEX('M04-S03'!$AO$16:$AO$198,2*(ROWS($O$204:O207)-1)+1)),INDEX('M04-S03'!$AK$16:$AK$198,2*(ROWS($M$204:M207)-1)+1),0),"")</f>
        <v>0</v>
      </c>
      <c r="N207" s="189" cm="1">
        <f t="array" ref="N207">IFERROR(IF(ISNUMBER(INDEX('M04-S03'!$AO$16:$AO$198,2*(ROWS($O$204:O207)-1)+1)),INDEX('M04-S03'!$AV$16:$AV$198,2*(ROWS($N$204:N207)-1)+1),0),"")</f>
        <v>0</v>
      </c>
      <c r="O207" s="61" cm="1">
        <f t="array" ref="O207">IFERROR(IF(ISNUMBER(INDEX('M04-S03'!$AO$16:$AO$198,2*(ROWS($O$204:O207)-1)+1)),INDEX('M04-S03'!$AO$16:$AO$198,2*(ROWS($O$204:O207)-1)+1)*INCENTCAPADJ,0),"")</f>
        <v>0</v>
      </c>
      <c r="P207" s="152"/>
      <c r="Q207" s="193"/>
      <c r="R207" s="135"/>
      <c r="S207" s="157"/>
      <c r="T207" s="157"/>
      <c r="U207" s="151">
        <f>INDEX('M04-S03'!$B$16:$B$198,2*(ROWS($U$204:U207)-1)+1)</f>
        <v>4</v>
      </c>
      <c r="V207" s="135"/>
      <c r="W207" s="58">
        <f>INDEX('M04-S03'!$C$16:$C$198,2*(ROWS($W$204:W207)-1)+1)</f>
        <v>0</v>
      </c>
      <c r="X207" s="135"/>
      <c r="Y207">
        <f>INDEX('M04-S03'!$X$16:$X$198,2*(ROWS($Y$204:Y207)-1)+1)</f>
        <v>0</v>
      </c>
      <c r="Z207" s="135"/>
      <c r="AA207" s="135"/>
      <c r="AB207" s="135"/>
      <c r="AC207" s="135"/>
      <c r="AD207" s="135"/>
      <c r="AE207" s="152"/>
      <c r="AF207" s="152"/>
      <c r="AG207" s="152"/>
      <c r="AH207" s="152"/>
      <c r="AI207" s="152"/>
      <c r="AJ207" s="61" t="str">
        <f t="shared" si="65"/>
        <v/>
      </c>
      <c r="AK207" s="61" t="str">
        <f t="shared" si="66"/>
        <v/>
      </c>
      <c r="AL207" s="61" t="str">
        <f t="shared" si="67"/>
        <v/>
      </c>
      <c r="AM207" s="154"/>
      <c r="AN207" s="61" t="str">
        <f t="shared" si="68"/>
        <v/>
      </c>
      <c r="AO207" s="152"/>
      <c r="AP207" s="152"/>
      <c r="AQ207" s="152"/>
      <c r="AR207" s="416"/>
    </row>
    <row r="208" spans="1:44" x14ac:dyDescent="0.25">
      <c r="A208" s="66">
        <f t="shared" si="63"/>
        <v>0</v>
      </c>
      <c r="B208" s="66" t="str">
        <f t="shared" si="64"/>
        <v/>
      </c>
      <c r="C208" s="66" t="str">
        <f>IFERROR(IF(O208&gt;0,INDEX(PMEKITCHEN[Measure '#],MATCH(W208,PMEKITCHEN[Eff Desc 1],0)),""),"")</f>
        <v/>
      </c>
      <c r="D208" t="s">
        <v>1096</v>
      </c>
      <c r="E208" t="str">
        <f>IFERROR(INDEX(PMEKITCHEN[End Use Category],MATCH(W208,PMEKITCHEN[Eff Desc 1],0)),"")</f>
        <v/>
      </c>
      <c r="F208" s="152"/>
      <c r="G208">
        <f>INDEX('M04-S03'!$AB$16:$AB$198,2*(ROWS($G$204:G208)-1)+1)</f>
        <v>0</v>
      </c>
      <c r="H208" s="61">
        <f>ROUND(INDEX('M04-S03'!$AE$16:$AE$198,2*(ROWS($H$204:H208)-1)+1),2)</f>
        <v>0</v>
      </c>
      <c r="I208" s="61">
        <f>ROUND(INDEX('M04-S03'!$AG$16:$AG$198,2*(ROWS($I$204:I208)-1)+1),2)</f>
        <v>0</v>
      </c>
      <c r="J208" s="61" t="str">
        <f>INDEX('M04-S03'!$AU$16:$AU$198,2*(ROWS($J$204:J208)-1)+1)</f>
        <v/>
      </c>
      <c r="K208" t="str">
        <f>IFERROR(INDEX(PMEKITCHEN[Cost Basis],MATCH(W208,PMEKITCHEN[Eff Desc 1],0)),"")</f>
        <v/>
      </c>
      <c r="L208" s="151">
        <f>IFERROR(IF(ISNUMBER(SEARCH("Demand Control",INDEX('M04-S03'!$C$16:$C$198,2*(ROWS($L$204:L208)-1)+1))),INDEX('M04-S03'!$V$16:$V$198,2*(ROWS($L$204:L208)-1)+1)*INDEX('M04-S03'!$S$16:$S$198,2*(ROWS($L$204:L208)-1)+1),INDEX('M04-S03'!$V$16:$V$198,2*(ROWS($L$204:L208)-1)+1)),0)</f>
        <v>0</v>
      </c>
      <c r="M208" s="151" cm="1">
        <f t="array" ref="M208">IFERROR(IF(ISNUMBER(INDEX('M04-S03'!$AO$16:$AO$198,2*(ROWS($O$204:O208)-1)+1)),INDEX('M04-S03'!$AK$16:$AK$198,2*(ROWS($M$204:M208)-1)+1),0),"")</f>
        <v>0</v>
      </c>
      <c r="N208" s="189" cm="1">
        <f t="array" ref="N208">IFERROR(IF(ISNUMBER(INDEX('M04-S03'!$AO$16:$AO$198,2*(ROWS($O$204:O208)-1)+1)),INDEX('M04-S03'!$AV$16:$AV$198,2*(ROWS($N$204:N208)-1)+1),0),"")</f>
        <v>0</v>
      </c>
      <c r="O208" s="61" cm="1">
        <f t="array" ref="O208">IFERROR(IF(ISNUMBER(INDEX('M04-S03'!$AO$16:$AO$198,2*(ROWS($O$204:O208)-1)+1)),INDEX('M04-S03'!$AO$16:$AO$198,2*(ROWS($O$204:O208)-1)+1)*INCENTCAPADJ,0),"")</f>
        <v>0</v>
      </c>
      <c r="P208" s="152"/>
      <c r="Q208" s="193"/>
      <c r="R208" s="135"/>
      <c r="S208" s="157"/>
      <c r="T208" s="157"/>
      <c r="U208" s="151">
        <f>INDEX('M04-S03'!$B$16:$B$198,2*(ROWS($U$204:U208)-1)+1)</f>
        <v>5</v>
      </c>
      <c r="V208" s="135"/>
      <c r="W208" s="58">
        <f>INDEX('M04-S03'!$C$16:$C$198,2*(ROWS($W$204:W208)-1)+1)</f>
        <v>0</v>
      </c>
      <c r="X208" s="135"/>
      <c r="Y208">
        <f>INDEX('M04-S03'!$X$16:$X$198,2*(ROWS($Y$204:Y208)-1)+1)</f>
        <v>0</v>
      </c>
      <c r="Z208" s="135"/>
      <c r="AA208" s="135"/>
      <c r="AB208" s="135"/>
      <c r="AC208" s="135"/>
      <c r="AD208" s="135"/>
      <c r="AE208" s="152"/>
      <c r="AF208" s="152"/>
      <c r="AG208" s="152"/>
      <c r="AH208" s="152"/>
      <c r="AI208" s="152"/>
      <c r="AJ208" s="61" t="str">
        <f t="shared" si="65"/>
        <v/>
      </c>
      <c r="AK208" s="61" t="str">
        <f t="shared" si="66"/>
        <v/>
      </c>
      <c r="AL208" s="61" t="str">
        <f t="shared" si="67"/>
        <v/>
      </c>
      <c r="AM208" s="154"/>
      <c r="AN208" s="61" t="str">
        <f t="shared" si="68"/>
        <v/>
      </c>
      <c r="AO208" s="152"/>
      <c r="AP208" s="152"/>
      <c r="AQ208" s="152"/>
      <c r="AR208" s="416"/>
    </row>
    <row r="209" spans="1:44" x14ac:dyDescent="0.25">
      <c r="A209" s="66">
        <f t="shared" si="63"/>
        <v>0</v>
      </c>
      <c r="B209" s="66" t="str">
        <f t="shared" si="64"/>
        <v/>
      </c>
      <c r="C209" s="66" t="str">
        <f>IFERROR(IF(O209&gt;0,INDEX(PMEKITCHEN[Measure '#],MATCH(W209,PMEKITCHEN[Eff Desc 1],0)),""),"")</f>
        <v/>
      </c>
      <c r="D209" t="s">
        <v>1096</v>
      </c>
      <c r="E209" t="str">
        <f>IFERROR(INDEX(PMEKITCHEN[End Use Category],MATCH(W209,PMEKITCHEN[Eff Desc 1],0)),"")</f>
        <v/>
      </c>
      <c r="F209" s="152"/>
      <c r="G209">
        <f>INDEX('M04-S03'!$AB$16:$AB$198,2*(ROWS($G$204:G209)-1)+1)</f>
        <v>0</v>
      </c>
      <c r="H209" s="61">
        <f>ROUND(INDEX('M04-S03'!$AE$16:$AE$198,2*(ROWS($H$204:H209)-1)+1),2)</f>
        <v>0</v>
      </c>
      <c r="I209" s="61">
        <f>ROUND(INDEX('M04-S03'!$AG$16:$AG$198,2*(ROWS($I$204:I209)-1)+1),2)</f>
        <v>0</v>
      </c>
      <c r="J209" s="61" t="str">
        <f>INDEX('M04-S03'!$AU$16:$AU$198,2*(ROWS($J$204:J209)-1)+1)</f>
        <v/>
      </c>
      <c r="K209" t="str">
        <f>IFERROR(INDEX(PMEKITCHEN[Cost Basis],MATCH(W209,PMEKITCHEN[Eff Desc 1],0)),"")</f>
        <v/>
      </c>
      <c r="L209" s="151">
        <f>IFERROR(IF(ISNUMBER(SEARCH("Demand Control",INDEX('M04-S03'!$C$16:$C$198,2*(ROWS($L$204:L209)-1)+1))),INDEX('M04-S03'!$V$16:$V$198,2*(ROWS($L$204:L209)-1)+1)*INDEX('M04-S03'!$S$16:$S$198,2*(ROWS($L$204:L209)-1)+1),INDEX('M04-S03'!$V$16:$V$198,2*(ROWS($L$204:L209)-1)+1)),0)</f>
        <v>0</v>
      </c>
      <c r="M209" s="151" cm="1">
        <f t="array" ref="M209">IFERROR(IF(ISNUMBER(INDEX('M04-S03'!$AO$16:$AO$198,2*(ROWS($O$204:O209)-1)+1)),INDEX('M04-S03'!$AK$16:$AK$198,2*(ROWS($M$204:M209)-1)+1),0),"")</f>
        <v>0</v>
      </c>
      <c r="N209" s="189" cm="1">
        <f t="array" ref="N209">IFERROR(IF(ISNUMBER(INDEX('M04-S03'!$AO$16:$AO$198,2*(ROWS($O$204:O209)-1)+1)),INDEX('M04-S03'!$AV$16:$AV$198,2*(ROWS($N$204:N209)-1)+1),0),"")</f>
        <v>0</v>
      </c>
      <c r="O209" s="61" cm="1">
        <f t="array" ref="O209">IFERROR(IF(ISNUMBER(INDEX('M04-S03'!$AO$16:$AO$198,2*(ROWS($O$204:O209)-1)+1)),INDEX('M04-S03'!$AO$16:$AO$198,2*(ROWS($O$204:O209)-1)+1)*INCENTCAPADJ,0),"")</f>
        <v>0</v>
      </c>
      <c r="P209" s="152"/>
      <c r="Q209" s="193"/>
      <c r="R209" s="135"/>
      <c r="S209" s="157"/>
      <c r="T209" s="157"/>
      <c r="U209" s="151">
        <f>INDEX('M04-S03'!$B$16:$B$198,2*(ROWS($U$204:U209)-1)+1)</f>
        <v>6</v>
      </c>
      <c r="V209" s="135"/>
      <c r="W209" s="58">
        <f>INDEX('M04-S03'!$C$16:$C$198,2*(ROWS($W$204:W209)-1)+1)</f>
        <v>0</v>
      </c>
      <c r="X209" s="135"/>
      <c r="Y209">
        <f>INDEX('M04-S03'!$X$16:$X$198,2*(ROWS($Y$204:Y209)-1)+1)</f>
        <v>0</v>
      </c>
      <c r="Z209" s="135"/>
      <c r="AA209" s="135"/>
      <c r="AB209" s="135"/>
      <c r="AC209" s="135"/>
      <c r="AD209" s="135"/>
      <c r="AE209" s="152"/>
      <c r="AF209" s="152"/>
      <c r="AG209" s="152"/>
      <c r="AH209" s="152"/>
      <c r="AI209" s="152"/>
      <c r="AJ209" s="61" t="str">
        <f t="shared" si="65"/>
        <v/>
      </c>
      <c r="AK209" s="61" t="str">
        <f t="shared" si="66"/>
        <v/>
      </c>
      <c r="AL209" s="61" t="str">
        <f t="shared" si="67"/>
        <v/>
      </c>
      <c r="AM209" s="154"/>
      <c r="AN209" s="61" t="str">
        <f t="shared" si="68"/>
        <v/>
      </c>
      <c r="AO209" s="152"/>
      <c r="AP209" s="152"/>
      <c r="AQ209" s="152"/>
      <c r="AR209" s="416"/>
    </row>
    <row r="210" spans="1:44" x14ac:dyDescent="0.25">
      <c r="A210" s="66">
        <f t="shared" si="63"/>
        <v>0</v>
      </c>
      <c r="B210" s="66" t="str">
        <f t="shared" si="64"/>
        <v/>
      </c>
      <c r="C210" s="66" t="str">
        <f>IFERROR(IF(O210&gt;0,INDEX(PMEKITCHEN[Measure '#],MATCH(W210,PMEKITCHEN[Eff Desc 1],0)),""),"")</f>
        <v/>
      </c>
      <c r="D210" t="s">
        <v>1096</v>
      </c>
      <c r="E210" t="str">
        <f>IFERROR(INDEX(PMEKITCHEN[End Use Category],MATCH(W210,PMEKITCHEN[Eff Desc 1],0)),"")</f>
        <v/>
      </c>
      <c r="F210" s="152"/>
      <c r="G210">
        <f>INDEX('M04-S03'!$AB$16:$AB$198,2*(ROWS($G$204:G210)-1)+1)</f>
        <v>0</v>
      </c>
      <c r="H210" s="61">
        <f>ROUND(INDEX('M04-S03'!$AE$16:$AE$198,2*(ROWS($H$204:H210)-1)+1),2)</f>
        <v>0</v>
      </c>
      <c r="I210" s="61">
        <f>ROUND(INDEX('M04-S03'!$AG$16:$AG$198,2*(ROWS($I$204:I210)-1)+1),2)</f>
        <v>0</v>
      </c>
      <c r="J210" s="61" t="str">
        <f>INDEX('M04-S03'!$AU$16:$AU$198,2*(ROWS($J$204:J210)-1)+1)</f>
        <v/>
      </c>
      <c r="K210" t="str">
        <f>IFERROR(INDEX(PMEKITCHEN[Cost Basis],MATCH(W210,PMEKITCHEN[Eff Desc 1],0)),"")</f>
        <v/>
      </c>
      <c r="L210" s="151">
        <f>IFERROR(IF(ISNUMBER(SEARCH("Demand Control",INDEX('M04-S03'!$C$16:$C$198,2*(ROWS($L$204:L210)-1)+1))),INDEX('M04-S03'!$V$16:$V$198,2*(ROWS($L$204:L210)-1)+1)*INDEX('M04-S03'!$S$16:$S$198,2*(ROWS($L$204:L210)-1)+1),INDEX('M04-S03'!$V$16:$V$198,2*(ROWS($L$204:L210)-1)+1)),0)</f>
        <v>0</v>
      </c>
      <c r="M210" s="151" cm="1">
        <f t="array" ref="M210">IFERROR(IF(ISNUMBER(INDEX('M04-S03'!$AO$16:$AO$198,2*(ROWS($O$204:O210)-1)+1)),INDEX('M04-S03'!$AK$16:$AK$198,2*(ROWS($M$204:M210)-1)+1),0),"")</f>
        <v>0</v>
      </c>
      <c r="N210" s="189" cm="1">
        <f t="array" ref="N210">IFERROR(IF(ISNUMBER(INDEX('M04-S03'!$AO$16:$AO$198,2*(ROWS($O$204:O210)-1)+1)),INDEX('M04-S03'!$AV$16:$AV$198,2*(ROWS($N$204:N210)-1)+1),0),"")</f>
        <v>0</v>
      </c>
      <c r="O210" s="61" cm="1">
        <f t="array" ref="O210">IFERROR(IF(ISNUMBER(INDEX('M04-S03'!$AO$16:$AO$198,2*(ROWS($O$204:O210)-1)+1)),INDEX('M04-S03'!$AO$16:$AO$198,2*(ROWS($O$204:O210)-1)+1)*INCENTCAPADJ,0),"")</f>
        <v>0</v>
      </c>
      <c r="P210" s="152"/>
      <c r="Q210" s="193"/>
      <c r="R210" s="135"/>
      <c r="S210" s="157"/>
      <c r="T210" s="157"/>
      <c r="U210" s="151">
        <f>INDEX('M04-S03'!$B$16:$B$198,2*(ROWS($U$204:U210)-1)+1)</f>
        <v>7</v>
      </c>
      <c r="V210" s="135"/>
      <c r="W210" s="58">
        <f>INDEX('M04-S03'!$C$16:$C$198,2*(ROWS($W$204:W210)-1)+1)</f>
        <v>0</v>
      </c>
      <c r="X210" s="135"/>
      <c r="Y210">
        <f>INDEX('M04-S03'!$X$16:$X$198,2*(ROWS($Y$204:Y210)-1)+1)</f>
        <v>0</v>
      </c>
      <c r="Z210" s="135"/>
      <c r="AA210" s="135"/>
      <c r="AB210" s="135"/>
      <c r="AC210" s="135"/>
      <c r="AD210" s="135"/>
      <c r="AE210" s="152"/>
      <c r="AF210" s="152"/>
      <c r="AG210" s="152"/>
      <c r="AH210" s="152"/>
      <c r="AI210" s="152"/>
      <c r="AJ210" s="61" t="str">
        <f t="shared" si="65"/>
        <v/>
      </c>
      <c r="AK210" s="61" t="str">
        <f t="shared" si="66"/>
        <v/>
      </c>
      <c r="AL210" s="61" t="str">
        <f t="shared" si="67"/>
        <v/>
      </c>
      <c r="AM210" s="154"/>
      <c r="AN210" s="61" t="str">
        <f t="shared" si="68"/>
        <v/>
      </c>
      <c r="AO210" s="152"/>
      <c r="AP210" s="152"/>
      <c r="AQ210" s="152"/>
      <c r="AR210" s="416"/>
    </row>
    <row r="211" spans="1:44" x14ac:dyDescent="0.25">
      <c r="A211" s="66">
        <f t="shared" si="63"/>
        <v>0</v>
      </c>
      <c r="B211" s="66" t="str">
        <f t="shared" si="64"/>
        <v/>
      </c>
      <c r="C211" s="66" t="str">
        <f>IFERROR(IF(O211&gt;0,INDEX(PMEKITCHEN[Measure '#],MATCH(W211,PMEKITCHEN[Eff Desc 1],0)),""),"")</f>
        <v/>
      </c>
      <c r="D211" t="s">
        <v>1096</v>
      </c>
      <c r="E211" t="str">
        <f>IFERROR(INDEX(PMEKITCHEN[End Use Category],MATCH(W211,PMEKITCHEN[Eff Desc 1],0)),"")</f>
        <v/>
      </c>
      <c r="F211" s="152"/>
      <c r="G211">
        <f>INDEX('M04-S03'!$AB$16:$AB$198,2*(ROWS($G$204:G211)-1)+1)</f>
        <v>0</v>
      </c>
      <c r="H211" s="61">
        <f>ROUND(INDEX('M04-S03'!$AE$16:$AE$198,2*(ROWS($H$204:H211)-1)+1),2)</f>
        <v>0</v>
      </c>
      <c r="I211" s="61">
        <f>ROUND(INDEX('M04-S03'!$AG$16:$AG$198,2*(ROWS($I$204:I211)-1)+1),2)</f>
        <v>0</v>
      </c>
      <c r="J211" s="61" t="str">
        <f>INDEX('M04-S03'!$AU$16:$AU$198,2*(ROWS($J$204:J211)-1)+1)</f>
        <v/>
      </c>
      <c r="K211" t="str">
        <f>IFERROR(INDEX(PMEKITCHEN[Cost Basis],MATCH(W211,PMEKITCHEN[Eff Desc 1],0)),"")</f>
        <v/>
      </c>
      <c r="L211" s="151">
        <f>IFERROR(IF(ISNUMBER(SEARCH("Demand Control",INDEX('M04-S03'!$C$16:$C$198,2*(ROWS($L$204:L211)-1)+1))),INDEX('M04-S03'!$V$16:$V$198,2*(ROWS($L$204:L211)-1)+1)*INDEX('M04-S03'!$S$16:$S$198,2*(ROWS($L$204:L211)-1)+1),INDEX('M04-S03'!$V$16:$V$198,2*(ROWS($L$204:L211)-1)+1)),0)</f>
        <v>0</v>
      </c>
      <c r="M211" s="151" cm="1">
        <f t="array" ref="M211">IFERROR(IF(ISNUMBER(INDEX('M04-S03'!$AO$16:$AO$198,2*(ROWS($O$204:O211)-1)+1)),INDEX('M04-S03'!$AK$16:$AK$198,2*(ROWS($M$204:M211)-1)+1),0),"")</f>
        <v>0</v>
      </c>
      <c r="N211" s="189" cm="1">
        <f t="array" ref="N211">IFERROR(IF(ISNUMBER(INDEX('M04-S03'!$AO$16:$AO$198,2*(ROWS($O$204:O211)-1)+1)),INDEX('M04-S03'!$AV$16:$AV$198,2*(ROWS($N$204:N211)-1)+1),0),"")</f>
        <v>0</v>
      </c>
      <c r="O211" s="61" cm="1">
        <f t="array" ref="O211">IFERROR(IF(ISNUMBER(INDEX('M04-S03'!$AO$16:$AO$198,2*(ROWS($O$204:O211)-1)+1)),INDEX('M04-S03'!$AO$16:$AO$198,2*(ROWS($O$204:O211)-1)+1)*INCENTCAPADJ,0),"")</f>
        <v>0</v>
      </c>
      <c r="P211" s="152"/>
      <c r="Q211" s="193"/>
      <c r="R211" s="135"/>
      <c r="S211" s="157"/>
      <c r="T211" s="157"/>
      <c r="U211" s="151">
        <f>INDEX('M04-S03'!$B$16:$B$198,2*(ROWS($U$204:U211)-1)+1)</f>
        <v>8</v>
      </c>
      <c r="V211" s="135"/>
      <c r="W211" s="58">
        <f>INDEX('M04-S03'!$C$16:$C$198,2*(ROWS($W$204:W211)-1)+1)</f>
        <v>0</v>
      </c>
      <c r="X211" s="135"/>
      <c r="Y211">
        <f>INDEX('M04-S03'!$X$16:$X$198,2*(ROWS($Y$204:Y211)-1)+1)</f>
        <v>0</v>
      </c>
      <c r="Z211" s="135"/>
      <c r="AA211" s="135"/>
      <c r="AB211" s="135"/>
      <c r="AC211" s="135"/>
      <c r="AD211" s="135"/>
      <c r="AE211" s="152"/>
      <c r="AF211" s="152"/>
      <c r="AG211" s="152"/>
      <c r="AH211" s="152"/>
      <c r="AI211" s="152"/>
      <c r="AJ211" s="61" t="str">
        <f t="shared" si="65"/>
        <v/>
      </c>
      <c r="AK211" s="61" t="str">
        <f t="shared" si="66"/>
        <v/>
      </c>
      <c r="AL211" s="61" t="str">
        <f t="shared" si="67"/>
        <v/>
      </c>
      <c r="AM211" s="154"/>
      <c r="AN211" s="61" t="str">
        <f t="shared" si="68"/>
        <v/>
      </c>
      <c r="AO211" s="152"/>
      <c r="AP211" s="152"/>
      <c r="AQ211" s="152"/>
      <c r="AR211" s="416"/>
    </row>
    <row r="212" spans="1:44" x14ac:dyDescent="0.25">
      <c r="A212" s="66">
        <f t="shared" si="63"/>
        <v>0</v>
      </c>
      <c r="B212" s="66" t="str">
        <f t="shared" si="64"/>
        <v/>
      </c>
      <c r="C212" s="66" t="str">
        <f>IFERROR(IF(O212&gt;0,INDEX(PMEKITCHEN[Measure '#],MATCH(W212,PMEKITCHEN[Eff Desc 1],0)),""),"")</f>
        <v/>
      </c>
      <c r="D212" t="s">
        <v>1096</v>
      </c>
      <c r="E212" t="str">
        <f>IFERROR(INDEX(PMEKITCHEN[End Use Category],MATCH(W212,PMEKITCHEN[Eff Desc 1],0)),"")</f>
        <v/>
      </c>
      <c r="F212" s="152"/>
      <c r="G212">
        <f>INDEX('M04-S03'!$AB$16:$AB$198,2*(ROWS($G$204:G212)-1)+1)</f>
        <v>0</v>
      </c>
      <c r="H212" s="61">
        <f>ROUND(INDEX('M04-S03'!$AE$16:$AE$198,2*(ROWS($H$204:H212)-1)+1),2)</f>
        <v>0</v>
      </c>
      <c r="I212" s="61">
        <f>ROUND(INDEX('M04-S03'!$AG$16:$AG$198,2*(ROWS($I$204:I212)-1)+1),2)</f>
        <v>0</v>
      </c>
      <c r="J212" s="61" t="str">
        <f>INDEX('M04-S03'!$AU$16:$AU$198,2*(ROWS($J$204:J212)-1)+1)</f>
        <v/>
      </c>
      <c r="K212" t="str">
        <f>IFERROR(INDEX(PMEKITCHEN[Cost Basis],MATCH(W212,PMEKITCHEN[Eff Desc 1],0)),"")</f>
        <v/>
      </c>
      <c r="L212" s="151">
        <f>IFERROR(IF(ISNUMBER(SEARCH("Demand Control",INDEX('M04-S03'!$C$16:$C$198,2*(ROWS($L$204:L212)-1)+1))),INDEX('M04-S03'!$V$16:$V$198,2*(ROWS($L$204:L212)-1)+1)*INDEX('M04-S03'!$S$16:$S$198,2*(ROWS($L$204:L212)-1)+1),INDEX('M04-S03'!$V$16:$V$198,2*(ROWS($L$204:L212)-1)+1)),0)</f>
        <v>0</v>
      </c>
      <c r="M212" s="151" cm="1">
        <f t="array" ref="M212">IFERROR(IF(ISNUMBER(INDEX('M04-S03'!$AO$16:$AO$198,2*(ROWS($O$204:O212)-1)+1)),INDEX('M04-S03'!$AK$16:$AK$198,2*(ROWS($M$204:M212)-1)+1),0),"")</f>
        <v>0</v>
      </c>
      <c r="N212" s="189" cm="1">
        <f t="array" ref="N212">IFERROR(IF(ISNUMBER(INDEX('M04-S03'!$AO$16:$AO$198,2*(ROWS($O$204:O212)-1)+1)),INDEX('M04-S03'!$AV$16:$AV$198,2*(ROWS($N$204:N212)-1)+1),0),"")</f>
        <v>0</v>
      </c>
      <c r="O212" s="61" cm="1">
        <f t="array" ref="O212">IFERROR(IF(ISNUMBER(INDEX('M04-S03'!$AO$16:$AO$198,2*(ROWS($O$204:O212)-1)+1)),INDEX('M04-S03'!$AO$16:$AO$198,2*(ROWS($O$204:O212)-1)+1)*INCENTCAPADJ,0),"")</f>
        <v>0</v>
      </c>
      <c r="P212" s="152"/>
      <c r="Q212" s="193"/>
      <c r="R212" s="135"/>
      <c r="S212" s="157"/>
      <c r="T212" s="157"/>
      <c r="U212" s="151">
        <f>INDEX('M04-S03'!$B$16:$B$198,2*(ROWS($U$204:U212)-1)+1)</f>
        <v>9</v>
      </c>
      <c r="V212" s="135"/>
      <c r="W212" s="58">
        <f>INDEX('M04-S03'!$C$16:$C$198,2*(ROWS($W$204:W212)-1)+1)</f>
        <v>0</v>
      </c>
      <c r="X212" s="135"/>
      <c r="Y212">
        <f>INDEX('M04-S03'!$X$16:$X$198,2*(ROWS($Y$204:Y212)-1)+1)</f>
        <v>0</v>
      </c>
      <c r="Z212" s="135"/>
      <c r="AA212" s="135"/>
      <c r="AB212" s="135"/>
      <c r="AC212" s="135"/>
      <c r="AD212" s="135"/>
      <c r="AE212" s="152"/>
      <c r="AF212" s="152"/>
      <c r="AG212" s="152"/>
      <c r="AH212" s="152"/>
      <c r="AI212" s="152"/>
      <c r="AJ212" s="61" t="str">
        <f t="shared" si="65"/>
        <v/>
      </c>
      <c r="AK212" s="61" t="str">
        <f t="shared" si="66"/>
        <v/>
      </c>
      <c r="AL212" s="61" t="str">
        <f t="shared" si="67"/>
        <v/>
      </c>
      <c r="AM212" s="154"/>
      <c r="AN212" s="61" t="str">
        <f t="shared" si="68"/>
        <v/>
      </c>
      <c r="AO212" s="152"/>
      <c r="AP212" s="152"/>
      <c r="AQ212" s="152"/>
      <c r="AR212" s="416"/>
    </row>
    <row r="213" spans="1:44" x14ac:dyDescent="0.25">
      <c r="A213" s="66">
        <f t="shared" si="63"/>
        <v>0</v>
      </c>
      <c r="B213" s="66" t="str">
        <f t="shared" si="64"/>
        <v/>
      </c>
      <c r="C213" s="66" t="str">
        <f>IFERROR(IF(O213&gt;0,INDEX(PMEKITCHEN[Measure '#],MATCH(W213,PMEKITCHEN[Eff Desc 1],0)),""),"")</f>
        <v/>
      </c>
      <c r="D213" t="s">
        <v>1096</v>
      </c>
      <c r="E213" t="str">
        <f>IFERROR(INDEX(PMEKITCHEN[End Use Category],MATCH(W213,PMEKITCHEN[Eff Desc 1],0)),"")</f>
        <v/>
      </c>
      <c r="F213" s="152"/>
      <c r="G213">
        <f>INDEX('M04-S03'!$AB$16:$AB$198,2*(ROWS($G$204:G213)-1)+1)</f>
        <v>0</v>
      </c>
      <c r="H213" s="61">
        <f>ROUND(INDEX('M04-S03'!$AE$16:$AE$198,2*(ROWS($H$204:H213)-1)+1),2)</f>
        <v>0</v>
      </c>
      <c r="I213" s="61">
        <f>ROUND(INDEX('M04-S03'!$AG$16:$AG$198,2*(ROWS($I$204:I213)-1)+1),2)</f>
        <v>0</v>
      </c>
      <c r="J213" s="61" t="str">
        <f>INDEX('M04-S03'!$AU$16:$AU$198,2*(ROWS($J$204:J213)-1)+1)</f>
        <v/>
      </c>
      <c r="K213" t="str">
        <f>IFERROR(INDEX(PMEKITCHEN[Cost Basis],MATCH(W213,PMEKITCHEN[Eff Desc 1],0)),"")</f>
        <v/>
      </c>
      <c r="L213" s="151">
        <f>IFERROR(IF(ISNUMBER(SEARCH("Demand Control",INDEX('M04-S03'!$C$16:$C$198,2*(ROWS($L$204:L213)-1)+1))),INDEX('M04-S03'!$V$16:$V$198,2*(ROWS($L$204:L213)-1)+1)*INDEX('M04-S03'!$S$16:$S$198,2*(ROWS($L$204:L213)-1)+1),INDEX('M04-S03'!$V$16:$V$198,2*(ROWS($L$204:L213)-1)+1)),0)</f>
        <v>0</v>
      </c>
      <c r="M213" s="151" cm="1">
        <f t="array" ref="M213">IFERROR(IF(ISNUMBER(INDEX('M04-S03'!$AO$16:$AO$198,2*(ROWS($O$204:O213)-1)+1)),INDEX('M04-S03'!$AK$16:$AK$198,2*(ROWS($M$204:M213)-1)+1),0),"")</f>
        <v>0</v>
      </c>
      <c r="N213" s="189" cm="1">
        <f t="array" ref="N213">IFERROR(IF(ISNUMBER(INDEX('M04-S03'!$AO$16:$AO$198,2*(ROWS($O$204:O213)-1)+1)),INDEX('M04-S03'!$AV$16:$AV$198,2*(ROWS($N$204:N213)-1)+1),0),"")</f>
        <v>0</v>
      </c>
      <c r="O213" s="61" cm="1">
        <f t="array" ref="O213">IFERROR(IF(ISNUMBER(INDEX('M04-S03'!$AO$16:$AO$198,2*(ROWS($O$204:O213)-1)+1)),INDEX('M04-S03'!$AO$16:$AO$198,2*(ROWS($O$204:O213)-1)+1)*INCENTCAPADJ,0),"")</f>
        <v>0</v>
      </c>
      <c r="P213" s="152"/>
      <c r="Q213" s="193"/>
      <c r="R213" s="135"/>
      <c r="S213" s="157"/>
      <c r="T213" s="157"/>
      <c r="U213" s="151">
        <f>INDEX('M04-S03'!$B$16:$B$198,2*(ROWS($U$204:U213)-1)+1)</f>
        <v>10</v>
      </c>
      <c r="V213" s="135"/>
      <c r="W213" s="58">
        <f>INDEX('M04-S03'!$C$16:$C$198,2*(ROWS($W$204:W213)-1)+1)</f>
        <v>0</v>
      </c>
      <c r="X213" s="135"/>
      <c r="Y213">
        <f>INDEX('M04-S03'!$X$16:$X$198,2*(ROWS($Y$204:Y213)-1)+1)</f>
        <v>0</v>
      </c>
      <c r="Z213" s="135"/>
      <c r="AA213" s="135"/>
      <c r="AB213" s="135"/>
      <c r="AC213" s="135"/>
      <c r="AD213" s="135"/>
      <c r="AE213" s="152"/>
      <c r="AF213" s="152"/>
      <c r="AG213" s="152"/>
      <c r="AH213" s="152"/>
      <c r="AI213" s="152"/>
      <c r="AJ213" s="61" t="str">
        <f t="shared" si="65"/>
        <v/>
      </c>
      <c r="AK213" s="61" t="str">
        <f t="shared" si="66"/>
        <v/>
      </c>
      <c r="AL213" s="61" t="str">
        <f t="shared" si="67"/>
        <v/>
      </c>
      <c r="AM213" s="154"/>
      <c r="AN213" s="61" t="str">
        <f t="shared" si="68"/>
        <v/>
      </c>
      <c r="AO213" s="152"/>
      <c r="AP213" s="152"/>
      <c r="AQ213" s="152"/>
      <c r="AR213" s="416"/>
    </row>
    <row r="214" spans="1:44" x14ac:dyDescent="0.25">
      <c r="A214" s="207" t="str">
        <f>CONCATENATE(MAIN4," ",M4S4)</f>
        <v>STANDARD MEASURES Water Heating</v>
      </c>
      <c r="B214" s="209"/>
      <c r="C214" s="209"/>
      <c r="D214" s="164"/>
      <c r="E214" s="164"/>
      <c r="F214" s="170"/>
      <c r="G214" s="164"/>
      <c r="H214" s="171"/>
      <c r="I214" s="171"/>
      <c r="J214" s="171"/>
      <c r="K214" s="164"/>
      <c r="L214" s="170"/>
      <c r="M214" s="170"/>
      <c r="N214" s="191"/>
      <c r="O214" s="171"/>
      <c r="P214" s="176"/>
      <c r="Q214" s="194"/>
      <c r="R214" s="174"/>
      <c r="S214" s="177"/>
      <c r="T214" s="177"/>
      <c r="U214" s="170"/>
      <c r="V214" s="174"/>
      <c r="W214" s="173"/>
      <c r="X214" s="174"/>
      <c r="Y214" s="164"/>
      <c r="Z214" s="164"/>
      <c r="AA214" s="164"/>
      <c r="AB214" s="164"/>
      <c r="AC214" s="164"/>
      <c r="AD214" s="164"/>
      <c r="AE214" s="176"/>
      <c r="AF214" s="176"/>
      <c r="AG214" s="176"/>
      <c r="AH214" s="176"/>
      <c r="AI214" s="176"/>
      <c r="AJ214" s="171" t="str">
        <f>IFERROR(O214/M214,"")</f>
        <v/>
      </c>
      <c r="AK214" s="171" t="str">
        <f>IFERROR(O214/N214,"")</f>
        <v/>
      </c>
      <c r="AL214" s="171" t="str">
        <f>IFERROR(O214/L214,"")</f>
        <v/>
      </c>
      <c r="AM214" s="175"/>
      <c r="AN214" s="171" t="str">
        <f>IFERROR(J214/M214/M02S02F35,"")</f>
        <v/>
      </c>
      <c r="AO214" s="170"/>
      <c r="AP214" s="170"/>
      <c r="AQ214" s="170"/>
      <c r="AR214" s="412"/>
    </row>
    <row r="215" spans="1:44" x14ac:dyDescent="0.25">
      <c r="A215" s="66">
        <f t="shared" ref="A215:A235" si="69">PROJID</f>
        <v>0</v>
      </c>
      <c r="B215" s="66" t="str">
        <f>IF(C215="","",CONCATENATE(ROW(),"-",C215))</f>
        <v/>
      </c>
      <c r="C215" s="66" t="str">
        <f>IFERROR(IF(OR(P215&gt;0,O215&gt;0),INDEX(PMEMOTOR[Measure '#],MATCH(W215,PMEMOTOR[Eff Desc 1],0)),""),"")</f>
        <v/>
      </c>
      <c r="D215" t="s">
        <v>1096</v>
      </c>
      <c r="E215" t="str">
        <f>IFERROR(INDEX(PMEMOTOR[End Use Category],MATCH(W215,PMEMOTOR[Eff Desc 1],0)),"")</f>
        <v/>
      </c>
      <c r="F215" s="152"/>
      <c r="G215">
        <f>INDEX('M04-S04'!$AB$16:$AB$196,2*(ROWS($G$215:G215)-1)+1)</f>
        <v>0</v>
      </c>
      <c r="H215" s="61">
        <f>ROUND(INDEX('M04-S04'!$AE$16:$AE$198,2*(ROWS($H$215:H215)-1)+1),2)</f>
        <v>0</v>
      </c>
      <c r="I215" s="61">
        <f>ROUND(INDEX('M04-S04'!$AG$16:$AG$198,2*(ROWS($I$215:I215)-1)+1),2)</f>
        <v>0</v>
      </c>
      <c r="J215" s="61" t="str">
        <f>INDEX('M04-S04'!$AU$16:$AU$198,2*(ROWS($J$215:J215)-1)+1)</f>
        <v/>
      </c>
      <c r="K215" t="str">
        <f>IFERROR(INDEX(PMEMOTOR[Cost Basis],MATCH(W215,PMEMOTOR[Eff Desc 1],0)),"")</f>
        <v/>
      </c>
      <c r="L215" s="151">
        <f>INDEX('M04-S04'!$V$16:$V$196,2*(ROWS($L$215:L215)-1)+1)</f>
        <v>0</v>
      </c>
      <c r="M215" s="151">
        <f>IFERROR(IF(ISNUMBER(INDEX('M04-S04'!$AO$16:$AO$196,2*(ROWS($O$215:O215)-1)+1)),INDEX('M04-S04'!$AK$16:$AK$196,2*(ROWS($M$215:M215)-1)+1),0),"")</f>
        <v>0</v>
      </c>
      <c r="N215" s="189" cm="1">
        <f t="array" ref="N215">IFERROR(IF(ISNUMBER(INDEX('M04-S04'!$AO$16:$AO$196,2*(ROWS($O$215:O215)-1)+1)),INDEX('M04-S04'!$AV$16:$AV$196,2*(ROWS($N$215:N215)-1)+1),0),"")</f>
        <v>0</v>
      </c>
      <c r="O215" s="61" cm="1">
        <f t="array" ref="O215">IFERROR(IF(ISNUMBER(INDEX('M04-S04'!$AO$16:$AO$196,2*(ROWS($O$215:O215)-1)+1)),INDEX('M04-S04'!$AO$16:$AO$196,2*(ROWS($O$215:O215)-1)+1)*INCENTCAPADJ,0),"")</f>
        <v>0</v>
      </c>
      <c r="P215" s="152"/>
      <c r="Q215" s="193"/>
      <c r="R215" s="135"/>
      <c r="S215" s="157"/>
      <c r="T215" s="157"/>
      <c r="U215" s="151">
        <f>INDEX('M04-S04'!$B$16:$B$196,2*(ROWS($U$215:U215)-1)+1)</f>
        <v>1</v>
      </c>
      <c r="V215" s="135"/>
      <c r="W215" s="58">
        <f>INDEX('M04-S04'!$C$16:$C$196,2*(ROWS($W$215:W215)-1)+1)</f>
        <v>0</v>
      </c>
      <c r="X215" s="135"/>
      <c r="Y215">
        <f>INDEX('M04-S04'!$X$16:$X$196,2*(ROWS($Y$215:Y215)-1)+1)</f>
        <v>0</v>
      </c>
      <c r="Z215" s="135"/>
      <c r="AA215" s="135"/>
      <c r="AB215" s="135"/>
      <c r="AC215" s="135"/>
      <c r="AD215" s="135"/>
      <c r="AE215" s="152"/>
      <c r="AF215" s="152"/>
      <c r="AG215" s="152"/>
      <c r="AH215" s="152"/>
      <c r="AI215" s="152"/>
      <c r="AJ215" s="61" t="str">
        <f>IFERROR(O215/M215,"")</f>
        <v/>
      </c>
      <c r="AK215" s="61" t="str">
        <f>IFERROR(O215/N215,"")</f>
        <v/>
      </c>
      <c r="AL215" s="61" t="str">
        <f>IFERROR(O215/L215,"")</f>
        <v/>
      </c>
      <c r="AM215" s="154"/>
      <c r="AN215" s="61" t="str">
        <f>IFERROR(J215/M215/M02S02F35,"")</f>
        <v/>
      </c>
      <c r="AO215" s="152"/>
      <c r="AP215" s="152"/>
      <c r="AQ215" s="152"/>
      <c r="AR215" s="416"/>
    </row>
    <row r="216" spans="1:44" x14ac:dyDescent="0.25">
      <c r="A216" s="66">
        <f t="shared" si="69"/>
        <v>0</v>
      </c>
      <c r="B216" s="66" t="str">
        <f t="shared" ref="B216:B224" si="70">IF(C216="","",CONCATENATE(ROW(),"-",C216))</f>
        <v/>
      </c>
      <c r="C216" s="66" t="str">
        <f>IFERROR(IF(OR(P216&gt;0,O216&gt;0),INDEX(PMEMOTOR[Measure '#],MATCH(W216,PMEMOTOR[Eff Desc 1],0)),""),"")</f>
        <v/>
      </c>
      <c r="D216" t="s">
        <v>1096</v>
      </c>
      <c r="E216" t="str">
        <f>IFERROR(INDEX(PMEMOTOR[End Use Category],MATCH(W216,PMEMOTOR[Eff Desc 1],0)),"")</f>
        <v/>
      </c>
      <c r="F216" s="152"/>
      <c r="G216">
        <f>INDEX('M04-S04'!$AB$16:$AB$196,2*(ROWS($G$215:G216)-1)+1)</f>
        <v>0</v>
      </c>
      <c r="H216" s="61">
        <f>ROUND(INDEX('M04-S04'!$AE$16:$AE$198,2*(ROWS($H$215:H216)-1)+1),2)</f>
        <v>0</v>
      </c>
      <c r="I216" s="61">
        <f>ROUND(INDEX('M04-S04'!$AG$16:$AG$198,2*(ROWS($I$215:I216)-1)+1),2)</f>
        <v>0</v>
      </c>
      <c r="J216" s="61" t="str">
        <f>INDEX('M04-S04'!$AU$16:$AU$198,2*(ROWS($J$215:J216)-1)+1)</f>
        <v/>
      </c>
      <c r="K216" t="str">
        <f>IFERROR(INDEX(PMEMOTOR[Cost Basis],MATCH(W216,PMEMOTOR[Eff Desc 1],0)),"")</f>
        <v/>
      </c>
      <c r="L216" s="151">
        <f>INDEX('M04-S04'!$V$16:$V$196,2*(ROWS($L$215:L216)-1)+1)</f>
        <v>0</v>
      </c>
      <c r="M216" s="151">
        <f>IFERROR(IF(ISNUMBER(INDEX('M04-S04'!$AO$16:$AO$196,2*(ROWS($O$215:O216)-1)+1)),INDEX('M04-S04'!$AK$16:$AK$196,2*(ROWS($M$215:M216)-1)+1),0),"")</f>
        <v>0</v>
      </c>
      <c r="N216" s="189" cm="1">
        <f t="array" ref="N216">IFERROR(IF(ISNUMBER(INDEX('M04-S04'!$AO$16:$AO$196,2*(ROWS($O$215:O216)-1)+1)),INDEX('M04-S04'!$AV$16:$AV$196,2*(ROWS($N$215:N216)-1)+1),0),"")</f>
        <v>0</v>
      </c>
      <c r="O216" s="61" cm="1">
        <f t="array" ref="O216">IFERROR(IF(ISNUMBER(INDEX('M04-S04'!$AO$16:$AO$196,2*(ROWS($O$215:O216)-1)+1)),INDEX('M04-S04'!$AO$16:$AO$196,2*(ROWS($O$215:O216)-1)+1)*INCENTCAPADJ,0),"")</f>
        <v>0</v>
      </c>
      <c r="P216" s="152"/>
      <c r="Q216" s="193"/>
      <c r="R216" s="135"/>
      <c r="S216" s="157"/>
      <c r="T216" s="157"/>
      <c r="U216" s="151">
        <f>INDEX('M04-S04'!$B$16:$B$196,2*(ROWS($U$215:U216)-1)+1)</f>
        <v>2</v>
      </c>
      <c r="V216" s="135"/>
      <c r="W216" s="58">
        <f>INDEX('M04-S04'!$C$16:$C$196,2*(ROWS($W$215:W216)-1)+1)</f>
        <v>0</v>
      </c>
      <c r="X216" s="135"/>
      <c r="Y216">
        <f>INDEX('M04-S04'!$X$16:$X$196,2*(ROWS($Y$215:Y216)-1)+1)</f>
        <v>0</v>
      </c>
      <c r="Z216" s="135"/>
      <c r="AA216" s="135"/>
      <c r="AB216" s="135"/>
      <c r="AC216" s="135"/>
      <c r="AD216" s="135"/>
      <c r="AE216" s="152"/>
      <c r="AF216" s="152"/>
      <c r="AG216" s="152"/>
      <c r="AH216" s="152"/>
      <c r="AI216" s="152"/>
      <c r="AJ216" s="61" t="str">
        <f t="shared" ref="AJ216:AJ224" si="71">IFERROR(O216/M216,"")</f>
        <v/>
      </c>
      <c r="AK216" s="61" t="str">
        <f t="shared" ref="AK216:AK224" si="72">IFERROR(O216/N216,"")</f>
        <v/>
      </c>
      <c r="AL216" s="61" t="str">
        <f t="shared" ref="AL216:AL224" si="73">IFERROR(O216/L216,"")</f>
        <v/>
      </c>
      <c r="AM216" s="154"/>
      <c r="AN216" s="61" t="str">
        <f t="shared" ref="AN216:AN224" si="74">IFERROR(J216/M216/M02S02F35,"")</f>
        <v/>
      </c>
      <c r="AO216" s="152"/>
      <c r="AP216" s="152"/>
      <c r="AQ216" s="152"/>
      <c r="AR216" s="416"/>
    </row>
    <row r="217" spans="1:44" x14ac:dyDescent="0.25">
      <c r="A217" s="66">
        <f t="shared" si="69"/>
        <v>0</v>
      </c>
      <c r="B217" s="66" t="str">
        <f t="shared" si="70"/>
        <v/>
      </c>
      <c r="C217" s="66" t="str">
        <f>IFERROR(IF(OR(P217&gt;0,O217&gt;0),INDEX(PMEMOTOR[Measure '#],MATCH(W217,PMEMOTOR[Eff Desc 1],0)),""),"")</f>
        <v/>
      </c>
      <c r="D217" t="s">
        <v>1096</v>
      </c>
      <c r="E217" t="str">
        <f>IFERROR(INDEX(PMEMOTOR[End Use Category],MATCH(W217,PMEMOTOR[Eff Desc 1],0)),"")</f>
        <v/>
      </c>
      <c r="F217" s="152"/>
      <c r="G217">
        <f>INDEX('M04-S04'!$AB$16:$AB$196,2*(ROWS($G$215:G217)-1)+1)</f>
        <v>0</v>
      </c>
      <c r="H217" s="61">
        <f>ROUND(INDEX('M04-S04'!$AE$16:$AE$198,2*(ROWS($H$215:H217)-1)+1),2)</f>
        <v>0</v>
      </c>
      <c r="I217" s="61">
        <f>ROUND(INDEX('M04-S04'!$AG$16:$AG$198,2*(ROWS($I$215:I217)-1)+1),2)</f>
        <v>0</v>
      </c>
      <c r="J217" s="61" t="str">
        <f>INDEX('M04-S04'!$AU$16:$AU$198,2*(ROWS($J$215:J217)-1)+1)</f>
        <v/>
      </c>
      <c r="K217" t="str">
        <f>IFERROR(INDEX(PMEMOTOR[Cost Basis],MATCH(W217,PMEMOTOR[Eff Desc 1],0)),"")</f>
        <v/>
      </c>
      <c r="L217" s="151">
        <f>INDEX('M04-S04'!$V$16:$V$196,2*(ROWS($L$215:L217)-1)+1)</f>
        <v>0</v>
      </c>
      <c r="M217" s="151">
        <f>IFERROR(IF(ISNUMBER(INDEX('M04-S04'!$AO$16:$AO$196,2*(ROWS($O$215:O217)-1)+1)),INDEX('M04-S04'!$AK$16:$AK$196,2*(ROWS($M$215:M217)-1)+1),0),"")</f>
        <v>0</v>
      </c>
      <c r="N217" s="189" cm="1">
        <f t="array" ref="N217">IFERROR(IF(ISNUMBER(INDEX('M04-S04'!$AO$16:$AO$196,2*(ROWS($O$215:O217)-1)+1)),INDEX('M04-S04'!$AV$16:$AV$196,2*(ROWS($N$215:N217)-1)+1),0),"")</f>
        <v>0</v>
      </c>
      <c r="O217" s="61" cm="1">
        <f t="array" ref="O217">IFERROR(IF(ISNUMBER(INDEX('M04-S04'!$AO$16:$AO$196,2*(ROWS($O$215:O217)-1)+1)),INDEX('M04-S04'!$AO$16:$AO$196,2*(ROWS($O$215:O217)-1)+1)*INCENTCAPADJ,0),"")</f>
        <v>0</v>
      </c>
      <c r="P217" s="152"/>
      <c r="Q217" s="193"/>
      <c r="R217" s="135"/>
      <c r="S217" s="157"/>
      <c r="T217" s="157"/>
      <c r="U217" s="151">
        <f>INDEX('M04-S04'!$B$16:$B$196,2*(ROWS($U$215:U217)-1)+1)</f>
        <v>3</v>
      </c>
      <c r="V217" s="135"/>
      <c r="W217" s="58">
        <f>INDEX('M04-S04'!$C$16:$C$196,2*(ROWS($W$215:W217)-1)+1)</f>
        <v>0</v>
      </c>
      <c r="X217" s="135"/>
      <c r="Y217">
        <f>INDEX('M04-S04'!$X$16:$X$196,2*(ROWS($Y$215:Y217)-1)+1)</f>
        <v>0</v>
      </c>
      <c r="Z217" s="135"/>
      <c r="AA217" s="135"/>
      <c r="AB217" s="135"/>
      <c r="AC217" s="135"/>
      <c r="AD217" s="135"/>
      <c r="AE217" s="152"/>
      <c r="AF217" s="152"/>
      <c r="AG217" s="152"/>
      <c r="AH217" s="152"/>
      <c r="AI217" s="152"/>
      <c r="AJ217" s="61" t="str">
        <f t="shared" si="71"/>
        <v/>
      </c>
      <c r="AK217" s="61" t="str">
        <f t="shared" si="72"/>
        <v/>
      </c>
      <c r="AL217" s="61" t="str">
        <f t="shared" si="73"/>
        <v/>
      </c>
      <c r="AM217" s="154"/>
      <c r="AN217" s="61" t="str">
        <f t="shared" si="74"/>
        <v/>
      </c>
      <c r="AO217" s="152"/>
      <c r="AP217" s="152"/>
      <c r="AQ217" s="152"/>
      <c r="AR217" s="416"/>
    </row>
    <row r="218" spans="1:44" x14ac:dyDescent="0.25">
      <c r="A218" s="66">
        <f t="shared" si="69"/>
        <v>0</v>
      </c>
      <c r="B218" s="66" t="str">
        <f t="shared" si="70"/>
        <v/>
      </c>
      <c r="C218" s="66" t="str">
        <f>IFERROR(IF(OR(P218&gt;0,O218&gt;0),INDEX(PMEMOTOR[Measure '#],MATCH(W218,PMEMOTOR[Eff Desc 1],0)),""),"")</f>
        <v/>
      </c>
      <c r="D218" t="s">
        <v>1096</v>
      </c>
      <c r="E218" t="str">
        <f>IFERROR(INDEX(PMEMOTOR[End Use Category],MATCH(W218,PMEMOTOR[Eff Desc 1],0)),"")</f>
        <v/>
      </c>
      <c r="F218" s="152"/>
      <c r="G218">
        <f>INDEX('M04-S04'!$AB$16:$AB$196,2*(ROWS($G$215:G218)-1)+1)</f>
        <v>0</v>
      </c>
      <c r="H218" s="61">
        <f>ROUND(INDEX('M04-S04'!$AE$16:$AE$198,2*(ROWS($H$215:H218)-1)+1),2)</f>
        <v>0</v>
      </c>
      <c r="I218" s="61">
        <f>ROUND(INDEX('M04-S04'!$AG$16:$AG$198,2*(ROWS($I$215:I218)-1)+1),2)</f>
        <v>0</v>
      </c>
      <c r="J218" s="61" t="str">
        <f>INDEX('M04-S04'!$AU$16:$AU$198,2*(ROWS($J$215:J218)-1)+1)</f>
        <v/>
      </c>
      <c r="K218" t="str">
        <f>IFERROR(INDEX(PMEMOTOR[Cost Basis],MATCH(W218,PMEMOTOR[Eff Desc 1],0)),"")</f>
        <v/>
      </c>
      <c r="L218" s="151">
        <f>INDEX('M04-S04'!$V$16:$V$196,2*(ROWS($L$215:L218)-1)+1)</f>
        <v>0</v>
      </c>
      <c r="M218" s="151">
        <f>IFERROR(IF(ISNUMBER(INDEX('M04-S04'!$AO$16:$AO$196,2*(ROWS($O$215:O218)-1)+1)),INDEX('M04-S04'!$AK$16:$AK$196,2*(ROWS($M$215:M218)-1)+1),0),"")</f>
        <v>0</v>
      </c>
      <c r="N218" s="189" cm="1">
        <f t="array" ref="N218">IFERROR(IF(ISNUMBER(INDEX('M04-S04'!$AO$16:$AO$196,2*(ROWS($O$215:O218)-1)+1)),INDEX('M04-S04'!$AV$16:$AV$196,2*(ROWS($N$215:N218)-1)+1),0),"")</f>
        <v>0</v>
      </c>
      <c r="O218" s="61" cm="1">
        <f t="array" ref="O218">IFERROR(IF(ISNUMBER(INDEX('M04-S04'!$AO$16:$AO$196,2*(ROWS($O$215:O218)-1)+1)),INDEX('M04-S04'!$AO$16:$AO$196,2*(ROWS($O$215:O218)-1)+1)*INCENTCAPADJ,0),"")</f>
        <v>0</v>
      </c>
      <c r="P218" s="152"/>
      <c r="Q218" s="193"/>
      <c r="R218" s="135"/>
      <c r="S218" s="157"/>
      <c r="T218" s="157"/>
      <c r="U218" s="151">
        <f>INDEX('M04-S04'!$B$16:$B$196,2*(ROWS($U$215:U218)-1)+1)</f>
        <v>4</v>
      </c>
      <c r="V218" s="135"/>
      <c r="W218" s="58">
        <f>INDEX('M04-S04'!$C$16:$C$196,2*(ROWS($W$215:W218)-1)+1)</f>
        <v>0</v>
      </c>
      <c r="X218" s="135"/>
      <c r="Y218">
        <f>INDEX('M04-S04'!$X$16:$X$196,2*(ROWS($Y$215:Y218)-1)+1)</f>
        <v>0</v>
      </c>
      <c r="Z218" s="135"/>
      <c r="AA218" s="135"/>
      <c r="AB218" s="135"/>
      <c r="AC218" s="135"/>
      <c r="AD218" s="135"/>
      <c r="AE218" s="152"/>
      <c r="AF218" s="152"/>
      <c r="AG218" s="152"/>
      <c r="AH218" s="152"/>
      <c r="AI218" s="152"/>
      <c r="AJ218" s="61" t="str">
        <f t="shared" si="71"/>
        <v/>
      </c>
      <c r="AK218" s="61" t="str">
        <f t="shared" si="72"/>
        <v/>
      </c>
      <c r="AL218" s="61" t="str">
        <f t="shared" si="73"/>
        <v/>
      </c>
      <c r="AM218" s="154"/>
      <c r="AN218" s="61" t="str">
        <f t="shared" si="74"/>
        <v/>
      </c>
      <c r="AO218" s="152"/>
      <c r="AP218" s="152"/>
      <c r="AQ218" s="152"/>
      <c r="AR218" s="416"/>
    </row>
    <row r="219" spans="1:44" x14ac:dyDescent="0.25">
      <c r="A219" s="66">
        <f t="shared" si="69"/>
        <v>0</v>
      </c>
      <c r="B219" s="66" t="str">
        <f t="shared" si="70"/>
        <v/>
      </c>
      <c r="C219" s="66" t="str">
        <f>IFERROR(IF(OR(P219&gt;0,O219&gt;0),INDEX(PMEMOTOR[Measure '#],MATCH(W219,PMEMOTOR[Eff Desc 1],0)),""),"")</f>
        <v/>
      </c>
      <c r="D219" t="s">
        <v>1096</v>
      </c>
      <c r="E219" t="str">
        <f>IFERROR(INDEX(PMEMOTOR[End Use Category],MATCH(W219,PMEMOTOR[Eff Desc 1],0)),"")</f>
        <v/>
      </c>
      <c r="F219" s="152"/>
      <c r="G219">
        <f>INDEX('M04-S04'!$AB$16:$AB$196,2*(ROWS($G$215:G219)-1)+1)</f>
        <v>0</v>
      </c>
      <c r="H219" s="61">
        <f>ROUND(INDEX('M04-S04'!$AE$16:$AE$198,2*(ROWS($H$215:H219)-1)+1),2)</f>
        <v>0</v>
      </c>
      <c r="I219" s="61">
        <f>ROUND(INDEX('M04-S04'!$AG$16:$AG$198,2*(ROWS($I$215:I219)-1)+1),2)</f>
        <v>0</v>
      </c>
      <c r="J219" s="61" t="str">
        <f>INDEX('M04-S04'!$AU$16:$AU$198,2*(ROWS($J$215:J219)-1)+1)</f>
        <v/>
      </c>
      <c r="K219" t="str">
        <f>IFERROR(INDEX(PMEMOTOR[Cost Basis],MATCH(W219,PMEMOTOR[Eff Desc 1],0)),"")</f>
        <v/>
      </c>
      <c r="L219" s="151">
        <f>INDEX('M04-S04'!$V$16:$V$196,2*(ROWS($L$215:L219)-1)+1)</f>
        <v>0</v>
      </c>
      <c r="M219" s="151">
        <f>IFERROR(IF(ISNUMBER(INDEX('M04-S04'!$AO$16:$AO$196,2*(ROWS($O$215:O219)-1)+1)),INDEX('M04-S04'!$AK$16:$AK$196,2*(ROWS($M$215:M219)-1)+1),0),"")</f>
        <v>0</v>
      </c>
      <c r="N219" s="189" cm="1">
        <f t="array" ref="N219">IFERROR(IF(ISNUMBER(INDEX('M04-S04'!$AO$16:$AO$196,2*(ROWS($O$215:O219)-1)+1)),INDEX('M04-S04'!$AV$16:$AV$196,2*(ROWS($N$215:N219)-1)+1),0),"")</f>
        <v>0</v>
      </c>
      <c r="O219" s="61" cm="1">
        <f t="array" ref="O219">IFERROR(IF(ISNUMBER(INDEX('M04-S04'!$AO$16:$AO$196,2*(ROWS($O$215:O219)-1)+1)),INDEX('M04-S04'!$AO$16:$AO$196,2*(ROWS($O$215:O219)-1)+1)*INCENTCAPADJ,0),"")</f>
        <v>0</v>
      </c>
      <c r="P219" s="152"/>
      <c r="Q219" s="193"/>
      <c r="R219" s="135"/>
      <c r="S219" s="157"/>
      <c r="T219" s="157"/>
      <c r="U219" s="151">
        <f>INDEX('M04-S04'!$B$16:$B$196,2*(ROWS($U$215:U219)-1)+1)</f>
        <v>5</v>
      </c>
      <c r="V219" s="135"/>
      <c r="W219" s="58">
        <f>INDEX('M04-S04'!$C$16:$C$196,2*(ROWS($W$215:W219)-1)+1)</f>
        <v>0</v>
      </c>
      <c r="X219" s="135"/>
      <c r="Y219">
        <f>INDEX('M04-S04'!$X$16:$X$196,2*(ROWS($Y$215:Y219)-1)+1)</f>
        <v>0</v>
      </c>
      <c r="Z219" s="135"/>
      <c r="AA219" s="135"/>
      <c r="AB219" s="135"/>
      <c r="AC219" s="135"/>
      <c r="AD219" s="135"/>
      <c r="AE219" s="152"/>
      <c r="AF219" s="152"/>
      <c r="AG219" s="152"/>
      <c r="AH219" s="152"/>
      <c r="AI219" s="152"/>
      <c r="AJ219" s="61" t="str">
        <f t="shared" si="71"/>
        <v/>
      </c>
      <c r="AK219" s="61" t="str">
        <f t="shared" si="72"/>
        <v/>
      </c>
      <c r="AL219" s="61" t="str">
        <f t="shared" si="73"/>
        <v/>
      </c>
      <c r="AM219" s="154"/>
      <c r="AN219" s="61" t="str">
        <f t="shared" si="74"/>
        <v/>
      </c>
      <c r="AO219" s="152"/>
      <c r="AP219" s="152"/>
      <c r="AQ219" s="152"/>
      <c r="AR219" s="416"/>
    </row>
    <row r="220" spans="1:44" x14ac:dyDescent="0.25">
      <c r="A220" s="66">
        <f t="shared" si="69"/>
        <v>0</v>
      </c>
      <c r="B220" s="66" t="str">
        <f t="shared" si="70"/>
        <v/>
      </c>
      <c r="C220" s="66" t="str">
        <f>IFERROR(IF(OR(P220&gt;0,O220&gt;0),INDEX(PMEMOTOR[Measure '#],MATCH(W220,PMEMOTOR[Eff Desc 1],0)),""),"")</f>
        <v/>
      </c>
      <c r="D220" t="s">
        <v>1096</v>
      </c>
      <c r="E220" t="str">
        <f>IFERROR(INDEX(PMEMOTOR[End Use Category],MATCH(W220,PMEMOTOR[Eff Desc 1],0)),"")</f>
        <v/>
      </c>
      <c r="F220" s="152"/>
      <c r="G220">
        <f>INDEX('M04-S04'!$AB$16:$AB$196,2*(ROWS($G$215:G220)-1)+1)</f>
        <v>0</v>
      </c>
      <c r="H220" s="61">
        <f>ROUND(INDEX('M04-S04'!$AE$16:$AE$198,2*(ROWS($H$215:H220)-1)+1),2)</f>
        <v>0</v>
      </c>
      <c r="I220" s="61">
        <f>ROUND(INDEX('M04-S04'!$AG$16:$AG$198,2*(ROWS($I$215:I220)-1)+1),2)</f>
        <v>0</v>
      </c>
      <c r="J220" s="61" t="str">
        <f>INDEX('M04-S04'!$AU$16:$AU$198,2*(ROWS($J$215:J220)-1)+1)</f>
        <v/>
      </c>
      <c r="K220" t="str">
        <f>IFERROR(INDEX(PMEMOTOR[Cost Basis],MATCH(W220,PMEMOTOR[Eff Desc 1],0)),"")</f>
        <v/>
      </c>
      <c r="L220" s="151">
        <f>INDEX('M04-S04'!$V$16:$V$196,2*(ROWS($L$215:L220)-1)+1)</f>
        <v>0</v>
      </c>
      <c r="M220" s="151">
        <f>IFERROR(IF(ISNUMBER(INDEX('M04-S04'!$AO$16:$AO$196,2*(ROWS($O$215:O220)-1)+1)),INDEX('M04-S04'!$AK$16:$AK$196,2*(ROWS($M$215:M220)-1)+1),0),"")</f>
        <v>0</v>
      </c>
      <c r="N220" s="189" cm="1">
        <f t="array" ref="N220">IFERROR(IF(ISNUMBER(INDEX('M04-S04'!$AO$16:$AO$196,2*(ROWS($O$215:O220)-1)+1)),INDEX('M04-S04'!$AV$16:$AV$196,2*(ROWS($N$215:N220)-1)+1),0),"")</f>
        <v>0</v>
      </c>
      <c r="O220" s="61" cm="1">
        <f t="array" ref="O220">IFERROR(IF(ISNUMBER(INDEX('M04-S04'!$AO$16:$AO$196,2*(ROWS($O$215:O220)-1)+1)),INDEX('M04-S04'!$AO$16:$AO$196,2*(ROWS($O$215:O220)-1)+1)*INCENTCAPADJ,0),"")</f>
        <v>0</v>
      </c>
      <c r="P220" s="152"/>
      <c r="Q220" s="193"/>
      <c r="R220" s="135"/>
      <c r="S220" s="157"/>
      <c r="T220" s="157"/>
      <c r="U220" s="151">
        <f>INDEX('M04-S04'!$B$16:$B$196,2*(ROWS($U$215:U220)-1)+1)</f>
        <v>6</v>
      </c>
      <c r="V220" s="135"/>
      <c r="W220" s="58">
        <f>INDEX('M04-S04'!$C$16:$C$196,2*(ROWS($W$215:W220)-1)+1)</f>
        <v>0</v>
      </c>
      <c r="X220" s="135"/>
      <c r="Y220">
        <f>INDEX('M04-S04'!$X$16:$X$196,2*(ROWS($Y$215:Y220)-1)+1)</f>
        <v>0</v>
      </c>
      <c r="Z220" s="135"/>
      <c r="AA220" s="135"/>
      <c r="AB220" s="135"/>
      <c r="AC220" s="135"/>
      <c r="AD220" s="135"/>
      <c r="AE220" s="152"/>
      <c r="AF220" s="152"/>
      <c r="AG220" s="152"/>
      <c r="AH220" s="152"/>
      <c r="AI220" s="152"/>
      <c r="AJ220" s="61" t="str">
        <f t="shared" si="71"/>
        <v/>
      </c>
      <c r="AK220" s="61" t="str">
        <f t="shared" si="72"/>
        <v/>
      </c>
      <c r="AL220" s="61" t="str">
        <f t="shared" si="73"/>
        <v/>
      </c>
      <c r="AM220" s="154"/>
      <c r="AN220" s="61" t="str">
        <f t="shared" si="74"/>
        <v/>
      </c>
      <c r="AO220" s="152"/>
      <c r="AP220" s="152"/>
      <c r="AQ220" s="152"/>
      <c r="AR220" s="416"/>
    </row>
    <row r="221" spans="1:44" x14ac:dyDescent="0.25">
      <c r="A221" s="66">
        <f t="shared" si="69"/>
        <v>0</v>
      </c>
      <c r="B221" s="66" t="str">
        <f t="shared" si="70"/>
        <v/>
      </c>
      <c r="C221" s="66" t="str">
        <f>IFERROR(IF(OR(P221&gt;0,O221&gt;0),INDEX(PMEMOTOR[Measure '#],MATCH(W221,PMEMOTOR[Eff Desc 1],0)),""),"")</f>
        <v/>
      </c>
      <c r="D221" t="s">
        <v>1096</v>
      </c>
      <c r="E221" t="str">
        <f>IFERROR(INDEX(PMEMOTOR[End Use Category],MATCH(W221,PMEMOTOR[Eff Desc 1],0)),"")</f>
        <v/>
      </c>
      <c r="F221" s="152"/>
      <c r="G221">
        <f>INDEX('M04-S04'!$AB$16:$AB$196,2*(ROWS($G$215:G221)-1)+1)</f>
        <v>0</v>
      </c>
      <c r="H221" s="61">
        <f>ROUND(INDEX('M04-S04'!$AE$16:$AE$198,2*(ROWS($H$215:H221)-1)+1),2)</f>
        <v>0</v>
      </c>
      <c r="I221" s="61">
        <f>ROUND(INDEX('M04-S04'!$AG$16:$AG$198,2*(ROWS($I$215:I221)-1)+1),2)</f>
        <v>0</v>
      </c>
      <c r="J221" s="61" t="str">
        <f>INDEX('M04-S04'!$AU$16:$AU$198,2*(ROWS($J$215:J221)-1)+1)</f>
        <v/>
      </c>
      <c r="K221" t="str">
        <f>IFERROR(INDEX(PMEMOTOR[Cost Basis],MATCH(W221,PMEMOTOR[Eff Desc 1],0)),"")</f>
        <v/>
      </c>
      <c r="L221" s="151">
        <f>INDEX('M04-S04'!$V$16:$V$196,2*(ROWS($L$215:L221)-1)+1)</f>
        <v>0</v>
      </c>
      <c r="M221" s="151">
        <f>IFERROR(IF(ISNUMBER(INDEX('M04-S04'!$AO$16:$AO$196,2*(ROWS($O$215:O221)-1)+1)),INDEX('M04-S04'!$AK$16:$AK$196,2*(ROWS($M$215:M221)-1)+1),0),"")</f>
        <v>0</v>
      </c>
      <c r="N221" s="189" cm="1">
        <f t="array" ref="N221">IFERROR(IF(ISNUMBER(INDEX('M04-S04'!$AO$16:$AO$196,2*(ROWS($O$215:O221)-1)+1)),INDEX('M04-S04'!$AV$16:$AV$196,2*(ROWS($N$215:N221)-1)+1),0),"")</f>
        <v>0</v>
      </c>
      <c r="O221" s="61" cm="1">
        <f t="array" ref="O221">IFERROR(IF(ISNUMBER(INDEX('M04-S04'!$AO$16:$AO$196,2*(ROWS($O$215:O221)-1)+1)),INDEX('M04-S04'!$AO$16:$AO$196,2*(ROWS($O$215:O221)-1)+1)*INCENTCAPADJ,0),"")</f>
        <v>0</v>
      </c>
      <c r="P221" s="152"/>
      <c r="Q221" s="193"/>
      <c r="R221" s="135"/>
      <c r="S221" s="157"/>
      <c r="T221" s="157"/>
      <c r="U221" s="151">
        <f>INDEX('M04-S04'!$B$16:$B$196,2*(ROWS($U$215:U221)-1)+1)</f>
        <v>7</v>
      </c>
      <c r="V221" s="135"/>
      <c r="W221" s="58">
        <f>INDEX('M04-S04'!$C$16:$C$196,2*(ROWS($W$215:W221)-1)+1)</f>
        <v>0</v>
      </c>
      <c r="X221" s="135"/>
      <c r="Y221">
        <f>INDEX('M04-S04'!$X$16:$X$196,2*(ROWS($Y$215:Y221)-1)+1)</f>
        <v>0</v>
      </c>
      <c r="Z221" s="135"/>
      <c r="AA221" s="135"/>
      <c r="AB221" s="135"/>
      <c r="AC221" s="135"/>
      <c r="AD221" s="135"/>
      <c r="AE221" s="152"/>
      <c r="AF221" s="152"/>
      <c r="AG221" s="152"/>
      <c r="AH221" s="152"/>
      <c r="AI221" s="152"/>
      <c r="AJ221" s="61" t="str">
        <f t="shared" si="71"/>
        <v/>
      </c>
      <c r="AK221" s="61" t="str">
        <f t="shared" si="72"/>
        <v/>
      </c>
      <c r="AL221" s="61" t="str">
        <f t="shared" si="73"/>
        <v/>
      </c>
      <c r="AM221" s="154"/>
      <c r="AN221" s="61" t="str">
        <f t="shared" si="74"/>
        <v/>
      </c>
      <c r="AO221" s="152"/>
      <c r="AP221" s="152"/>
      <c r="AQ221" s="152"/>
      <c r="AR221" s="416"/>
    </row>
    <row r="222" spans="1:44" x14ac:dyDescent="0.25">
      <c r="A222" s="66">
        <f t="shared" si="69"/>
        <v>0</v>
      </c>
      <c r="B222" s="66" t="str">
        <f t="shared" si="70"/>
        <v/>
      </c>
      <c r="C222" s="66" t="str">
        <f>IFERROR(IF(OR(P222&gt;0,O222&gt;0),INDEX(PMEMOTOR[Measure '#],MATCH(W222,PMEMOTOR[Eff Desc 1],0)),""),"")</f>
        <v/>
      </c>
      <c r="D222" t="s">
        <v>1096</v>
      </c>
      <c r="E222" t="str">
        <f>IFERROR(INDEX(PMEMOTOR[End Use Category],MATCH(W222,PMEMOTOR[Eff Desc 1],0)),"")</f>
        <v/>
      </c>
      <c r="F222" s="152"/>
      <c r="G222">
        <f>INDEX('M04-S04'!$AB$16:$AB$196,2*(ROWS($G$215:G222)-1)+1)</f>
        <v>0</v>
      </c>
      <c r="H222" s="61">
        <f>ROUND(INDEX('M04-S04'!$AE$16:$AE$198,2*(ROWS($H$215:H222)-1)+1),2)</f>
        <v>0</v>
      </c>
      <c r="I222" s="61">
        <f>ROUND(INDEX('M04-S04'!$AG$16:$AG$198,2*(ROWS($I$215:I222)-1)+1),2)</f>
        <v>0</v>
      </c>
      <c r="J222" s="61" t="str">
        <f>INDEX('M04-S04'!$AU$16:$AU$198,2*(ROWS($J$215:J222)-1)+1)</f>
        <v/>
      </c>
      <c r="K222" t="str">
        <f>IFERROR(INDEX(PMEMOTOR[Cost Basis],MATCH(W222,PMEMOTOR[Eff Desc 1],0)),"")</f>
        <v/>
      </c>
      <c r="L222" s="151">
        <f>INDEX('M04-S04'!$V$16:$V$196,2*(ROWS($L$215:L222)-1)+1)</f>
        <v>0</v>
      </c>
      <c r="M222" s="151">
        <f>IFERROR(IF(ISNUMBER(INDEX('M04-S04'!$AO$16:$AO$196,2*(ROWS($O$215:O222)-1)+1)),INDEX('M04-S04'!$AK$16:$AK$196,2*(ROWS($M$215:M222)-1)+1),0),"")</f>
        <v>0</v>
      </c>
      <c r="N222" s="189" cm="1">
        <f t="array" ref="N222">IFERROR(IF(ISNUMBER(INDEX('M04-S04'!$AO$16:$AO$196,2*(ROWS($O$215:O222)-1)+1)),INDEX('M04-S04'!$AV$16:$AV$196,2*(ROWS($N$215:N222)-1)+1),0),"")</f>
        <v>0</v>
      </c>
      <c r="O222" s="61" cm="1">
        <f t="array" ref="O222">IFERROR(IF(ISNUMBER(INDEX('M04-S04'!$AO$16:$AO$196,2*(ROWS($O$215:O222)-1)+1)),INDEX('M04-S04'!$AO$16:$AO$196,2*(ROWS($O$215:O222)-1)+1)*INCENTCAPADJ,0),"")</f>
        <v>0</v>
      </c>
      <c r="P222" s="152"/>
      <c r="Q222" s="193"/>
      <c r="R222" s="135"/>
      <c r="S222" s="157"/>
      <c r="T222" s="157"/>
      <c r="U222" s="151">
        <f>INDEX('M04-S04'!$B$16:$B$196,2*(ROWS($U$215:U222)-1)+1)</f>
        <v>8</v>
      </c>
      <c r="V222" s="135"/>
      <c r="W222" s="58">
        <f>INDEX('M04-S04'!$C$16:$C$196,2*(ROWS($W$215:W222)-1)+1)</f>
        <v>0</v>
      </c>
      <c r="X222" s="135"/>
      <c r="Y222">
        <f>INDEX('M04-S04'!$X$16:$X$196,2*(ROWS($Y$215:Y222)-1)+1)</f>
        <v>0</v>
      </c>
      <c r="Z222" s="135"/>
      <c r="AA222" s="135"/>
      <c r="AB222" s="135"/>
      <c r="AC222" s="135"/>
      <c r="AD222" s="135"/>
      <c r="AE222" s="152"/>
      <c r="AF222" s="152"/>
      <c r="AG222" s="152"/>
      <c r="AH222" s="152"/>
      <c r="AI222" s="152"/>
      <c r="AJ222" s="61" t="str">
        <f t="shared" si="71"/>
        <v/>
      </c>
      <c r="AK222" s="61" t="str">
        <f t="shared" si="72"/>
        <v/>
      </c>
      <c r="AL222" s="61" t="str">
        <f t="shared" si="73"/>
        <v/>
      </c>
      <c r="AM222" s="154"/>
      <c r="AN222" s="61" t="str">
        <f t="shared" si="74"/>
        <v/>
      </c>
      <c r="AO222" s="152"/>
      <c r="AP222" s="152"/>
      <c r="AQ222" s="152"/>
      <c r="AR222" s="416"/>
    </row>
    <row r="223" spans="1:44" x14ac:dyDescent="0.25">
      <c r="A223" s="66">
        <f t="shared" si="69"/>
        <v>0</v>
      </c>
      <c r="B223" s="66" t="str">
        <f t="shared" si="70"/>
        <v/>
      </c>
      <c r="C223" s="66" t="str">
        <f>IFERROR(IF(OR(P223&gt;0,O223&gt;0),INDEX(PMEMOTOR[Measure '#],MATCH(W223,PMEMOTOR[Eff Desc 1],0)),""),"")</f>
        <v/>
      </c>
      <c r="D223" t="s">
        <v>1096</v>
      </c>
      <c r="E223" t="str">
        <f>IFERROR(INDEX(PMEMOTOR[End Use Category],MATCH(W223,PMEMOTOR[Eff Desc 1],0)),"")</f>
        <v/>
      </c>
      <c r="F223" s="152"/>
      <c r="G223">
        <f>INDEX('M04-S04'!$AB$16:$AB$196,2*(ROWS($G$215:G223)-1)+1)</f>
        <v>0</v>
      </c>
      <c r="H223" s="61">
        <f>ROUND(INDEX('M04-S04'!$AE$16:$AE$198,2*(ROWS($H$215:H223)-1)+1),2)</f>
        <v>0</v>
      </c>
      <c r="I223" s="61">
        <f>ROUND(INDEX('M04-S04'!$AG$16:$AG$198,2*(ROWS($I$215:I223)-1)+1),2)</f>
        <v>0</v>
      </c>
      <c r="J223" s="61" t="str">
        <f>INDEX('M04-S04'!$AU$16:$AU$198,2*(ROWS($J$215:J223)-1)+1)</f>
        <v/>
      </c>
      <c r="K223" t="str">
        <f>IFERROR(INDEX(PMEMOTOR[Cost Basis],MATCH(W223,PMEMOTOR[Eff Desc 1],0)),"")</f>
        <v/>
      </c>
      <c r="L223" s="151">
        <f>INDEX('M04-S04'!$V$16:$V$196,2*(ROWS($L$215:L223)-1)+1)</f>
        <v>0</v>
      </c>
      <c r="M223" s="151">
        <f>IFERROR(IF(ISNUMBER(INDEX('M04-S04'!$AO$16:$AO$196,2*(ROWS($O$215:O223)-1)+1)),INDEX('M04-S04'!$AK$16:$AK$196,2*(ROWS($M$215:M223)-1)+1),0),"")</f>
        <v>0</v>
      </c>
      <c r="N223" s="189" cm="1">
        <f t="array" ref="N223">IFERROR(IF(ISNUMBER(INDEX('M04-S04'!$AO$16:$AO$196,2*(ROWS($O$215:O223)-1)+1)),INDEX('M04-S04'!$AV$16:$AV$196,2*(ROWS($N$215:N223)-1)+1),0),"")</f>
        <v>0</v>
      </c>
      <c r="O223" s="61" cm="1">
        <f t="array" ref="O223">IFERROR(IF(ISNUMBER(INDEX('M04-S04'!$AO$16:$AO$196,2*(ROWS($O$215:O223)-1)+1)),INDEX('M04-S04'!$AO$16:$AO$196,2*(ROWS($O$215:O223)-1)+1)*INCENTCAPADJ,0),"")</f>
        <v>0</v>
      </c>
      <c r="P223" s="152"/>
      <c r="Q223" s="193"/>
      <c r="R223" s="135"/>
      <c r="S223" s="157"/>
      <c r="T223" s="157"/>
      <c r="U223" s="151">
        <f>INDEX('M04-S04'!$B$16:$B$196,2*(ROWS($U$215:U223)-1)+1)</f>
        <v>9</v>
      </c>
      <c r="V223" s="135"/>
      <c r="W223" s="58">
        <f>INDEX('M04-S04'!$C$16:$C$196,2*(ROWS($W$215:W223)-1)+1)</f>
        <v>0</v>
      </c>
      <c r="X223" s="135"/>
      <c r="Y223">
        <f>INDEX('M04-S04'!$X$16:$X$196,2*(ROWS($Y$215:Y223)-1)+1)</f>
        <v>0</v>
      </c>
      <c r="Z223" s="135"/>
      <c r="AA223" s="135"/>
      <c r="AB223" s="135"/>
      <c r="AC223" s="135"/>
      <c r="AD223" s="135"/>
      <c r="AE223" s="152"/>
      <c r="AF223" s="152"/>
      <c r="AG223" s="152"/>
      <c r="AH223" s="152"/>
      <c r="AI223" s="152"/>
      <c r="AJ223" s="61" t="str">
        <f t="shared" si="71"/>
        <v/>
      </c>
      <c r="AK223" s="61" t="str">
        <f t="shared" si="72"/>
        <v/>
      </c>
      <c r="AL223" s="61" t="str">
        <f t="shared" si="73"/>
        <v/>
      </c>
      <c r="AM223" s="154"/>
      <c r="AN223" s="61" t="str">
        <f t="shared" si="74"/>
        <v/>
      </c>
      <c r="AO223" s="152"/>
      <c r="AP223" s="152"/>
      <c r="AQ223" s="152"/>
      <c r="AR223" s="416"/>
    </row>
    <row r="224" spans="1:44" x14ac:dyDescent="0.25">
      <c r="A224" s="66">
        <f t="shared" si="69"/>
        <v>0</v>
      </c>
      <c r="B224" s="66" t="str">
        <f t="shared" si="70"/>
        <v/>
      </c>
      <c r="C224" s="66" t="str">
        <f>IFERROR(IF(OR(P224&gt;0,O224&gt;0),INDEX(PMEMOTOR[Measure '#],MATCH(W224,PMEMOTOR[Eff Desc 1],0)),""),"")</f>
        <v/>
      </c>
      <c r="D224" t="s">
        <v>1096</v>
      </c>
      <c r="E224" t="str">
        <f>IFERROR(INDEX(PMEMOTOR[End Use Category],MATCH(W224,PMEMOTOR[Eff Desc 1],0)),"")</f>
        <v/>
      </c>
      <c r="F224" s="152"/>
      <c r="G224">
        <f>INDEX('M04-S04'!$AB$16:$AB$196,2*(ROWS($G$215:G224)-1)+1)</f>
        <v>0</v>
      </c>
      <c r="H224" s="61">
        <f>ROUND(INDEX('M04-S04'!$AE$16:$AE$198,2*(ROWS($H$215:H224)-1)+1),2)</f>
        <v>0</v>
      </c>
      <c r="I224" s="61">
        <f>ROUND(INDEX('M04-S04'!$AG$16:$AG$198,2*(ROWS($I$215:I224)-1)+1),2)</f>
        <v>0</v>
      </c>
      <c r="J224" s="61" t="str">
        <f>INDEX('M04-S04'!$AU$16:$AU$198,2*(ROWS($J$215:J224)-1)+1)</f>
        <v/>
      </c>
      <c r="K224" t="str">
        <f>IFERROR(INDEX(PMEMOTOR[Cost Basis],MATCH(W224,PMEMOTOR[Eff Desc 1],0)),"")</f>
        <v/>
      </c>
      <c r="L224" s="151">
        <f>INDEX('M04-S04'!$V$16:$V$196,2*(ROWS($L$215:L224)-1)+1)</f>
        <v>0</v>
      </c>
      <c r="M224" s="151">
        <f>IFERROR(IF(ISNUMBER(INDEX('M04-S04'!$AO$16:$AO$196,2*(ROWS($O$215:O224)-1)+1)),INDEX('M04-S04'!$AK$16:$AK$196,2*(ROWS($M$215:M224)-1)+1),0),"")</f>
        <v>0</v>
      </c>
      <c r="N224" s="189" cm="1">
        <f t="array" ref="N224">IFERROR(IF(ISNUMBER(INDEX('M04-S04'!$AO$16:$AO$196,2*(ROWS($O$215:O224)-1)+1)),INDEX('M04-S04'!$AV$16:$AV$196,2*(ROWS($N$215:N224)-1)+1),0),"")</f>
        <v>0</v>
      </c>
      <c r="O224" s="61" cm="1">
        <f t="array" ref="O224">IFERROR(IF(ISNUMBER(INDEX('M04-S04'!$AO$16:$AO$196,2*(ROWS($O$215:O224)-1)+1)),INDEX('M04-S04'!$AO$16:$AO$196,2*(ROWS($O$215:O224)-1)+1)*INCENTCAPADJ,0),"")</f>
        <v>0</v>
      </c>
      <c r="P224" s="152"/>
      <c r="Q224" s="193"/>
      <c r="R224" s="135"/>
      <c r="S224" s="157"/>
      <c r="T224" s="157"/>
      <c r="U224" s="151">
        <f>INDEX('M04-S04'!$B$16:$B$196,2*(ROWS($U$215:U224)-1)+1)</f>
        <v>10</v>
      </c>
      <c r="V224" s="135"/>
      <c r="W224" s="58">
        <f>INDEX('M04-S04'!$C$16:$C$196,2*(ROWS($W$215:W224)-1)+1)</f>
        <v>0</v>
      </c>
      <c r="X224" s="135"/>
      <c r="Y224">
        <f>INDEX('M04-S04'!$X$16:$X$196,2*(ROWS($Y$215:Y224)-1)+1)</f>
        <v>0</v>
      </c>
      <c r="Z224" s="135"/>
      <c r="AA224" s="135"/>
      <c r="AB224" s="135"/>
      <c r="AC224" s="135"/>
      <c r="AD224" s="135"/>
      <c r="AE224" s="152"/>
      <c r="AF224" s="152"/>
      <c r="AG224" s="152"/>
      <c r="AH224" s="152"/>
      <c r="AI224" s="152"/>
      <c r="AJ224" s="61" t="str">
        <f t="shared" si="71"/>
        <v/>
      </c>
      <c r="AK224" s="61" t="str">
        <f t="shared" si="72"/>
        <v/>
      </c>
      <c r="AL224" s="61" t="str">
        <f t="shared" si="73"/>
        <v/>
      </c>
      <c r="AM224" s="154"/>
      <c r="AN224" s="61" t="str">
        <f t="shared" si="74"/>
        <v/>
      </c>
      <c r="AO224" s="152"/>
      <c r="AP224" s="152"/>
      <c r="AQ224" s="152"/>
      <c r="AR224" s="416"/>
    </row>
    <row r="225" spans="1:44" x14ac:dyDescent="0.25">
      <c r="A225" s="207" t="str">
        <f>CONCATENATE(MAIN4," ",M4S5)</f>
        <v>STANDARD MEASURES VFDs</v>
      </c>
      <c r="B225" s="209"/>
      <c r="C225" s="209"/>
      <c r="D225" s="164"/>
      <c r="E225" s="164"/>
      <c r="F225" s="170"/>
      <c r="G225" s="164"/>
      <c r="H225" s="171"/>
      <c r="I225" s="171"/>
      <c r="J225" s="171"/>
      <c r="K225" s="164"/>
      <c r="L225" s="170"/>
      <c r="M225" s="170"/>
      <c r="N225" s="191"/>
      <c r="O225" s="171"/>
      <c r="P225" s="176"/>
      <c r="Q225" s="194"/>
      <c r="R225" s="174"/>
      <c r="S225" s="177"/>
      <c r="T225" s="177"/>
      <c r="U225" s="170"/>
      <c r="V225" s="174"/>
      <c r="W225" s="173"/>
      <c r="X225" s="174"/>
      <c r="Y225" s="164"/>
      <c r="Z225" s="164"/>
      <c r="AA225" s="164"/>
      <c r="AB225" s="164"/>
      <c r="AC225" s="164"/>
      <c r="AD225" s="164"/>
      <c r="AE225" s="176"/>
      <c r="AF225" s="176"/>
      <c r="AG225" s="176"/>
      <c r="AH225" s="176"/>
      <c r="AI225" s="176"/>
      <c r="AJ225" s="171" t="str">
        <f>IFERROR(O225/M225,"")</f>
        <v/>
      </c>
      <c r="AK225" s="171" t="str">
        <f>IFERROR(O225/N225,"")</f>
        <v/>
      </c>
      <c r="AL225" s="171" t="str">
        <f>IFERROR(O225/L225,"")</f>
        <v/>
      </c>
      <c r="AM225" s="175"/>
      <c r="AN225" s="171" t="str">
        <f>IFERROR(J225/M225/M02S02F35,"")</f>
        <v/>
      </c>
      <c r="AO225" s="170"/>
      <c r="AP225" s="170"/>
      <c r="AQ225" s="170"/>
      <c r="AR225" s="412"/>
    </row>
    <row r="226" spans="1:44" x14ac:dyDescent="0.25">
      <c r="A226" s="66">
        <f t="shared" si="69"/>
        <v>0</v>
      </c>
      <c r="B226" s="66" t="str">
        <f>IF(C226="","",CONCATENATE(ROW(),"-",C226))</f>
        <v/>
      </c>
      <c r="C226" s="66" t="str">
        <f>IFERROR(IF(OR(P226&gt;0,O226&gt;0),INDEX(PMEVFD[Measure '#],MATCH(W226,PMEVFD[Eff Desc 1],0)),""),"")</f>
        <v/>
      </c>
      <c r="D226" t="s">
        <v>1096</v>
      </c>
      <c r="E226" t="str">
        <f>IFERROR(INDEX(PMEVFD[End Use Category],MATCH(W226,PMEVFD[Eff Desc 1],0)),"")</f>
        <v/>
      </c>
      <c r="F226" s="152"/>
      <c r="G226">
        <f>INDEX('M04-S05'!$AB$16:$AB$196,2*(ROWS($G$226:G226)-1)+1)</f>
        <v>0</v>
      </c>
      <c r="H226" s="61">
        <f>ROUND(INDEX('M04-S05'!$AE$16:$AE$198,2*(ROWS($H$226:H226)-1)+1),2)</f>
        <v>0</v>
      </c>
      <c r="I226" s="61">
        <f>ROUND(INDEX('M04-S05'!$AG$16:$AG$198,2*(ROWS($I$226:I226)-1)+1),2)</f>
        <v>0</v>
      </c>
      <c r="J226" s="61" t="str">
        <f>INDEX('M04-S05'!$AU$16:$AU$198,2*(ROWS($J$226:J226)-1)+1)</f>
        <v/>
      </c>
      <c r="K226" t="str">
        <f>IFERROR(INDEX(PMEVFD[Cost Basis],MATCH(W226,PMEVFD[Eff Desc 1],0)),"")</f>
        <v/>
      </c>
      <c r="L226" s="151">
        <f>INDEX('M04-S05'!$T$16:$T$196,2*(ROWS($L226:L$226)-1)+1) * INDEX('M04-S05'!$V$16:$V$196,2*(ROWS($L226:L$226)-1)+1)</f>
        <v>0</v>
      </c>
      <c r="M226" s="151" cm="1">
        <f t="array" ref="M226">IFERROR(IF(ISNUMBER(INDEX('M04-S05'!$AO$16:$AO$196,2*(ROWS($O$226:O226)-1)+1)),INDEX('M04-S05'!$AK$16:$AK$196,2*(ROWS($M$226:M226)-1)+1),0),"")</f>
        <v>0</v>
      </c>
      <c r="N226" s="189" cm="1">
        <f t="array" ref="N226">IFERROR(IF(ISNUMBER(INDEX('M04-S05'!$AO$16:$AO$196,2*(ROWS($O$226:O226)-1)+1)),INDEX('M04-S05'!$AV$16:$AV$196,2*(ROWS($N$226:N226)-1)+1),0),"")</f>
        <v>0</v>
      </c>
      <c r="O226" s="61" cm="1">
        <f t="array" ref="O226">IFERROR(IF(ISNUMBER(INDEX('M04-S05'!$AO$16:$AO$196,2*(ROWS($O$226:O226)-1)+1)),INDEX('M04-S05'!$AO$16:$AO$196,2*(ROWS($O$226:O226)-1)+1)*INCENTCAPADJ,0),"")</f>
        <v>0</v>
      </c>
      <c r="P226" s="152"/>
      <c r="Q226" s="193"/>
      <c r="R226" s="135"/>
      <c r="S226" s="157"/>
      <c r="T226" s="157"/>
      <c r="U226" s="151">
        <f>INDEX('M04-S05'!$B$16:$B$196,2*(ROWS($U226:U$226)-1)+1)</f>
        <v>1</v>
      </c>
      <c r="V226" s="135"/>
      <c r="W226" s="58">
        <f>INDEX('M04-S05'!$C$16:$C$196,2*(ROWS($W$226:W226)-1)+1)</f>
        <v>0</v>
      </c>
      <c r="X226" s="135"/>
      <c r="Y226">
        <f>INDEX('M04-S05'!$X$16:$X$196,2*(ROWS($Y$226:Y226)-1)+1)</f>
        <v>0</v>
      </c>
      <c r="Z226" s="135"/>
      <c r="AA226" s="135"/>
      <c r="AB226" s="135"/>
      <c r="AC226" s="61">
        <f>INDEX('M04-S05'!$V$16:$V$196,2*(ROWS($Y$226:Y226)-1)+1)</f>
        <v>0</v>
      </c>
      <c r="AD226" s="135"/>
      <c r="AE226" s="152"/>
      <c r="AF226" s="152"/>
      <c r="AG226" s="152"/>
      <c r="AH226" s="152"/>
      <c r="AI226" s="152"/>
      <c r="AJ226" s="61" t="str">
        <f>IFERROR(O226/M226,"")</f>
        <v/>
      </c>
      <c r="AK226" s="61" t="str">
        <f>IFERROR(O226/N226,"")</f>
        <v/>
      </c>
      <c r="AL226" s="61" t="str">
        <f>IFERROR(O226/L226,"")</f>
        <v/>
      </c>
      <c r="AM226" s="154"/>
      <c r="AN226" s="61" t="str">
        <f>IFERROR(J226/M226/M02S02F35,"")</f>
        <v/>
      </c>
      <c r="AO226" s="152"/>
      <c r="AP226" s="152"/>
      <c r="AQ226" s="152"/>
      <c r="AR226" s="416">
        <f>(IF(INDEX('M04-S05'!$AO$16:$AO$198,2*(ROWS($O$226:O226)-1)+1)=INDEX('M04-S05'!$AZ$16:$AZ$198,2*(ROWS($O$226:O226)-1)+1),0,(INDEX('M04-S05'!$AY$16:$AY$198,2*(ROWS($O$226:O226)-1)+1)-INDEX('M04-S05'!$AZ$16:$AZ$198,2*(ROWS($O$226:O226)-1)+1))))*INCENTCAPADJ</f>
        <v>0</v>
      </c>
    </row>
    <row r="227" spans="1:44" x14ac:dyDescent="0.25">
      <c r="A227" s="66">
        <f t="shared" si="69"/>
        <v>0</v>
      </c>
      <c r="B227" s="66" t="str">
        <f t="shared" ref="B227:B235" si="75">IF(C227="","",CONCATENATE(ROW(),"-",C227))</f>
        <v/>
      </c>
      <c r="C227" s="66" t="str">
        <f>IFERROR(IF(OR(P227&gt;0,O227&gt;0),INDEX(PMEVFD[Measure '#],MATCH(W227,PMEVFD[Eff Desc 1],0)),""),"")</f>
        <v/>
      </c>
      <c r="D227" t="s">
        <v>1096</v>
      </c>
      <c r="E227" t="str">
        <f>IFERROR(INDEX(PMEVFD[End Use Category],MATCH(W227,PMEVFD[Eff Desc 1],0)),"")</f>
        <v/>
      </c>
      <c r="F227" s="152"/>
      <c r="G227">
        <f>INDEX('M04-S05'!$AB$16:$AB$196,2*(ROWS($G$226:G227)-1)+1)</f>
        <v>0</v>
      </c>
      <c r="H227" s="61">
        <f>ROUND(INDEX('M04-S05'!$AE$16:$AE$198,2*(ROWS($H$226:H227)-1)+1),2)</f>
        <v>0</v>
      </c>
      <c r="I227" s="61">
        <f>ROUND(INDEX('M04-S05'!$AG$16:$AG$198,2*(ROWS($I$226:I227)-1)+1),2)</f>
        <v>0</v>
      </c>
      <c r="J227" s="61" t="str">
        <f>INDEX('M04-S05'!$AU$16:$AU$198,2*(ROWS($J$226:J227)-1)+1)</f>
        <v/>
      </c>
      <c r="K227" t="str">
        <f>IFERROR(INDEX(PMEVFD[Cost Basis],MATCH(W227,PMEVFD[Eff Desc 1],0)),"")</f>
        <v/>
      </c>
      <c r="L227" s="151">
        <f>INDEX('M04-S05'!$T$16:$T$196,2*(ROWS($L$226:L227)-1)+1) * INDEX('M04-S05'!$V$16:$V$196,2*(ROWS($L$226:L227)-1)+1)</f>
        <v>0</v>
      </c>
      <c r="M227" s="151" cm="1">
        <f t="array" ref="M227">IFERROR(IF(ISNUMBER(INDEX('M04-S05'!$AO$16:$AO$196,2*(ROWS($O$226:O227)-1)+1)),INDEX('M04-S05'!$AK$16:$AK$196,2*(ROWS($M$226:M227)-1)+1),0),"")</f>
        <v>0</v>
      </c>
      <c r="N227" s="189" cm="1">
        <f t="array" ref="N227">IFERROR(IF(ISNUMBER(INDEX('M04-S05'!$AO$16:$AO$196,2*(ROWS($O$226:O227)-1)+1)),INDEX('M04-S05'!$AV$16:$AV$196,2*(ROWS($N$226:N227)-1)+1),0),"")</f>
        <v>0</v>
      </c>
      <c r="O227" s="61" cm="1">
        <f t="array" ref="O227">IFERROR(IF(ISNUMBER(INDEX('M04-S05'!$AO$16:$AO$196,2*(ROWS($O$226:O227)-1)+1)),INDEX('M04-S05'!$AO$16:$AO$196,2*(ROWS($O$226:O227)-1)+1)*INCENTCAPADJ,0),"")</f>
        <v>0</v>
      </c>
      <c r="P227" s="152"/>
      <c r="Q227" s="193"/>
      <c r="R227" s="135"/>
      <c r="S227" s="157"/>
      <c r="T227" s="157"/>
      <c r="U227" s="151">
        <f>INDEX('M04-S05'!$B$16:$B$196,2*(ROWS($U$226:U227)-1)+1)</f>
        <v>2</v>
      </c>
      <c r="V227" s="135"/>
      <c r="W227" s="58">
        <f>INDEX('M04-S05'!$C$16:$C$196,2*(ROWS($W$226:W227)-1)+1)</f>
        <v>0</v>
      </c>
      <c r="X227" s="135"/>
      <c r="Y227">
        <f>INDEX('M04-S05'!$X$16:$X$196,2*(ROWS($Y$226:Y227)-1)+1)</f>
        <v>0</v>
      </c>
      <c r="Z227" s="135"/>
      <c r="AA227" s="135"/>
      <c r="AB227" s="135"/>
      <c r="AC227" s="61">
        <f>INDEX('M04-S05'!$V$16:$V$196,2*(ROWS($Y$226:Y227)-1)+1)</f>
        <v>0</v>
      </c>
      <c r="AD227" s="135"/>
      <c r="AE227" s="152"/>
      <c r="AF227" s="152"/>
      <c r="AG227" s="152"/>
      <c r="AH227" s="152"/>
      <c r="AI227" s="152"/>
      <c r="AJ227" s="61" t="str">
        <f t="shared" ref="AJ227:AJ235" si="76">IFERROR(O227/M227,"")</f>
        <v/>
      </c>
      <c r="AK227" s="61" t="str">
        <f t="shared" ref="AK227:AK235" si="77">IFERROR(O227/N227,"")</f>
        <v/>
      </c>
      <c r="AL227" s="61" t="str">
        <f t="shared" ref="AL227:AL235" si="78">IFERROR(O227/L227,"")</f>
        <v/>
      </c>
      <c r="AM227" s="154"/>
      <c r="AN227" s="61" t="str">
        <f t="shared" ref="AN227:AN235" si="79">IFERROR(J227/M227/M02S02F35,"")</f>
        <v/>
      </c>
      <c r="AO227" s="152"/>
      <c r="AP227" s="152"/>
      <c r="AQ227" s="152"/>
      <c r="AR227" s="416">
        <f>(IF(INDEX('M04-S05'!$AO$16:$AO$198,2*(ROWS($O$226:O227)-1)+1)=INDEX('M04-S05'!$AZ$16:$AZ$198,2*(ROWS($O$226:O227)-1)+1),0,(INDEX('M04-S05'!$AY$16:$AY$198,2*(ROWS($O$226:O227)-1)+1)-INDEX('M04-S05'!$AZ$16:$AZ$198,2*(ROWS($O$226:O227)-1)+1))))*INCENTCAPADJ</f>
        <v>0</v>
      </c>
    </row>
    <row r="228" spans="1:44" x14ac:dyDescent="0.25">
      <c r="A228" s="66">
        <f t="shared" si="69"/>
        <v>0</v>
      </c>
      <c r="B228" s="66" t="str">
        <f t="shared" si="75"/>
        <v/>
      </c>
      <c r="C228" s="66" t="str">
        <f>IFERROR(IF(OR(P228&gt;0,O228&gt;0),INDEX(PMEVFD[Measure '#],MATCH(W228,PMEVFD[Eff Desc 1],0)),""),"")</f>
        <v/>
      </c>
      <c r="D228" t="s">
        <v>1096</v>
      </c>
      <c r="E228" t="str">
        <f>IFERROR(INDEX(PMEVFD[End Use Category],MATCH(W228,PMEVFD[Eff Desc 1],0)),"")</f>
        <v/>
      </c>
      <c r="F228" s="152"/>
      <c r="G228">
        <f>INDEX('M04-S05'!$AB$16:$AB$196,2*(ROWS($G$226:G228)-1)+1)</f>
        <v>0</v>
      </c>
      <c r="H228" s="61">
        <f>ROUND(INDEX('M04-S05'!$AE$16:$AE$198,2*(ROWS($H$226:H228)-1)+1),2)</f>
        <v>0</v>
      </c>
      <c r="I228" s="61">
        <f>ROUND(INDEX('M04-S05'!$AG$16:$AG$198,2*(ROWS($I$226:I228)-1)+1),2)</f>
        <v>0</v>
      </c>
      <c r="J228" s="61" t="str">
        <f>INDEX('M04-S05'!$AU$16:$AU$198,2*(ROWS($J$226:J228)-1)+1)</f>
        <v/>
      </c>
      <c r="K228" t="str">
        <f>IFERROR(INDEX(PMEVFD[Cost Basis],MATCH(W228,PMEVFD[Eff Desc 1],0)),"")</f>
        <v/>
      </c>
      <c r="L228" s="151">
        <f>INDEX('M04-S05'!$T$16:$T$196,2*(ROWS($L$226:L228)-1)+1) * INDEX('M04-S05'!$V$16:$V$196,2*(ROWS($L$226:L228)-1)+1)</f>
        <v>0</v>
      </c>
      <c r="M228" s="151" cm="1">
        <f t="array" ref="M228">IFERROR(IF(ISNUMBER(INDEX('M04-S05'!$AO$16:$AO$196,2*(ROWS($O$226:O228)-1)+1)),INDEX('M04-S05'!$AK$16:$AK$196,2*(ROWS($M$226:M228)-1)+1),0),"")</f>
        <v>0</v>
      </c>
      <c r="N228" s="189" cm="1">
        <f t="array" ref="N228">IFERROR(IF(ISNUMBER(INDEX('M04-S05'!$AO$16:$AO$196,2*(ROWS($O$226:O228)-1)+1)),INDEX('M04-S05'!$AV$16:$AV$196,2*(ROWS($N$226:N228)-1)+1),0),"")</f>
        <v>0</v>
      </c>
      <c r="O228" s="61" cm="1">
        <f t="array" ref="O228">IFERROR(IF(ISNUMBER(INDEX('M04-S05'!$AO$16:$AO$196,2*(ROWS($O$226:O228)-1)+1)),INDEX('M04-S05'!$AO$16:$AO$196,2*(ROWS($O$226:O228)-1)+1)*INCENTCAPADJ,0),"")</f>
        <v>0</v>
      </c>
      <c r="P228" s="152"/>
      <c r="Q228" s="193"/>
      <c r="R228" s="135"/>
      <c r="S228" s="157"/>
      <c r="T228" s="157"/>
      <c r="U228" s="151">
        <f>INDEX('M04-S05'!$B$16:$B$196,2*(ROWS($U$226:U228)-1)+1)</f>
        <v>3</v>
      </c>
      <c r="V228" s="135"/>
      <c r="W228" s="58">
        <f>INDEX('M04-S05'!$C$16:$C$196,2*(ROWS($W$226:W228)-1)+1)</f>
        <v>0</v>
      </c>
      <c r="X228" s="135"/>
      <c r="Y228">
        <f>INDEX('M04-S05'!$X$16:$X$196,2*(ROWS($Y$226:Y228)-1)+1)</f>
        <v>0</v>
      </c>
      <c r="Z228" s="135"/>
      <c r="AA228" s="135"/>
      <c r="AB228" s="135"/>
      <c r="AC228" s="61">
        <f>INDEX('M04-S05'!$V$16:$V$196,2*(ROWS($Y$226:Y228)-1)+1)</f>
        <v>0</v>
      </c>
      <c r="AD228" s="135"/>
      <c r="AE228" s="152"/>
      <c r="AF228" s="152"/>
      <c r="AG228" s="152"/>
      <c r="AH228" s="152"/>
      <c r="AI228" s="152"/>
      <c r="AJ228" s="61" t="str">
        <f t="shared" si="76"/>
        <v/>
      </c>
      <c r="AK228" s="61" t="str">
        <f t="shared" si="77"/>
        <v/>
      </c>
      <c r="AL228" s="61" t="str">
        <f t="shared" si="78"/>
        <v/>
      </c>
      <c r="AM228" s="154"/>
      <c r="AN228" s="61" t="str">
        <f t="shared" si="79"/>
        <v/>
      </c>
      <c r="AO228" s="152"/>
      <c r="AP228" s="152"/>
      <c r="AQ228" s="152"/>
      <c r="AR228" s="416">
        <f>(IF(INDEX('M04-S05'!$AO$16:$AO$198,2*(ROWS($O$226:O228)-1)+1)=INDEX('M04-S05'!$AZ$16:$AZ$198,2*(ROWS($O$226:O228)-1)+1),0,(INDEX('M04-S05'!$AY$16:$AY$198,2*(ROWS($O$226:O228)-1)+1)-INDEX('M04-S05'!$AZ$16:$AZ$198,2*(ROWS($O$226:O228)-1)+1))))*INCENTCAPADJ</f>
        <v>0</v>
      </c>
    </row>
    <row r="229" spans="1:44" x14ac:dyDescent="0.25">
      <c r="A229" s="66">
        <f t="shared" si="69"/>
        <v>0</v>
      </c>
      <c r="B229" s="66" t="str">
        <f t="shared" si="75"/>
        <v/>
      </c>
      <c r="C229" s="66" t="str">
        <f>IFERROR(IF(OR(P229&gt;0,O229&gt;0),INDEX(PMEVFD[Measure '#],MATCH(W229,PMEVFD[Eff Desc 1],0)),""),"")</f>
        <v/>
      </c>
      <c r="D229" t="s">
        <v>1096</v>
      </c>
      <c r="E229" t="str">
        <f>IFERROR(INDEX(PMEVFD[End Use Category],MATCH(W229,PMEVFD[Eff Desc 1],0)),"")</f>
        <v/>
      </c>
      <c r="F229" s="152"/>
      <c r="G229">
        <f>INDEX('M04-S05'!$AB$16:$AB$196,2*(ROWS($G$226:G229)-1)+1)</f>
        <v>0</v>
      </c>
      <c r="H229" s="61">
        <f>ROUND(INDEX('M04-S05'!$AE$16:$AE$198,2*(ROWS($H$226:H229)-1)+1),2)</f>
        <v>0</v>
      </c>
      <c r="I229" s="61">
        <f>ROUND(INDEX('M04-S05'!$AG$16:$AG$198,2*(ROWS($I$226:I229)-1)+1),2)</f>
        <v>0</v>
      </c>
      <c r="J229" s="61" t="str">
        <f>INDEX('M04-S05'!$AU$16:$AU$198,2*(ROWS($J$226:J229)-1)+1)</f>
        <v/>
      </c>
      <c r="K229" t="str">
        <f>IFERROR(INDEX(PMEVFD[Cost Basis],MATCH(W229,PMEVFD[Eff Desc 1],0)),"")</f>
        <v/>
      </c>
      <c r="L229" s="151">
        <f>INDEX('M04-S05'!$T$16:$T$196,2*(ROWS($L$226:L229)-1)+1) * INDEX('M04-S05'!$V$16:$V$196,2*(ROWS($L$226:L229)-1)+1)</f>
        <v>0</v>
      </c>
      <c r="M229" s="151" cm="1">
        <f t="array" ref="M229">IFERROR(IF(ISNUMBER(INDEX('M04-S05'!$AO$16:$AO$196,2*(ROWS($O$226:O229)-1)+1)),INDEX('M04-S05'!$AK$16:$AK$196,2*(ROWS($M$226:M229)-1)+1),0),"")</f>
        <v>0</v>
      </c>
      <c r="N229" s="189" cm="1">
        <f t="array" ref="N229">IFERROR(IF(ISNUMBER(INDEX('M04-S05'!$AO$16:$AO$196,2*(ROWS($O$226:O229)-1)+1)),INDEX('M04-S05'!$AV$16:$AV$196,2*(ROWS($N$226:N229)-1)+1),0),"")</f>
        <v>0</v>
      </c>
      <c r="O229" s="61" cm="1">
        <f t="array" ref="O229">IFERROR(IF(ISNUMBER(INDEX('M04-S05'!$AO$16:$AO$196,2*(ROWS($O$226:O229)-1)+1)),INDEX('M04-S05'!$AO$16:$AO$196,2*(ROWS($O$226:O229)-1)+1)*INCENTCAPADJ,0),"")</f>
        <v>0</v>
      </c>
      <c r="P229" s="152"/>
      <c r="Q229" s="193"/>
      <c r="R229" s="135"/>
      <c r="S229" s="157"/>
      <c r="T229" s="157"/>
      <c r="U229" s="151">
        <f>INDEX('M04-S05'!$B$16:$B$196,2*(ROWS($U$226:U229)-1)+1)</f>
        <v>4</v>
      </c>
      <c r="V229" s="135"/>
      <c r="W229" s="58">
        <f>INDEX('M04-S05'!$C$16:$C$196,2*(ROWS($W$226:W229)-1)+1)</f>
        <v>0</v>
      </c>
      <c r="X229" s="135"/>
      <c r="Y229">
        <f>INDEX('M04-S05'!$X$16:$X$196,2*(ROWS($Y$226:Y229)-1)+1)</f>
        <v>0</v>
      </c>
      <c r="Z229" s="135"/>
      <c r="AA229" s="135"/>
      <c r="AB229" s="135"/>
      <c r="AC229" s="61">
        <f>INDEX('M04-S05'!$V$16:$V$196,2*(ROWS($Y$226:Y229)-1)+1)</f>
        <v>0</v>
      </c>
      <c r="AD229" s="135"/>
      <c r="AE229" s="152"/>
      <c r="AF229" s="152"/>
      <c r="AG229" s="152"/>
      <c r="AH229" s="152"/>
      <c r="AI229" s="152"/>
      <c r="AJ229" s="61" t="str">
        <f t="shared" si="76"/>
        <v/>
      </c>
      <c r="AK229" s="61" t="str">
        <f t="shared" si="77"/>
        <v/>
      </c>
      <c r="AL229" s="61" t="str">
        <f t="shared" si="78"/>
        <v/>
      </c>
      <c r="AM229" s="154"/>
      <c r="AN229" s="61" t="str">
        <f t="shared" si="79"/>
        <v/>
      </c>
      <c r="AO229" s="152"/>
      <c r="AP229" s="152"/>
      <c r="AQ229" s="152"/>
      <c r="AR229" s="416">
        <f>(IF(INDEX('M04-S05'!$AO$16:$AO$198,2*(ROWS($O$226:O229)-1)+1)=INDEX('M04-S05'!$AZ$16:$AZ$198,2*(ROWS($O$226:O229)-1)+1),0,(INDEX('M04-S05'!$AY$16:$AY$198,2*(ROWS($O$226:O229)-1)+1)-INDEX('M04-S05'!$AZ$16:$AZ$198,2*(ROWS($O$226:O229)-1)+1))))*INCENTCAPADJ</f>
        <v>0</v>
      </c>
    </row>
    <row r="230" spans="1:44" x14ac:dyDescent="0.25">
      <c r="A230" s="66">
        <f t="shared" si="69"/>
        <v>0</v>
      </c>
      <c r="B230" s="66" t="str">
        <f t="shared" si="75"/>
        <v/>
      </c>
      <c r="C230" s="66" t="str">
        <f>IFERROR(IF(OR(P230&gt;0,O230&gt;0),INDEX(PMEVFD[Measure '#],MATCH(W230,PMEVFD[Eff Desc 1],0)),""),"")</f>
        <v/>
      </c>
      <c r="D230" t="s">
        <v>1096</v>
      </c>
      <c r="E230" t="str">
        <f>IFERROR(INDEX(PMEVFD[End Use Category],MATCH(W230,PMEVFD[Eff Desc 1],0)),"")</f>
        <v/>
      </c>
      <c r="F230" s="152"/>
      <c r="G230">
        <f>INDEX('M04-S05'!$AB$16:$AB$196,2*(ROWS($G$226:G230)-1)+1)</f>
        <v>0</v>
      </c>
      <c r="H230" s="61">
        <f>ROUND(INDEX('M04-S05'!$AE$16:$AE$198,2*(ROWS($H$226:H230)-1)+1),2)</f>
        <v>0</v>
      </c>
      <c r="I230" s="61">
        <f>ROUND(INDEX('M04-S05'!$AG$16:$AG$198,2*(ROWS($I$226:I230)-1)+1),2)</f>
        <v>0</v>
      </c>
      <c r="J230" s="61" t="str">
        <f>INDEX('M04-S05'!$AU$16:$AU$198,2*(ROWS($J$226:J230)-1)+1)</f>
        <v/>
      </c>
      <c r="K230" t="str">
        <f>IFERROR(INDEX(PMEVFD[Cost Basis],MATCH(W230,PMEVFD[Eff Desc 1],0)),"")</f>
        <v/>
      </c>
      <c r="L230" s="151">
        <f>INDEX('M04-S05'!$T$16:$T$196,2*(ROWS($L$226:L230)-1)+1) * INDEX('M04-S05'!$V$16:$V$196,2*(ROWS($L$226:L230)-1)+1)</f>
        <v>0</v>
      </c>
      <c r="M230" s="151" cm="1">
        <f t="array" ref="M230">IFERROR(IF(ISNUMBER(INDEX('M04-S05'!$AO$16:$AO$196,2*(ROWS($O$226:O230)-1)+1)),INDEX('M04-S05'!$AK$16:$AK$196,2*(ROWS($M$226:M230)-1)+1),0),"")</f>
        <v>0</v>
      </c>
      <c r="N230" s="189" cm="1">
        <f t="array" ref="N230">IFERROR(IF(ISNUMBER(INDEX('M04-S05'!$AO$16:$AO$196,2*(ROWS($O$226:O230)-1)+1)),INDEX('M04-S05'!$AV$16:$AV$196,2*(ROWS($N$226:N230)-1)+1),0),"")</f>
        <v>0</v>
      </c>
      <c r="O230" s="61" cm="1">
        <f t="array" ref="O230">IFERROR(IF(ISNUMBER(INDEX('M04-S05'!$AO$16:$AO$196,2*(ROWS($O$226:O230)-1)+1)),INDEX('M04-S05'!$AO$16:$AO$196,2*(ROWS($O$226:O230)-1)+1)*INCENTCAPADJ,0),"")</f>
        <v>0</v>
      </c>
      <c r="P230" s="152"/>
      <c r="Q230" s="193"/>
      <c r="R230" s="135"/>
      <c r="S230" s="157"/>
      <c r="T230" s="157"/>
      <c r="U230" s="151">
        <f>INDEX('M04-S05'!$B$16:$B$196,2*(ROWS($U$226:U230)-1)+1)</f>
        <v>5</v>
      </c>
      <c r="V230" s="135"/>
      <c r="W230" s="58">
        <f>INDEX('M04-S05'!$C$16:$C$196,2*(ROWS($W$226:W230)-1)+1)</f>
        <v>0</v>
      </c>
      <c r="X230" s="135"/>
      <c r="Y230">
        <f>INDEX('M04-S05'!$X$16:$X$196,2*(ROWS($Y$226:Y230)-1)+1)</f>
        <v>0</v>
      </c>
      <c r="Z230" s="135"/>
      <c r="AA230" s="135"/>
      <c r="AB230" s="135"/>
      <c r="AC230" s="61">
        <f>INDEX('M04-S05'!$V$16:$V$196,2*(ROWS($Y$226:Y230)-1)+1)</f>
        <v>0</v>
      </c>
      <c r="AD230" s="135"/>
      <c r="AE230" s="152"/>
      <c r="AF230" s="152"/>
      <c r="AG230" s="152"/>
      <c r="AH230" s="152"/>
      <c r="AI230" s="152"/>
      <c r="AJ230" s="61" t="str">
        <f t="shared" si="76"/>
        <v/>
      </c>
      <c r="AK230" s="61" t="str">
        <f t="shared" si="77"/>
        <v/>
      </c>
      <c r="AL230" s="61" t="str">
        <f t="shared" si="78"/>
        <v/>
      </c>
      <c r="AM230" s="154"/>
      <c r="AN230" s="61" t="str">
        <f t="shared" si="79"/>
        <v/>
      </c>
      <c r="AO230" s="152"/>
      <c r="AP230" s="152"/>
      <c r="AQ230" s="152"/>
      <c r="AR230" s="416">
        <f>(IF(INDEX('M04-S05'!$AO$16:$AO$198,2*(ROWS($O$226:O230)-1)+1)=INDEX('M04-S05'!$AZ$16:$AZ$198,2*(ROWS($O$226:O230)-1)+1),0,(INDEX('M04-S05'!$AY$16:$AY$198,2*(ROWS($O$226:O230)-1)+1)-INDEX('M04-S05'!$AZ$16:$AZ$198,2*(ROWS($O$226:O230)-1)+1))))*INCENTCAPADJ</f>
        <v>0</v>
      </c>
    </row>
    <row r="231" spans="1:44" x14ac:dyDescent="0.25">
      <c r="A231" s="66">
        <f t="shared" si="69"/>
        <v>0</v>
      </c>
      <c r="B231" s="66" t="str">
        <f t="shared" si="75"/>
        <v/>
      </c>
      <c r="C231" s="66" t="str">
        <f>IFERROR(IF(OR(P231&gt;0,O231&gt;0),INDEX(PMEVFD[Measure '#],MATCH(W231,PMEVFD[Eff Desc 1],0)),""),"")</f>
        <v/>
      </c>
      <c r="D231" t="s">
        <v>1096</v>
      </c>
      <c r="E231" t="str">
        <f>IFERROR(INDEX(PMEVFD[End Use Category],MATCH(W231,PMEVFD[Eff Desc 1],0)),"")</f>
        <v/>
      </c>
      <c r="F231" s="152"/>
      <c r="G231">
        <f>INDEX('M04-S05'!$AB$16:$AB$196,2*(ROWS($G$226:G231)-1)+1)</f>
        <v>0</v>
      </c>
      <c r="H231" s="61">
        <f>ROUND(INDEX('M04-S05'!$AE$16:$AE$198,2*(ROWS($H$226:H231)-1)+1),2)</f>
        <v>0</v>
      </c>
      <c r="I231" s="61">
        <f>ROUND(INDEX('M04-S05'!$AG$16:$AG$198,2*(ROWS($I$226:I231)-1)+1),2)</f>
        <v>0</v>
      </c>
      <c r="J231" s="61" t="str">
        <f>INDEX('M04-S05'!$AU$16:$AU$198,2*(ROWS($J$226:J231)-1)+1)</f>
        <v/>
      </c>
      <c r="K231" t="str">
        <f>IFERROR(INDEX(PMEVFD[Cost Basis],MATCH(W231,PMEVFD[Eff Desc 1],0)),"")</f>
        <v/>
      </c>
      <c r="L231" s="151">
        <f>INDEX('M04-S05'!$T$16:$T$196,2*(ROWS($L$226:L231)-1)+1) * INDEX('M04-S05'!$V$16:$V$196,2*(ROWS($L$226:L231)-1)+1)</f>
        <v>0</v>
      </c>
      <c r="M231" s="151" cm="1">
        <f t="array" ref="M231">IFERROR(IF(ISNUMBER(INDEX('M04-S05'!$AO$16:$AO$196,2*(ROWS($O$226:O231)-1)+1)),INDEX('M04-S05'!$AK$16:$AK$196,2*(ROWS($M$226:M231)-1)+1),0),"")</f>
        <v>0</v>
      </c>
      <c r="N231" s="189" cm="1">
        <f t="array" ref="N231">IFERROR(IF(ISNUMBER(INDEX('M04-S05'!$AO$16:$AO$196,2*(ROWS($O$226:O231)-1)+1)),INDEX('M04-S05'!$AV$16:$AV$196,2*(ROWS($N$226:N231)-1)+1),0),"")</f>
        <v>0</v>
      </c>
      <c r="O231" s="61" cm="1">
        <f t="array" ref="O231">IFERROR(IF(ISNUMBER(INDEX('M04-S05'!$AO$16:$AO$196,2*(ROWS($O$226:O231)-1)+1)),INDEX('M04-S05'!$AO$16:$AO$196,2*(ROWS($O$226:O231)-1)+1)*INCENTCAPADJ,0),"")</f>
        <v>0</v>
      </c>
      <c r="P231" s="152"/>
      <c r="Q231" s="193"/>
      <c r="R231" s="135"/>
      <c r="S231" s="157"/>
      <c r="T231" s="157"/>
      <c r="U231" s="151">
        <f>INDEX('M04-S05'!$B$16:$B$196,2*(ROWS($U$226:U231)-1)+1)</f>
        <v>6</v>
      </c>
      <c r="V231" s="135"/>
      <c r="W231" s="58">
        <f>INDEX('M04-S05'!$C$16:$C$196,2*(ROWS($W$226:W231)-1)+1)</f>
        <v>0</v>
      </c>
      <c r="X231" s="135"/>
      <c r="Y231">
        <f>INDEX('M04-S05'!$X$16:$X$196,2*(ROWS($Y$226:Y231)-1)+1)</f>
        <v>0</v>
      </c>
      <c r="Z231" s="135"/>
      <c r="AA231" s="135"/>
      <c r="AB231" s="135"/>
      <c r="AC231" s="61">
        <f>INDEX('M04-S05'!$V$16:$V$196,2*(ROWS($Y$226:Y231)-1)+1)</f>
        <v>0</v>
      </c>
      <c r="AD231" s="135"/>
      <c r="AE231" s="152"/>
      <c r="AF231" s="152"/>
      <c r="AG231" s="152"/>
      <c r="AH231" s="152"/>
      <c r="AI231" s="152"/>
      <c r="AJ231" s="61" t="str">
        <f t="shared" si="76"/>
        <v/>
      </c>
      <c r="AK231" s="61" t="str">
        <f t="shared" si="77"/>
        <v/>
      </c>
      <c r="AL231" s="61" t="str">
        <f t="shared" si="78"/>
        <v/>
      </c>
      <c r="AM231" s="154"/>
      <c r="AN231" s="61" t="str">
        <f t="shared" si="79"/>
        <v/>
      </c>
      <c r="AO231" s="152"/>
      <c r="AP231" s="152"/>
      <c r="AQ231" s="152"/>
      <c r="AR231" s="416">
        <f>(IF(INDEX('M04-S05'!$AO$16:$AO$198,2*(ROWS($O$226:O231)-1)+1)=INDEX('M04-S05'!$AZ$16:$AZ$198,2*(ROWS($O$226:O231)-1)+1),0,(INDEX('M04-S05'!$AY$16:$AY$198,2*(ROWS($O$226:O231)-1)+1)-INDEX('M04-S05'!$AZ$16:$AZ$198,2*(ROWS($O$226:O231)-1)+1))))*INCENTCAPADJ</f>
        <v>0</v>
      </c>
    </row>
    <row r="232" spans="1:44" x14ac:dyDescent="0.25">
      <c r="A232" s="66">
        <f t="shared" si="69"/>
        <v>0</v>
      </c>
      <c r="B232" s="66" t="str">
        <f t="shared" si="75"/>
        <v/>
      </c>
      <c r="C232" s="66" t="str">
        <f>IFERROR(IF(OR(P232&gt;0,O232&gt;0),INDEX(PMEVFD[Measure '#],MATCH(W232,PMEVFD[Eff Desc 1],0)),""),"")</f>
        <v/>
      </c>
      <c r="D232" t="s">
        <v>1096</v>
      </c>
      <c r="E232" t="str">
        <f>IFERROR(INDEX(PMEVFD[End Use Category],MATCH(W232,PMEVFD[Eff Desc 1],0)),"")</f>
        <v/>
      </c>
      <c r="F232" s="152"/>
      <c r="G232">
        <f>INDEX('M04-S05'!$AB$16:$AB$196,2*(ROWS($G$226:G232)-1)+1)</f>
        <v>0</v>
      </c>
      <c r="H232" s="61">
        <f>ROUND(INDEX('M04-S05'!$AE$16:$AE$198,2*(ROWS($H$226:H232)-1)+1),2)</f>
        <v>0</v>
      </c>
      <c r="I232" s="61">
        <f>ROUND(INDEX('M04-S05'!$AG$16:$AG$198,2*(ROWS($I$226:I232)-1)+1),2)</f>
        <v>0</v>
      </c>
      <c r="J232" s="61" t="str">
        <f>INDEX('M04-S05'!$AU$16:$AU$198,2*(ROWS($J$226:J232)-1)+1)</f>
        <v/>
      </c>
      <c r="K232" t="str">
        <f>IFERROR(INDEX(PMEVFD[Cost Basis],MATCH(W232,PMEVFD[Eff Desc 1],0)),"")</f>
        <v/>
      </c>
      <c r="L232" s="151">
        <f>INDEX('M04-S05'!$T$16:$T$196,2*(ROWS($L$226:L232)-1)+1) * INDEX('M04-S05'!$V$16:$V$196,2*(ROWS($L$226:L232)-1)+1)</f>
        <v>0</v>
      </c>
      <c r="M232" s="151" cm="1">
        <f t="array" ref="M232">IFERROR(IF(ISNUMBER(INDEX('M04-S05'!$AO$16:$AO$196,2*(ROWS($O$226:O232)-1)+1)),INDEX('M04-S05'!$AK$16:$AK$196,2*(ROWS($M$226:M232)-1)+1),0),"")</f>
        <v>0</v>
      </c>
      <c r="N232" s="189" cm="1">
        <f t="array" ref="N232">IFERROR(IF(ISNUMBER(INDEX('M04-S05'!$AO$16:$AO$196,2*(ROWS($O$226:O232)-1)+1)),INDEX('M04-S05'!$AV$16:$AV$196,2*(ROWS($N$226:N232)-1)+1),0),"")</f>
        <v>0</v>
      </c>
      <c r="O232" s="61" cm="1">
        <f t="array" ref="O232">IFERROR(IF(ISNUMBER(INDEX('M04-S05'!$AO$16:$AO$196,2*(ROWS($O$226:O232)-1)+1)),INDEX('M04-S05'!$AO$16:$AO$196,2*(ROWS($O$226:O232)-1)+1)*INCENTCAPADJ,0),"")</f>
        <v>0</v>
      </c>
      <c r="P232" s="152"/>
      <c r="Q232" s="193"/>
      <c r="R232" s="135"/>
      <c r="S232" s="157"/>
      <c r="T232" s="157"/>
      <c r="U232" s="151">
        <f>INDEX('M04-S05'!$B$16:$B$196,2*(ROWS($U$226:U232)-1)+1)</f>
        <v>7</v>
      </c>
      <c r="V232" s="135"/>
      <c r="W232" s="58">
        <f>INDEX('M04-S05'!$C$16:$C$196,2*(ROWS($W$226:W232)-1)+1)</f>
        <v>0</v>
      </c>
      <c r="X232" s="135"/>
      <c r="Y232">
        <f>INDEX('M04-S05'!$X$16:$X$196,2*(ROWS($Y$226:Y232)-1)+1)</f>
        <v>0</v>
      </c>
      <c r="Z232" s="135"/>
      <c r="AA232" s="135"/>
      <c r="AB232" s="135"/>
      <c r="AC232" s="61">
        <f>INDEX('M04-S05'!$V$16:$V$196,2*(ROWS($Y$226:Y232)-1)+1)</f>
        <v>0</v>
      </c>
      <c r="AD232" s="135"/>
      <c r="AE232" s="152"/>
      <c r="AF232" s="152"/>
      <c r="AG232" s="152"/>
      <c r="AH232" s="152"/>
      <c r="AI232" s="152"/>
      <c r="AJ232" s="61" t="str">
        <f t="shared" si="76"/>
        <v/>
      </c>
      <c r="AK232" s="61" t="str">
        <f t="shared" si="77"/>
        <v/>
      </c>
      <c r="AL232" s="61" t="str">
        <f t="shared" si="78"/>
        <v/>
      </c>
      <c r="AM232" s="154"/>
      <c r="AN232" s="61" t="str">
        <f t="shared" si="79"/>
        <v/>
      </c>
      <c r="AO232" s="152"/>
      <c r="AP232" s="152"/>
      <c r="AQ232" s="152"/>
      <c r="AR232" s="416">
        <f>(IF(INDEX('M04-S05'!$AO$16:$AO$198,2*(ROWS($O$226:O232)-1)+1)=INDEX('M04-S05'!$AZ$16:$AZ$198,2*(ROWS($O$226:O232)-1)+1),0,(INDEX('M04-S05'!$AY$16:$AY$198,2*(ROWS($O$226:O232)-1)+1)-INDEX('M04-S05'!$AZ$16:$AZ$198,2*(ROWS($O$226:O232)-1)+1))))*INCENTCAPADJ</f>
        <v>0</v>
      </c>
    </row>
    <row r="233" spans="1:44" x14ac:dyDescent="0.25">
      <c r="A233" s="66">
        <f t="shared" si="69"/>
        <v>0</v>
      </c>
      <c r="B233" s="66" t="str">
        <f t="shared" si="75"/>
        <v/>
      </c>
      <c r="C233" s="66" t="str">
        <f>IFERROR(IF(OR(P233&gt;0,O233&gt;0),INDEX(PMEVFD[Measure '#],MATCH(W233,PMEVFD[Eff Desc 1],0)),""),"")</f>
        <v/>
      </c>
      <c r="D233" t="s">
        <v>1096</v>
      </c>
      <c r="E233" t="str">
        <f>IFERROR(INDEX(PMEVFD[End Use Category],MATCH(W233,PMEVFD[Eff Desc 1],0)),"")</f>
        <v/>
      </c>
      <c r="F233" s="152"/>
      <c r="G233">
        <f>INDEX('M04-S05'!$AB$16:$AB$196,2*(ROWS($G$226:G233)-1)+1)</f>
        <v>0</v>
      </c>
      <c r="H233" s="61">
        <f>ROUND(INDEX('M04-S05'!$AE$16:$AE$198,2*(ROWS($H$226:H233)-1)+1),2)</f>
        <v>0</v>
      </c>
      <c r="I233" s="61">
        <f>ROUND(INDEX('M04-S05'!$AG$16:$AG$198,2*(ROWS($I$226:I233)-1)+1),2)</f>
        <v>0</v>
      </c>
      <c r="J233" s="61" t="str">
        <f>INDEX('M04-S05'!$AU$16:$AU$198,2*(ROWS($J$226:J233)-1)+1)</f>
        <v/>
      </c>
      <c r="K233" t="str">
        <f>IFERROR(INDEX(PMEVFD[Cost Basis],MATCH(W233,PMEVFD[Eff Desc 1],0)),"")</f>
        <v/>
      </c>
      <c r="L233" s="151">
        <f>INDEX('M04-S05'!$T$16:$T$196,2*(ROWS($L$226:L233)-1)+1) * INDEX('M04-S05'!$V$16:$V$196,2*(ROWS($L$226:L233)-1)+1)</f>
        <v>0</v>
      </c>
      <c r="M233" s="151" cm="1">
        <f t="array" ref="M233">IFERROR(IF(ISNUMBER(INDEX('M04-S05'!$AO$16:$AO$196,2*(ROWS($O$226:O233)-1)+1)),INDEX('M04-S05'!$AK$16:$AK$196,2*(ROWS($M$226:M233)-1)+1),0),"")</f>
        <v>0</v>
      </c>
      <c r="N233" s="189" cm="1">
        <f t="array" ref="N233">IFERROR(IF(ISNUMBER(INDEX('M04-S05'!$AO$16:$AO$196,2*(ROWS($O$226:O233)-1)+1)),INDEX('M04-S05'!$AV$16:$AV$196,2*(ROWS($N$226:N233)-1)+1),0),"")</f>
        <v>0</v>
      </c>
      <c r="O233" s="61" cm="1">
        <f t="array" ref="O233">IFERROR(IF(ISNUMBER(INDEX('M04-S05'!$AO$16:$AO$196,2*(ROWS($O$226:O233)-1)+1)),INDEX('M04-S05'!$AO$16:$AO$196,2*(ROWS($O$226:O233)-1)+1)*INCENTCAPADJ,0),"")</f>
        <v>0</v>
      </c>
      <c r="P233" s="152"/>
      <c r="Q233" s="193"/>
      <c r="R233" s="135"/>
      <c r="S233" s="157"/>
      <c r="T233" s="157"/>
      <c r="U233" s="151">
        <f>INDEX('M04-S05'!$B$16:$B$196,2*(ROWS($U$226:U233)-1)+1)</f>
        <v>8</v>
      </c>
      <c r="V233" s="135"/>
      <c r="W233" s="58">
        <f>INDEX('M04-S05'!$C$16:$C$196,2*(ROWS($W$226:W233)-1)+1)</f>
        <v>0</v>
      </c>
      <c r="X233" s="135"/>
      <c r="Y233">
        <f>INDEX('M04-S05'!$X$16:$X$196,2*(ROWS($Y$226:Y233)-1)+1)</f>
        <v>0</v>
      </c>
      <c r="Z233" s="135"/>
      <c r="AA233" s="135"/>
      <c r="AB233" s="135"/>
      <c r="AC233" s="61">
        <f>INDEX('M04-S05'!$V$16:$V$196,2*(ROWS($Y$226:Y233)-1)+1)</f>
        <v>0</v>
      </c>
      <c r="AD233" s="135"/>
      <c r="AE233" s="152"/>
      <c r="AF233" s="152"/>
      <c r="AG233" s="152"/>
      <c r="AH233" s="152"/>
      <c r="AI233" s="152"/>
      <c r="AJ233" s="61" t="str">
        <f t="shared" si="76"/>
        <v/>
      </c>
      <c r="AK233" s="61" t="str">
        <f t="shared" si="77"/>
        <v/>
      </c>
      <c r="AL233" s="61" t="str">
        <f t="shared" si="78"/>
        <v/>
      </c>
      <c r="AM233" s="154"/>
      <c r="AN233" s="61" t="str">
        <f t="shared" si="79"/>
        <v/>
      </c>
      <c r="AO233" s="152"/>
      <c r="AP233" s="152"/>
      <c r="AQ233" s="152"/>
      <c r="AR233" s="416">
        <f>(IF(INDEX('M04-S05'!$AO$16:$AO$198,2*(ROWS($O$226:O233)-1)+1)=INDEX('M04-S05'!$AZ$16:$AZ$198,2*(ROWS($O$226:O233)-1)+1),0,(INDEX('M04-S05'!$AY$16:$AY$198,2*(ROWS($O$226:O233)-1)+1)-INDEX('M04-S05'!$AZ$16:$AZ$198,2*(ROWS($O$226:O233)-1)+1))))*INCENTCAPADJ</f>
        <v>0</v>
      </c>
    </row>
    <row r="234" spans="1:44" x14ac:dyDescent="0.25">
      <c r="A234" s="66">
        <f t="shared" si="69"/>
        <v>0</v>
      </c>
      <c r="B234" s="66" t="str">
        <f t="shared" si="75"/>
        <v/>
      </c>
      <c r="C234" s="66" t="str">
        <f>IFERROR(IF(OR(P234&gt;0,O234&gt;0),INDEX(PMEVFD[Measure '#],MATCH(W234,PMEVFD[Eff Desc 1],0)),""),"")</f>
        <v/>
      </c>
      <c r="D234" t="s">
        <v>1096</v>
      </c>
      <c r="E234" t="str">
        <f>IFERROR(INDEX(PMEVFD[End Use Category],MATCH(W234,PMEVFD[Eff Desc 1],0)),"")</f>
        <v/>
      </c>
      <c r="F234" s="152"/>
      <c r="G234">
        <f>INDEX('M04-S05'!$AB$16:$AB$196,2*(ROWS($G$226:G234)-1)+1)</f>
        <v>0</v>
      </c>
      <c r="H234" s="61">
        <f>ROUND(INDEX('M04-S05'!$AE$16:$AE$198,2*(ROWS($H$226:H234)-1)+1),2)</f>
        <v>0</v>
      </c>
      <c r="I234" s="61">
        <f>ROUND(INDEX('M04-S05'!$AG$16:$AG$198,2*(ROWS($I$226:I234)-1)+1),2)</f>
        <v>0</v>
      </c>
      <c r="J234" s="61" t="str">
        <f>INDEX('M04-S05'!$AU$16:$AU$198,2*(ROWS($J$226:J234)-1)+1)</f>
        <v/>
      </c>
      <c r="K234" t="str">
        <f>IFERROR(INDEX(PMEVFD[Cost Basis],MATCH(W234,PMEVFD[Eff Desc 1],0)),"")</f>
        <v/>
      </c>
      <c r="L234" s="151">
        <f>INDEX('M04-S05'!$T$16:$T$196,2*(ROWS($L$226:L234)-1)+1) * INDEX('M04-S05'!$V$16:$V$196,2*(ROWS($L$226:L234)-1)+1)</f>
        <v>0</v>
      </c>
      <c r="M234" s="151" cm="1">
        <f t="array" ref="M234">IFERROR(IF(ISNUMBER(INDEX('M04-S05'!$AO$16:$AO$196,2*(ROWS($O$226:O234)-1)+1)),INDEX('M04-S05'!$AK$16:$AK$196,2*(ROWS($M$226:M234)-1)+1),0),"")</f>
        <v>0</v>
      </c>
      <c r="N234" s="189" cm="1">
        <f t="array" ref="N234">IFERROR(IF(ISNUMBER(INDEX('M04-S05'!$AO$16:$AO$196,2*(ROWS($O$226:O234)-1)+1)),INDEX('M04-S05'!$AV$16:$AV$196,2*(ROWS($N$226:N234)-1)+1),0),"")</f>
        <v>0</v>
      </c>
      <c r="O234" s="61" cm="1">
        <f t="array" ref="O234">IFERROR(IF(ISNUMBER(INDEX('M04-S05'!$AO$16:$AO$196,2*(ROWS($O$226:O234)-1)+1)),INDEX('M04-S05'!$AO$16:$AO$196,2*(ROWS($O$226:O234)-1)+1)*INCENTCAPADJ,0),"")</f>
        <v>0</v>
      </c>
      <c r="P234" s="152"/>
      <c r="Q234" s="193"/>
      <c r="R234" s="135"/>
      <c r="S234" s="157"/>
      <c r="T234" s="157"/>
      <c r="U234" s="151">
        <f>INDEX('M04-S05'!$B$16:$B$196,2*(ROWS($U$226:U234)-1)+1)</f>
        <v>9</v>
      </c>
      <c r="V234" s="135"/>
      <c r="W234" s="58">
        <f>INDEX('M04-S05'!$C$16:$C$196,2*(ROWS($W$226:W234)-1)+1)</f>
        <v>0</v>
      </c>
      <c r="X234" s="135"/>
      <c r="Y234">
        <f>INDEX('M04-S05'!$X$16:$X$196,2*(ROWS($Y$226:Y234)-1)+1)</f>
        <v>0</v>
      </c>
      <c r="Z234" s="135"/>
      <c r="AA234" s="135"/>
      <c r="AB234" s="135"/>
      <c r="AC234" s="61">
        <f>INDEX('M04-S05'!$V$16:$V$196,2*(ROWS($Y$226:Y234)-1)+1)</f>
        <v>0</v>
      </c>
      <c r="AD234" s="135"/>
      <c r="AE234" s="152"/>
      <c r="AF234" s="152"/>
      <c r="AG234" s="152"/>
      <c r="AH234" s="152"/>
      <c r="AI234" s="152"/>
      <c r="AJ234" s="61" t="str">
        <f t="shared" si="76"/>
        <v/>
      </c>
      <c r="AK234" s="61" t="str">
        <f t="shared" si="77"/>
        <v/>
      </c>
      <c r="AL234" s="61" t="str">
        <f t="shared" si="78"/>
        <v/>
      </c>
      <c r="AM234" s="154"/>
      <c r="AN234" s="61" t="str">
        <f t="shared" si="79"/>
        <v/>
      </c>
      <c r="AO234" s="152"/>
      <c r="AP234" s="152"/>
      <c r="AQ234" s="152"/>
      <c r="AR234" s="416">
        <f>(IF(INDEX('M04-S05'!$AO$16:$AO$198,2*(ROWS($O$226:O234)-1)+1)=INDEX('M04-S05'!$AZ$16:$AZ$198,2*(ROWS($O$226:O234)-1)+1),0,(INDEX('M04-S05'!$AY$16:$AY$198,2*(ROWS($O$226:O234)-1)+1)-INDEX('M04-S05'!$AZ$16:$AZ$198,2*(ROWS($O$226:O234)-1)+1))))*INCENTCAPADJ</f>
        <v>0</v>
      </c>
    </row>
    <row r="235" spans="1:44" x14ac:dyDescent="0.25">
      <c r="A235" s="66">
        <f t="shared" si="69"/>
        <v>0</v>
      </c>
      <c r="B235" s="66" t="str">
        <f t="shared" si="75"/>
        <v/>
      </c>
      <c r="C235" s="66" t="str">
        <f>IFERROR(IF(OR(P235&gt;0,O235&gt;0),INDEX(PMEVFD[Measure '#],MATCH(W235,PMEVFD[Eff Desc 1],0)),""),"")</f>
        <v/>
      </c>
      <c r="D235" t="s">
        <v>1096</v>
      </c>
      <c r="E235" t="str">
        <f>IFERROR(INDEX(PMEVFD[End Use Category],MATCH(W235,PMEVFD[Eff Desc 1],0)),"")</f>
        <v/>
      </c>
      <c r="F235" s="152"/>
      <c r="G235">
        <f>INDEX('M04-S05'!$AB$16:$AB$196,2*(ROWS($G$226:G235)-1)+1)</f>
        <v>0</v>
      </c>
      <c r="H235" s="61">
        <f>ROUND(INDEX('M04-S05'!$AE$16:$AE$198,2*(ROWS($H$226:H235)-1)+1),2)</f>
        <v>0</v>
      </c>
      <c r="I235" s="61">
        <f>ROUND(INDEX('M04-S05'!$AG$16:$AG$198,2*(ROWS($I$226:I235)-1)+1),2)</f>
        <v>0</v>
      </c>
      <c r="J235" s="61" t="str">
        <f>INDEX('M04-S05'!$AU$16:$AU$198,2*(ROWS($J$226:J235)-1)+1)</f>
        <v/>
      </c>
      <c r="K235" t="str">
        <f>IFERROR(INDEX(PMEVFD[Cost Basis],MATCH(W235,PMEVFD[Eff Desc 1],0)),"")</f>
        <v/>
      </c>
      <c r="L235" s="151">
        <f>INDEX('M04-S05'!$T$16:$T$196,2*(ROWS($L$226:L235)-1)+1) * INDEX('M04-S05'!$V$16:$V$196,2*(ROWS($L$226:L235)-1)+1)</f>
        <v>0</v>
      </c>
      <c r="M235" s="151" cm="1">
        <f t="array" ref="M235">IFERROR(IF(ISNUMBER(INDEX('M04-S05'!$AO$16:$AO$196,2*(ROWS($O$226:O235)-1)+1)),INDEX('M04-S05'!$AK$16:$AK$196,2*(ROWS($M$226:M235)-1)+1),0),"")</f>
        <v>0</v>
      </c>
      <c r="N235" s="189" cm="1">
        <f t="array" ref="N235">IFERROR(IF(ISNUMBER(INDEX('M04-S05'!$AO$16:$AO$196,2*(ROWS($O$226:O235)-1)+1)),INDEX('M04-S05'!$AV$16:$AV$196,2*(ROWS($N$226:N235)-1)+1),0),"")</f>
        <v>0</v>
      </c>
      <c r="O235" s="61" cm="1">
        <f t="array" ref="O235">IFERROR(IF(ISNUMBER(INDEX('M04-S05'!$AO$16:$AO$196,2*(ROWS($O$226:O235)-1)+1)),INDEX('M04-S05'!$AO$16:$AO$196,2*(ROWS($O$226:O235)-1)+1)*INCENTCAPADJ,0),"")</f>
        <v>0</v>
      </c>
      <c r="P235" s="152"/>
      <c r="Q235" s="193"/>
      <c r="R235" s="135"/>
      <c r="S235" s="157"/>
      <c r="T235" s="157"/>
      <c r="U235" s="151">
        <f>INDEX('M04-S05'!$B$16:$B$196,2*(ROWS($U$226:U235)-1)+1)</f>
        <v>10</v>
      </c>
      <c r="V235" s="135"/>
      <c r="W235" s="58">
        <f>INDEX('M04-S05'!$C$16:$C$196,2*(ROWS($W$226:W235)-1)+1)</f>
        <v>0</v>
      </c>
      <c r="X235" s="135"/>
      <c r="Y235">
        <f>INDEX('M04-S05'!$X$16:$X$196,2*(ROWS($Y$226:Y235)-1)+1)</f>
        <v>0</v>
      </c>
      <c r="Z235" s="135"/>
      <c r="AA235" s="135"/>
      <c r="AB235" s="135"/>
      <c r="AC235" s="61">
        <f>INDEX('M04-S05'!$V$16:$V$196,2*(ROWS($Y$226:Y235)-1)+1)</f>
        <v>0</v>
      </c>
      <c r="AD235" s="135"/>
      <c r="AE235" s="152"/>
      <c r="AF235" s="152"/>
      <c r="AG235" s="152"/>
      <c r="AH235" s="152"/>
      <c r="AI235" s="152"/>
      <c r="AJ235" s="61" t="str">
        <f t="shared" si="76"/>
        <v/>
      </c>
      <c r="AK235" s="61" t="str">
        <f t="shared" si="77"/>
        <v/>
      </c>
      <c r="AL235" s="61" t="str">
        <f t="shared" si="78"/>
        <v/>
      </c>
      <c r="AM235" s="154"/>
      <c r="AN235" s="61" t="str">
        <f t="shared" si="79"/>
        <v/>
      </c>
      <c r="AO235" s="152"/>
      <c r="AP235" s="152"/>
      <c r="AQ235" s="152"/>
      <c r="AR235" s="416">
        <f>(IF(INDEX('M04-S05'!$AO$16:$AO$198,2*(ROWS($O$226:O235)-1)+1)=INDEX('M04-S05'!$AZ$16:$AZ$198,2*(ROWS($O$226:O235)-1)+1),0,(INDEX('M04-S05'!$AY$16:$AY$198,2*(ROWS($O$226:O235)-1)+1)-INDEX('M04-S05'!$AZ$16:$AZ$198,2*(ROWS($O$226:O235)-1)+1))))*INCENTCAPADJ</f>
        <v>0</v>
      </c>
    </row>
    <row r="236" spans="1:44" x14ac:dyDescent="0.25">
      <c r="A236" s="207" t="str">
        <f>CONCATENATE(MAIN4," ",M4S6)</f>
        <v>STANDARD MEASURES Compressed Air</v>
      </c>
      <c r="B236" s="209"/>
      <c r="C236" s="209"/>
      <c r="D236" s="164"/>
      <c r="E236" s="164"/>
      <c r="F236" s="170"/>
      <c r="G236" s="164"/>
      <c r="H236" s="171"/>
      <c r="I236" s="171"/>
      <c r="J236" s="171"/>
      <c r="K236" s="164"/>
      <c r="L236" s="170"/>
      <c r="M236" s="170"/>
      <c r="N236" s="191"/>
      <c r="O236" s="171"/>
      <c r="P236" s="176"/>
      <c r="Q236" s="194"/>
      <c r="R236" s="174"/>
      <c r="S236" s="177"/>
      <c r="T236" s="177"/>
      <c r="U236" s="170"/>
      <c r="V236" s="174"/>
      <c r="W236" s="173"/>
      <c r="X236" s="174"/>
      <c r="Y236" s="164"/>
      <c r="Z236" s="164"/>
      <c r="AA236" s="164"/>
      <c r="AB236" s="164"/>
      <c r="AC236" s="164"/>
      <c r="AD236" s="164"/>
      <c r="AE236" s="176"/>
      <c r="AF236" s="176"/>
      <c r="AG236" s="176"/>
      <c r="AH236" s="176"/>
      <c r="AI236" s="176"/>
      <c r="AJ236" s="171"/>
      <c r="AK236" s="171"/>
      <c r="AL236" s="171"/>
      <c r="AM236" s="175"/>
      <c r="AN236" s="171"/>
      <c r="AO236" s="170"/>
      <c r="AP236" s="170"/>
      <c r="AQ236" s="170"/>
      <c r="AR236" s="412"/>
    </row>
    <row r="237" spans="1:44" x14ac:dyDescent="0.25">
      <c r="A237" s="66">
        <f t="shared" ref="A237:A257" si="80">PROJID</f>
        <v>0</v>
      </c>
      <c r="B237" s="66" t="str">
        <f>IF(C237="","",CONCATENATE(ROW(),"-",C237))</f>
        <v/>
      </c>
      <c r="C237" s="66" t="str">
        <f>IFERROR(IF(OR(0,O237&gt;0),INDEX(PMECOMPAIR[Measure '#],MATCH(W237,PMECOMPAIR[Eff Desc 1],0)),""),"")</f>
        <v/>
      </c>
      <c r="D237" s="66" t="s">
        <v>1096</v>
      </c>
      <c r="E237" t="str">
        <f>IFERROR(INDEX(PMECOMPAIR[End Use Category],MATCH(W237,PMECOMPAIR[Eff Desc 1],0)),"")</f>
        <v/>
      </c>
      <c r="F237" s="152"/>
      <c r="G237" t="str">
        <f>INDEX('M04-S06'!$AB$16:$AB$196,2*(ROWS($G$237:G237)-1)+1)</f>
        <v/>
      </c>
      <c r="H237" s="61">
        <f>ROUND(INDEX('M04-S06'!$AE$16:$AE$198,2*(ROWS($H$237:H237)-1)+1),2)</f>
        <v>0</v>
      </c>
      <c r="I237" s="61">
        <f>ROUND(INDEX('M04-S06'!$AG$16:$AG$198,2*(ROWS($I$237:I237)-1)+1),2)</f>
        <v>0</v>
      </c>
      <c r="J237" s="61" t="str">
        <f>INDEX('M04-S06'!$AU$16:$AU$198,2*(ROWS($J$237:J237)-1)+1)</f>
        <v/>
      </c>
      <c r="K237" t="str">
        <f>IFERROR(INDEX(PMECOMPAIR[Cost Basis],MATCH(W237,PMECOMPAIR[Eff Desc 1],0)),"")</f>
        <v/>
      </c>
      <c r="L237" s="151" t="str">
        <f>IFERROR(IF(OR(ISNUMBER(SEARCH("Leak",INDEX('M04-S06'!$C$16:$C$198,2*(ROWS($L$237:L237)-1)+1))),ISNUMBER(SEARCH("VFD",INDEX('M04-S06'!$C$16:$C$198,2*(ROWS($L$237:L237)-1)+1)))),INDEX('M04-S06'!$V$16:$V$198,2*(ROWS($L$237:L237)-1)+1)*INDEX('M04-S06'!$R$16:$R$198,2*(ROWS($L$237:L237)-1)+1),INDEX('M04-S06'!$V$16:$V$198,2*(ROWS($L$237:L237)-1)+1)),0)</f>
        <v/>
      </c>
      <c r="M237" s="151" cm="1">
        <f t="array" ref="M237">IFERROR(IF(ISNUMBER(INDEX('M04-S06'!$AO$16:$AO$196,2*(ROWS($O$237:O237)-1)+1)),INDEX('M04-S06'!$AK$16:$AK$196,2*(ROWS($M$237:M237)-1)+1),0),"")</f>
        <v>0</v>
      </c>
      <c r="N237" s="189" cm="1">
        <f t="array" ref="N237">IFERROR(IF(ISNUMBER(INDEX('M04-S06'!$AO$16:$AO$196,2*(ROWS($O$237:O237)-1)+1)),INDEX('M04-S06'!$AV$16:$AV$196,2*(ROWS($N$237:N237)-1)+1),0),"")</f>
        <v>0</v>
      </c>
      <c r="O237" s="61" cm="1">
        <f t="array" ref="O237">IFERROR(IF(ISNUMBER(INDEX('M04-S06'!$AO$16:$AO$196,2*(ROWS($O$237:O237)-1)+1)),INDEX('M04-S06'!$AO$16:$AO$196,2*(ROWS($O$237:O237)-1)+1)*INCENTCAPADJ,0),"")</f>
        <v>0</v>
      </c>
      <c r="P237" s="152"/>
      <c r="Q237" s="193"/>
      <c r="R237" s="135"/>
      <c r="S237" s="157"/>
      <c r="T237" s="157"/>
      <c r="U237" s="151">
        <f>INDEX('M04-S06'!$B$16:$B$196,2*(ROWS($U$237:U237)-1)+1)</f>
        <v>1</v>
      </c>
      <c r="V237" s="135"/>
      <c r="W237" s="58">
        <f>INDEX('M04-S06'!$C$16:$C$196,2*(ROWS($W$237:W237)-1)+1)</f>
        <v>0</v>
      </c>
      <c r="X237" s="135"/>
      <c r="Y237" t="str">
        <f>INDEX('M04-S06'!$X$16:$X$196,2*(ROWS($Y$237:Y237)-1)+1)</f>
        <v/>
      </c>
      <c r="Z237" s="135"/>
      <c r="AA237" s="135"/>
      <c r="AB237" s="135"/>
      <c r="AC237" s="135"/>
      <c r="AD237" s="135"/>
      <c r="AE237" s="152"/>
      <c r="AF237" s="152"/>
      <c r="AG237" s="152"/>
      <c r="AH237" s="152"/>
      <c r="AI237" s="152"/>
      <c r="AJ237" s="61" t="str">
        <f>IFERROR(O237/M237,"")</f>
        <v/>
      </c>
      <c r="AK237" s="61" t="str">
        <f>IFERROR(O237/N237,"")</f>
        <v/>
      </c>
      <c r="AL237" s="61" t="str">
        <f>IFERROR(O237/L237,"")</f>
        <v/>
      </c>
      <c r="AM237" s="154"/>
      <c r="AN237" s="61" t="str">
        <f t="shared" ref="AN237:AN246" si="81">IFERROR(J237/M237/M02S02F35,"")</f>
        <v/>
      </c>
      <c r="AO237" s="152"/>
      <c r="AP237" s="152"/>
      <c r="AQ237" s="152"/>
      <c r="AR237" s="416"/>
    </row>
    <row r="238" spans="1:44" x14ac:dyDescent="0.25">
      <c r="A238" s="66">
        <f t="shared" si="80"/>
        <v>0</v>
      </c>
      <c r="B238" s="66" t="str">
        <f t="shared" ref="B238:B246" si="82">IF(C238="","",CONCATENATE(ROW(),"-",C238))</f>
        <v/>
      </c>
      <c r="C238" s="66" t="str">
        <f>IFERROR(IF(OR(0,O238&gt;0),INDEX(PMECOMPAIR[Measure '#],MATCH(W238,PMECOMPAIR[Eff Desc 1],0)),""),"")</f>
        <v/>
      </c>
      <c r="D238" s="66" t="s">
        <v>1096</v>
      </c>
      <c r="E238" t="str">
        <f>IFERROR(INDEX(PMECOMPAIR[End Use Category],MATCH(W238,PMECOMPAIR[Eff Desc 1],0)),"")</f>
        <v/>
      </c>
      <c r="F238" s="152"/>
      <c r="G238" t="str">
        <f>INDEX('M04-S06'!$AB$16:$AB$196,2*(ROWS($G$237:G238)-1)+1)</f>
        <v/>
      </c>
      <c r="H238" s="61">
        <f>ROUND(INDEX('M04-S06'!$AE$16:$AE$198,2*(ROWS($H$237:H238)-1)+1),2)</f>
        <v>0</v>
      </c>
      <c r="I238" s="61">
        <f>ROUND(INDEX('M04-S06'!$AG$16:$AG$198,2*(ROWS($I$237:I238)-1)+1),2)</f>
        <v>0</v>
      </c>
      <c r="J238" s="61" t="str">
        <f>INDEX('M04-S06'!$AU$16:$AU$198,2*(ROWS($J$237:J238)-1)+1)</f>
        <v/>
      </c>
      <c r="K238" t="str">
        <f>IFERROR(INDEX(PMECOMPAIR[Cost Basis],MATCH(W238,PMECOMPAIR[Eff Desc 1],0)),"")</f>
        <v/>
      </c>
      <c r="L238" s="151" t="str">
        <f>IFERROR(IF(OR(ISNUMBER(SEARCH("Leak",INDEX('M04-S06'!$C$16:$C$198,2*(ROWS($L$237:L238)-1)+1))),ISNUMBER(SEARCH("VFD",INDEX('M04-S06'!$C$16:$C$198,2*(ROWS($L$237:L238)-1)+1)))),INDEX('M04-S06'!$V$16:$V$198,2*(ROWS($L$237:L238)-1)+1)*INDEX('M04-S06'!$R$16:$R$198,2*(ROWS($L$237:L238)-1)+1),INDEX('M04-S06'!$V$16:$V$198,2*(ROWS($L$237:L238)-1)+1)),0)</f>
        <v/>
      </c>
      <c r="M238" s="151" cm="1">
        <f t="array" ref="M238">IFERROR(IF(ISNUMBER(INDEX('M04-S06'!$AO$16:$AO$196,2*(ROWS($O$237:O238)-1)+1)),INDEX('M04-S06'!$AK$16:$AK$196,2*(ROWS($M$237:M238)-1)+1),0),"")</f>
        <v>0</v>
      </c>
      <c r="N238" s="189" cm="1">
        <f t="array" ref="N238">IFERROR(IF(ISNUMBER(INDEX('M04-S06'!$AO$16:$AO$196,2*(ROWS($O$237:O238)-1)+1)),INDEX('M04-S06'!$AV$16:$AV$196,2*(ROWS($N$237:N238)-1)+1),0),"")</f>
        <v>0</v>
      </c>
      <c r="O238" s="61" cm="1">
        <f t="array" ref="O238">IFERROR(IF(ISNUMBER(INDEX('M04-S06'!$AO$16:$AO$196,2*(ROWS($O$237:O238)-1)+1)),INDEX('M04-S06'!$AO$16:$AO$196,2*(ROWS($O$237:O238)-1)+1)*INCENTCAPADJ,0),"")</f>
        <v>0</v>
      </c>
      <c r="P238" s="152"/>
      <c r="Q238" s="193"/>
      <c r="R238" s="135"/>
      <c r="S238" s="157"/>
      <c r="T238" s="157"/>
      <c r="U238" s="151">
        <f>INDEX('M04-S06'!$B$16:$B$196,2*(ROWS($U$237:U238)-1)+1)</f>
        <v>2</v>
      </c>
      <c r="V238" s="135"/>
      <c r="W238" s="58">
        <f>INDEX('M04-S06'!$C$16:$C$196,2*(ROWS($W$237:W238)-1)+1)</f>
        <v>0</v>
      </c>
      <c r="X238" s="135"/>
      <c r="Y238" t="str">
        <f>INDEX('M04-S06'!$X$16:$X$196,2*(ROWS($Y$237:Y238)-1)+1)</f>
        <v/>
      </c>
      <c r="Z238" s="135"/>
      <c r="AA238" s="135"/>
      <c r="AB238" s="135"/>
      <c r="AC238" s="135"/>
      <c r="AD238" s="135"/>
      <c r="AE238" s="152"/>
      <c r="AF238" s="152"/>
      <c r="AG238" s="152"/>
      <c r="AH238" s="152"/>
      <c r="AI238" s="152"/>
      <c r="AJ238" s="61" t="str">
        <f t="shared" ref="AJ238:AJ246" si="83">IFERROR(O238/M238,"")</f>
        <v/>
      </c>
      <c r="AK238" s="61" t="str">
        <f t="shared" ref="AK238:AK246" si="84">IFERROR(O238/N238,"")</f>
        <v/>
      </c>
      <c r="AL238" s="61" t="str">
        <f t="shared" ref="AL238:AL246" si="85">IFERROR(O238/L238,"")</f>
        <v/>
      </c>
      <c r="AM238" s="154"/>
      <c r="AN238" s="61" t="str">
        <f t="shared" si="81"/>
        <v/>
      </c>
      <c r="AO238" s="152"/>
      <c r="AP238" s="152"/>
      <c r="AQ238" s="152"/>
      <c r="AR238" s="416"/>
    </row>
    <row r="239" spans="1:44" x14ac:dyDescent="0.25">
      <c r="A239" s="66">
        <f t="shared" si="80"/>
        <v>0</v>
      </c>
      <c r="B239" s="66" t="str">
        <f t="shared" si="82"/>
        <v/>
      </c>
      <c r="C239" s="66" t="str">
        <f>IFERROR(IF(OR(0,O239&gt;0),INDEX(PMECOMPAIR[Measure '#],MATCH(W239,PMECOMPAIR[Eff Desc 1],0)),""),"")</f>
        <v/>
      </c>
      <c r="D239" s="66" t="s">
        <v>1096</v>
      </c>
      <c r="E239" t="str">
        <f>IFERROR(INDEX(PMECOMPAIR[End Use Category],MATCH(W239,PMECOMPAIR[Eff Desc 1],0)),"")</f>
        <v/>
      </c>
      <c r="F239" s="152"/>
      <c r="G239" t="str">
        <f>INDEX('M04-S06'!$AB$16:$AB$196,2*(ROWS($G$237:G239)-1)+1)</f>
        <v/>
      </c>
      <c r="H239" s="61">
        <f>ROUND(INDEX('M04-S06'!$AE$16:$AE$198,2*(ROWS($H$237:H239)-1)+1),2)</f>
        <v>0</v>
      </c>
      <c r="I239" s="61">
        <f>ROUND(INDEX('M04-S06'!$AG$16:$AG$198,2*(ROWS($I$237:I239)-1)+1),2)</f>
        <v>0</v>
      </c>
      <c r="J239" s="61" t="str">
        <f>INDEX('M04-S06'!$AU$16:$AU$198,2*(ROWS($J$237:J239)-1)+1)</f>
        <v/>
      </c>
      <c r="K239" t="str">
        <f>IFERROR(INDEX(PMECOMPAIR[Cost Basis],MATCH(W239,PMECOMPAIR[Eff Desc 1],0)),"")</f>
        <v/>
      </c>
      <c r="L239" s="151" t="str">
        <f>IFERROR(IF(OR(ISNUMBER(SEARCH("Leak",INDEX('M04-S06'!$C$16:$C$198,2*(ROWS($L$237:L239)-1)+1))),ISNUMBER(SEARCH("VFD",INDEX('M04-S06'!$C$16:$C$198,2*(ROWS($L$237:L239)-1)+1)))),INDEX('M04-S06'!$V$16:$V$198,2*(ROWS($L$237:L239)-1)+1)*INDEX('M04-S06'!$R$16:$R$198,2*(ROWS($L$237:L239)-1)+1),INDEX('M04-S06'!$V$16:$V$198,2*(ROWS($L$237:L239)-1)+1)),0)</f>
        <v/>
      </c>
      <c r="M239" s="151" cm="1">
        <f t="array" ref="M239">IFERROR(IF(ISNUMBER(INDEX('M04-S06'!$AO$16:$AO$196,2*(ROWS($O$237:O239)-1)+1)),INDEX('M04-S06'!$AK$16:$AK$196,2*(ROWS($M$237:M239)-1)+1),0),"")</f>
        <v>0</v>
      </c>
      <c r="N239" s="189" cm="1">
        <f t="array" ref="N239">IFERROR(IF(ISNUMBER(INDEX('M04-S06'!$AO$16:$AO$196,2*(ROWS($O$237:O239)-1)+1)),INDEX('M04-S06'!$AV$16:$AV$196,2*(ROWS($N$237:N239)-1)+1),0),"")</f>
        <v>0</v>
      </c>
      <c r="O239" s="61" cm="1">
        <f t="array" ref="O239">IFERROR(IF(ISNUMBER(INDEX('M04-S06'!$AO$16:$AO$196,2*(ROWS($O$237:O239)-1)+1)),INDEX('M04-S06'!$AO$16:$AO$196,2*(ROWS($O$237:O239)-1)+1)*INCENTCAPADJ,0),"")</f>
        <v>0</v>
      </c>
      <c r="P239" s="152"/>
      <c r="Q239" s="193"/>
      <c r="R239" s="135"/>
      <c r="S239" s="157"/>
      <c r="T239" s="157"/>
      <c r="U239" s="151">
        <f>INDEX('M04-S06'!$B$16:$B$196,2*(ROWS($U$237:U239)-1)+1)</f>
        <v>3</v>
      </c>
      <c r="V239" s="135"/>
      <c r="W239" s="58">
        <f>INDEX('M04-S06'!$C$16:$C$196,2*(ROWS($W$237:W239)-1)+1)</f>
        <v>0</v>
      </c>
      <c r="X239" s="135"/>
      <c r="Y239" t="str">
        <f>INDEX('M04-S06'!$X$16:$X$196,2*(ROWS($Y$237:Y239)-1)+1)</f>
        <v/>
      </c>
      <c r="Z239" s="135"/>
      <c r="AA239" s="135"/>
      <c r="AB239" s="135"/>
      <c r="AC239" s="135"/>
      <c r="AD239" s="135"/>
      <c r="AE239" s="152"/>
      <c r="AF239" s="152"/>
      <c r="AG239" s="152"/>
      <c r="AH239" s="152"/>
      <c r="AI239" s="152"/>
      <c r="AJ239" s="61" t="str">
        <f t="shared" si="83"/>
        <v/>
      </c>
      <c r="AK239" s="61" t="str">
        <f t="shared" si="84"/>
        <v/>
      </c>
      <c r="AL239" s="61" t="str">
        <f t="shared" si="85"/>
        <v/>
      </c>
      <c r="AM239" s="154"/>
      <c r="AN239" s="61" t="str">
        <f t="shared" si="81"/>
        <v/>
      </c>
      <c r="AO239" s="152"/>
      <c r="AP239" s="152"/>
      <c r="AQ239" s="152"/>
      <c r="AR239" s="416"/>
    </row>
    <row r="240" spans="1:44" x14ac:dyDescent="0.25">
      <c r="A240" s="66">
        <f t="shared" si="80"/>
        <v>0</v>
      </c>
      <c r="B240" s="66" t="str">
        <f t="shared" si="82"/>
        <v/>
      </c>
      <c r="C240" s="66" t="str">
        <f>IFERROR(IF(OR(0,O240&gt;0),INDEX(PMECOMPAIR[Measure '#],MATCH(W240,PMECOMPAIR[Eff Desc 1],0)),""),"")</f>
        <v/>
      </c>
      <c r="D240" s="66" t="s">
        <v>1096</v>
      </c>
      <c r="E240" t="str">
        <f>IFERROR(INDEX(PMECOMPAIR[End Use Category],MATCH(W240,PMECOMPAIR[Eff Desc 1],0)),"")</f>
        <v/>
      </c>
      <c r="F240" s="152"/>
      <c r="G240" t="str">
        <f>INDEX('M04-S06'!$AB$16:$AB$196,2*(ROWS($G$237:G240)-1)+1)</f>
        <v/>
      </c>
      <c r="H240" s="61">
        <f>ROUND(INDEX('M04-S06'!$AE$16:$AE$198,2*(ROWS($H$237:H240)-1)+1),2)</f>
        <v>0</v>
      </c>
      <c r="I240" s="61">
        <f>ROUND(INDEX('M04-S06'!$AG$16:$AG$198,2*(ROWS($I$237:I240)-1)+1),2)</f>
        <v>0</v>
      </c>
      <c r="J240" s="61" t="str">
        <f>INDEX('M04-S06'!$AU$16:$AU$198,2*(ROWS($J$237:J240)-1)+1)</f>
        <v/>
      </c>
      <c r="K240" t="str">
        <f>IFERROR(INDEX(PMECOMPAIR[Cost Basis],MATCH(W240,PMECOMPAIR[Eff Desc 1],0)),"")</f>
        <v/>
      </c>
      <c r="L240" s="151" t="str">
        <f>IFERROR(IF(OR(ISNUMBER(SEARCH("Leak",INDEX('M04-S06'!$C$16:$C$198,2*(ROWS($L$237:L240)-1)+1))),ISNUMBER(SEARCH("VFD",INDEX('M04-S06'!$C$16:$C$198,2*(ROWS($L$237:L240)-1)+1)))),INDEX('M04-S06'!$V$16:$V$198,2*(ROWS($L$237:L240)-1)+1)*INDEX('M04-S06'!$R$16:$R$198,2*(ROWS($L$237:L240)-1)+1),INDEX('M04-S06'!$V$16:$V$198,2*(ROWS($L$237:L240)-1)+1)),0)</f>
        <v/>
      </c>
      <c r="M240" s="151" cm="1">
        <f t="array" ref="M240">IFERROR(IF(ISNUMBER(INDEX('M04-S06'!$AO$16:$AO$196,2*(ROWS($O$237:O240)-1)+1)),INDEX('M04-S06'!$AK$16:$AK$196,2*(ROWS($M$237:M240)-1)+1),0),"")</f>
        <v>0</v>
      </c>
      <c r="N240" s="189" cm="1">
        <f t="array" ref="N240">IFERROR(IF(ISNUMBER(INDEX('M04-S06'!$AO$16:$AO$196,2*(ROWS($O$237:O240)-1)+1)),INDEX('M04-S06'!$AV$16:$AV$196,2*(ROWS($N$237:N240)-1)+1),0),"")</f>
        <v>0</v>
      </c>
      <c r="O240" s="61" cm="1">
        <f t="array" ref="O240">IFERROR(IF(ISNUMBER(INDEX('M04-S06'!$AO$16:$AO$196,2*(ROWS($O$237:O240)-1)+1)),INDEX('M04-S06'!$AO$16:$AO$196,2*(ROWS($O$237:O240)-1)+1)*INCENTCAPADJ,0),"")</f>
        <v>0</v>
      </c>
      <c r="P240" s="152"/>
      <c r="Q240" s="193"/>
      <c r="R240" s="135"/>
      <c r="S240" s="157"/>
      <c r="T240" s="157"/>
      <c r="U240" s="151">
        <f>INDEX('M04-S06'!$B$16:$B$196,2*(ROWS($U$237:U240)-1)+1)</f>
        <v>4</v>
      </c>
      <c r="V240" s="135"/>
      <c r="W240" s="58">
        <f>INDEX('M04-S06'!$C$16:$C$196,2*(ROWS($W$237:W240)-1)+1)</f>
        <v>0</v>
      </c>
      <c r="X240" s="135"/>
      <c r="Y240" t="str">
        <f>INDEX('M04-S06'!$X$16:$X$196,2*(ROWS($Y$237:Y240)-1)+1)</f>
        <v/>
      </c>
      <c r="Z240" s="135"/>
      <c r="AA240" s="135"/>
      <c r="AB240" s="135"/>
      <c r="AC240" s="135"/>
      <c r="AD240" s="135"/>
      <c r="AE240" s="152"/>
      <c r="AF240" s="152"/>
      <c r="AG240" s="152"/>
      <c r="AH240" s="152"/>
      <c r="AI240" s="152"/>
      <c r="AJ240" s="61" t="str">
        <f t="shared" si="83"/>
        <v/>
      </c>
      <c r="AK240" s="61" t="str">
        <f t="shared" si="84"/>
        <v/>
      </c>
      <c r="AL240" s="61" t="str">
        <f t="shared" si="85"/>
        <v/>
      </c>
      <c r="AM240" s="154"/>
      <c r="AN240" s="61" t="str">
        <f t="shared" si="81"/>
        <v/>
      </c>
      <c r="AO240" s="152"/>
      <c r="AP240" s="152"/>
      <c r="AQ240" s="152"/>
      <c r="AR240" s="416"/>
    </row>
    <row r="241" spans="1:44" x14ac:dyDescent="0.25">
      <c r="A241" s="66">
        <f t="shared" si="80"/>
        <v>0</v>
      </c>
      <c r="B241" s="66" t="str">
        <f t="shared" si="82"/>
        <v/>
      </c>
      <c r="C241" s="66" t="str">
        <f>IFERROR(IF(OR(0,O241&gt;0),INDEX(PMECOMPAIR[Measure '#],MATCH(W241,PMECOMPAIR[Eff Desc 1],0)),""),"")</f>
        <v/>
      </c>
      <c r="D241" s="66" t="s">
        <v>1096</v>
      </c>
      <c r="E241" t="str">
        <f>IFERROR(INDEX(PMECOMPAIR[End Use Category],MATCH(W241,PMECOMPAIR[Eff Desc 1],0)),"")</f>
        <v/>
      </c>
      <c r="F241" s="152"/>
      <c r="G241" t="str">
        <f>INDEX('M04-S06'!$AB$16:$AB$196,2*(ROWS($G$237:G241)-1)+1)</f>
        <v/>
      </c>
      <c r="H241" s="61">
        <f>ROUND(INDEX('M04-S06'!$AE$16:$AE$198,2*(ROWS($H$237:H241)-1)+1),2)</f>
        <v>0</v>
      </c>
      <c r="I241" s="61">
        <f>ROUND(INDEX('M04-S06'!$AG$16:$AG$198,2*(ROWS($I$237:I241)-1)+1),2)</f>
        <v>0</v>
      </c>
      <c r="J241" s="61" t="str">
        <f>INDEX('M04-S06'!$AU$16:$AU$198,2*(ROWS($J$237:J241)-1)+1)</f>
        <v/>
      </c>
      <c r="K241" t="str">
        <f>IFERROR(INDEX(PMECOMPAIR[Cost Basis],MATCH(W241,PMECOMPAIR[Eff Desc 1],0)),"")</f>
        <v/>
      </c>
      <c r="L241" s="151" t="str">
        <f>IFERROR(IF(OR(ISNUMBER(SEARCH("Leak",INDEX('M04-S06'!$C$16:$C$198,2*(ROWS($L$237:L241)-1)+1))),ISNUMBER(SEARCH("VFD",INDEX('M04-S06'!$C$16:$C$198,2*(ROWS($L$237:L241)-1)+1)))),INDEX('M04-S06'!$V$16:$V$198,2*(ROWS($L$237:L241)-1)+1)*INDEX('M04-S06'!$R$16:$R$198,2*(ROWS($L$237:L241)-1)+1),INDEX('M04-S06'!$V$16:$V$198,2*(ROWS($L$237:L241)-1)+1)),0)</f>
        <v/>
      </c>
      <c r="M241" s="151" cm="1">
        <f t="array" ref="M241">IFERROR(IF(ISNUMBER(INDEX('M04-S06'!$AO$16:$AO$196,2*(ROWS($O$237:O241)-1)+1)),INDEX('M04-S06'!$AK$16:$AK$196,2*(ROWS($M$237:M241)-1)+1),0),"")</f>
        <v>0</v>
      </c>
      <c r="N241" s="189" cm="1">
        <f t="array" ref="N241">IFERROR(IF(ISNUMBER(INDEX('M04-S06'!$AO$16:$AO$196,2*(ROWS($O$237:O241)-1)+1)),INDEX('M04-S06'!$AV$16:$AV$196,2*(ROWS($N$237:N241)-1)+1),0),"")</f>
        <v>0</v>
      </c>
      <c r="O241" s="61" cm="1">
        <f t="array" ref="O241">IFERROR(IF(ISNUMBER(INDEX('M04-S06'!$AO$16:$AO$196,2*(ROWS($O$237:O241)-1)+1)),INDEX('M04-S06'!$AO$16:$AO$196,2*(ROWS($O$237:O241)-1)+1)*INCENTCAPADJ,0),"")</f>
        <v>0</v>
      </c>
      <c r="P241" s="152"/>
      <c r="Q241" s="193"/>
      <c r="R241" s="135"/>
      <c r="S241" s="157"/>
      <c r="T241" s="157"/>
      <c r="U241" s="151">
        <f>INDEX('M04-S06'!$B$16:$B$196,2*(ROWS($U$237:U241)-1)+1)</f>
        <v>5</v>
      </c>
      <c r="V241" s="135"/>
      <c r="W241" s="58">
        <f>INDEX('M04-S06'!$C$16:$C$196,2*(ROWS($W$237:W241)-1)+1)</f>
        <v>0</v>
      </c>
      <c r="X241" s="135"/>
      <c r="Y241" t="str">
        <f>INDEX('M04-S06'!$X$16:$X$196,2*(ROWS($Y$237:Y241)-1)+1)</f>
        <v/>
      </c>
      <c r="Z241" s="135"/>
      <c r="AA241" s="135"/>
      <c r="AB241" s="135"/>
      <c r="AC241" s="135"/>
      <c r="AD241" s="135"/>
      <c r="AE241" s="152"/>
      <c r="AF241" s="152"/>
      <c r="AG241" s="152"/>
      <c r="AH241" s="152"/>
      <c r="AI241" s="152"/>
      <c r="AJ241" s="61" t="str">
        <f t="shared" si="83"/>
        <v/>
      </c>
      <c r="AK241" s="61" t="str">
        <f t="shared" si="84"/>
        <v/>
      </c>
      <c r="AL241" s="61" t="str">
        <f t="shared" si="85"/>
        <v/>
      </c>
      <c r="AM241" s="154"/>
      <c r="AN241" s="61" t="str">
        <f t="shared" si="81"/>
        <v/>
      </c>
      <c r="AO241" s="152"/>
      <c r="AP241" s="152"/>
      <c r="AQ241" s="152"/>
      <c r="AR241" s="416"/>
    </row>
    <row r="242" spans="1:44" x14ac:dyDescent="0.25">
      <c r="A242" s="66">
        <f t="shared" si="80"/>
        <v>0</v>
      </c>
      <c r="B242" s="66" t="str">
        <f t="shared" si="82"/>
        <v/>
      </c>
      <c r="C242" s="66" t="str">
        <f>IFERROR(IF(OR(0,O242&gt;0),INDEX(PMECOMPAIR[Measure '#],MATCH(W242,PMECOMPAIR[Eff Desc 1],0)),""),"")</f>
        <v/>
      </c>
      <c r="D242" s="66" t="s">
        <v>1096</v>
      </c>
      <c r="E242" t="str">
        <f>IFERROR(INDEX(PMECOMPAIR[End Use Category],MATCH(W242,PMECOMPAIR[Eff Desc 1],0)),"")</f>
        <v/>
      </c>
      <c r="F242" s="152"/>
      <c r="G242" t="str">
        <f>INDEX('M04-S06'!$AB$16:$AB$196,2*(ROWS($G$237:G242)-1)+1)</f>
        <v/>
      </c>
      <c r="H242" s="61">
        <f>ROUND(INDEX('M04-S06'!$AE$16:$AE$198,2*(ROWS($H$237:H242)-1)+1),2)</f>
        <v>0</v>
      </c>
      <c r="I242" s="61">
        <f>ROUND(INDEX('M04-S06'!$AG$16:$AG$198,2*(ROWS($I$237:I242)-1)+1),2)</f>
        <v>0</v>
      </c>
      <c r="J242" s="61" t="str">
        <f>INDEX('M04-S06'!$AU$16:$AU$198,2*(ROWS($J$237:J242)-1)+1)</f>
        <v/>
      </c>
      <c r="K242" t="str">
        <f>IFERROR(INDEX(PMECOMPAIR[Cost Basis],MATCH(W242,PMECOMPAIR[Eff Desc 1],0)),"")</f>
        <v/>
      </c>
      <c r="L242" s="151" t="str">
        <f>IFERROR(IF(OR(ISNUMBER(SEARCH("Leak",INDEX('M04-S06'!$C$16:$C$198,2*(ROWS($L$237:L242)-1)+1))),ISNUMBER(SEARCH("VFD",INDEX('M04-S06'!$C$16:$C$198,2*(ROWS($L$237:L242)-1)+1)))),INDEX('M04-S06'!$V$16:$V$198,2*(ROWS($L$237:L242)-1)+1)*INDEX('M04-S06'!$R$16:$R$198,2*(ROWS($L$237:L242)-1)+1),INDEX('M04-S06'!$V$16:$V$198,2*(ROWS($L$237:L242)-1)+1)),0)</f>
        <v/>
      </c>
      <c r="M242" s="151" cm="1">
        <f t="array" ref="M242">IFERROR(IF(ISNUMBER(INDEX('M04-S06'!$AO$16:$AO$196,2*(ROWS($O$237:O242)-1)+1)),INDEX('M04-S06'!$AK$16:$AK$196,2*(ROWS($M$237:M242)-1)+1),0),"")</f>
        <v>0</v>
      </c>
      <c r="N242" s="189" cm="1">
        <f t="array" ref="N242">IFERROR(IF(ISNUMBER(INDEX('M04-S06'!$AO$16:$AO$196,2*(ROWS($O$237:O242)-1)+1)),INDEX('M04-S06'!$AV$16:$AV$196,2*(ROWS($N$237:N242)-1)+1),0),"")</f>
        <v>0</v>
      </c>
      <c r="O242" s="61" cm="1">
        <f t="array" ref="O242">IFERROR(IF(ISNUMBER(INDEX('M04-S06'!$AO$16:$AO$196,2*(ROWS($O$237:O242)-1)+1)),INDEX('M04-S06'!$AO$16:$AO$196,2*(ROWS($O$237:O242)-1)+1)*INCENTCAPADJ,0),"")</f>
        <v>0</v>
      </c>
      <c r="P242" s="152"/>
      <c r="Q242" s="193"/>
      <c r="R242" s="135"/>
      <c r="S242" s="157"/>
      <c r="T242" s="157"/>
      <c r="U242" s="151">
        <f>INDEX('M04-S06'!$B$16:$B$196,2*(ROWS($U$237:U242)-1)+1)</f>
        <v>6</v>
      </c>
      <c r="V242" s="135"/>
      <c r="W242" s="58">
        <f>INDEX('M04-S06'!$C$16:$C$196,2*(ROWS($W$237:W242)-1)+1)</f>
        <v>0</v>
      </c>
      <c r="X242" s="135"/>
      <c r="Y242" t="str">
        <f>INDEX('M04-S06'!$X$16:$X$196,2*(ROWS($Y$237:Y242)-1)+1)</f>
        <v/>
      </c>
      <c r="Z242" s="135"/>
      <c r="AA242" s="135"/>
      <c r="AB242" s="135"/>
      <c r="AC242" s="135"/>
      <c r="AD242" s="135"/>
      <c r="AE242" s="152"/>
      <c r="AF242" s="152"/>
      <c r="AG242" s="152"/>
      <c r="AH242" s="152"/>
      <c r="AI242" s="152"/>
      <c r="AJ242" s="61" t="str">
        <f t="shared" si="83"/>
        <v/>
      </c>
      <c r="AK242" s="61" t="str">
        <f t="shared" si="84"/>
        <v/>
      </c>
      <c r="AL242" s="61" t="str">
        <f t="shared" si="85"/>
        <v/>
      </c>
      <c r="AM242" s="154"/>
      <c r="AN242" s="61" t="str">
        <f t="shared" si="81"/>
        <v/>
      </c>
      <c r="AO242" s="152"/>
      <c r="AP242" s="152"/>
      <c r="AQ242" s="152"/>
      <c r="AR242" s="416"/>
    </row>
    <row r="243" spans="1:44" x14ac:dyDescent="0.25">
      <c r="A243" s="66">
        <f t="shared" si="80"/>
        <v>0</v>
      </c>
      <c r="B243" s="66" t="str">
        <f t="shared" si="82"/>
        <v/>
      </c>
      <c r="C243" s="66" t="str">
        <f>IFERROR(IF(OR(0,O243&gt;0),INDEX(PMECOMPAIR[Measure '#],MATCH(W243,PMECOMPAIR[Eff Desc 1],0)),""),"")</f>
        <v/>
      </c>
      <c r="D243" s="66" t="s">
        <v>1096</v>
      </c>
      <c r="E243" t="str">
        <f>IFERROR(INDEX(PMECOMPAIR[End Use Category],MATCH(W243,PMECOMPAIR[Eff Desc 1],0)),"")</f>
        <v/>
      </c>
      <c r="F243" s="152"/>
      <c r="G243" t="str">
        <f>INDEX('M04-S06'!$AB$16:$AB$196,2*(ROWS($G$237:G243)-1)+1)</f>
        <v/>
      </c>
      <c r="H243" s="61">
        <f>ROUND(INDEX('M04-S06'!$AE$16:$AE$198,2*(ROWS($H$237:H243)-1)+1),2)</f>
        <v>0</v>
      </c>
      <c r="I243" s="61">
        <f>ROUND(INDEX('M04-S06'!$AG$16:$AG$198,2*(ROWS($I$237:I243)-1)+1),2)</f>
        <v>0</v>
      </c>
      <c r="J243" s="61" t="str">
        <f>INDEX('M04-S06'!$AU$16:$AU$198,2*(ROWS($J$237:J243)-1)+1)</f>
        <v/>
      </c>
      <c r="K243" t="str">
        <f>IFERROR(INDEX(PMECOMPAIR[Cost Basis],MATCH(W243,PMECOMPAIR[Eff Desc 1],0)),"")</f>
        <v/>
      </c>
      <c r="L243" s="151" t="str">
        <f>IFERROR(IF(OR(ISNUMBER(SEARCH("Leak",INDEX('M04-S06'!$C$16:$C$198,2*(ROWS($L$237:L243)-1)+1))),ISNUMBER(SEARCH("VFD",INDEX('M04-S06'!$C$16:$C$198,2*(ROWS($L$237:L243)-1)+1)))),INDEX('M04-S06'!$V$16:$V$198,2*(ROWS($L$237:L243)-1)+1)*INDEX('M04-S06'!$R$16:$R$198,2*(ROWS($L$237:L243)-1)+1),INDEX('M04-S06'!$V$16:$V$198,2*(ROWS($L$237:L243)-1)+1)),0)</f>
        <v/>
      </c>
      <c r="M243" s="151" cm="1">
        <f t="array" ref="M243">IFERROR(IF(ISNUMBER(INDEX('M04-S06'!$AO$16:$AO$196,2*(ROWS($O$237:O243)-1)+1)),INDEX('M04-S06'!$AK$16:$AK$196,2*(ROWS($M$237:M243)-1)+1),0),"")</f>
        <v>0</v>
      </c>
      <c r="N243" s="189" cm="1">
        <f t="array" ref="N243">IFERROR(IF(ISNUMBER(INDEX('M04-S06'!$AO$16:$AO$196,2*(ROWS($O$237:O243)-1)+1)),INDEX('M04-S06'!$AV$16:$AV$196,2*(ROWS($N$237:N243)-1)+1),0),"")</f>
        <v>0</v>
      </c>
      <c r="O243" s="61" cm="1">
        <f t="array" ref="O243">IFERROR(IF(ISNUMBER(INDEX('M04-S06'!$AO$16:$AO$196,2*(ROWS($O$237:O243)-1)+1)),INDEX('M04-S06'!$AO$16:$AO$196,2*(ROWS($O$237:O243)-1)+1)*INCENTCAPADJ,0),"")</f>
        <v>0</v>
      </c>
      <c r="P243" s="152"/>
      <c r="Q243" s="193"/>
      <c r="R243" s="135"/>
      <c r="S243" s="157"/>
      <c r="T243" s="157"/>
      <c r="U243" s="151">
        <f>INDEX('M04-S06'!$B$16:$B$196,2*(ROWS($U$237:U243)-1)+1)</f>
        <v>7</v>
      </c>
      <c r="V243" s="135"/>
      <c r="W243" s="58">
        <f>INDEX('M04-S06'!$C$16:$C$196,2*(ROWS($W$237:W243)-1)+1)</f>
        <v>0</v>
      </c>
      <c r="X243" s="135"/>
      <c r="Y243" t="str">
        <f>INDEX('M04-S06'!$X$16:$X$196,2*(ROWS($Y$237:Y243)-1)+1)</f>
        <v/>
      </c>
      <c r="Z243" s="135"/>
      <c r="AA243" s="135"/>
      <c r="AB243" s="135"/>
      <c r="AC243" s="135"/>
      <c r="AD243" s="135"/>
      <c r="AE243" s="152"/>
      <c r="AF243" s="152"/>
      <c r="AG243" s="152"/>
      <c r="AH243" s="152"/>
      <c r="AI243" s="152"/>
      <c r="AJ243" s="61" t="str">
        <f t="shared" si="83"/>
        <v/>
      </c>
      <c r="AK243" s="61" t="str">
        <f t="shared" si="84"/>
        <v/>
      </c>
      <c r="AL243" s="61" t="str">
        <f t="shared" si="85"/>
        <v/>
      </c>
      <c r="AM243" s="154"/>
      <c r="AN243" s="61" t="str">
        <f t="shared" si="81"/>
        <v/>
      </c>
      <c r="AO243" s="152"/>
      <c r="AP243" s="152"/>
      <c r="AQ243" s="152"/>
      <c r="AR243" s="416"/>
    </row>
    <row r="244" spans="1:44" x14ac:dyDescent="0.25">
      <c r="A244" s="66">
        <f t="shared" si="80"/>
        <v>0</v>
      </c>
      <c r="B244" s="66" t="str">
        <f t="shared" si="82"/>
        <v/>
      </c>
      <c r="C244" s="66" t="str">
        <f>IFERROR(IF(OR(0,O244&gt;0),INDEX(PMECOMPAIR[Measure '#],MATCH(W244,PMECOMPAIR[Eff Desc 1],0)),""),"")</f>
        <v/>
      </c>
      <c r="D244" s="66" t="s">
        <v>1096</v>
      </c>
      <c r="E244" t="str">
        <f>IFERROR(INDEX(PMECOMPAIR[End Use Category],MATCH(W244,PMECOMPAIR[Eff Desc 1],0)),"")</f>
        <v/>
      </c>
      <c r="F244" s="152"/>
      <c r="G244" t="str">
        <f>INDEX('M04-S06'!$AB$16:$AB$196,2*(ROWS($G$237:G244)-1)+1)</f>
        <v/>
      </c>
      <c r="H244" s="61">
        <f>ROUND(INDEX('M04-S06'!$AE$16:$AE$198,2*(ROWS($H$237:H244)-1)+1),2)</f>
        <v>0</v>
      </c>
      <c r="I244" s="61">
        <f>ROUND(INDEX('M04-S06'!$AG$16:$AG$198,2*(ROWS($I$237:I244)-1)+1),2)</f>
        <v>0</v>
      </c>
      <c r="J244" s="61" t="str">
        <f>INDEX('M04-S06'!$AU$16:$AU$198,2*(ROWS($J$237:J244)-1)+1)</f>
        <v/>
      </c>
      <c r="K244" t="str">
        <f>IFERROR(INDEX(PMECOMPAIR[Cost Basis],MATCH(W244,PMECOMPAIR[Eff Desc 1],0)),"")</f>
        <v/>
      </c>
      <c r="L244" s="151" t="str">
        <f>IFERROR(IF(OR(ISNUMBER(SEARCH("Leak",INDEX('M04-S06'!$C$16:$C$198,2*(ROWS($L$237:L244)-1)+1))),ISNUMBER(SEARCH("VFD",INDEX('M04-S06'!$C$16:$C$198,2*(ROWS($L$237:L244)-1)+1)))),INDEX('M04-S06'!$V$16:$V$198,2*(ROWS($L$237:L244)-1)+1)*INDEX('M04-S06'!$R$16:$R$198,2*(ROWS($L$237:L244)-1)+1),INDEX('M04-S06'!$V$16:$V$198,2*(ROWS($L$237:L244)-1)+1)),0)</f>
        <v/>
      </c>
      <c r="M244" s="151" cm="1">
        <f t="array" ref="M244">IFERROR(IF(ISNUMBER(INDEX('M04-S06'!$AO$16:$AO$196,2*(ROWS($O$237:O244)-1)+1)),INDEX('M04-S06'!$AK$16:$AK$196,2*(ROWS($M$237:M244)-1)+1),0),"")</f>
        <v>0</v>
      </c>
      <c r="N244" s="189" cm="1">
        <f t="array" ref="N244">IFERROR(IF(ISNUMBER(INDEX('M04-S06'!$AO$16:$AO$196,2*(ROWS($O$237:O244)-1)+1)),INDEX('M04-S06'!$AV$16:$AV$196,2*(ROWS($N$237:N244)-1)+1),0),"")</f>
        <v>0</v>
      </c>
      <c r="O244" s="61" cm="1">
        <f t="array" ref="O244">IFERROR(IF(ISNUMBER(INDEX('M04-S06'!$AO$16:$AO$196,2*(ROWS($O$237:O244)-1)+1)),INDEX('M04-S06'!$AO$16:$AO$196,2*(ROWS($O$237:O244)-1)+1)*INCENTCAPADJ,0),"")</f>
        <v>0</v>
      </c>
      <c r="P244" s="152"/>
      <c r="Q244" s="193"/>
      <c r="R244" s="135"/>
      <c r="S244" s="157"/>
      <c r="T244" s="157"/>
      <c r="U244" s="151">
        <f>INDEX('M04-S06'!$B$16:$B$196,2*(ROWS($U$237:U244)-1)+1)</f>
        <v>8</v>
      </c>
      <c r="V244" s="135"/>
      <c r="W244" s="58">
        <f>INDEX('M04-S06'!$C$16:$C$196,2*(ROWS($W$237:W244)-1)+1)</f>
        <v>0</v>
      </c>
      <c r="X244" s="135"/>
      <c r="Y244" t="str">
        <f>INDEX('M04-S06'!$X$16:$X$196,2*(ROWS($Y$237:Y244)-1)+1)</f>
        <v/>
      </c>
      <c r="Z244" s="135"/>
      <c r="AA244" s="135"/>
      <c r="AB244" s="135"/>
      <c r="AC244" s="135"/>
      <c r="AD244" s="135"/>
      <c r="AE244" s="152"/>
      <c r="AF244" s="152"/>
      <c r="AG244" s="152"/>
      <c r="AH244" s="152"/>
      <c r="AI244" s="152"/>
      <c r="AJ244" s="61" t="str">
        <f t="shared" si="83"/>
        <v/>
      </c>
      <c r="AK244" s="61" t="str">
        <f t="shared" si="84"/>
        <v/>
      </c>
      <c r="AL244" s="61" t="str">
        <f t="shared" si="85"/>
        <v/>
      </c>
      <c r="AM244" s="154"/>
      <c r="AN244" s="61" t="str">
        <f t="shared" si="81"/>
        <v/>
      </c>
      <c r="AO244" s="152"/>
      <c r="AP244" s="152"/>
      <c r="AQ244" s="152"/>
      <c r="AR244" s="416"/>
    </row>
    <row r="245" spans="1:44" x14ac:dyDescent="0.25">
      <c r="A245" s="66">
        <f t="shared" si="80"/>
        <v>0</v>
      </c>
      <c r="B245" s="66" t="str">
        <f t="shared" si="82"/>
        <v/>
      </c>
      <c r="C245" s="66" t="str">
        <f>IFERROR(IF(OR(0,O245&gt;0),INDEX(PMECOMPAIR[Measure '#],MATCH(W245,PMECOMPAIR[Eff Desc 1],0)),""),"")</f>
        <v/>
      </c>
      <c r="D245" s="66" t="s">
        <v>1096</v>
      </c>
      <c r="E245" t="str">
        <f>IFERROR(INDEX(PMECOMPAIR[End Use Category],MATCH(W245,PMECOMPAIR[Eff Desc 1],0)),"")</f>
        <v/>
      </c>
      <c r="F245" s="152"/>
      <c r="G245" t="str">
        <f>INDEX('M04-S06'!$AB$16:$AB$196,2*(ROWS($G$237:G245)-1)+1)</f>
        <v/>
      </c>
      <c r="H245" s="61">
        <f>ROUND(INDEX('M04-S06'!$AE$16:$AE$198,2*(ROWS($H$237:H245)-1)+1),2)</f>
        <v>0</v>
      </c>
      <c r="I245" s="61">
        <f>ROUND(INDEX('M04-S06'!$AG$16:$AG$198,2*(ROWS($I$237:I245)-1)+1),2)</f>
        <v>0</v>
      </c>
      <c r="J245" s="61" t="str">
        <f>INDEX('M04-S06'!$AU$16:$AU$198,2*(ROWS($J$237:J245)-1)+1)</f>
        <v/>
      </c>
      <c r="K245" t="str">
        <f>IFERROR(INDEX(PMECOMPAIR[Cost Basis],MATCH(W245,PMECOMPAIR[Eff Desc 1],0)),"")</f>
        <v/>
      </c>
      <c r="L245" s="151" t="str">
        <f>IFERROR(IF(OR(ISNUMBER(SEARCH("Leak",INDEX('M04-S06'!$C$16:$C$198,2*(ROWS($L$237:L245)-1)+1))),ISNUMBER(SEARCH("VFD",INDEX('M04-S06'!$C$16:$C$198,2*(ROWS($L$237:L245)-1)+1)))),INDEX('M04-S06'!$V$16:$V$198,2*(ROWS($L$237:L245)-1)+1)*INDEX('M04-S06'!$R$16:$R$198,2*(ROWS($L$237:L245)-1)+1),INDEX('M04-S06'!$V$16:$V$198,2*(ROWS($L$237:L245)-1)+1)),0)</f>
        <v/>
      </c>
      <c r="M245" s="151" cm="1">
        <f t="array" ref="M245">IFERROR(IF(ISNUMBER(INDEX('M04-S06'!$AO$16:$AO$196,2*(ROWS($O$237:O245)-1)+1)),INDEX('M04-S06'!$AK$16:$AK$196,2*(ROWS($M$237:M245)-1)+1),0),"")</f>
        <v>0</v>
      </c>
      <c r="N245" s="189" cm="1">
        <f t="array" ref="N245">IFERROR(IF(ISNUMBER(INDEX('M04-S06'!$AO$16:$AO$196,2*(ROWS($O$237:O245)-1)+1)),INDEX('M04-S06'!$AV$16:$AV$196,2*(ROWS($N$237:N245)-1)+1),0),"")</f>
        <v>0</v>
      </c>
      <c r="O245" s="61" cm="1">
        <f t="array" ref="O245">IFERROR(IF(ISNUMBER(INDEX('M04-S06'!$AO$16:$AO$196,2*(ROWS($O$237:O245)-1)+1)),INDEX('M04-S06'!$AO$16:$AO$196,2*(ROWS($O$237:O245)-1)+1)*INCENTCAPADJ,0),"")</f>
        <v>0</v>
      </c>
      <c r="P245" s="152"/>
      <c r="Q245" s="193"/>
      <c r="R245" s="135"/>
      <c r="S245" s="157"/>
      <c r="T245" s="157"/>
      <c r="U245" s="151">
        <f>INDEX('M04-S06'!$B$16:$B$196,2*(ROWS($U$237:U245)-1)+1)</f>
        <v>9</v>
      </c>
      <c r="V245" s="135"/>
      <c r="W245" s="58">
        <f>INDEX('M04-S06'!$C$16:$C$196,2*(ROWS($W$237:W245)-1)+1)</f>
        <v>0</v>
      </c>
      <c r="X245" s="135"/>
      <c r="Y245" t="str">
        <f>INDEX('M04-S06'!$X$16:$X$196,2*(ROWS($Y$237:Y245)-1)+1)</f>
        <v/>
      </c>
      <c r="Z245" s="135"/>
      <c r="AA245" s="135"/>
      <c r="AB245" s="135"/>
      <c r="AC245" s="135"/>
      <c r="AD245" s="135"/>
      <c r="AE245" s="152"/>
      <c r="AF245" s="152"/>
      <c r="AG245" s="152"/>
      <c r="AH245" s="152"/>
      <c r="AI245" s="152"/>
      <c r="AJ245" s="61" t="str">
        <f t="shared" si="83"/>
        <v/>
      </c>
      <c r="AK245" s="61" t="str">
        <f t="shared" si="84"/>
        <v/>
      </c>
      <c r="AL245" s="61" t="str">
        <f t="shared" si="85"/>
        <v/>
      </c>
      <c r="AM245" s="154"/>
      <c r="AN245" s="61" t="str">
        <f t="shared" si="81"/>
        <v/>
      </c>
      <c r="AO245" s="152"/>
      <c r="AP245" s="152"/>
      <c r="AQ245" s="152"/>
      <c r="AR245" s="416"/>
    </row>
    <row r="246" spans="1:44" x14ac:dyDescent="0.25">
      <c r="A246" s="66">
        <f t="shared" si="80"/>
        <v>0</v>
      </c>
      <c r="B246" s="66" t="str">
        <f t="shared" si="82"/>
        <v/>
      </c>
      <c r="C246" s="66" t="str">
        <f>IFERROR(IF(OR(0,O246&gt;0),INDEX(PMECOMPAIR[Measure '#],MATCH(W246,PMECOMPAIR[Eff Desc 1],0)),""),"")</f>
        <v/>
      </c>
      <c r="D246" s="66" t="s">
        <v>1096</v>
      </c>
      <c r="E246" t="str">
        <f>IFERROR(INDEX(PMECOMPAIR[End Use Category],MATCH(W246,PMECOMPAIR[Eff Desc 1],0)),"")</f>
        <v/>
      </c>
      <c r="F246" s="152"/>
      <c r="G246" t="str">
        <f>INDEX('M04-S06'!$AB$16:$AB$196,2*(ROWS($G$237:G246)-1)+1)</f>
        <v/>
      </c>
      <c r="H246" s="61">
        <f>ROUND(INDEX('M04-S06'!$AE$16:$AE$198,2*(ROWS($H$237:H246)-1)+1),2)</f>
        <v>0</v>
      </c>
      <c r="I246" s="61">
        <f>ROUND(INDEX('M04-S06'!$AG$16:$AG$198,2*(ROWS($I$237:I246)-1)+1),2)</f>
        <v>0</v>
      </c>
      <c r="J246" s="61" t="str">
        <f>INDEX('M04-S06'!$AU$16:$AU$198,2*(ROWS($J$237:J246)-1)+1)</f>
        <v/>
      </c>
      <c r="K246" t="str">
        <f>IFERROR(INDEX(PMECOMPAIR[Cost Basis],MATCH(W246,PMECOMPAIR[Eff Desc 1],0)),"")</f>
        <v/>
      </c>
      <c r="L246" s="151" t="str">
        <f>IFERROR(IF(OR(ISNUMBER(SEARCH("Leak",INDEX('M04-S06'!$C$16:$C$198,2*(ROWS($L$237:L246)-1)+1))),ISNUMBER(SEARCH("VFD",INDEX('M04-S06'!$C$16:$C$198,2*(ROWS($L$237:L246)-1)+1)))),INDEX('M04-S06'!$V$16:$V$198,2*(ROWS($L$237:L246)-1)+1)*INDEX('M04-S06'!$R$16:$R$198,2*(ROWS($L$237:L246)-1)+1),INDEX('M04-S06'!$V$16:$V$198,2*(ROWS($L$237:L246)-1)+1)),0)</f>
        <v/>
      </c>
      <c r="M246" s="151" cm="1">
        <f t="array" ref="M246">IFERROR(IF(ISNUMBER(INDEX('M04-S06'!$AO$16:$AO$196,2*(ROWS($O$237:O246)-1)+1)),INDEX('M04-S06'!$AK$16:$AK$196,2*(ROWS($M$237:M246)-1)+1),0),"")</f>
        <v>0</v>
      </c>
      <c r="N246" s="189" cm="1">
        <f t="array" ref="N246">IFERROR(IF(ISNUMBER(INDEX('M04-S06'!$AO$16:$AO$196,2*(ROWS($O$237:O246)-1)+1)),INDEX('M04-S06'!$AV$16:$AV$196,2*(ROWS($N$237:N246)-1)+1),0),"")</f>
        <v>0</v>
      </c>
      <c r="O246" s="61" cm="1">
        <f t="array" ref="O246">IFERROR(IF(ISNUMBER(INDEX('M04-S06'!$AO$16:$AO$196,2*(ROWS($O$237:O246)-1)+1)),INDEX('M04-S06'!$AO$16:$AO$196,2*(ROWS($O$237:O246)-1)+1)*INCENTCAPADJ,0),"")</f>
        <v>0</v>
      </c>
      <c r="P246" s="152"/>
      <c r="Q246" s="193"/>
      <c r="R246" s="135"/>
      <c r="S246" s="157"/>
      <c r="T246" s="157"/>
      <c r="U246" s="151">
        <f>INDEX('M04-S06'!$B$16:$B$196,2*(ROWS($U$237:U246)-1)+1)</f>
        <v>10</v>
      </c>
      <c r="V246" s="135"/>
      <c r="W246" s="58">
        <f>INDEX('M04-S06'!$C$16:$C$196,2*(ROWS($W$237:W246)-1)+1)</f>
        <v>0</v>
      </c>
      <c r="X246" s="135"/>
      <c r="Y246" t="str">
        <f>INDEX('M04-S06'!$X$16:$X$196,2*(ROWS($Y$237:Y246)-1)+1)</f>
        <v/>
      </c>
      <c r="Z246" s="135"/>
      <c r="AA246" s="135"/>
      <c r="AB246" s="135"/>
      <c r="AC246" s="135"/>
      <c r="AD246" s="135"/>
      <c r="AE246" s="152"/>
      <c r="AF246" s="152"/>
      <c r="AG246" s="152"/>
      <c r="AH246" s="152"/>
      <c r="AI246" s="152"/>
      <c r="AJ246" s="61" t="str">
        <f t="shared" si="83"/>
        <v/>
      </c>
      <c r="AK246" s="61" t="str">
        <f t="shared" si="84"/>
        <v/>
      </c>
      <c r="AL246" s="61" t="str">
        <f t="shared" si="85"/>
        <v/>
      </c>
      <c r="AM246" s="154"/>
      <c r="AN246" s="61" t="str">
        <f t="shared" si="81"/>
        <v/>
      </c>
      <c r="AO246" s="152"/>
      <c r="AP246" s="152"/>
      <c r="AQ246" s="152"/>
      <c r="AR246" s="416"/>
    </row>
    <row r="247" spans="1:44" x14ac:dyDescent="0.25">
      <c r="A247" s="207" t="str">
        <f>CONCATENATE(MAIN4," ",M4S7)</f>
        <v>STANDARD MEASURES High Volume, Low Speed Fans</v>
      </c>
      <c r="B247" s="209"/>
      <c r="C247" s="209"/>
      <c r="D247" s="164"/>
      <c r="E247" s="164"/>
      <c r="F247" s="170"/>
      <c r="G247" s="164"/>
      <c r="H247" s="171"/>
      <c r="I247" s="171"/>
      <c r="J247" s="171"/>
      <c r="K247" s="164"/>
      <c r="L247" s="170"/>
      <c r="M247" s="170"/>
      <c r="N247" s="191"/>
      <c r="O247" s="171"/>
      <c r="P247" s="176"/>
      <c r="Q247" s="194"/>
      <c r="R247" s="174"/>
      <c r="S247" s="177"/>
      <c r="T247" s="177"/>
      <c r="U247" s="170"/>
      <c r="V247" s="174"/>
      <c r="W247" s="173"/>
      <c r="X247" s="174"/>
      <c r="Y247" s="164"/>
      <c r="Z247" s="164"/>
      <c r="AA247" s="164"/>
      <c r="AB247" s="164"/>
      <c r="AC247" s="164"/>
      <c r="AD247" s="164"/>
      <c r="AE247" s="176"/>
      <c r="AF247" s="176"/>
      <c r="AG247" s="176"/>
      <c r="AH247" s="176"/>
      <c r="AI247" s="176"/>
      <c r="AJ247" s="171"/>
      <c r="AK247" s="171"/>
      <c r="AL247" s="171"/>
      <c r="AM247" s="175"/>
      <c r="AN247" s="171"/>
      <c r="AO247" s="170"/>
      <c r="AP247" s="170"/>
      <c r="AQ247" s="170"/>
      <c r="AR247" s="412"/>
    </row>
    <row r="248" spans="1:44" x14ac:dyDescent="0.25">
      <c r="A248" s="66">
        <f t="shared" si="80"/>
        <v>0</v>
      </c>
      <c r="B248" s="66" t="str">
        <f>IF(C248="","",CONCATENATE(ROW(),"-",C248))</f>
        <v/>
      </c>
      <c r="C248" s="66" t="str">
        <f>IFERROR(IF(OR(0,O248&gt;0),INDEX(PMEFANS[Measure '#],MATCH(W248,PMEFANS[Measure Type],0)),""),"")</f>
        <v/>
      </c>
      <c r="D248" s="66" t="s">
        <v>1096</v>
      </c>
      <c r="E248" t="str">
        <f>IFERROR(INDEX(PMEFANS[End Use],MATCH(W248,PMEFANS[Measure Type],0)),"")</f>
        <v/>
      </c>
      <c r="F248" s="152"/>
      <c r="G248">
        <f>INDEX('M04-S07'!$AB$16:$AB$196,2*(ROWS($G$248:G248)-1)+1)</f>
        <v>0</v>
      </c>
      <c r="H248" s="61">
        <f>ROUND(INDEX('M04-S07'!$AE$16:$AE$198,2*(ROWS($H$248:H248)-1)+1),2)</f>
        <v>0</v>
      </c>
      <c r="I248" s="61">
        <f>ROUND(INDEX('M04-S07'!$AG$16:$AG$198,2*(ROWS($I$248:I248)-1)+1),2)</f>
        <v>0</v>
      </c>
      <c r="J248" s="61" t="str">
        <f>INDEX('M04-S07'!$AU$16:$AU$198,2*(ROWS($J$248:J248)-1)+1)</f>
        <v/>
      </c>
      <c r="K248" t="s">
        <v>119</v>
      </c>
      <c r="L248" s="151">
        <f>INDEX('M04-S07'!$V$16:$V$196,2*(ROWS($L$248:L248)-1)+1)</f>
        <v>0</v>
      </c>
      <c r="M248" s="151" cm="1">
        <f t="array" ref="M248">IFERROR(IF(ISNUMBER(INDEX('M04-S07'!$AO$16:$AO$196,2*(ROWS($O$248:O248)-1)+1)),INDEX('M04-S07'!$AK$16:$AK$196,2*(ROWS($M$248:M248)-1)+1),0),"")</f>
        <v>0</v>
      </c>
      <c r="N248" s="189" cm="1">
        <f t="array" ref="N248">IFERROR(IF(ISNUMBER(INDEX('M04-S07'!$AO$16:$AO$196,2*(ROWS($O$248:O248)-1)+1)),INDEX('M04-S07'!$AV$16:$AV$196,2*(ROWS($N$248:N248)-1)+1),0),"")</f>
        <v>0</v>
      </c>
      <c r="O248" s="61" cm="1">
        <f t="array" ref="O248">IFERROR(IF(ISNUMBER(INDEX('M04-S07'!$AO$16:$AO$196,2*(ROWS($O$248:O248)-1)+1)),INDEX('M04-S07'!$AO$16:$AO$196,2*(ROWS($O$248:O248)-1)+1)*INCENTCAPADJ,0),"")</f>
        <v>0</v>
      </c>
      <c r="P248" s="152"/>
      <c r="Q248" s="193"/>
      <c r="R248" s="135"/>
      <c r="S248" s="157"/>
      <c r="T248" s="157"/>
      <c r="U248" s="151">
        <f>INDEX('M04-S07'!$B$16:$B$196,2*(ROWS($U$248:U248)-1)+1)</f>
        <v>1</v>
      </c>
      <c r="V248" s="135"/>
      <c r="W248" s="58">
        <f>INDEX('M04-S07'!$C$16:$C$196,2*(ROWS($W$248:W248)-1)+1)</f>
        <v>0</v>
      </c>
      <c r="X248" s="135"/>
      <c r="Y248">
        <f>INDEX('M04-S07'!$X$16:$X$196,2*(ROWS($Y$248:Y248)-1)+1)</f>
        <v>0</v>
      </c>
      <c r="Z248" s="135"/>
      <c r="AA248" s="135"/>
      <c r="AB248" s="135"/>
      <c r="AC248" s="135"/>
      <c r="AD248" s="135"/>
      <c r="AE248" s="152"/>
      <c r="AF248" s="152"/>
      <c r="AG248" s="152"/>
      <c r="AH248" s="152"/>
      <c r="AI248" s="152"/>
      <c r="AJ248" s="61" t="str">
        <f>IFERROR(O248/M248,"")</f>
        <v/>
      </c>
      <c r="AK248" s="61" t="str">
        <f>IFERROR(O248/N248,"")</f>
        <v/>
      </c>
      <c r="AL248" s="61" t="str">
        <f>IFERROR(O248/L248,"")</f>
        <v/>
      </c>
      <c r="AM248" s="154"/>
      <c r="AN248" s="61" t="str">
        <f t="shared" ref="AN248" si="86">IFERROR(J248/M248/M02S02F35,"")</f>
        <v/>
      </c>
      <c r="AO248" s="152"/>
      <c r="AP248" s="152"/>
      <c r="AQ248" s="152"/>
      <c r="AR248" s="416">
        <f>(IF(INDEX('M04-S07'!$AO$16:$AO$198,2*(ROWS($O$248:O248)-1)+1)=INDEX('M04-S07'!$AZ$16:$AZ$198,2*(ROWS($O$248:O248)-1)+1),0,(INDEX('M04-S07'!$AY$16:$AY$198,2*(ROWS($O$248:O248)-1)+1)-INDEX('M04-S07'!$AZ$16:$AZ$198,2*(ROWS($O$248:O248)-1)+1))))*INCENTCAPADJ</f>
        <v>0</v>
      </c>
    </row>
    <row r="249" spans="1:44" x14ac:dyDescent="0.25">
      <c r="A249" s="66">
        <f t="shared" si="80"/>
        <v>0</v>
      </c>
      <c r="B249" s="66" t="str">
        <f t="shared" ref="B249:B257" si="87">IF(C249="","",CONCATENATE(ROW(),"-",C249))</f>
        <v/>
      </c>
      <c r="C249" s="66" t="str">
        <f>IFERROR(IF(OR(0,O249&gt;0),INDEX(PMEFANS[Measure '#],MATCH(W249,PMEFANS[Measure Type],0)),""),"")</f>
        <v/>
      </c>
      <c r="D249" s="66" t="s">
        <v>1096</v>
      </c>
      <c r="E249" t="str">
        <f>IFERROR(INDEX(PMEFANS[End Use],MATCH(W249,PMEFANS[Measure Type],0)),"")</f>
        <v/>
      </c>
      <c r="F249" s="152"/>
      <c r="G249">
        <f>INDEX('M04-S07'!$AB$16:$AB$196,2*(ROWS($G$248:G249)-1)+1)</f>
        <v>0</v>
      </c>
      <c r="H249" s="61">
        <f>ROUND(INDEX('M04-S07'!$AE$16:$AE$198,2*(ROWS($H$248:H249)-1)+1),2)</f>
        <v>0</v>
      </c>
      <c r="I249" s="61">
        <f>ROUND(INDEX('M04-S07'!$AG$16:$AG$198,2*(ROWS($I$248:I249)-1)+1),2)</f>
        <v>0</v>
      </c>
      <c r="J249" s="61" t="str">
        <f>INDEX('M04-S07'!$AU$16:$AU$198,2*(ROWS($J$248:J249)-1)+1)</f>
        <v/>
      </c>
      <c r="K249" t="s">
        <v>119</v>
      </c>
      <c r="L249" s="151">
        <f>INDEX('M04-S07'!$V$16:$V$196,2*(ROWS($L$248:L249)-1)+1)</f>
        <v>0</v>
      </c>
      <c r="M249" s="151" cm="1">
        <f t="array" ref="M249">IFERROR(IF(ISNUMBER(INDEX('M04-S07'!$AO$16:$AO$196,2*(ROWS($O$248:O249)-1)+1)),INDEX('M04-S07'!$AK$16:$AK$196,2*(ROWS($M$248:M249)-1)+1),0),"")</f>
        <v>0</v>
      </c>
      <c r="N249" s="189" cm="1">
        <f t="array" ref="N249">IFERROR(IF(ISNUMBER(INDEX('M04-S07'!$AO$16:$AO$196,2*(ROWS($O$248:O249)-1)+1)),INDEX('M04-S07'!$AV$16:$AV$196,2*(ROWS($N$248:N249)-1)+1),0),"")</f>
        <v>0</v>
      </c>
      <c r="O249" s="61" cm="1">
        <f t="array" ref="O249">IFERROR(IF(ISNUMBER(INDEX('M04-S07'!$AO$16:$AO$196,2*(ROWS($O$248:O249)-1)+1)),INDEX('M04-S07'!$AO$16:$AO$196,2*(ROWS($O$248:O249)-1)+1)*INCENTCAPADJ,0),"")</f>
        <v>0</v>
      </c>
      <c r="P249" s="152"/>
      <c r="Q249" s="193"/>
      <c r="R249" s="135"/>
      <c r="S249" s="157"/>
      <c r="T249" s="157"/>
      <c r="U249" s="151">
        <f>INDEX('M04-S07'!$B$16:$B$196,2*(ROWS($U$248:U249)-1)+1)</f>
        <v>2</v>
      </c>
      <c r="V249" s="135"/>
      <c r="W249" s="58">
        <f>INDEX('M04-S07'!$C$16:$C$196,2*(ROWS($W$248:W249)-1)+1)</f>
        <v>0</v>
      </c>
      <c r="X249" s="135"/>
      <c r="Y249">
        <f>INDEX('M04-S07'!$X$16:$X$196,2*(ROWS($Y$248:Y249)-1)+1)</f>
        <v>0</v>
      </c>
      <c r="Z249" s="135"/>
      <c r="AA249" s="135"/>
      <c r="AB249" s="135"/>
      <c r="AC249" s="135"/>
      <c r="AD249" s="135"/>
      <c r="AE249" s="152"/>
      <c r="AF249" s="152"/>
      <c r="AG249" s="152"/>
      <c r="AH249" s="152"/>
      <c r="AI249" s="152"/>
      <c r="AJ249" s="61" t="str">
        <f t="shared" ref="AJ249:AJ257" si="88">IFERROR(O249/M249,"")</f>
        <v/>
      </c>
      <c r="AK249" s="61" t="str">
        <f t="shared" ref="AK249:AK257" si="89">IFERROR(O249/N249,"")</f>
        <v/>
      </c>
      <c r="AL249" s="61" t="str">
        <f t="shared" ref="AL249:AL257" si="90">IFERROR(O249/L249,"")</f>
        <v/>
      </c>
      <c r="AM249" s="154"/>
      <c r="AN249" s="61" t="str">
        <f t="shared" ref="AN249:AN257" si="91">IFERROR(J249/M249/M02S02F35,"")</f>
        <v/>
      </c>
      <c r="AO249" s="152"/>
      <c r="AP249" s="152"/>
      <c r="AQ249" s="152"/>
      <c r="AR249" s="416">
        <f>(IF(INDEX('M04-S07'!$AO$16:$AO$198,2*(ROWS($O$248:O249)-1)+1)=INDEX('M04-S07'!$AZ$16:$AZ$198,2*(ROWS($O$248:O249)-1)+1),0,(INDEX('M04-S07'!$AY$16:$AY$198,2*(ROWS($O$248:O249)-1)+1)-INDEX('M04-S07'!$AZ$16:$AZ$198,2*(ROWS($O$248:O249)-1)+1))))*INCENTCAPADJ</f>
        <v>0</v>
      </c>
    </row>
    <row r="250" spans="1:44" x14ac:dyDescent="0.25">
      <c r="A250" s="66">
        <f t="shared" si="80"/>
        <v>0</v>
      </c>
      <c r="B250" s="66" t="str">
        <f t="shared" si="87"/>
        <v/>
      </c>
      <c r="C250" s="66" t="str">
        <f>IFERROR(IF(OR(0,O250&gt;0),INDEX(PMEFANS[Measure '#],MATCH(W250,PMEFANS[Measure Type],0)),""),"")</f>
        <v/>
      </c>
      <c r="D250" s="66" t="s">
        <v>1096</v>
      </c>
      <c r="E250" t="str">
        <f>IFERROR(INDEX(PMEFANS[End Use],MATCH(W250,PMEFANS[Measure Type],0)),"")</f>
        <v/>
      </c>
      <c r="F250" s="152"/>
      <c r="G250">
        <f>INDEX('M04-S07'!$AB$16:$AB$196,2*(ROWS($G$248:G250)-1)+1)</f>
        <v>0</v>
      </c>
      <c r="H250" s="61">
        <f>ROUND(INDEX('M04-S07'!$AE$16:$AE$198,2*(ROWS($H$248:H250)-1)+1),2)</f>
        <v>0</v>
      </c>
      <c r="I250" s="61">
        <f>ROUND(INDEX('M04-S07'!$AG$16:$AG$198,2*(ROWS($I$248:I250)-1)+1),2)</f>
        <v>0</v>
      </c>
      <c r="J250" s="61" t="str">
        <f>INDEX('M04-S07'!$AU$16:$AU$198,2*(ROWS($J$248:J250)-1)+1)</f>
        <v/>
      </c>
      <c r="K250" t="s">
        <v>119</v>
      </c>
      <c r="L250" s="151">
        <f>INDEX('M04-S07'!$V$16:$V$196,2*(ROWS($L$248:L250)-1)+1)</f>
        <v>0</v>
      </c>
      <c r="M250" s="151" cm="1">
        <f t="array" ref="M250">IFERROR(IF(ISNUMBER(INDEX('M04-S07'!$AO$16:$AO$196,2*(ROWS($O$248:O250)-1)+1)),INDEX('M04-S07'!$AK$16:$AK$196,2*(ROWS($M$248:M250)-1)+1),0),"")</f>
        <v>0</v>
      </c>
      <c r="N250" s="189" cm="1">
        <f t="array" ref="N250">IFERROR(IF(ISNUMBER(INDEX('M04-S07'!$AO$16:$AO$196,2*(ROWS($O$248:O250)-1)+1)),INDEX('M04-S07'!$AV$16:$AV$196,2*(ROWS($N$248:N250)-1)+1),0),"")</f>
        <v>0</v>
      </c>
      <c r="O250" s="61" cm="1">
        <f t="array" ref="O250">IFERROR(IF(ISNUMBER(INDEX('M04-S07'!$AO$16:$AO$196,2*(ROWS($O$248:O250)-1)+1)),INDEX('M04-S07'!$AO$16:$AO$196,2*(ROWS($O$248:O250)-1)+1)*INCENTCAPADJ,0),"")</f>
        <v>0</v>
      </c>
      <c r="P250" s="152"/>
      <c r="Q250" s="193"/>
      <c r="R250" s="135"/>
      <c r="S250" s="157"/>
      <c r="T250" s="157"/>
      <c r="U250" s="151">
        <f>INDEX('M04-S07'!$B$16:$B$196,2*(ROWS($U$248:U250)-1)+1)</f>
        <v>3</v>
      </c>
      <c r="V250" s="135"/>
      <c r="W250" s="58">
        <f>INDEX('M04-S07'!$C$16:$C$196,2*(ROWS($W$248:W250)-1)+1)</f>
        <v>0</v>
      </c>
      <c r="X250" s="135"/>
      <c r="Y250">
        <f>INDEX('M04-S07'!$X$16:$X$196,2*(ROWS($Y$248:Y250)-1)+1)</f>
        <v>0</v>
      </c>
      <c r="Z250" s="135"/>
      <c r="AA250" s="135"/>
      <c r="AB250" s="135"/>
      <c r="AC250" s="135"/>
      <c r="AD250" s="135"/>
      <c r="AE250" s="152"/>
      <c r="AF250" s="152"/>
      <c r="AG250" s="152"/>
      <c r="AH250" s="152"/>
      <c r="AI250" s="152"/>
      <c r="AJ250" s="61" t="str">
        <f t="shared" si="88"/>
        <v/>
      </c>
      <c r="AK250" s="61" t="str">
        <f t="shared" si="89"/>
        <v/>
      </c>
      <c r="AL250" s="61" t="str">
        <f t="shared" si="90"/>
        <v/>
      </c>
      <c r="AM250" s="154"/>
      <c r="AN250" s="61" t="str">
        <f t="shared" si="91"/>
        <v/>
      </c>
      <c r="AO250" s="152"/>
      <c r="AP250" s="152"/>
      <c r="AQ250" s="152"/>
      <c r="AR250" s="416">
        <f>(IF(INDEX('M04-S07'!$AO$16:$AO$198,2*(ROWS($O$248:O250)-1)+1)=INDEX('M04-S07'!$AZ$16:$AZ$198,2*(ROWS($O$248:O250)-1)+1),0,(INDEX('M04-S07'!$AY$16:$AY$198,2*(ROWS($O$248:O250)-1)+1)-INDEX('M04-S07'!$AZ$16:$AZ$198,2*(ROWS($O$248:O250)-1)+1))))*INCENTCAPADJ</f>
        <v>0</v>
      </c>
    </row>
    <row r="251" spans="1:44" x14ac:dyDescent="0.25">
      <c r="A251" s="66">
        <f t="shared" si="80"/>
        <v>0</v>
      </c>
      <c r="B251" s="66" t="str">
        <f t="shared" si="87"/>
        <v/>
      </c>
      <c r="C251" s="66" t="str">
        <f>IFERROR(IF(OR(0,O251&gt;0),INDEX(PMEFANS[Measure '#],MATCH(W251,PMEFANS[Measure Type],0)),""),"")</f>
        <v/>
      </c>
      <c r="D251" s="66" t="s">
        <v>1096</v>
      </c>
      <c r="E251" t="str">
        <f>IFERROR(INDEX(PMEFANS[End Use],MATCH(W251,PMEFANS[Measure Type],0)),"")</f>
        <v/>
      </c>
      <c r="F251" s="152"/>
      <c r="G251">
        <f>INDEX('M04-S07'!$AB$16:$AB$196,2*(ROWS($G$248:G251)-1)+1)</f>
        <v>0</v>
      </c>
      <c r="H251" s="61">
        <f>ROUND(INDEX('M04-S07'!$AE$16:$AE$198,2*(ROWS($H$248:H251)-1)+1),2)</f>
        <v>0</v>
      </c>
      <c r="I251" s="61">
        <f>ROUND(INDEX('M04-S07'!$AG$16:$AG$198,2*(ROWS($I$248:I251)-1)+1),2)</f>
        <v>0</v>
      </c>
      <c r="J251" s="61" t="str">
        <f>INDEX('M04-S07'!$AU$16:$AU$198,2*(ROWS($J$248:J251)-1)+1)</f>
        <v/>
      </c>
      <c r="K251" t="s">
        <v>119</v>
      </c>
      <c r="L251" s="151">
        <f>INDEX('M04-S07'!$V$16:$V$196,2*(ROWS($L$248:L251)-1)+1)</f>
        <v>0</v>
      </c>
      <c r="M251" s="151" cm="1">
        <f t="array" ref="M251">IFERROR(IF(ISNUMBER(INDEX('M04-S07'!$AO$16:$AO$196,2*(ROWS($O$248:O251)-1)+1)),INDEX('M04-S07'!$AK$16:$AK$196,2*(ROWS($M$248:M251)-1)+1),0),"")</f>
        <v>0</v>
      </c>
      <c r="N251" s="189" cm="1">
        <f t="array" ref="N251">IFERROR(IF(ISNUMBER(INDEX('M04-S07'!$AO$16:$AO$196,2*(ROWS($O$248:O251)-1)+1)),INDEX('M04-S07'!$AV$16:$AV$196,2*(ROWS($N$248:N251)-1)+1),0),"")</f>
        <v>0</v>
      </c>
      <c r="O251" s="61" cm="1">
        <f t="array" ref="O251">IFERROR(IF(ISNUMBER(INDEX('M04-S07'!$AO$16:$AO$196,2*(ROWS($O$248:O251)-1)+1)),INDEX('M04-S07'!$AO$16:$AO$196,2*(ROWS($O$248:O251)-1)+1)*INCENTCAPADJ,0),"")</f>
        <v>0</v>
      </c>
      <c r="P251" s="152"/>
      <c r="Q251" s="193"/>
      <c r="R251" s="135"/>
      <c r="S251" s="157"/>
      <c r="T251" s="157"/>
      <c r="U251" s="151">
        <f>INDEX('M04-S07'!$B$16:$B$196,2*(ROWS($U$248:U251)-1)+1)</f>
        <v>4</v>
      </c>
      <c r="V251" s="135"/>
      <c r="W251" s="58">
        <f>INDEX('M04-S07'!$C$16:$C$196,2*(ROWS($W$248:W251)-1)+1)</f>
        <v>0</v>
      </c>
      <c r="X251" s="135"/>
      <c r="Y251">
        <f>INDEX('M04-S07'!$X$16:$X$196,2*(ROWS($Y$248:Y251)-1)+1)</f>
        <v>0</v>
      </c>
      <c r="Z251" s="135"/>
      <c r="AA251" s="135"/>
      <c r="AB251" s="135"/>
      <c r="AC251" s="135"/>
      <c r="AD251" s="135"/>
      <c r="AE251" s="152"/>
      <c r="AF251" s="152"/>
      <c r="AG251" s="152"/>
      <c r="AH251" s="152"/>
      <c r="AI251" s="152"/>
      <c r="AJ251" s="61" t="str">
        <f t="shared" si="88"/>
        <v/>
      </c>
      <c r="AK251" s="61" t="str">
        <f t="shared" si="89"/>
        <v/>
      </c>
      <c r="AL251" s="61" t="str">
        <f t="shared" si="90"/>
        <v/>
      </c>
      <c r="AM251" s="154"/>
      <c r="AN251" s="61" t="str">
        <f t="shared" si="91"/>
        <v/>
      </c>
      <c r="AO251" s="152"/>
      <c r="AP251" s="152"/>
      <c r="AQ251" s="152"/>
      <c r="AR251" s="416">
        <f>(IF(INDEX('M04-S07'!$AO$16:$AO$198,2*(ROWS($O$248:O251)-1)+1)=INDEX('M04-S07'!$AZ$16:$AZ$198,2*(ROWS($O$248:O251)-1)+1),0,(INDEX('M04-S07'!$AY$16:$AY$198,2*(ROWS($O$248:O251)-1)+1)-INDEX('M04-S07'!$AZ$16:$AZ$198,2*(ROWS($O$248:O251)-1)+1))))*INCENTCAPADJ</f>
        <v>0</v>
      </c>
    </row>
    <row r="252" spans="1:44" x14ac:dyDescent="0.25">
      <c r="A252" s="66">
        <f t="shared" si="80"/>
        <v>0</v>
      </c>
      <c r="B252" s="66" t="str">
        <f t="shared" si="87"/>
        <v/>
      </c>
      <c r="C252" s="66" t="str">
        <f>IFERROR(IF(OR(0,O252&gt;0),INDEX(PMEFANS[Measure '#],MATCH(W252,PMEFANS[Measure Type],0)),""),"")</f>
        <v/>
      </c>
      <c r="D252" s="66" t="s">
        <v>1096</v>
      </c>
      <c r="E252" t="str">
        <f>IFERROR(INDEX(PMEFANS[End Use],MATCH(W252,PMEFANS[Measure Type],0)),"")</f>
        <v/>
      </c>
      <c r="F252" s="152"/>
      <c r="G252">
        <f>INDEX('M04-S07'!$AB$16:$AB$196,2*(ROWS($G$248:G252)-1)+1)</f>
        <v>0</v>
      </c>
      <c r="H252" s="61">
        <f>ROUND(INDEX('M04-S07'!$AE$16:$AE$198,2*(ROWS($H$248:H252)-1)+1),2)</f>
        <v>0</v>
      </c>
      <c r="I252" s="61">
        <f>ROUND(INDEX('M04-S07'!$AG$16:$AG$198,2*(ROWS($I$248:I252)-1)+1),2)</f>
        <v>0</v>
      </c>
      <c r="J252" s="61" t="str">
        <f>INDEX('M04-S07'!$AU$16:$AU$198,2*(ROWS($J$248:J252)-1)+1)</f>
        <v/>
      </c>
      <c r="K252" t="s">
        <v>119</v>
      </c>
      <c r="L252" s="151">
        <f>INDEX('M04-S07'!$V$16:$V$196,2*(ROWS($L$248:L252)-1)+1)</f>
        <v>0</v>
      </c>
      <c r="M252" s="151" cm="1">
        <f t="array" ref="M252">IFERROR(IF(ISNUMBER(INDEX('M04-S07'!$AO$16:$AO$196,2*(ROWS($O$248:O252)-1)+1)),INDEX('M04-S07'!$AK$16:$AK$196,2*(ROWS($M$248:M252)-1)+1),0),"")</f>
        <v>0</v>
      </c>
      <c r="N252" s="189" cm="1">
        <f t="array" ref="N252">IFERROR(IF(ISNUMBER(INDEX('M04-S07'!$AO$16:$AO$196,2*(ROWS($O$248:O252)-1)+1)),INDEX('M04-S07'!$AV$16:$AV$196,2*(ROWS($N$248:N252)-1)+1),0),"")</f>
        <v>0</v>
      </c>
      <c r="O252" s="61" cm="1">
        <f t="array" ref="O252">IFERROR(IF(ISNUMBER(INDEX('M04-S07'!$AO$16:$AO$196,2*(ROWS($O$248:O252)-1)+1)),INDEX('M04-S07'!$AO$16:$AO$196,2*(ROWS($O$248:O252)-1)+1)*INCENTCAPADJ,0),"")</f>
        <v>0</v>
      </c>
      <c r="P252" s="152"/>
      <c r="Q252" s="193"/>
      <c r="R252" s="135"/>
      <c r="S252" s="157"/>
      <c r="T252" s="157"/>
      <c r="U252" s="151">
        <f>INDEX('M04-S07'!$B$16:$B$196,2*(ROWS($U$248:U252)-1)+1)</f>
        <v>5</v>
      </c>
      <c r="V252" s="135"/>
      <c r="W252" s="58">
        <f>INDEX('M04-S07'!$C$16:$C$196,2*(ROWS($W$248:W252)-1)+1)</f>
        <v>0</v>
      </c>
      <c r="X252" s="135"/>
      <c r="Y252">
        <f>INDEX('M04-S07'!$X$16:$X$196,2*(ROWS($Y$248:Y252)-1)+1)</f>
        <v>0</v>
      </c>
      <c r="Z252" s="135"/>
      <c r="AA252" s="135"/>
      <c r="AB252" s="135"/>
      <c r="AC252" s="135"/>
      <c r="AD252" s="135"/>
      <c r="AE252" s="152"/>
      <c r="AF252" s="152"/>
      <c r="AG252" s="152"/>
      <c r="AH252" s="152"/>
      <c r="AI252" s="152"/>
      <c r="AJ252" s="61" t="str">
        <f t="shared" si="88"/>
        <v/>
      </c>
      <c r="AK252" s="61" t="str">
        <f t="shared" si="89"/>
        <v/>
      </c>
      <c r="AL252" s="61" t="str">
        <f t="shared" si="90"/>
        <v/>
      </c>
      <c r="AM252" s="154"/>
      <c r="AN252" s="61" t="str">
        <f t="shared" si="91"/>
        <v/>
      </c>
      <c r="AO252" s="152"/>
      <c r="AP252" s="152"/>
      <c r="AQ252" s="152"/>
      <c r="AR252" s="416">
        <f>(IF(INDEX('M04-S07'!$AO$16:$AO$198,2*(ROWS($O$248:O252)-1)+1)=INDEX('M04-S07'!$AZ$16:$AZ$198,2*(ROWS($O$248:O252)-1)+1),0,(INDEX('M04-S07'!$AY$16:$AY$198,2*(ROWS($O$248:O252)-1)+1)-INDEX('M04-S07'!$AZ$16:$AZ$198,2*(ROWS($O$248:O252)-1)+1))))*INCENTCAPADJ</f>
        <v>0</v>
      </c>
    </row>
    <row r="253" spans="1:44" x14ac:dyDescent="0.25">
      <c r="A253" s="66">
        <f t="shared" si="80"/>
        <v>0</v>
      </c>
      <c r="B253" s="66" t="str">
        <f t="shared" si="87"/>
        <v/>
      </c>
      <c r="C253" s="66" t="str">
        <f>IFERROR(IF(OR(0,O253&gt;0),INDEX(PMEFANS[Measure '#],MATCH(W253,PMEFANS[Measure Type],0)),""),"")</f>
        <v/>
      </c>
      <c r="D253" s="66" t="s">
        <v>1096</v>
      </c>
      <c r="E253" t="str">
        <f>IFERROR(INDEX(PMEFANS[End Use],MATCH(W253,PMEFANS[Measure Type],0)),"")</f>
        <v/>
      </c>
      <c r="F253" s="152"/>
      <c r="G253">
        <f>INDEX('M04-S07'!$AB$16:$AB$196,2*(ROWS($G$248:G253)-1)+1)</f>
        <v>0</v>
      </c>
      <c r="H253" s="61">
        <f>ROUND(INDEX('M04-S07'!$AE$16:$AE$198,2*(ROWS($H$248:H253)-1)+1),2)</f>
        <v>0</v>
      </c>
      <c r="I253" s="61">
        <f>ROUND(INDEX('M04-S07'!$AG$16:$AG$198,2*(ROWS($I$248:I253)-1)+1),2)</f>
        <v>0</v>
      </c>
      <c r="J253" s="61" t="str">
        <f>INDEX('M04-S07'!$AU$16:$AU$198,2*(ROWS($J$248:J253)-1)+1)</f>
        <v/>
      </c>
      <c r="K253" t="s">
        <v>119</v>
      </c>
      <c r="L253" s="151">
        <f>INDEX('M04-S07'!$V$16:$V$196,2*(ROWS($L$248:L253)-1)+1)</f>
        <v>0</v>
      </c>
      <c r="M253" s="151" cm="1">
        <f t="array" ref="M253">IFERROR(IF(ISNUMBER(INDEX('M04-S07'!$AO$16:$AO$196,2*(ROWS($O$248:O253)-1)+1)),INDEX('M04-S07'!$AK$16:$AK$196,2*(ROWS($M$248:M253)-1)+1),0),"")</f>
        <v>0</v>
      </c>
      <c r="N253" s="189" cm="1">
        <f t="array" ref="N253">IFERROR(IF(ISNUMBER(INDEX('M04-S07'!$AO$16:$AO$196,2*(ROWS($O$248:O253)-1)+1)),INDEX('M04-S07'!$AV$16:$AV$196,2*(ROWS($N$248:N253)-1)+1),0),"")</f>
        <v>0</v>
      </c>
      <c r="O253" s="61" cm="1">
        <f t="array" ref="O253">IFERROR(IF(ISNUMBER(INDEX('M04-S07'!$AO$16:$AO$196,2*(ROWS($O$248:O253)-1)+1)),INDEX('M04-S07'!$AO$16:$AO$196,2*(ROWS($O$248:O253)-1)+1)*INCENTCAPADJ,0),"")</f>
        <v>0</v>
      </c>
      <c r="P253" s="152"/>
      <c r="Q253" s="193"/>
      <c r="R253" s="135"/>
      <c r="S253" s="157"/>
      <c r="T253" s="157"/>
      <c r="U253" s="151">
        <f>INDEX('M04-S07'!$B$16:$B$196,2*(ROWS($U$248:U253)-1)+1)</f>
        <v>6</v>
      </c>
      <c r="V253" s="135"/>
      <c r="W253" s="58">
        <f>INDEX('M04-S07'!$C$16:$C$196,2*(ROWS($W$248:W253)-1)+1)</f>
        <v>0</v>
      </c>
      <c r="X253" s="135"/>
      <c r="Y253">
        <f>INDEX('M04-S07'!$X$16:$X$196,2*(ROWS($Y$248:Y253)-1)+1)</f>
        <v>0</v>
      </c>
      <c r="Z253" s="135"/>
      <c r="AA253" s="135"/>
      <c r="AB253" s="135"/>
      <c r="AC253" s="135"/>
      <c r="AD253" s="135"/>
      <c r="AE253" s="152"/>
      <c r="AF253" s="152"/>
      <c r="AG253" s="152"/>
      <c r="AH253" s="152"/>
      <c r="AI253" s="152"/>
      <c r="AJ253" s="61" t="str">
        <f t="shared" si="88"/>
        <v/>
      </c>
      <c r="AK253" s="61" t="str">
        <f t="shared" si="89"/>
        <v/>
      </c>
      <c r="AL253" s="61" t="str">
        <f t="shared" si="90"/>
        <v/>
      </c>
      <c r="AM253" s="154"/>
      <c r="AN253" s="61" t="str">
        <f t="shared" si="91"/>
        <v/>
      </c>
      <c r="AO253" s="152"/>
      <c r="AP253" s="152"/>
      <c r="AQ253" s="152"/>
      <c r="AR253" s="416">
        <f>(IF(INDEX('M04-S07'!$AO$16:$AO$198,2*(ROWS($O$248:O253)-1)+1)=INDEX('M04-S07'!$AZ$16:$AZ$198,2*(ROWS($O$248:O253)-1)+1),0,(INDEX('M04-S07'!$AY$16:$AY$198,2*(ROWS($O$248:O253)-1)+1)-INDEX('M04-S07'!$AZ$16:$AZ$198,2*(ROWS($O$248:O253)-1)+1))))*INCENTCAPADJ</f>
        <v>0</v>
      </c>
    </row>
    <row r="254" spans="1:44" x14ac:dyDescent="0.25">
      <c r="A254" s="66">
        <f t="shared" si="80"/>
        <v>0</v>
      </c>
      <c r="B254" s="66" t="str">
        <f t="shared" si="87"/>
        <v/>
      </c>
      <c r="C254" s="66" t="str">
        <f>IFERROR(IF(OR(0,O254&gt;0),INDEX(PMEFANS[Measure '#],MATCH(W254,PMEFANS[Measure Type],0)),""),"")</f>
        <v/>
      </c>
      <c r="D254" s="66" t="s">
        <v>1096</v>
      </c>
      <c r="E254" t="str">
        <f>IFERROR(INDEX(PMEFANS[End Use],MATCH(W254,PMEFANS[Measure Type],0)),"")</f>
        <v/>
      </c>
      <c r="F254" s="152"/>
      <c r="G254">
        <f>INDEX('M04-S07'!$AB$16:$AB$196,2*(ROWS($G$248:G254)-1)+1)</f>
        <v>0</v>
      </c>
      <c r="H254" s="61">
        <f>ROUND(INDEX('M04-S07'!$AE$16:$AE$198,2*(ROWS($H$248:H254)-1)+1),2)</f>
        <v>0</v>
      </c>
      <c r="I254" s="61">
        <f>ROUND(INDEX('M04-S07'!$AG$16:$AG$198,2*(ROWS($I$248:I254)-1)+1),2)</f>
        <v>0</v>
      </c>
      <c r="J254" s="61" t="str">
        <f>INDEX('M04-S07'!$AU$16:$AU$198,2*(ROWS($J$248:J254)-1)+1)</f>
        <v/>
      </c>
      <c r="K254" t="s">
        <v>119</v>
      </c>
      <c r="L254" s="151">
        <f>INDEX('M04-S07'!$V$16:$V$196,2*(ROWS($L$248:L254)-1)+1)</f>
        <v>0</v>
      </c>
      <c r="M254" s="151" cm="1">
        <f t="array" ref="M254">IFERROR(IF(ISNUMBER(INDEX('M04-S07'!$AO$16:$AO$196,2*(ROWS($O$248:O254)-1)+1)),INDEX('M04-S07'!$AK$16:$AK$196,2*(ROWS($M$248:M254)-1)+1),0),"")</f>
        <v>0</v>
      </c>
      <c r="N254" s="189" cm="1">
        <f t="array" ref="N254">IFERROR(IF(ISNUMBER(INDEX('M04-S07'!$AO$16:$AO$196,2*(ROWS($O$248:O254)-1)+1)),INDEX('M04-S07'!$AV$16:$AV$196,2*(ROWS($N$248:N254)-1)+1),0),"")</f>
        <v>0</v>
      </c>
      <c r="O254" s="61" cm="1">
        <f t="array" ref="O254">IFERROR(IF(ISNUMBER(INDEX('M04-S07'!$AO$16:$AO$196,2*(ROWS($O$248:O254)-1)+1)),INDEX('M04-S07'!$AO$16:$AO$196,2*(ROWS($O$248:O254)-1)+1)*INCENTCAPADJ,0),"")</f>
        <v>0</v>
      </c>
      <c r="P254" s="152"/>
      <c r="Q254" s="193"/>
      <c r="R254" s="135"/>
      <c r="S254" s="157"/>
      <c r="T254" s="157"/>
      <c r="U254" s="151">
        <f>INDEX('M04-S07'!$B$16:$B$196,2*(ROWS($U$248:U254)-1)+1)</f>
        <v>7</v>
      </c>
      <c r="V254" s="135"/>
      <c r="W254" s="58">
        <f>INDEX('M04-S07'!$C$16:$C$196,2*(ROWS($W$248:W254)-1)+1)</f>
        <v>0</v>
      </c>
      <c r="X254" s="135"/>
      <c r="Y254">
        <f>INDEX('M04-S07'!$X$16:$X$196,2*(ROWS($Y$248:Y254)-1)+1)</f>
        <v>0</v>
      </c>
      <c r="Z254" s="135"/>
      <c r="AA254" s="135"/>
      <c r="AB254" s="135"/>
      <c r="AC254" s="135"/>
      <c r="AD254" s="135"/>
      <c r="AE254" s="152"/>
      <c r="AF254" s="152"/>
      <c r="AG254" s="152"/>
      <c r="AH254" s="152"/>
      <c r="AI254" s="152"/>
      <c r="AJ254" s="61" t="str">
        <f t="shared" si="88"/>
        <v/>
      </c>
      <c r="AK254" s="61" t="str">
        <f t="shared" si="89"/>
        <v/>
      </c>
      <c r="AL254" s="61" t="str">
        <f t="shared" si="90"/>
        <v/>
      </c>
      <c r="AM254" s="154"/>
      <c r="AN254" s="61" t="str">
        <f t="shared" si="91"/>
        <v/>
      </c>
      <c r="AO254" s="152"/>
      <c r="AP254" s="152"/>
      <c r="AQ254" s="152"/>
      <c r="AR254" s="416">
        <f>(IF(INDEX('M04-S07'!$AO$16:$AO$198,2*(ROWS($O$248:O254)-1)+1)=INDEX('M04-S07'!$AZ$16:$AZ$198,2*(ROWS($O$248:O254)-1)+1),0,(INDEX('M04-S07'!$AY$16:$AY$198,2*(ROWS($O$248:O254)-1)+1)-INDEX('M04-S07'!$AZ$16:$AZ$198,2*(ROWS($O$248:O254)-1)+1))))*INCENTCAPADJ</f>
        <v>0</v>
      </c>
    </row>
    <row r="255" spans="1:44" x14ac:dyDescent="0.25">
      <c r="A255" s="66">
        <f t="shared" si="80"/>
        <v>0</v>
      </c>
      <c r="B255" s="66" t="str">
        <f t="shared" si="87"/>
        <v/>
      </c>
      <c r="C255" s="66" t="str">
        <f>IFERROR(IF(OR(0,O255&gt;0),INDEX(PMEFANS[Measure '#],MATCH(W255,PMEFANS[Measure Type],0)),""),"")</f>
        <v/>
      </c>
      <c r="D255" s="66" t="s">
        <v>1096</v>
      </c>
      <c r="E255" t="str">
        <f>IFERROR(INDEX(PMEFANS[End Use],MATCH(W255,PMEFANS[Measure Type],0)),"")</f>
        <v/>
      </c>
      <c r="F255" s="152"/>
      <c r="G255">
        <f>INDEX('M04-S07'!$AB$16:$AB$196,2*(ROWS($G$248:G255)-1)+1)</f>
        <v>0</v>
      </c>
      <c r="H255" s="61">
        <f>ROUND(INDEX('M04-S07'!$AE$16:$AE$198,2*(ROWS($H$248:H255)-1)+1),2)</f>
        <v>0</v>
      </c>
      <c r="I255" s="61">
        <f>ROUND(INDEX('M04-S07'!$AG$16:$AG$198,2*(ROWS($I$248:I255)-1)+1),2)</f>
        <v>0</v>
      </c>
      <c r="J255" s="61" t="str">
        <f>INDEX('M04-S07'!$AU$16:$AU$198,2*(ROWS($J$248:J255)-1)+1)</f>
        <v/>
      </c>
      <c r="K255" t="s">
        <v>119</v>
      </c>
      <c r="L255" s="151">
        <f>INDEX('M04-S07'!$V$16:$V$196,2*(ROWS($L$248:L255)-1)+1)</f>
        <v>0</v>
      </c>
      <c r="M255" s="151" cm="1">
        <f t="array" ref="M255">IFERROR(IF(ISNUMBER(INDEX('M04-S07'!$AO$16:$AO$196,2*(ROWS($O$248:O255)-1)+1)),INDEX('M04-S07'!$AK$16:$AK$196,2*(ROWS($M$248:M255)-1)+1),0),"")</f>
        <v>0</v>
      </c>
      <c r="N255" s="189" cm="1">
        <f t="array" ref="N255">IFERROR(IF(ISNUMBER(INDEX('M04-S07'!$AO$16:$AO$196,2*(ROWS($O$248:O255)-1)+1)),INDEX('M04-S07'!$AV$16:$AV$196,2*(ROWS($N$248:N255)-1)+1),0),"")</f>
        <v>0</v>
      </c>
      <c r="O255" s="61" cm="1">
        <f t="array" ref="O255">IFERROR(IF(ISNUMBER(INDEX('M04-S07'!$AO$16:$AO$196,2*(ROWS($O$248:O255)-1)+1)),INDEX('M04-S07'!$AO$16:$AO$196,2*(ROWS($O$248:O255)-1)+1)*INCENTCAPADJ,0),"")</f>
        <v>0</v>
      </c>
      <c r="P255" s="152"/>
      <c r="Q255" s="193"/>
      <c r="R255" s="135"/>
      <c r="S255" s="157"/>
      <c r="T255" s="157"/>
      <c r="U255" s="151">
        <f>INDEX('M04-S07'!$B$16:$B$196,2*(ROWS($U$248:U255)-1)+1)</f>
        <v>8</v>
      </c>
      <c r="V255" s="135"/>
      <c r="W255" s="58">
        <f>INDEX('M04-S07'!$C$16:$C$196,2*(ROWS($W$248:W255)-1)+1)</f>
        <v>0</v>
      </c>
      <c r="X255" s="135"/>
      <c r="Y255">
        <f>INDEX('M04-S07'!$X$16:$X$196,2*(ROWS($Y$248:Y255)-1)+1)</f>
        <v>0</v>
      </c>
      <c r="Z255" s="135"/>
      <c r="AA255" s="135"/>
      <c r="AB255" s="135"/>
      <c r="AC255" s="135"/>
      <c r="AD255" s="135"/>
      <c r="AE255" s="152"/>
      <c r="AF255" s="152"/>
      <c r="AG255" s="152"/>
      <c r="AH255" s="152"/>
      <c r="AI255" s="152"/>
      <c r="AJ255" s="61" t="str">
        <f t="shared" si="88"/>
        <v/>
      </c>
      <c r="AK255" s="61" t="str">
        <f t="shared" si="89"/>
        <v/>
      </c>
      <c r="AL255" s="61" t="str">
        <f t="shared" si="90"/>
        <v/>
      </c>
      <c r="AM255" s="154"/>
      <c r="AN255" s="61" t="str">
        <f t="shared" si="91"/>
        <v/>
      </c>
      <c r="AO255" s="152"/>
      <c r="AP255" s="152"/>
      <c r="AQ255" s="152"/>
      <c r="AR255" s="416">
        <f>(IF(INDEX('M04-S07'!$AO$16:$AO$198,2*(ROWS($O$248:O255)-1)+1)=INDEX('M04-S07'!$AZ$16:$AZ$198,2*(ROWS($O$248:O255)-1)+1),0,(INDEX('M04-S07'!$AY$16:$AY$198,2*(ROWS($O$248:O255)-1)+1)-INDEX('M04-S07'!$AZ$16:$AZ$198,2*(ROWS($O$248:O255)-1)+1))))*INCENTCAPADJ</f>
        <v>0</v>
      </c>
    </row>
    <row r="256" spans="1:44" x14ac:dyDescent="0.25">
      <c r="A256" s="66">
        <f t="shared" si="80"/>
        <v>0</v>
      </c>
      <c r="B256" s="66" t="str">
        <f t="shared" si="87"/>
        <v/>
      </c>
      <c r="C256" s="66" t="str">
        <f>IFERROR(IF(OR(0,O256&gt;0),INDEX(PMEFANS[Measure '#],MATCH(W256,PMEFANS[Measure Type],0)),""),"")</f>
        <v/>
      </c>
      <c r="D256" s="66" t="s">
        <v>1096</v>
      </c>
      <c r="E256" t="str">
        <f>IFERROR(INDEX(PMEFANS[End Use],MATCH(W256,PMEFANS[Measure Type],0)),"")</f>
        <v/>
      </c>
      <c r="F256" s="152"/>
      <c r="G256">
        <f>INDEX('M04-S07'!$AB$16:$AB$196,2*(ROWS($G$248:G256)-1)+1)</f>
        <v>0</v>
      </c>
      <c r="H256" s="61">
        <f>ROUND(INDEX('M04-S07'!$AE$16:$AE$198,2*(ROWS($H$248:H256)-1)+1),2)</f>
        <v>0</v>
      </c>
      <c r="I256" s="61">
        <f>ROUND(INDEX('M04-S07'!$AG$16:$AG$198,2*(ROWS($I$248:I256)-1)+1),2)</f>
        <v>0</v>
      </c>
      <c r="J256" s="61" t="str">
        <f>INDEX('M04-S07'!$AU$16:$AU$198,2*(ROWS($J$248:J256)-1)+1)</f>
        <v/>
      </c>
      <c r="K256" t="s">
        <v>119</v>
      </c>
      <c r="L256" s="151">
        <f>INDEX('M04-S07'!$V$16:$V$196,2*(ROWS($L$248:L256)-1)+1)</f>
        <v>0</v>
      </c>
      <c r="M256" s="151" cm="1">
        <f t="array" ref="M256">IFERROR(IF(ISNUMBER(INDEX('M04-S07'!$AO$16:$AO$196,2*(ROWS($O$248:O256)-1)+1)),INDEX('M04-S07'!$AK$16:$AK$196,2*(ROWS($M$248:M256)-1)+1),0),"")</f>
        <v>0</v>
      </c>
      <c r="N256" s="189" cm="1">
        <f t="array" ref="N256">IFERROR(IF(ISNUMBER(INDEX('M04-S07'!$AO$16:$AO$196,2*(ROWS($O$248:O256)-1)+1)),INDEX('M04-S07'!$AV$16:$AV$196,2*(ROWS($N$248:N256)-1)+1),0),"")</f>
        <v>0</v>
      </c>
      <c r="O256" s="61" cm="1">
        <f t="array" ref="O256">IFERROR(IF(ISNUMBER(INDEX('M04-S07'!$AO$16:$AO$196,2*(ROWS($O$248:O256)-1)+1)),INDEX('M04-S07'!$AO$16:$AO$196,2*(ROWS($O$248:O256)-1)+1)*INCENTCAPADJ,0),"")</f>
        <v>0</v>
      </c>
      <c r="P256" s="152"/>
      <c r="Q256" s="193"/>
      <c r="R256" s="135"/>
      <c r="S256" s="157"/>
      <c r="T256" s="157"/>
      <c r="U256" s="151">
        <f>INDEX('M04-S07'!$B$16:$B$196,2*(ROWS($U$248:U256)-1)+1)</f>
        <v>9</v>
      </c>
      <c r="V256" s="135"/>
      <c r="W256" s="58">
        <f>INDEX('M04-S07'!$C$16:$C$196,2*(ROWS($W$248:W256)-1)+1)</f>
        <v>0</v>
      </c>
      <c r="X256" s="135"/>
      <c r="Y256">
        <f>INDEX('M04-S07'!$X$16:$X$196,2*(ROWS($Y$248:Y256)-1)+1)</f>
        <v>0</v>
      </c>
      <c r="Z256" s="135"/>
      <c r="AA256" s="135"/>
      <c r="AB256" s="135"/>
      <c r="AC256" s="135"/>
      <c r="AD256" s="135"/>
      <c r="AE256" s="152"/>
      <c r="AF256" s="152"/>
      <c r="AG256" s="152"/>
      <c r="AH256" s="152"/>
      <c r="AI256" s="152"/>
      <c r="AJ256" s="61" t="str">
        <f t="shared" si="88"/>
        <v/>
      </c>
      <c r="AK256" s="61" t="str">
        <f t="shared" si="89"/>
        <v/>
      </c>
      <c r="AL256" s="61" t="str">
        <f t="shared" si="90"/>
        <v/>
      </c>
      <c r="AM256" s="154"/>
      <c r="AN256" s="61" t="str">
        <f t="shared" si="91"/>
        <v/>
      </c>
      <c r="AO256" s="152"/>
      <c r="AP256" s="152"/>
      <c r="AQ256" s="152"/>
      <c r="AR256" s="416">
        <f>(IF(INDEX('M04-S07'!$AO$16:$AO$198,2*(ROWS($O$248:O256)-1)+1)=INDEX('M04-S07'!$AZ$16:$AZ$198,2*(ROWS($O$248:O256)-1)+1),0,(INDEX('M04-S07'!$AY$16:$AY$198,2*(ROWS($O$248:O256)-1)+1)-INDEX('M04-S07'!$AZ$16:$AZ$198,2*(ROWS($O$248:O256)-1)+1))))*INCENTCAPADJ</f>
        <v>0</v>
      </c>
    </row>
    <row r="257" spans="1:44" x14ac:dyDescent="0.25">
      <c r="A257" s="66">
        <f t="shared" si="80"/>
        <v>0</v>
      </c>
      <c r="B257" s="66" t="str">
        <f t="shared" si="87"/>
        <v/>
      </c>
      <c r="C257" s="66" t="str">
        <f>IFERROR(IF(OR(0,O257&gt;0),INDEX(PMEFANS[Measure '#],MATCH(W257,PMEFANS[Measure Type],0)),""),"")</f>
        <v/>
      </c>
      <c r="D257" s="66" t="s">
        <v>1096</v>
      </c>
      <c r="E257" t="str">
        <f>IFERROR(INDEX(PMEFANS[End Use],MATCH(W257,PMEFANS[Measure Type],0)),"")</f>
        <v/>
      </c>
      <c r="F257" s="152"/>
      <c r="G257">
        <f>INDEX('M04-S07'!$AB$16:$AB$196,2*(ROWS($G$248:G257)-1)+1)</f>
        <v>0</v>
      </c>
      <c r="H257" s="61">
        <f>ROUND(INDEX('M04-S07'!$AE$16:$AE$198,2*(ROWS($H$248:H257)-1)+1),2)</f>
        <v>0</v>
      </c>
      <c r="I257" s="61">
        <f>ROUND(INDEX('M04-S07'!$AG$16:$AG$198,2*(ROWS($I$248:I257)-1)+1),2)</f>
        <v>0</v>
      </c>
      <c r="J257" s="61" t="str">
        <f>INDEX('M04-S07'!$AU$16:$AU$198,2*(ROWS($J$248:J257)-1)+1)</f>
        <v/>
      </c>
      <c r="K257" t="s">
        <v>119</v>
      </c>
      <c r="L257" s="151">
        <f>INDEX('M04-S07'!$V$16:$V$196,2*(ROWS($L$248:L257)-1)+1)</f>
        <v>0</v>
      </c>
      <c r="M257" s="151" cm="1">
        <f t="array" ref="M257">IFERROR(IF(ISNUMBER(INDEX('M04-S07'!$AO$16:$AO$196,2*(ROWS($O$248:O257)-1)+1)),INDEX('M04-S07'!$AK$16:$AK$196,2*(ROWS($M$248:M257)-1)+1),0),"")</f>
        <v>0</v>
      </c>
      <c r="N257" s="189" cm="1">
        <f t="array" ref="N257">IFERROR(IF(ISNUMBER(INDEX('M04-S07'!$AO$16:$AO$196,2*(ROWS($O$248:O257)-1)+1)),INDEX('M04-S07'!$AV$16:$AV$196,2*(ROWS($N$248:N257)-1)+1),0),"")</f>
        <v>0</v>
      </c>
      <c r="O257" s="61" cm="1">
        <f t="array" ref="O257">IFERROR(IF(ISNUMBER(INDEX('M04-S07'!$AO$16:$AO$196,2*(ROWS($O$248:O257)-1)+1)),INDEX('M04-S07'!$AO$16:$AO$196,2*(ROWS($O$248:O257)-1)+1)*INCENTCAPADJ,0),"")</f>
        <v>0</v>
      </c>
      <c r="P257" s="152"/>
      <c r="Q257" s="193"/>
      <c r="R257" s="135"/>
      <c r="S257" s="157"/>
      <c r="T257" s="157"/>
      <c r="U257" s="151">
        <f>INDEX('M04-S07'!$B$16:$B$196,2*(ROWS($U$248:U257)-1)+1)</f>
        <v>10</v>
      </c>
      <c r="V257" s="135"/>
      <c r="W257" s="58">
        <f>INDEX('M04-S07'!$C$16:$C$196,2*(ROWS($W$248:W257)-1)+1)</f>
        <v>0</v>
      </c>
      <c r="X257" s="135"/>
      <c r="Y257">
        <f>INDEX('M04-S07'!$X$16:$X$196,2*(ROWS($Y$248:Y257)-1)+1)</f>
        <v>0</v>
      </c>
      <c r="Z257" s="135"/>
      <c r="AA257" s="135"/>
      <c r="AB257" s="135"/>
      <c r="AC257" s="135"/>
      <c r="AD257" s="135"/>
      <c r="AE257" s="152"/>
      <c r="AF257" s="152"/>
      <c r="AG257" s="152"/>
      <c r="AH257" s="152"/>
      <c r="AI257" s="152"/>
      <c r="AJ257" s="61" t="str">
        <f t="shared" si="88"/>
        <v/>
      </c>
      <c r="AK257" s="61" t="str">
        <f t="shared" si="89"/>
        <v/>
      </c>
      <c r="AL257" s="61" t="str">
        <f t="shared" si="90"/>
        <v/>
      </c>
      <c r="AM257" s="154"/>
      <c r="AN257" s="61" t="str">
        <f t="shared" si="91"/>
        <v/>
      </c>
      <c r="AO257" s="152"/>
      <c r="AP257" s="152"/>
      <c r="AQ257" s="152"/>
      <c r="AR257" s="416">
        <f>(IF(INDEX('M04-S07'!$AO$16:$AO$198,2*(ROWS($O$248:O257)-1)+1)=INDEX('M04-S07'!$AZ$16:$AZ$198,2*(ROWS($O$248:O257)-1)+1),0,(INDEX('M04-S07'!$AY$16:$AY$198,2*(ROWS($O$248:O257)-1)+1)-INDEX('M04-S07'!$AZ$16:$AZ$198,2*(ROWS($O$248:O257)-1)+1))))*INCENTCAPADJ</f>
        <v>0</v>
      </c>
    </row>
    <row r="258" spans="1:44" x14ac:dyDescent="0.25">
      <c r="A258" s="417" t="str">
        <f>CONCATENATE(MAIN5," ",M5S1)</f>
        <v>CUSTOM MEASURES HVAC</v>
      </c>
      <c r="B258" s="210"/>
      <c r="C258" s="210"/>
      <c r="D258" s="178"/>
      <c r="E258" s="178"/>
      <c r="F258" s="179"/>
      <c r="G258" s="178"/>
      <c r="H258" s="180"/>
      <c r="I258" s="180"/>
      <c r="J258" s="180"/>
      <c r="K258" s="178"/>
      <c r="L258" s="179"/>
      <c r="M258" s="179"/>
      <c r="N258" s="192"/>
      <c r="O258" s="180"/>
      <c r="P258" s="179"/>
      <c r="Q258" s="192"/>
      <c r="R258" s="178"/>
      <c r="S258" s="181"/>
      <c r="T258" s="181"/>
      <c r="U258" s="179"/>
      <c r="V258" s="178"/>
      <c r="W258" s="182"/>
      <c r="X258" s="178"/>
      <c r="Y258" s="178"/>
      <c r="Z258" s="178"/>
      <c r="AA258" s="178"/>
      <c r="AB258" s="178"/>
      <c r="AC258" s="178"/>
      <c r="AD258" s="178"/>
      <c r="AE258" s="179"/>
      <c r="AF258" s="179"/>
      <c r="AG258" s="179"/>
      <c r="AH258" s="179"/>
      <c r="AI258" s="179"/>
      <c r="AJ258" s="180" t="str">
        <f t="shared" ref="AJ258:AJ270" si="92">IFERROR(O258/M258,"")</f>
        <v/>
      </c>
      <c r="AK258" s="180" t="str">
        <f t="shared" ref="AK258:AK270" si="93">IFERROR(O258/N258,"")</f>
        <v/>
      </c>
      <c r="AL258" s="180" t="str">
        <f t="shared" ref="AL258:AL270" si="94">IFERROR(O258/L258,"")</f>
        <v/>
      </c>
      <c r="AM258" s="180"/>
      <c r="AN258" s="180"/>
      <c r="AO258" s="179"/>
      <c r="AP258" s="179"/>
      <c r="AQ258" s="179"/>
      <c r="AR258" s="412"/>
    </row>
    <row r="259" spans="1:44" x14ac:dyDescent="0.25">
      <c r="A259" s="66">
        <f t="shared" ref="A259:A280" si="95">PROJID</f>
        <v>0</v>
      </c>
      <c r="B259" s="66" t="str">
        <f>IF(C259="","",CONCATENATE(ROW(),"-",C259))</f>
        <v/>
      </c>
      <c r="C259" s="66" t="str">
        <f>IFERROR(IF(J259&gt;0,INDEX('M05-S01'!$AY$16:$AY$198,2*(ROWS($C$259:C259)-1)+1),""),"")</f>
        <v/>
      </c>
      <c r="D259" t="s">
        <v>212</v>
      </c>
      <c r="E259" t="str" cm="1">
        <f t="array" ref="E259">IFERROR(IF(INDEX('M05-S01'!$AW$16:$AW$198,2*(ROWS($E$259:E259)-1)+1)="Grow Cond.", "Process",INDEX('M05-S01'!$AW$16:$AW$198,2*(ROWS($E$259:E259)-1)+1)),"")</f>
        <v/>
      </c>
      <c r="F259" s="152"/>
      <c r="G259" s="135"/>
      <c r="H259" s="61">
        <f>INDEX('M05-S01'!$AD$16:$AD$198,2*(ROWS($H$259:H259)-1)+1)</f>
        <v>0</v>
      </c>
      <c r="I259" s="61">
        <f>INDEX('M05-S01'!$AF$16:$AF$198,2*(ROWS($I$259:I259)-1)+1)</f>
        <v>0</v>
      </c>
      <c r="J259" s="61" t="str">
        <f>INDEX('M05-S01'!$AH$16:$AH$198,2*(ROWS($J$259:J259)-1)+1)</f>
        <v/>
      </c>
      <c r="K259" t="str">
        <f>IFERROR(INDEX(CMEHVAC[Cost Basis],MATCH(INDEX('M05-S01'!$F$16:$F$198,2*(ROWS($K$259:K259)-1)+1),CMEHVAC[Proj Desc 1],0)),"")</f>
        <v/>
      </c>
      <c r="L259" s="151">
        <f>IF(ISNUMBER(INDEX('M05-S01'!$AK$16:$AK$198,2*(ROWS($O$259:O259)-1)+1)),INDEX('M05-S01'!$Z$16:$Z$198,2*(ROWS($L$259:L259)-1)+1),0)</f>
        <v>0</v>
      </c>
      <c r="M259" s="151">
        <f>IFERROR(IF(ISNUMBER(INDEX('M05-S01'!$AK$16:$AK$198,2*(ROWS($O$259:O259)-1)+1)),INDEX('M05-S01'!$AO$16:$AO$198,2*(ROWS($M$259:M259)-1)+1),0),"")</f>
        <v>0</v>
      </c>
      <c r="N259" s="189">
        <f>IFERROR(IF(ISNUMBER(INDEX('M05-S01'!$AK$16:$AK$198,2*(ROWS($O$259:O259)-1)+1)),INDEX('M05-S01'!$AV$16:$AV$198,2*(ROWS($N$259:N259)-1)+1),0),"")</f>
        <v>0</v>
      </c>
      <c r="O259" s="61">
        <f>IF(ISNUMBER(INDEX('M05-S01'!$AK$16:$AK$198,2*(ROWS($O$259:O259)-1)+1)),INDEX('M05-S01'!$AK$16:$AK$198,2*(ROWS($O$259:O259)-1)+1),0)</f>
        <v>0</v>
      </c>
      <c r="P259" s="151" t="str">
        <f>IFERROR(IF(NOT(ISNUMBER(INDEX('M05-S01'!$AK$16:$AK$198,2*(ROWS($O259:O$259)-1)+1))),INDEX('M05-S01'!$AO$16:$AO$198,2*(ROWS($O$259:O259)-1)+1),0),"")</f>
        <v/>
      </c>
      <c r="Q259" s="189" t="str">
        <f>IFERROR(IF(NOT(ISNUMBER(INDEX('M05-S01'!$AK$16:$AK$198,2*(ROWS($O$259:O259)-1)+1))),INDEX('M05-S01'!$AV$16:$AV$198,2*(ROWS($O$259:O259)-1)+1),0),"")</f>
        <v/>
      </c>
      <c r="R259" t="str">
        <f>IFERROR(IF(NOT(ISNUMBER(INDEX('M05-S01'!$AK$16:$AK$198,2*(ROWS($O$259:O259)-1)+1))),INDEX(SPILLOVER[Spillover Reason],MATCH(INDEX('M05-S01'!$BC$16:$BC$198,2*(ROWS($O$259:O259)-1)+1),SPILLOVER[Spillover Text],0)),""),"")</f>
        <v>Not Eligible</v>
      </c>
      <c r="S259" s="157"/>
      <c r="T259" s="157"/>
      <c r="U259" s="151">
        <f>INDEX('M05-S01'!$B$16:$B$198,2*(ROWS($U$259:U259)-1)+1)</f>
        <v>1</v>
      </c>
      <c r="V259" s="135"/>
      <c r="W259" s="58">
        <f>INDEX('M05-S01'!$F$16:$F$198,2*(ROWS($W$259:W259)-1)+1)</f>
        <v>0</v>
      </c>
      <c r="X259">
        <f>INDEX('M05-S01'!$M$16:$M$198,2*(ROWS($X$259:X259)-1)+1)</f>
        <v>0</v>
      </c>
      <c r="Y259">
        <f>INDEX('M05-S01'!$U$16:$U$198,2*(ROWS($Y$259:Y259)-1)+1)</f>
        <v>0</v>
      </c>
      <c r="Z259" s="135"/>
      <c r="AA259" s="135"/>
      <c r="AB259" s="135"/>
      <c r="AC259" s="135"/>
      <c r="AD259" s="135"/>
      <c r="AE259" s="151">
        <f>IF(NOT(ISNUMBER(INDEX('M05-S01'!$AK$16:$AK$198,2*(ROWS($O$259:O259)-1)+1))),INDEX('M05-S01'!$Z$16:$Z$198,2*(ROWS($L$259:L259)-1)+1),0)</f>
        <v>0</v>
      </c>
      <c r="AF259" s="151">
        <f>INDEX('M05-S01'!$S$16:$S$198,2*(ROWS($AF$259:AF259)-1)+1)*INDEX('M05-S01'!$Q$16:$Q$198,2*(ROWS($AF$259:AF259)-1)+1)</f>
        <v>0</v>
      </c>
      <c r="AG259" s="151">
        <f>INDEX('M05-S01'!$AB$16:$AB$198,2*(ROWS($AG$259:AG259)-1)+1)*INDEX('M05-S01'!$Z$16:$Z$198,2*(ROWS($AG$259:AG259)-1)+1)</f>
        <v>0</v>
      </c>
      <c r="AH259" s="151" t="str">
        <f>IFERROR(AF259/AO259,"")</f>
        <v/>
      </c>
      <c r="AI259" s="151" t="str">
        <f>IFERROR(AG259/L259,"")</f>
        <v/>
      </c>
      <c r="AJ259" s="61" t="str">
        <f t="shared" si="92"/>
        <v/>
      </c>
      <c r="AK259" s="61" t="str">
        <f t="shared" si="93"/>
        <v/>
      </c>
      <c r="AL259" s="61" t="str">
        <f t="shared" si="94"/>
        <v/>
      </c>
      <c r="AM259" s="61" t="str">
        <f>INDEX('M05-S01'!$AU$16:$AU$198,2*(ROWS($AM$259:AM259)-1)+1)</f>
        <v/>
      </c>
      <c r="AN259" s="61" t="str">
        <f>INDEX('M05-S01'!$BB$16:$BB$198,2*(ROWS($AN$259:AN259)-1)+1)</f>
        <v/>
      </c>
      <c r="AO259" s="151">
        <f>INDEX('M05-S01'!$Q$16:$Q$198,2*(ROWS($AO$259:AO259)-1)+1)</f>
        <v>0</v>
      </c>
      <c r="AP259" s="152"/>
      <c r="AQ259" s="152"/>
      <c r="AR259" s="416">
        <f>(IF(INDEX('M05-S01'!$AK$16:$AK$198,2*(ROWS($O$259:O259)-1)+1)=INDEX('M05-S01'!$BG$16:$BG$198,2*(ROWS($O$259:O259)-1)+1),0,(INDEX('M05-S01'!$BF$16:$BF$198,2*(ROWS($O$259:O259)-1)+1)-INDEX('M05-S01'!$BG$16:$BG$198,2*(ROWS($O$259:O259)-1)+1))))</f>
        <v>0</v>
      </c>
    </row>
    <row r="260" spans="1:44" x14ac:dyDescent="0.25">
      <c r="A260" s="66">
        <f t="shared" si="95"/>
        <v>0</v>
      </c>
      <c r="B260" s="66" t="str">
        <f t="shared" ref="B260:B268" si="96">IF(C260="","",CONCATENATE(ROW(),"-",C260))</f>
        <v/>
      </c>
      <c r="C260" s="66" t="str">
        <f>IFERROR(IF(J260&gt;0,INDEX('M05-S01'!$AY$16:$AY$198,2*(ROWS($C$259:C260)-1)+1),""),"")</f>
        <v/>
      </c>
      <c r="D260" t="s">
        <v>212</v>
      </c>
      <c r="E260" t="str" cm="1">
        <f t="array" ref="E260">IFERROR(IF(INDEX('M05-S01'!$AW$16:$AW$198,2*(ROWS($E$259:E260)-1)+1)="Grow Cond.", "Process",INDEX('M05-S01'!$AW$16:$AW$198,2*(ROWS($E$259:E260)-1)+1)),"")</f>
        <v/>
      </c>
      <c r="F260" s="152"/>
      <c r="G260" s="135"/>
      <c r="H260" s="61">
        <f>INDEX('M05-S01'!$AD$16:$AD$198,2*(ROWS($H$259:H260)-1)+1)</f>
        <v>0</v>
      </c>
      <c r="I260" s="61">
        <f>INDEX('M05-S01'!$AF$16:$AF$198,2*(ROWS($I$259:I260)-1)+1)</f>
        <v>0</v>
      </c>
      <c r="J260" s="61" t="str">
        <f>INDEX('M05-S01'!$AH$16:$AH$198,2*(ROWS($J$259:J260)-1)+1)</f>
        <v/>
      </c>
      <c r="K260" t="str">
        <f>IFERROR(INDEX(CMEHVAC[Cost Basis],MATCH(INDEX('M05-S01'!$F$16:$F$198,2*(ROWS($K$259:K260)-1)+1),CMEHVAC[Proj Desc 1],0)),"")</f>
        <v/>
      </c>
      <c r="L260" s="151">
        <f>IF(ISNUMBER(INDEX('M05-S01'!$AK$16:$AK$198,2*(ROWS($O$259:O260)-1)+1)),INDEX('M05-S01'!$Z$16:$Z$198,2*(ROWS($L$259:L260)-1)+1),0)</f>
        <v>0</v>
      </c>
      <c r="M260" s="151">
        <f>IFERROR(IF(ISNUMBER(INDEX('M05-S01'!$AK$16:$AK$198,2*(ROWS($O$259:O260)-1)+1)),INDEX('M05-S01'!$AO$16:$AO$198,2*(ROWS($M$259:M260)-1)+1),0),"")</f>
        <v>0</v>
      </c>
      <c r="N260" s="189">
        <f>IFERROR(IF(ISNUMBER(INDEX('M05-S01'!$AK$16:$AK$198,2*(ROWS($O$259:O260)-1)+1)),INDEX('M05-S01'!$AV$16:$AV$198,2*(ROWS($N$259:N260)-1)+1),0),"")</f>
        <v>0</v>
      </c>
      <c r="O260" s="61">
        <f>IF(ISNUMBER(INDEX('M05-S01'!$AK$16:$AK$198,2*(ROWS($O$259:O260)-1)+1)),INDEX('M05-S01'!$AK$16:$AK$198,2*(ROWS($O$259:O260)-1)+1),0)</f>
        <v>0</v>
      </c>
      <c r="P260" s="151" t="str">
        <f>IFERROR(IF(NOT(ISNUMBER(INDEX('M05-S01'!$AK$16:$AK$198,2*(ROWS($O$259:O260)-1)+1))),INDEX('M05-S01'!$AO$16:$AO$198,2*(ROWS($O$259:O260)-1)+1),0),"")</f>
        <v/>
      </c>
      <c r="Q260" s="189" t="str">
        <f>IFERROR(IF(NOT(ISNUMBER(INDEX('M05-S01'!$AK$16:$AK$198,2*(ROWS($O$259:O260)-1)+1))),INDEX('M05-S01'!$AV$16:$AV$198,2*(ROWS($O$259:O260)-1)+1),0),"")</f>
        <v/>
      </c>
      <c r="R260" t="str">
        <f>IFERROR(IF(NOT(ISNUMBER(INDEX('M05-S01'!$AK$16:$AK$198,2*(ROWS($O$259:O260)-1)+1))),INDEX(SPILLOVER[Spillover Reason],MATCH(INDEX('M05-S01'!$BC$16:$BC$198,2*(ROWS($O$259:O260)-1)+1),SPILLOVER[Spillover Text],0)),""),"")</f>
        <v>Not Eligible</v>
      </c>
      <c r="S260" s="157"/>
      <c r="T260" s="157"/>
      <c r="U260" s="151">
        <f>INDEX('M05-S01'!$B$16:$B$198,2*(ROWS($U$259:U260)-1)+1)</f>
        <v>2</v>
      </c>
      <c r="V260" s="135"/>
      <c r="W260" s="58">
        <f>INDEX('M05-S01'!$F$16:$F$198,2*(ROWS($W$259:W260)-1)+1)</f>
        <v>0</v>
      </c>
      <c r="X260">
        <f>INDEX('M05-S01'!$M$16:$M$198,2*(ROWS($X$259:X260)-1)+1)</f>
        <v>0</v>
      </c>
      <c r="Y260">
        <f>INDEX('M05-S01'!$U$16:$U$198,2*(ROWS($Y$259:Y260)-1)+1)</f>
        <v>0</v>
      </c>
      <c r="Z260" s="135"/>
      <c r="AA260" s="135"/>
      <c r="AB260" s="135"/>
      <c r="AC260" s="135"/>
      <c r="AD260" s="135"/>
      <c r="AE260" s="151">
        <f>IF(NOT(ISNUMBER(INDEX('M05-S01'!$AK$16:$AK$198,2*(ROWS($O$259:O260)-1)+1))),INDEX('M05-S01'!$Z$16:$Z$198,2*(ROWS($L$259:L260)-1)+1),0)</f>
        <v>0</v>
      </c>
      <c r="AF260" s="151">
        <f>INDEX('M05-S01'!$S$16:$S$198,2*(ROWS($AF$259:AF260)-1)+1)*INDEX('M05-S01'!$Q$16:$Q$198,2*(ROWS($AF$259:AF260)-1)+1)</f>
        <v>0</v>
      </c>
      <c r="AG260" s="151">
        <f>INDEX('M05-S01'!$AB$16:$AB$198,2*(ROWS($AG$259:AG260)-1)+1)*INDEX('M05-S01'!$Z$16:$Z$198,2*(ROWS($AG$259:AG260)-1)+1)</f>
        <v>0</v>
      </c>
      <c r="AH260" s="151" t="str">
        <f t="shared" ref="AH260:AH268" si="97">IFERROR(AF260/AO260,"")</f>
        <v/>
      </c>
      <c r="AI260" s="151" t="str">
        <f t="shared" ref="AI260:AI268" si="98">IFERROR(AG260/L260,"")</f>
        <v/>
      </c>
      <c r="AJ260" s="61" t="str">
        <f t="shared" si="92"/>
        <v/>
      </c>
      <c r="AK260" s="61" t="str">
        <f t="shared" si="93"/>
        <v/>
      </c>
      <c r="AL260" s="61" t="str">
        <f t="shared" si="94"/>
        <v/>
      </c>
      <c r="AM260" s="61" t="str">
        <f>INDEX('M05-S01'!$AU$16:$AU$198,2*(ROWS($AM$259:AM260)-1)+1)</f>
        <v/>
      </c>
      <c r="AN260" s="61" t="str">
        <f>INDEX('M05-S01'!$BB$16:$BB$198,2*(ROWS($AN$259:AN260)-1)+1)</f>
        <v/>
      </c>
      <c r="AO260" s="151">
        <f>INDEX('M05-S01'!$Q$16:$Q$198,2*(ROWS($AO$259:AO260)-1)+1)</f>
        <v>0</v>
      </c>
      <c r="AP260" s="152"/>
      <c r="AQ260" s="152"/>
      <c r="AR260" s="416">
        <f>(IF(INDEX('M05-S01'!$AK$16:$AK$198,2*(ROWS($O$259:O260)-1)+1)=INDEX('M05-S01'!$BG$16:$BG$198,2*(ROWS($O$259:O260)-1)+1),0,(INDEX('M05-S01'!$BF$16:$BF$198,2*(ROWS($O$259:O260)-1)+1)-INDEX('M05-S01'!$BG$16:$BG$198,2*(ROWS($O$259:O260)-1)+1))))</f>
        <v>0</v>
      </c>
    </row>
    <row r="261" spans="1:44" x14ac:dyDescent="0.25">
      <c r="A261" s="66">
        <f t="shared" si="95"/>
        <v>0</v>
      </c>
      <c r="B261" s="66" t="str">
        <f t="shared" si="96"/>
        <v/>
      </c>
      <c r="C261" s="66" t="str">
        <f>IFERROR(IF(J261&gt;0,INDEX('M05-S01'!$AY$16:$AY$198,2*(ROWS($C$259:C261)-1)+1),""),"")</f>
        <v/>
      </c>
      <c r="D261" t="s">
        <v>212</v>
      </c>
      <c r="E261" t="str" cm="1">
        <f t="array" ref="E261">IFERROR(IF(INDEX('M05-S01'!$AW$16:$AW$198,2*(ROWS($E$259:E261)-1)+1)="Grow Cond.", "Process",INDEX('M05-S01'!$AW$16:$AW$198,2*(ROWS($E$259:E261)-1)+1)),"")</f>
        <v/>
      </c>
      <c r="F261" s="152"/>
      <c r="G261" s="135"/>
      <c r="H261" s="61">
        <f>INDEX('M05-S01'!$AD$16:$AD$198,2*(ROWS($H$259:H261)-1)+1)</f>
        <v>0</v>
      </c>
      <c r="I261" s="61">
        <f>INDEX('M05-S01'!$AF$16:$AF$198,2*(ROWS($I$259:I261)-1)+1)</f>
        <v>0</v>
      </c>
      <c r="J261" s="61" t="str">
        <f>INDEX('M05-S01'!$AH$16:$AH$198,2*(ROWS($J$259:J261)-1)+1)</f>
        <v/>
      </c>
      <c r="K261" t="str">
        <f>IFERROR(INDEX(CMEHVAC[Cost Basis],MATCH(INDEX('M05-S01'!$F$16:$F$198,2*(ROWS($K$259:K261)-1)+1),CMEHVAC[Proj Desc 1],0)),"")</f>
        <v/>
      </c>
      <c r="L261" s="151">
        <f>IF(ISNUMBER(INDEX('M05-S01'!$AK$16:$AK$198,2*(ROWS($O$259:O261)-1)+1)),INDEX('M05-S01'!$Z$16:$Z$198,2*(ROWS($L$259:L261)-1)+1),0)</f>
        <v>0</v>
      </c>
      <c r="M261" s="151">
        <f>IFERROR(IF(ISNUMBER(INDEX('M05-S01'!$AK$16:$AK$198,2*(ROWS($O$259:O261)-1)+1)),INDEX('M05-S01'!$AO$16:$AO$198,2*(ROWS($M$259:M261)-1)+1),0),"")</f>
        <v>0</v>
      </c>
      <c r="N261" s="189">
        <f>IFERROR(IF(ISNUMBER(INDEX('M05-S01'!$AK$16:$AK$198,2*(ROWS($O$259:O261)-1)+1)),INDEX('M05-S01'!$AV$16:$AV$198,2*(ROWS($N$259:N261)-1)+1),0),"")</f>
        <v>0</v>
      </c>
      <c r="O261" s="61">
        <f>IF(ISNUMBER(INDEX('M05-S01'!$AK$16:$AK$198,2*(ROWS($O$259:O261)-1)+1)),INDEX('M05-S01'!$AK$16:$AK$198,2*(ROWS($O$259:O261)-1)+1),0)</f>
        <v>0</v>
      </c>
      <c r="P261" s="151" t="str">
        <f>IFERROR(IF(NOT(ISNUMBER(INDEX('M05-S01'!$AK$16:$AK$198,2*(ROWS($O$259:O261)-1)+1))),INDEX('M05-S01'!$AO$16:$AO$198,2*(ROWS($O$259:O261)-1)+1),0),"")</f>
        <v/>
      </c>
      <c r="Q261" s="189" t="str">
        <f>IFERROR(IF(NOT(ISNUMBER(INDEX('M05-S01'!$AK$16:$AK$198,2*(ROWS($O$259:O261)-1)+1))),INDEX('M05-S01'!$AV$16:$AV$198,2*(ROWS($O$259:O261)-1)+1),0),"")</f>
        <v/>
      </c>
      <c r="R261" t="str">
        <f>IFERROR(IF(NOT(ISNUMBER(INDEX('M05-S01'!$AK$16:$AK$198,2*(ROWS($O$259:O261)-1)+1))),INDEX(SPILLOVER[Spillover Reason],MATCH(INDEX('M05-S01'!$BC$16:$BC$198,2*(ROWS($O$259:O261)-1)+1),SPILLOVER[Spillover Text],0)),""),"")</f>
        <v>Not Eligible</v>
      </c>
      <c r="S261" s="157"/>
      <c r="T261" s="157"/>
      <c r="U261" s="151">
        <f>INDEX('M05-S01'!$B$16:$B$198,2*(ROWS($U$259:U261)-1)+1)</f>
        <v>3</v>
      </c>
      <c r="V261" s="135"/>
      <c r="W261" s="58">
        <f>INDEX('M05-S01'!$F$16:$F$198,2*(ROWS($W$259:W261)-1)+1)</f>
        <v>0</v>
      </c>
      <c r="X261">
        <f>INDEX('M05-S01'!$M$16:$M$198,2*(ROWS($X$259:X261)-1)+1)</f>
        <v>0</v>
      </c>
      <c r="Y261">
        <f>INDEX('M05-S01'!$U$16:$U$198,2*(ROWS($Y$259:Y261)-1)+1)</f>
        <v>0</v>
      </c>
      <c r="Z261" s="135"/>
      <c r="AA261" s="135"/>
      <c r="AB261" s="135"/>
      <c r="AC261" s="135"/>
      <c r="AD261" s="135"/>
      <c r="AE261" s="151">
        <f>IF(NOT(ISNUMBER(INDEX('M05-S01'!$AK$16:$AK$198,2*(ROWS($O$259:O261)-1)+1))),INDEX('M05-S01'!$Z$16:$Z$198,2*(ROWS($L$259:L261)-1)+1),0)</f>
        <v>0</v>
      </c>
      <c r="AF261" s="151">
        <f>INDEX('M05-S01'!$S$16:$S$198,2*(ROWS($AF$259:AF261)-1)+1)*INDEX('M05-S01'!$Q$16:$Q$198,2*(ROWS($AF$259:AF261)-1)+1)</f>
        <v>0</v>
      </c>
      <c r="AG261" s="151">
        <f>INDEX('M05-S01'!$AB$16:$AB$198,2*(ROWS($AG$259:AG261)-1)+1)*INDEX('M05-S01'!$Z$16:$Z$198,2*(ROWS($AG$259:AG261)-1)+1)</f>
        <v>0</v>
      </c>
      <c r="AH261" s="151" t="str">
        <f t="shared" si="97"/>
        <v/>
      </c>
      <c r="AI261" s="151" t="str">
        <f t="shared" si="98"/>
        <v/>
      </c>
      <c r="AJ261" s="61" t="str">
        <f t="shared" si="92"/>
        <v/>
      </c>
      <c r="AK261" s="61" t="str">
        <f t="shared" si="93"/>
        <v/>
      </c>
      <c r="AL261" s="61" t="str">
        <f t="shared" si="94"/>
        <v/>
      </c>
      <c r="AM261" s="61" t="str">
        <f>INDEX('M05-S01'!$AU$16:$AU$198,2*(ROWS($AM$259:AM261)-1)+1)</f>
        <v/>
      </c>
      <c r="AN261" s="61" t="str">
        <f>INDEX('M05-S01'!$BB$16:$BB$198,2*(ROWS($AN$259:AN261)-1)+1)</f>
        <v/>
      </c>
      <c r="AO261" s="151">
        <f>INDEX('M05-S01'!$Q$16:$Q$198,2*(ROWS($AO$259:AO261)-1)+1)</f>
        <v>0</v>
      </c>
      <c r="AP261" s="152"/>
      <c r="AQ261" s="152"/>
      <c r="AR261" s="416">
        <f>(IF(INDEX('M05-S01'!$AK$16:$AK$198,2*(ROWS($O$259:O261)-1)+1)=INDEX('M05-S01'!$BG$16:$BG$198,2*(ROWS($O$259:O261)-1)+1),0,(INDEX('M05-S01'!$BF$16:$BF$198,2*(ROWS($O$259:O261)-1)+1)-INDEX('M05-S01'!$BG$16:$BG$198,2*(ROWS($O$259:O261)-1)+1))))</f>
        <v>0</v>
      </c>
    </row>
    <row r="262" spans="1:44" x14ac:dyDescent="0.25">
      <c r="A262" s="66">
        <f t="shared" si="95"/>
        <v>0</v>
      </c>
      <c r="B262" s="66" t="str">
        <f t="shared" si="96"/>
        <v/>
      </c>
      <c r="C262" s="66" t="str">
        <f>IFERROR(IF(J262&gt;0,INDEX('M05-S01'!$AY$16:$AY$198,2*(ROWS($C$259:C262)-1)+1),""),"")</f>
        <v/>
      </c>
      <c r="D262" t="s">
        <v>212</v>
      </c>
      <c r="E262" t="str" cm="1">
        <f t="array" ref="E262">IFERROR(IF(INDEX('M05-S01'!$AW$16:$AW$198,2*(ROWS($E$259:E262)-1)+1)="Grow Cond.", "Process",INDEX('M05-S01'!$AW$16:$AW$198,2*(ROWS($E$259:E262)-1)+1)),"")</f>
        <v/>
      </c>
      <c r="F262" s="152"/>
      <c r="G262" s="135"/>
      <c r="H262" s="61">
        <f>INDEX('M05-S01'!$AD$16:$AD$198,2*(ROWS($H$259:H262)-1)+1)</f>
        <v>0</v>
      </c>
      <c r="I262" s="61">
        <f>INDEX('M05-S01'!$AF$16:$AF$198,2*(ROWS($I$259:I262)-1)+1)</f>
        <v>0</v>
      </c>
      <c r="J262" s="61" t="str">
        <f>INDEX('M05-S01'!$AH$16:$AH$198,2*(ROWS($J$259:J262)-1)+1)</f>
        <v/>
      </c>
      <c r="K262" t="str">
        <f>IFERROR(INDEX(CMEHVAC[Cost Basis],MATCH(INDEX('M05-S01'!$F$16:$F$198,2*(ROWS($K$259:K262)-1)+1),CMEHVAC[Proj Desc 1],0)),"")</f>
        <v/>
      </c>
      <c r="L262" s="151">
        <f>IF(ISNUMBER(INDEX('M05-S01'!$AK$16:$AK$198,2*(ROWS($O$259:O262)-1)+1)),INDEX('M05-S01'!$Z$16:$Z$198,2*(ROWS($L$259:L262)-1)+1),0)</f>
        <v>0</v>
      </c>
      <c r="M262" s="151">
        <f>IFERROR(IF(ISNUMBER(INDEX('M05-S01'!$AK$16:$AK$198,2*(ROWS($O$259:O262)-1)+1)),INDEX('M05-S01'!$AO$16:$AO$198,2*(ROWS($M$259:M262)-1)+1),0),"")</f>
        <v>0</v>
      </c>
      <c r="N262" s="189">
        <f>IFERROR(IF(ISNUMBER(INDEX('M05-S01'!$AK$16:$AK$198,2*(ROWS($O$259:O262)-1)+1)),INDEX('M05-S01'!$AV$16:$AV$198,2*(ROWS($N$259:N262)-1)+1),0),"")</f>
        <v>0</v>
      </c>
      <c r="O262" s="61">
        <f>IF(ISNUMBER(INDEX('M05-S01'!$AK$16:$AK$198,2*(ROWS($O$259:O262)-1)+1)),INDEX('M05-S01'!$AK$16:$AK$198,2*(ROWS($O$259:O262)-1)+1),0)</f>
        <v>0</v>
      </c>
      <c r="P262" s="151" t="str">
        <f>IFERROR(IF(NOT(ISNUMBER(INDEX('M05-S01'!$AK$16:$AK$198,2*(ROWS($O$259:O262)-1)+1))),INDEX('M05-S01'!$AO$16:$AO$198,2*(ROWS($O$259:O262)-1)+1),0),"")</f>
        <v/>
      </c>
      <c r="Q262" s="189" t="str">
        <f>IFERROR(IF(NOT(ISNUMBER(INDEX('M05-S01'!$AK$16:$AK$198,2*(ROWS($O$259:O262)-1)+1))),INDEX('M05-S01'!$AV$16:$AV$198,2*(ROWS($O$259:O262)-1)+1),0),"")</f>
        <v/>
      </c>
      <c r="R262" t="str">
        <f>IFERROR(IF(NOT(ISNUMBER(INDEX('M05-S01'!$AK$16:$AK$198,2*(ROWS($O$259:O262)-1)+1))),INDEX(SPILLOVER[Spillover Reason],MATCH(INDEX('M05-S01'!$BC$16:$BC$198,2*(ROWS($O$259:O262)-1)+1),SPILLOVER[Spillover Text],0)),""),"")</f>
        <v>Not Eligible</v>
      </c>
      <c r="S262" s="157"/>
      <c r="T262" s="157"/>
      <c r="U262" s="151">
        <f>INDEX('M05-S01'!$B$16:$B$198,2*(ROWS($U$259:U262)-1)+1)</f>
        <v>4</v>
      </c>
      <c r="V262" s="135"/>
      <c r="W262" s="58">
        <f>INDEX('M05-S01'!$F$16:$F$198,2*(ROWS($W$259:W262)-1)+1)</f>
        <v>0</v>
      </c>
      <c r="X262">
        <f>INDEX('M05-S01'!$M$16:$M$198,2*(ROWS($X$259:X262)-1)+1)</f>
        <v>0</v>
      </c>
      <c r="Y262">
        <f>INDEX('M05-S01'!$U$16:$U$198,2*(ROWS($Y$259:Y262)-1)+1)</f>
        <v>0</v>
      </c>
      <c r="Z262" s="135"/>
      <c r="AA262" s="135"/>
      <c r="AB262" s="135"/>
      <c r="AC262" s="135"/>
      <c r="AD262" s="135"/>
      <c r="AE262" s="151">
        <f>IF(NOT(ISNUMBER(INDEX('M05-S01'!$AK$16:$AK$198,2*(ROWS($O$259:O262)-1)+1))),INDEX('M05-S01'!$Z$16:$Z$198,2*(ROWS($L$259:L262)-1)+1),0)</f>
        <v>0</v>
      </c>
      <c r="AF262" s="151">
        <f>INDEX('M05-S01'!$S$16:$S$198,2*(ROWS($AF$259:AF262)-1)+1)*INDEX('M05-S01'!$Q$16:$Q$198,2*(ROWS($AF$259:AF262)-1)+1)</f>
        <v>0</v>
      </c>
      <c r="AG262" s="151">
        <f>INDEX('M05-S01'!$AB$16:$AB$198,2*(ROWS($AG$259:AG262)-1)+1)*INDEX('M05-S01'!$Z$16:$Z$198,2*(ROWS($AG$259:AG262)-1)+1)</f>
        <v>0</v>
      </c>
      <c r="AH262" s="151" t="str">
        <f t="shared" si="97"/>
        <v/>
      </c>
      <c r="AI262" s="151" t="str">
        <f t="shared" si="98"/>
        <v/>
      </c>
      <c r="AJ262" s="61" t="str">
        <f t="shared" si="92"/>
        <v/>
      </c>
      <c r="AK262" s="61" t="str">
        <f t="shared" si="93"/>
        <v/>
      </c>
      <c r="AL262" s="61" t="str">
        <f t="shared" si="94"/>
        <v/>
      </c>
      <c r="AM262" s="61" t="str">
        <f>INDEX('M05-S01'!$AU$16:$AU$198,2*(ROWS($AM$259:AM262)-1)+1)</f>
        <v/>
      </c>
      <c r="AN262" s="61" t="str">
        <f>INDEX('M05-S01'!$BB$16:$BB$198,2*(ROWS($AN$259:AN262)-1)+1)</f>
        <v/>
      </c>
      <c r="AO262" s="151">
        <f>INDEX('M05-S01'!$Q$16:$Q$198,2*(ROWS($AO$259:AO262)-1)+1)</f>
        <v>0</v>
      </c>
      <c r="AP262" s="152"/>
      <c r="AQ262" s="152"/>
      <c r="AR262" s="416">
        <f>(IF(INDEX('M05-S01'!$AK$16:$AK$198,2*(ROWS($O$259:O262)-1)+1)=INDEX('M05-S01'!$BG$16:$BG$198,2*(ROWS($O$259:O262)-1)+1),0,(INDEX('M05-S01'!$BF$16:$BF$198,2*(ROWS($O$259:O262)-1)+1)-INDEX('M05-S01'!$BG$16:$BG$198,2*(ROWS($O$259:O262)-1)+1))))</f>
        <v>0</v>
      </c>
    </row>
    <row r="263" spans="1:44" x14ac:dyDescent="0.25">
      <c r="A263" s="66">
        <f t="shared" si="95"/>
        <v>0</v>
      </c>
      <c r="B263" s="66" t="str">
        <f t="shared" si="96"/>
        <v/>
      </c>
      <c r="C263" s="66" t="str">
        <f>IFERROR(IF(J263&gt;0,INDEX('M05-S01'!$AY$16:$AY$198,2*(ROWS($C$259:C263)-1)+1),""),"")</f>
        <v/>
      </c>
      <c r="D263" t="s">
        <v>212</v>
      </c>
      <c r="E263" t="str" cm="1">
        <f t="array" ref="E263">IFERROR(IF(INDEX('M05-S01'!$AW$16:$AW$198,2*(ROWS($E$259:E263)-1)+1)="Grow Cond.", "Process",INDEX('M05-S01'!$AW$16:$AW$198,2*(ROWS($E$259:E263)-1)+1)),"")</f>
        <v/>
      </c>
      <c r="F263" s="152"/>
      <c r="G263" s="135"/>
      <c r="H263" s="61">
        <f>INDEX('M05-S01'!$AD$16:$AD$198,2*(ROWS($H$259:H263)-1)+1)</f>
        <v>0</v>
      </c>
      <c r="I263" s="61">
        <f>INDEX('M05-S01'!$AF$16:$AF$198,2*(ROWS($I$259:I263)-1)+1)</f>
        <v>0</v>
      </c>
      <c r="J263" s="61" t="str">
        <f>INDEX('M05-S01'!$AH$16:$AH$198,2*(ROWS($J$259:J263)-1)+1)</f>
        <v/>
      </c>
      <c r="K263" t="str">
        <f>IFERROR(INDEX(CMEHVAC[Cost Basis],MATCH(INDEX('M05-S01'!$F$16:$F$198,2*(ROWS($K$259:K263)-1)+1),CMEHVAC[Proj Desc 1],0)),"")</f>
        <v/>
      </c>
      <c r="L263" s="151">
        <f>IF(ISNUMBER(INDEX('M05-S01'!$AK$16:$AK$198,2*(ROWS($O$259:O263)-1)+1)),INDEX('M05-S01'!$Z$16:$Z$198,2*(ROWS($L$259:L263)-1)+1),0)</f>
        <v>0</v>
      </c>
      <c r="M263" s="151">
        <f>IFERROR(IF(ISNUMBER(INDEX('M05-S01'!$AK$16:$AK$198,2*(ROWS($O$259:O263)-1)+1)),INDEX('M05-S01'!$AO$16:$AO$198,2*(ROWS($M$259:M263)-1)+1),0),"")</f>
        <v>0</v>
      </c>
      <c r="N263" s="189">
        <f>IFERROR(IF(ISNUMBER(INDEX('M05-S01'!$AK$16:$AK$198,2*(ROWS($O$259:O263)-1)+1)),INDEX('M05-S01'!$AV$16:$AV$198,2*(ROWS($N$259:N263)-1)+1),0),"")</f>
        <v>0</v>
      </c>
      <c r="O263" s="61">
        <f>IF(ISNUMBER(INDEX('M05-S01'!$AK$16:$AK$198,2*(ROWS($O$259:O263)-1)+1)),INDEX('M05-S01'!$AK$16:$AK$198,2*(ROWS($O$259:O263)-1)+1),0)</f>
        <v>0</v>
      </c>
      <c r="P263" s="151" t="str">
        <f>IFERROR(IF(NOT(ISNUMBER(INDEX('M05-S01'!$AK$16:$AK$198,2*(ROWS($O$259:O263)-1)+1))),INDEX('M05-S01'!$AO$16:$AO$198,2*(ROWS($O$259:O263)-1)+1),0),"")</f>
        <v/>
      </c>
      <c r="Q263" s="189" t="str">
        <f>IFERROR(IF(NOT(ISNUMBER(INDEX('M05-S01'!$AK$16:$AK$198,2*(ROWS($O$259:O263)-1)+1))),INDEX('M05-S01'!$AV$16:$AV$198,2*(ROWS($O$259:O263)-1)+1),0),"")</f>
        <v/>
      </c>
      <c r="R263" t="str">
        <f>IFERROR(IF(NOT(ISNUMBER(INDEX('M05-S01'!$AK$16:$AK$198,2*(ROWS($O$259:O263)-1)+1))),INDEX(SPILLOVER[Spillover Reason],MATCH(INDEX('M05-S01'!$BC$16:$BC$198,2*(ROWS($O$259:O263)-1)+1),SPILLOVER[Spillover Text],0)),""),"")</f>
        <v>Not Eligible</v>
      </c>
      <c r="S263" s="157"/>
      <c r="T263" s="157"/>
      <c r="U263" s="151">
        <f>INDEX('M05-S01'!$B$16:$B$198,2*(ROWS($U$259:U263)-1)+1)</f>
        <v>5</v>
      </c>
      <c r="V263" s="135"/>
      <c r="W263" s="58">
        <f>INDEX('M05-S01'!$F$16:$F$198,2*(ROWS($W$259:W263)-1)+1)</f>
        <v>0</v>
      </c>
      <c r="X263">
        <f>INDEX('M05-S01'!$M$16:$M$198,2*(ROWS($X$259:X263)-1)+1)</f>
        <v>0</v>
      </c>
      <c r="Y263">
        <f>INDEX('M05-S01'!$U$16:$U$198,2*(ROWS($Y$259:Y263)-1)+1)</f>
        <v>0</v>
      </c>
      <c r="Z263" s="135"/>
      <c r="AA263" s="135"/>
      <c r="AB263" s="135"/>
      <c r="AC263" s="135"/>
      <c r="AD263" s="135"/>
      <c r="AE263" s="151">
        <f>IF(NOT(ISNUMBER(INDEX('M05-S01'!$AK$16:$AK$198,2*(ROWS($O$259:O263)-1)+1))),INDEX('M05-S01'!$Z$16:$Z$198,2*(ROWS($L$259:L263)-1)+1),0)</f>
        <v>0</v>
      </c>
      <c r="AF263" s="151">
        <f>INDEX('M05-S01'!$S$16:$S$198,2*(ROWS($AF$259:AF263)-1)+1)*INDEX('M05-S01'!$Q$16:$Q$198,2*(ROWS($AF$259:AF263)-1)+1)</f>
        <v>0</v>
      </c>
      <c r="AG263" s="151">
        <f>INDEX('M05-S01'!$AB$16:$AB$198,2*(ROWS($AG$259:AG263)-1)+1)*INDEX('M05-S01'!$Z$16:$Z$198,2*(ROWS($AG$259:AG263)-1)+1)</f>
        <v>0</v>
      </c>
      <c r="AH263" s="151" t="str">
        <f t="shared" si="97"/>
        <v/>
      </c>
      <c r="AI263" s="151" t="str">
        <f t="shared" si="98"/>
        <v/>
      </c>
      <c r="AJ263" s="61" t="str">
        <f t="shared" si="92"/>
        <v/>
      </c>
      <c r="AK263" s="61" t="str">
        <f t="shared" si="93"/>
        <v/>
      </c>
      <c r="AL263" s="61" t="str">
        <f t="shared" si="94"/>
        <v/>
      </c>
      <c r="AM263" s="61" t="str">
        <f>INDEX('M05-S01'!$AU$16:$AU$198,2*(ROWS($AM$259:AM263)-1)+1)</f>
        <v/>
      </c>
      <c r="AN263" s="61" t="str">
        <f>INDEX('M05-S01'!$BB$16:$BB$198,2*(ROWS($AN$259:AN263)-1)+1)</f>
        <v/>
      </c>
      <c r="AO263" s="151">
        <f>INDEX('M05-S01'!$Q$16:$Q$198,2*(ROWS($AO$259:AO263)-1)+1)</f>
        <v>0</v>
      </c>
      <c r="AP263" s="152"/>
      <c r="AQ263" s="152"/>
      <c r="AR263" s="416">
        <f>(IF(INDEX('M05-S01'!$AK$16:$AK$198,2*(ROWS($O$259:O263)-1)+1)=INDEX('M05-S01'!$BG$16:$BG$198,2*(ROWS($O$259:O263)-1)+1),0,(INDEX('M05-S01'!$BF$16:$BF$198,2*(ROWS($O$259:O263)-1)+1)-INDEX('M05-S01'!$BG$16:$BG$198,2*(ROWS($O$259:O263)-1)+1))))</f>
        <v>0</v>
      </c>
    </row>
    <row r="264" spans="1:44" x14ac:dyDescent="0.25">
      <c r="A264" s="66">
        <f t="shared" si="95"/>
        <v>0</v>
      </c>
      <c r="B264" s="66" t="str">
        <f t="shared" si="96"/>
        <v/>
      </c>
      <c r="C264" s="66" t="str">
        <f>IFERROR(IF(J264&gt;0,INDEX('M05-S01'!$AY$16:$AY$198,2*(ROWS($C$259:C264)-1)+1),""),"")</f>
        <v/>
      </c>
      <c r="D264" t="s">
        <v>212</v>
      </c>
      <c r="E264" t="str" cm="1">
        <f t="array" ref="E264">IFERROR(IF(INDEX('M05-S01'!$AW$16:$AW$198,2*(ROWS($E$259:E264)-1)+1)="Grow Cond.", "Process",INDEX('M05-S01'!$AW$16:$AW$198,2*(ROWS($E$259:E264)-1)+1)),"")</f>
        <v/>
      </c>
      <c r="F264" s="152"/>
      <c r="G264" s="135"/>
      <c r="H264" s="61">
        <f>INDEX('M05-S01'!$AD$16:$AD$198,2*(ROWS($H$259:H264)-1)+1)</f>
        <v>0</v>
      </c>
      <c r="I264" s="61">
        <f>INDEX('M05-S01'!$AF$16:$AF$198,2*(ROWS($I$259:I264)-1)+1)</f>
        <v>0</v>
      </c>
      <c r="J264" s="61" t="str">
        <f>INDEX('M05-S01'!$AH$16:$AH$198,2*(ROWS($J$259:J264)-1)+1)</f>
        <v/>
      </c>
      <c r="K264" t="str">
        <f>IFERROR(INDEX(CMEHVAC[Cost Basis],MATCH(INDEX('M05-S01'!$F$16:$F$198,2*(ROWS($K$259:K264)-1)+1),CMEHVAC[Proj Desc 1],0)),"")</f>
        <v/>
      </c>
      <c r="L264" s="151">
        <f>IF(ISNUMBER(INDEX('M05-S01'!$AK$16:$AK$198,2*(ROWS($O$259:O264)-1)+1)),INDEX('M05-S01'!$Z$16:$Z$198,2*(ROWS($L$259:L264)-1)+1),0)</f>
        <v>0</v>
      </c>
      <c r="M264" s="151">
        <f>IFERROR(IF(ISNUMBER(INDEX('M05-S01'!$AK$16:$AK$198,2*(ROWS($O$259:O264)-1)+1)),INDEX('M05-S01'!$AO$16:$AO$198,2*(ROWS($M$259:M264)-1)+1),0),"")</f>
        <v>0</v>
      </c>
      <c r="N264" s="189">
        <f>IFERROR(IF(ISNUMBER(INDEX('M05-S01'!$AK$16:$AK$198,2*(ROWS($O$259:O264)-1)+1)),INDEX('M05-S01'!$AV$16:$AV$198,2*(ROWS($N$259:N264)-1)+1),0),"")</f>
        <v>0</v>
      </c>
      <c r="O264" s="61">
        <f>IF(ISNUMBER(INDEX('M05-S01'!$AK$16:$AK$198,2*(ROWS($O$259:O264)-1)+1)),INDEX('M05-S01'!$AK$16:$AK$198,2*(ROWS($O$259:O264)-1)+1),0)</f>
        <v>0</v>
      </c>
      <c r="P264" s="151" t="str">
        <f>IFERROR(IF(NOT(ISNUMBER(INDEX('M05-S01'!$AK$16:$AK$198,2*(ROWS($O$259:O264)-1)+1))),INDEX('M05-S01'!$AO$16:$AO$198,2*(ROWS($O$259:O264)-1)+1),0),"")</f>
        <v/>
      </c>
      <c r="Q264" s="189" t="str">
        <f>IFERROR(IF(NOT(ISNUMBER(INDEX('M05-S01'!$AK$16:$AK$198,2*(ROWS($O$259:O264)-1)+1))),INDEX('M05-S01'!$AV$16:$AV$198,2*(ROWS($O$259:O264)-1)+1),0),"")</f>
        <v/>
      </c>
      <c r="R264" t="str">
        <f>IFERROR(IF(NOT(ISNUMBER(INDEX('M05-S01'!$AK$16:$AK$198,2*(ROWS($O$259:O264)-1)+1))),INDEX(SPILLOVER[Spillover Reason],MATCH(INDEX('M05-S01'!$BC$16:$BC$198,2*(ROWS($O$259:O264)-1)+1),SPILLOVER[Spillover Text],0)),""),"")</f>
        <v>Not Eligible</v>
      </c>
      <c r="S264" s="157"/>
      <c r="T264" s="157"/>
      <c r="U264" s="151">
        <f>INDEX('M05-S01'!$B$16:$B$198,2*(ROWS($U$259:U264)-1)+1)</f>
        <v>6</v>
      </c>
      <c r="V264" s="135"/>
      <c r="W264" s="58">
        <f>INDEX('M05-S01'!$F$16:$F$198,2*(ROWS($W$259:W264)-1)+1)</f>
        <v>0</v>
      </c>
      <c r="X264">
        <f>INDEX('M05-S01'!$M$16:$M$198,2*(ROWS($X$259:X264)-1)+1)</f>
        <v>0</v>
      </c>
      <c r="Y264">
        <f>INDEX('M05-S01'!$U$16:$U$198,2*(ROWS($Y$259:Y264)-1)+1)</f>
        <v>0</v>
      </c>
      <c r="Z264" s="135"/>
      <c r="AA264" s="135"/>
      <c r="AB264" s="135"/>
      <c r="AC264" s="135"/>
      <c r="AD264" s="135"/>
      <c r="AE264" s="151">
        <f>IF(NOT(ISNUMBER(INDEX('M05-S01'!$AK$16:$AK$198,2*(ROWS($O$259:O264)-1)+1))),INDEX('M05-S01'!$Z$16:$Z$198,2*(ROWS($L$259:L264)-1)+1),0)</f>
        <v>0</v>
      </c>
      <c r="AF264" s="151">
        <f>INDEX('M05-S01'!$S$16:$S$198,2*(ROWS($AF$259:AF264)-1)+1)*INDEX('M05-S01'!$Q$16:$Q$198,2*(ROWS($AF$259:AF264)-1)+1)</f>
        <v>0</v>
      </c>
      <c r="AG264" s="151">
        <f>INDEX('M05-S01'!$AB$16:$AB$198,2*(ROWS($AG$259:AG264)-1)+1)*INDEX('M05-S01'!$Z$16:$Z$198,2*(ROWS($AG$259:AG264)-1)+1)</f>
        <v>0</v>
      </c>
      <c r="AH264" s="151" t="str">
        <f t="shared" si="97"/>
        <v/>
      </c>
      <c r="AI264" s="151" t="str">
        <f t="shared" si="98"/>
        <v/>
      </c>
      <c r="AJ264" s="61" t="str">
        <f t="shared" si="92"/>
        <v/>
      </c>
      <c r="AK264" s="61" t="str">
        <f t="shared" si="93"/>
        <v/>
      </c>
      <c r="AL264" s="61" t="str">
        <f t="shared" si="94"/>
        <v/>
      </c>
      <c r="AM264" s="61" t="str">
        <f>INDEX('M05-S01'!$AU$16:$AU$198,2*(ROWS($AM$259:AM264)-1)+1)</f>
        <v/>
      </c>
      <c r="AN264" s="61" t="str">
        <f>INDEX('M05-S01'!$BB$16:$BB$198,2*(ROWS($AN$259:AN264)-1)+1)</f>
        <v/>
      </c>
      <c r="AO264" s="151">
        <f>INDEX('M05-S01'!$Q$16:$Q$198,2*(ROWS($AO$259:AO264)-1)+1)</f>
        <v>0</v>
      </c>
      <c r="AP264" s="152"/>
      <c r="AQ264" s="152"/>
      <c r="AR264" s="416">
        <f>(IF(INDEX('M05-S01'!$AK$16:$AK$198,2*(ROWS($O$259:O264)-1)+1)=INDEX('M05-S01'!$BG$16:$BG$198,2*(ROWS($O$259:O264)-1)+1),0,(INDEX('M05-S01'!$BF$16:$BF$198,2*(ROWS($O$259:O264)-1)+1)-INDEX('M05-S01'!$BG$16:$BG$198,2*(ROWS($O$259:O264)-1)+1))))</f>
        <v>0</v>
      </c>
    </row>
    <row r="265" spans="1:44" x14ac:dyDescent="0.25">
      <c r="A265" s="66">
        <f t="shared" si="95"/>
        <v>0</v>
      </c>
      <c r="B265" s="66" t="str">
        <f t="shared" si="96"/>
        <v/>
      </c>
      <c r="C265" s="66" t="str">
        <f>IFERROR(IF(J265&gt;0,INDEX('M05-S01'!$AY$16:$AY$198,2*(ROWS($C$259:C265)-1)+1),""),"")</f>
        <v/>
      </c>
      <c r="D265" t="s">
        <v>212</v>
      </c>
      <c r="E265" t="str" cm="1">
        <f t="array" ref="E265">IFERROR(IF(INDEX('M05-S01'!$AW$16:$AW$198,2*(ROWS($E$259:E265)-1)+1)="Grow Cond.", "Process",INDEX('M05-S01'!$AW$16:$AW$198,2*(ROWS($E$259:E265)-1)+1)),"")</f>
        <v/>
      </c>
      <c r="F265" s="152"/>
      <c r="G265" s="135"/>
      <c r="H265" s="61">
        <f>INDEX('M05-S01'!$AD$16:$AD$198,2*(ROWS($H$259:H265)-1)+1)</f>
        <v>0</v>
      </c>
      <c r="I265" s="61">
        <f>INDEX('M05-S01'!$AF$16:$AF$198,2*(ROWS($I$259:I265)-1)+1)</f>
        <v>0</v>
      </c>
      <c r="J265" s="61" t="str">
        <f>INDEX('M05-S01'!$AH$16:$AH$198,2*(ROWS($J$259:J265)-1)+1)</f>
        <v/>
      </c>
      <c r="K265" t="str">
        <f>IFERROR(INDEX(CMEHVAC[Cost Basis],MATCH(INDEX('M05-S01'!$F$16:$F$198,2*(ROWS($K$259:K265)-1)+1),CMEHVAC[Proj Desc 1],0)),"")</f>
        <v/>
      </c>
      <c r="L265" s="151">
        <f>IF(ISNUMBER(INDEX('M05-S01'!$AK$16:$AK$198,2*(ROWS($O$259:O265)-1)+1)),INDEX('M05-S01'!$Z$16:$Z$198,2*(ROWS($L$259:L265)-1)+1),0)</f>
        <v>0</v>
      </c>
      <c r="M265" s="151">
        <f>IFERROR(IF(ISNUMBER(INDEX('M05-S01'!$AK$16:$AK$198,2*(ROWS($O$259:O265)-1)+1)),INDEX('M05-S01'!$AO$16:$AO$198,2*(ROWS($M$259:M265)-1)+1),0),"")</f>
        <v>0</v>
      </c>
      <c r="N265" s="189">
        <f>IFERROR(IF(ISNUMBER(INDEX('M05-S01'!$AK$16:$AK$198,2*(ROWS($O$259:O265)-1)+1)),INDEX('M05-S01'!$AV$16:$AV$198,2*(ROWS($N$259:N265)-1)+1),0),"")</f>
        <v>0</v>
      </c>
      <c r="O265" s="61">
        <f>IF(ISNUMBER(INDEX('M05-S01'!$AK$16:$AK$198,2*(ROWS($O$259:O265)-1)+1)),INDEX('M05-S01'!$AK$16:$AK$198,2*(ROWS($O$259:O265)-1)+1),0)</f>
        <v>0</v>
      </c>
      <c r="P265" s="151" t="str">
        <f>IFERROR(IF(NOT(ISNUMBER(INDEX('M05-S01'!$AK$16:$AK$198,2*(ROWS($O$259:O265)-1)+1))),INDEX('M05-S01'!$AO$16:$AO$198,2*(ROWS($O$259:O265)-1)+1),0),"")</f>
        <v/>
      </c>
      <c r="Q265" s="189" t="str">
        <f>IFERROR(IF(NOT(ISNUMBER(INDEX('M05-S01'!$AK$16:$AK$198,2*(ROWS($O$259:O265)-1)+1))),INDEX('M05-S01'!$AV$16:$AV$198,2*(ROWS($O$259:O265)-1)+1),0),"")</f>
        <v/>
      </c>
      <c r="R265" t="str">
        <f>IFERROR(IF(NOT(ISNUMBER(INDEX('M05-S01'!$AK$16:$AK$198,2*(ROWS($O$259:O265)-1)+1))),INDEX(SPILLOVER[Spillover Reason],MATCH(INDEX('M05-S01'!$BC$16:$BC$198,2*(ROWS($O$259:O265)-1)+1),SPILLOVER[Spillover Text],0)),""),"")</f>
        <v>Not Eligible</v>
      </c>
      <c r="S265" s="157"/>
      <c r="T265" s="157"/>
      <c r="U265" s="151">
        <f>INDEX('M05-S01'!$B$16:$B$198,2*(ROWS($U$259:U265)-1)+1)</f>
        <v>7</v>
      </c>
      <c r="V265" s="135"/>
      <c r="W265" s="58">
        <f>INDEX('M05-S01'!$F$16:$F$198,2*(ROWS($W$259:W265)-1)+1)</f>
        <v>0</v>
      </c>
      <c r="X265">
        <f>INDEX('M05-S01'!$M$16:$M$198,2*(ROWS($X$259:X265)-1)+1)</f>
        <v>0</v>
      </c>
      <c r="Y265">
        <f>INDEX('M05-S01'!$U$16:$U$198,2*(ROWS($Y$259:Y265)-1)+1)</f>
        <v>0</v>
      </c>
      <c r="Z265" s="135"/>
      <c r="AA265" s="135"/>
      <c r="AB265" s="135"/>
      <c r="AC265" s="135"/>
      <c r="AD265" s="135"/>
      <c r="AE265" s="151">
        <f>IF(NOT(ISNUMBER(INDEX('M05-S01'!$AK$16:$AK$198,2*(ROWS($O$259:O265)-1)+1))),INDEX('M05-S01'!$Z$16:$Z$198,2*(ROWS($L$259:L265)-1)+1),0)</f>
        <v>0</v>
      </c>
      <c r="AF265" s="151">
        <f>INDEX('M05-S01'!$S$16:$S$198,2*(ROWS($AF$259:AF265)-1)+1)*INDEX('M05-S01'!$Q$16:$Q$198,2*(ROWS($AF$259:AF265)-1)+1)</f>
        <v>0</v>
      </c>
      <c r="AG265" s="151">
        <f>INDEX('M05-S01'!$AB$16:$AB$198,2*(ROWS($AG$259:AG265)-1)+1)*INDEX('M05-S01'!$Z$16:$Z$198,2*(ROWS($AG$259:AG265)-1)+1)</f>
        <v>0</v>
      </c>
      <c r="AH265" s="151" t="str">
        <f t="shared" si="97"/>
        <v/>
      </c>
      <c r="AI265" s="151" t="str">
        <f t="shared" si="98"/>
        <v/>
      </c>
      <c r="AJ265" s="61" t="str">
        <f t="shared" si="92"/>
        <v/>
      </c>
      <c r="AK265" s="61" t="str">
        <f t="shared" si="93"/>
        <v/>
      </c>
      <c r="AL265" s="61" t="str">
        <f t="shared" si="94"/>
        <v/>
      </c>
      <c r="AM265" s="61" t="str">
        <f>INDEX('M05-S01'!$AU$16:$AU$198,2*(ROWS($AM$259:AM265)-1)+1)</f>
        <v/>
      </c>
      <c r="AN265" s="61" t="str">
        <f>INDEX('M05-S01'!$BB$16:$BB$198,2*(ROWS($AN$259:AN265)-1)+1)</f>
        <v/>
      </c>
      <c r="AO265" s="151">
        <f>INDEX('M05-S01'!$Q$16:$Q$198,2*(ROWS($AO$259:AO265)-1)+1)</f>
        <v>0</v>
      </c>
      <c r="AP265" s="152"/>
      <c r="AQ265" s="152"/>
      <c r="AR265" s="416">
        <f>(IF(INDEX('M05-S01'!$AK$16:$AK$198,2*(ROWS($O$259:O265)-1)+1)=INDEX('M05-S01'!$BG$16:$BG$198,2*(ROWS($O$259:O265)-1)+1),0,(INDEX('M05-S01'!$BF$16:$BF$198,2*(ROWS($O$259:O265)-1)+1)-INDEX('M05-S01'!$BG$16:$BG$198,2*(ROWS($O$259:O265)-1)+1))))</f>
        <v>0</v>
      </c>
    </row>
    <row r="266" spans="1:44" x14ac:dyDescent="0.25">
      <c r="A266" s="66">
        <f t="shared" si="95"/>
        <v>0</v>
      </c>
      <c r="B266" s="66" t="str">
        <f t="shared" si="96"/>
        <v/>
      </c>
      <c r="C266" s="66" t="str">
        <f>IFERROR(IF(J266&gt;0,INDEX('M05-S01'!$AY$16:$AY$198,2*(ROWS($C$259:C266)-1)+1),""),"")</f>
        <v/>
      </c>
      <c r="D266" t="s">
        <v>212</v>
      </c>
      <c r="E266" t="str" cm="1">
        <f t="array" ref="E266">IFERROR(IF(INDEX('M05-S01'!$AW$16:$AW$198,2*(ROWS($E$259:E266)-1)+1)="Grow Cond.", "Process",INDEX('M05-S01'!$AW$16:$AW$198,2*(ROWS($E$259:E266)-1)+1)),"")</f>
        <v/>
      </c>
      <c r="F266" s="152"/>
      <c r="G266" s="135"/>
      <c r="H266" s="61">
        <f>INDEX('M05-S01'!$AD$16:$AD$198,2*(ROWS($H$259:H266)-1)+1)</f>
        <v>0</v>
      </c>
      <c r="I266" s="61">
        <f>INDEX('M05-S01'!$AF$16:$AF$198,2*(ROWS($I$259:I266)-1)+1)</f>
        <v>0</v>
      </c>
      <c r="J266" s="61" t="str">
        <f>INDEX('M05-S01'!$AH$16:$AH$198,2*(ROWS($J$259:J266)-1)+1)</f>
        <v/>
      </c>
      <c r="K266" t="str">
        <f>IFERROR(INDEX(CMEHVAC[Cost Basis],MATCH(INDEX('M05-S01'!$F$16:$F$198,2*(ROWS($K$259:K266)-1)+1),CMEHVAC[Proj Desc 1],0)),"")</f>
        <v/>
      </c>
      <c r="L266" s="151">
        <f>IF(ISNUMBER(INDEX('M05-S01'!$AK$16:$AK$198,2*(ROWS($O$259:O266)-1)+1)),INDEX('M05-S01'!$Z$16:$Z$198,2*(ROWS($L$259:L266)-1)+1),0)</f>
        <v>0</v>
      </c>
      <c r="M266" s="151">
        <f>IFERROR(IF(ISNUMBER(INDEX('M05-S01'!$AK$16:$AK$198,2*(ROWS($O$259:O266)-1)+1)),INDEX('M05-S01'!$AO$16:$AO$198,2*(ROWS($M$259:M266)-1)+1),0),"")</f>
        <v>0</v>
      </c>
      <c r="N266" s="189">
        <f>IFERROR(IF(ISNUMBER(INDEX('M05-S01'!$AK$16:$AK$198,2*(ROWS($O$259:O266)-1)+1)),INDEX('M05-S01'!$AV$16:$AV$198,2*(ROWS($N$259:N266)-1)+1),0),"")</f>
        <v>0</v>
      </c>
      <c r="O266" s="61">
        <f>IF(ISNUMBER(INDEX('M05-S01'!$AK$16:$AK$198,2*(ROWS($O$259:O266)-1)+1)),INDEX('M05-S01'!$AK$16:$AK$198,2*(ROWS($O$259:O266)-1)+1),0)</f>
        <v>0</v>
      </c>
      <c r="P266" s="151" t="str">
        <f>IFERROR(IF(NOT(ISNUMBER(INDEX('M05-S01'!$AK$16:$AK$198,2*(ROWS($O$259:O266)-1)+1))),INDEX('M05-S01'!$AO$16:$AO$198,2*(ROWS($O$259:O266)-1)+1),0),"")</f>
        <v/>
      </c>
      <c r="Q266" s="189" t="str">
        <f>IFERROR(IF(NOT(ISNUMBER(INDEX('M05-S01'!$AK$16:$AK$198,2*(ROWS($O$259:O266)-1)+1))),INDEX('M05-S01'!$AV$16:$AV$198,2*(ROWS($O$259:O266)-1)+1),0),"")</f>
        <v/>
      </c>
      <c r="R266" t="str">
        <f>IFERROR(IF(NOT(ISNUMBER(INDEX('M05-S01'!$AK$16:$AK$198,2*(ROWS($O$259:O266)-1)+1))),INDEX(SPILLOVER[Spillover Reason],MATCH(INDEX('M05-S01'!$BC$16:$BC$198,2*(ROWS($O$259:O266)-1)+1),SPILLOVER[Spillover Text],0)),""),"")</f>
        <v>Not Eligible</v>
      </c>
      <c r="S266" s="157"/>
      <c r="T266" s="157"/>
      <c r="U266" s="151">
        <f>INDEX('M05-S01'!$B$16:$B$198,2*(ROWS($U$259:U266)-1)+1)</f>
        <v>8</v>
      </c>
      <c r="V266" s="135"/>
      <c r="W266" s="58">
        <f>INDEX('M05-S01'!$F$16:$F$198,2*(ROWS($W$259:W266)-1)+1)</f>
        <v>0</v>
      </c>
      <c r="X266">
        <f>INDEX('M05-S01'!$M$16:$M$198,2*(ROWS($X$259:X266)-1)+1)</f>
        <v>0</v>
      </c>
      <c r="Y266">
        <f>INDEX('M05-S01'!$U$16:$U$198,2*(ROWS($Y$259:Y266)-1)+1)</f>
        <v>0</v>
      </c>
      <c r="Z266" s="135"/>
      <c r="AA266" s="135"/>
      <c r="AB266" s="135"/>
      <c r="AC266" s="135"/>
      <c r="AD266" s="135"/>
      <c r="AE266" s="151">
        <f>IF(NOT(ISNUMBER(INDEX('M05-S01'!$AK$16:$AK$198,2*(ROWS($O$259:O266)-1)+1))),INDEX('M05-S01'!$Z$16:$Z$198,2*(ROWS($L$259:L266)-1)+1),0)</f>
        <v>0</v>
      </c>
      <c r="AF266" s="151">
        <f>INDEX('M05-S01'!$S$16:$S$198,2*(ROWS($AF$259:AF266)-1)+1)*INDEX('M05-S01'!$Q$16:$Q$198,2*(ROWS($AF$259:AF266)-1)+1)</f>
        <v>0</v>
      </c>
      <c r="AG266" s="151">
        <f>INDEX('M05-S01'!$AB$16:$AB$198,2*(ROWS($AG$259:AG266)-1)+1)*INDEX('M05-S01'!$Z$16:$Z$198,2*(ROWS($AG$259:AG266)-1)+1)</f>
        <v>0</v>
      </c>
      <c r="AH266" s="151" t="str">
        <f t="shared" si="97"/>
        <v/>
      </c>
      <c r="AI266" s="151" t="str">
        <f t="shared" si="98"/>
        <v/>
      </c>
      <c r="AJ266" s="61" t="str">
        <f t="shared" si="92"/>
        <v/>
      </c>
      <c r="AK266" s="61" t="str">
        <f t="shared" si="93"/>
        <v/>
      </c>
      <c r="AL266" s="61" t="str">
        <f t="shared" si="94"/>
        <v/>
      </c>
      <c r="AM266" s="61" t="str">
        <f>INDEX('M05-S01'!$AU$16:$AU$198,2*(ROWS($AM$259:AM266)-1)+1)</f>
        <v/>
      </c>
      <c r="AN266" s="61" t="str">
        <f>INDEX('M05-S01'!$BB$16:$BB$198,2*(ROWS($AN$259:AN266)-1)+1)</f>
        <v/>
      </c>
      <c r="AO266" s="151">
        <f>INDEX('M05-S01'!$Q$16:$Q$198,2*(ROWS($AO$259:AO266)-1)+1)</f>
        <v>0</v>
      </c>
      <c r="AP266" s="152"/>
      <c r="AQ266" s="152"/>
      <c r="AR266" s="416">
        <f>(IF(INDEX('M05-S01'!$AK$16:$AK$198,2*(ROWS($O$259:O266)-1)+1)=INDEX('M05-S01'!$BG$16:$BG$198,2*(ROWS($O$259:O266)-1)+1),0,(INDEX('M05-S01'!$BF$16:$BF$198,2*(ROWS($O$259:O266)-1)+1)-INDEX('M05-S01'!$BG$16:$BG$198,2*(ROWS($O$259:O266)-1)+1))))</f>
        <v>0</v>
      </c>
    </row>
    <row r="267" spans="1:44" x14ac:dyDescent="0.25">
      <c r="A267" s="66">
        <f t="shared" si="95"/>
        <v>0</v>
      </c>
      <c r="B267" s="66" t="str">
        <f t="shared" si="96"/>
        <v/>
      </c>
      <c r="C267" s="66" t="str">
        <f>IFERROR(IF(J267&gt;0,INDEX('M05-S01'!$AY$16:$AY$198,2*(ROWS($C$259:C267)-1)+1),""),"")</f>
        <v/>
      </c>
      <c r="D267" t="s">
        <v>212</v>
      </c>
      <c r="E267" t="str" cm="1">
        <f t="array" ref="E267">IFERROR(IF(INDEX('M05-S01'!$AW$16:$AW$198,2*(ROWS($E$259:E267)-1)+1)="Grow Cond.", "Process",INDEX('M05-S01'!$AW$16:$AW$198,2*(ROWS($E$259:E267)-1)+1)),"")</f>
        <v/>
      </c>
      <c r="F267" s="152"/>
      <c r="G267" s="135"/>
      <c r="H267" s="61">
        <f>INDEX('M05-S01'!$AD$16:$AD$198,2*(ROWS($H$259:H267)-1)+1)</f>
        <v>0</v>
      </c>
      <c r="I267" s="61">
        <f>INDEX('M05-S01'!$AF$16:$AF$198,2*(ROWS($I$259:I267)-1)+1)</f>
        <v>0</v>
      </c>
      <c r="J267" s="61" t="str">
        <f>INDEX('M05-S01'!$AH$16:$AH$198,2*(ROWS($J$259:J267)-1)+1)</f>
        <v/>
      </c>
      <c r="K267" t="str">
        <f>IFERROR(INDEX(CMEHVAC[Cost Basis],MATCH(INDEX('M05-S01'!$F$16:$F$198,2*(ROWS($K$259:K267)-1)+1),CMEHVAC[Proj Desc 1],0)),"")</f>
        <v/>
      </c>
      <c r="L267" s="151">
        <f>IF(ISNUMBER(INDEX('M05-S01'!$AK$16:$AK$198,2*(ROWS($O$259:O267)-1)+1)),INDEX('M05-S01'!$Z$16:$Z$198,2*(ROWS($L$259:L267)-1)+1),0)</f>
        <v>0</v>
      </c>
      <c r="M267" s="151">
        <f>IFERROR(IF(ISNUMBER(INDEX('M05-S01'!$AK$16:$AK$198,2*(ROWS($O$259:O267)-1)+1)),INDEX('M05-S01'!$AO$16:$AO$198,2*(ROWS($M$259:M267)-1)+1),0),"")</f>
        <v>0</v>
      </c>
      <c r="N267" s="189">
        <f>IFERROR(IF(ISNUMBER(INDEX('M05-S01'!$AK$16:$AK$198,2*(ROWS($O$259:O267)-1)+1)),INDEX('M05-S01'!$AV$16:$AV$198,2*(ROWS($N$259:N267)-1)+1),0),"")</f>
        <v>0</v>
      </c>
      <c r="O267" s="61">
        <f>IF(ISNUMBER(INDEX('M05-S01'!$AK$16:$AK$198,2*(ROWS($O$259:O267)-1)+1)),INDEX('M05-S01'!$AK$16:$AK$198,2*(ROWS($O$259:O267)-1)+1),0)</f>
        <v>0</v>
      </c>
      <c r="P267" s="151" t="str">
        <f>IFERROR(IF(NOT(ISNUMBER(INDEX('M05-S01'!$AK$16:$AK$198,2*(ROWS($O$259:O267)-1)+1))),INDEX('M05-S01'!$AO$16:$AO$198,2*(ROWS($O$259:O267)-1)+1),0),"")</f>
        <v/>
      </c>
      <c r="Q267" s="189" t="str">
        <f>IFERROR(IF(NOT(ISNUMBER(INDEX('M05-S01'!$AK$16:$AK$198,2*(ROWS($O$259:O267)-1)+1))),INDEX('M05-S01'!$AV$16:$AV$198,2*(ROWS($O$259:O267)-1)+1),0),"")</f>
        <v/>
      </c>
      <c r="R267" t="str">
        <f>IFERROR(IF(NOT(ISNUMBER(INDEX('M05-S01'!$AK$16:$AK$198,2*(ROWS($O$259:O267)-1)+1))),INDEX(SPILLOVER[Spillover Reason],MATCH(INDEX('M05-S01'!$BC$16:$BC$198,2*(ROWS($O$259:O267)-1)+1),SPILLOVER[Spillover Text],0)),""),"")</f>
        <v>Not Eligible</v>
      </c>
      <c r="S267" s="157"/>
      <c r="T267" s="157"/>
      <c r="U267" s="151">
        <f>INDEX('M05-S01'!$B$16:$B$198,2*(ROWS($U$259:U267)-1)+1)</f>
        <v>9</v>
      </c>
      <c r="V267" s="135"/>
      <c r="W267" s="58">
        <f>INDEX('M05-S01'!$F$16:$F$198,2*(ROWS($W$259:W267)-1)+1)</f>
        <v>0</v>
      </c>
      <c r="X267">
        <f>INDEX('M05-S01'!$M$16:$M$198,2*(ROWS($X$259:X267)-1)+1)</f>
        <v>0</v>
      </c>
      <c r="Y267">
        <f>INDEX('M05-S01'!$U$16:$U$198,2*(ROWS($Y$259:Y267)-1)+1)</f>
        <v>0</v>
      </c>
      <c r="Z267" s="135"/>
      <c r="AA267" s="135"/>
      <c r="AB267" s="135"/>
      <c r="AC267" s="135"/>
      <c r="AD267" s="135"/>
      <c r="AE267" s="151">
        <f>IF(NOT(ISNUMBER(INDEX('M05-S01'!$AK$16:$AK$198,2*(ROWS($O$259:O267)-1)+1))),INDEX('M05-S01'!$Z$16:$Z$198,2*(ROWS($L$259:L267)-1)+1),0)</f>
        <v>0</v>
      </c>
      <c r="AF267" s="151">
        <f>INDEX('M05-S01'!$S$16:$S$198,2*(ROWS($AF$259:AF267)-1)+1)*INDEX('M05-S01'!$Q$16:$Q$198,2*(ROWS($AF$259:AF267)-1)+1)</f>
        <v>0</v>
      </c>
      <c r="AG267" s="151">
        <f>INDEX('M05-S01'!$AB$16:$AB$198,2*(ROWS($AG$259:AG267)-1)+1)*INDEX('M05-S01'!$Z$16:$Z$198,2*(ROWS($AG$259:AG267)-1)+1)</f>
        <v>0</v>
      </c>
      <c r="AH267" s="151" t="str">
        <f t="shared" si="97"/>
        <v/>
      </c>
      <c r="AI267" s="151" t="str">
        <f t="shared" si="98"/>
        <v/>
      </c>
      <c r="AJ267" s="61" t="str">
        <f t="shared" si="92"/>
        <v/>
      </c>
      <c r="AK267" s="61" t="str">
        <f t="shared" si="93"/>
        <v/>
      </c>
      <c r="AL267" s="61" t="str">
        <f t="shared" si="94"/>
        <v/>
      </c>
      <c r="AM267" s="61" t="str">
        <f>INDEX('M05-S01'!$AU$16:$AU$198,2*(ROWS($AM$259:AM267)-1)+1)</f>
        <v/>
      </c>
      <c r="AN267" s="61" t="str">
        <f>INDEX('M05-S01'!$BB$16:$BB$198,2*(ROWS($AN$259:AN267)-1)+1)</f>
        <v/>
      </c>
      <c r="AO267" s="151">
        <f>INDEX('M05-S01'!$Q$16:$Q$198,2*(ROWS($AO$259:AO267)-1)+1)</f>
        <v>0</v>
      </c>
      <c r="AP267" s="152"/>
      <c r="AQ267" s="152"/>
      <c r="AR267" s="416">
        <f>(IF(INDEX('M05-S01'!$AK$16:$AK$198,2*(ROWS($O$259:O267)-1)+1)=INDEX('M05-S01'!$BG$16:$BG$198,2*(ROWS($O$259:O267)-1)+1),0,(INDEX('M05-S01'!$BF$16:$BF$198,2*(ROWS($O$259:O267)-1)+1)-INDEX('M05-S01'!$BG$16:$BG$198,2*(ROWS($O$259:O267)-1)+1))))</f>
        <v>0</v>
      </c>
    </row>
    <row r="268" spans="1:44" x14ac:dyDescent="0.25">
      <c r="A268" s="66">
        <f t="shared" si="95"/>
        <v>0</v>
      </c>
      <c r="B268" s="66" t="str">
        <f t="shared" si="96"/>
        <v/>
      </c>
      <c r="C268" s="66" t="str">
        <f>IFERROR(IF(J268&gt;0,INDEX('M05-S01'!$AY$16:$AY$198,2*(ROWS($C$259:C268)-1)+1),""),"")</f>
        <v/>
      </c>
      <c r="D268" t="s">
        <v>212</v>
      </c>
      <c r="E268" t="str" cm="1">
        <f t="array" ref="E268">IFERROR(IF(INDEX('M05-S01'!$AW$16:$AW$198,2*(ROWS($E$259:E268)-1)+1)="Grow Cond.", "Process",INDEX('M05-S01'!$AW$16:$AW$198,2*(ROWS($E$259:E268)-1)+1)),"")</f>
        <v/>
      </c>
      <c r="F268" s="152"/>
      <c r="G268" s="135"/>
      <c r="H268" s="61">
        <f>INDEX('M05-S01'!$AD$16:$AD$198,2*(ROWS($H$259:H268)-1)+1)</f>
        <v>0</v>
      </c>
      <c r="I268" s="61">
        <f>INDEX('M05-S01'!$AF$16:$AF$198,2*(ROWS($I$259:I268)-1)+1)</f>
        <v>0</v>
      </c>
      <c r="J268" s="61" t="str">
        <f>INDEX('M05-S01'!$AH$16:$AH$198,2*(ROWS($J$259:J268)-1)+1)</f>
        <v/>
      </c>
      <c r="K268" t="str">
        <f>IFERROR(INDEX(CMEHVAC[Cost Basis],MATCH(INDEX('M05-S01'!$F$16:$F$198,2*(ROWS($K$259:K268)-1)+1),CMEHVAC[Proj Desc 1],0)),"")</f>
        <v/>
      </c>
      <c r="L268" s="151">
        <f>IF(ISNUMBER(INDEX('M05-S01'!$AK$16:$AK$198,2*(ROWS($O$259:O268)-1)+1)),INDEX('M05-S01'!$Z$16:$Z$198,2*(ROWS($L$259:L268)-1)+1),0)</f>
        <v>0</v>
      </c>
      <c r="M268" s="151">
        <f>IFERROR(IF(ISNUMBER(INDEX('M05-S01'!$AK$16:$AK$198,2*(ROWS($O$259:O268)-1)+1)),INDEX('M05-S01'!$AO$16:$AO$198,2*(ROWS($M$259:M268)-1)+1),0),"")</f>
        <v>0</v>
      </c>
      <c r="N268" s="189">
        <f>IFERROR(IF(ISNUMBER(INDEX('M05-S01'!$AK$16:$AK$198,2*(ROWS($O$259:O268)-1)+1)),INDEX('M05-S01'!$AV$16:$AV$198,2*(ROWS($N$259:N268)-1)+1),0),"")</f>
        <v>0</v>
      </c>
      <c r="O268" s="61">
        <f>IF(ISNUMBER(INDEX('M05-S01'!$AK$16:$AK$198,2*(ROWS($O$259:O268)-1)+1)),INDEX('M05-S01'!$AK$16:$AK$198,2*(ROWS($O$259:O268)-1)+1),0)</f>
        <v>0</v>
      </c>
      <c r="P268" s="151" t="str">
        <f>IFERROR(IF(NOT(ISNUMBER(INDEX('M05-S01'!$AK$16:$AK$198,2*(ROWS($O$259:O268)-1)+1))),INDEX('M05-S01'!$AO$16:$AO$198,2*(ROWS($O$259:O268)-1)+1),0),"")</f>
        <v/>
      </c>
      <c r="Q268" s="189" t="str">
        <f>IFERROR(IF(NOT(ISNUMBER(INDEX('M05-S01'!$AK$16:$AK$198,2*(ROWS($O$259:O268)-1)+1))),INDEX('M05-S01'!$AV$16:$AV$198,2*(ROWS($O$259:O268)-1)+1),0),"")</f>
        <v/>
      </c>
      <c r="R268" t="str">
        <f>IFERROR(IF(NOT(ISNUMBER(INDEX('M05-S01'!$AK$16:$AK$198,2*(ROWS($O$259:O268)-1)+1))),INDEX(SPILLOVER[Spillover Reason],MATCH(INDEX('M05-S01'!$BC$16:$BC$198,2*(ROWS($O$259:O268)-1)+1),SPILLOVER[Spillover Text],0)),""),"")</f>
        <v>Not Eligible</v>
      </c>
      <c r="S268" s="157"/>
      <c r="T268" s="157"/>
      <c r="U268" s="151">
        <f>INDEX('M05-S01'!$B$16:$B$198,2*(ROWS($U$259:U268)-1)+1)</f>
        <v>10</v>
      </c>
      <c r="V268" s="135"/>
      <c r="W268" s="58">
        <f>INDEX('M05-S01'!$F$16:$F$198,2*(ROWS($W$259:W268)-1)+1)</f>
        <v>0</v>
      </c>
      <c r="X268">
        <f>INDEX('M05-S01'!$M$16:$M$198,2*(ROWS($X$259:X268)-1)+1)</f>
        <v>0</v>
      </c>
      <c r="Y268">
        <f>INDEX('M05-S01'!$U$16:$U$198,2*(ROWS($Y$259:Y268)-1)+1)</f>
        <v>0</v>
      </c>
      <c r="Z268" s="135"/>
      <c r="AA268" s="135"/>
      <c r="AB268" s="135"/>
      <c r="AC268" s="135"/>
      <c r="AD268" s="135"/>
      <c r="AE268" s="151">
        <f>IF(NOT(ISNUMBER(INDEX('M05-S01'!$AK$16:$AK$198,2*(ROWS($O$259:O268)-1)+1))),INDEX('M05-S01'!$Z$16:$Z$198,2*(ROWS($L$259:L268)-1)+1),0)</f>
        <v>0</v>
      </c>
      <c r="AF268" s="151">
        <f>INDEX('M05-S01'!$S$16:$S$198,2*(ROWS($AF$259:AF268)-1)+1)*INDEX('M05-S01'!$Q$16:$Q$198,2*(ROWS($AF$259:AF268)-1)+1)</f>
        <v>0</v>
      </c>
      <c r="AG268" s="151">
        <f>INDEX('M05-S01'!$AB$16:$AB$198,2*(ROWS($AG$259:AG268)-1)+1)*INDEX('M05-S01'!$Z$16:$Z$198,2*(ROWS($AG$259:AG268)-1)+1)</f>
        <v>0</v>
      </c>
      <c r="AH268" s="151" t="str">
        <f t="shared" si="97"/>
        <v/>
      </c>
      <c r="AI268" s="151" t="str">
        <f t="shared" si="98"/>
        <v/>
      </c>
      <c r="AJ268" s="61" t="str">
        <f t="shared" si="92"/>
        <v/>
      </c>
      <c r="AK268" s="61" t="str">
        <f t="shared" si="93"/>
        <v/>
      </c>
      <c r="AL268" s="61" t="str">
        <f t="shared" si="94"/>
        <v/>
      </c>
      <c r="AM268" s="61" t="str">
        <f>INDEX('M05-S01'!$AU$16:$AU$198,2*(ROWS($AM$259:AM268)-1)+1)</f>
        <v/>
      </c>
      <c r="AN268" s="61" t="str">
        <f>INDEX('M05-S01'!$BB$16:$BB$198,2*(ROWS($AN$259:AN268)-1)+1)</f>
        <v/>
      </c>
      <c r="AO268" s="151">
        <f>INDEX('M05-S01'!$Q$16:$Q$198,2*(ROWS($AO$259:AO268)-1)+1)</f>
        <v>0</v>
      </c>
      <c r="AP268" s="152"/>
      <c r="AQ268" s="152"/>
      <c r="AR268" s="416">
        <f>(IF(INDEX('M05-S01'!$AK$16:$AK$198,2*(ROWS($O$259:O268)-1)+1)=INDEX('M05-S01'!$BG$16:$BG$198,2*(ROWS($O$259:O268)-1)+1),0,(INDEX('M05-S01'!$BF$16:$BF$198,2*(ROWS($O$259:O268)-1)+1)-INDEX('M05-S01'!$BG$16:$BG$198,2*(ROWS($O$259:O268)-1)+1))))</f>
        <v>0</v>
      </c>
    </row>
    <row r="269" spans="1:44" x14ac:dyDescent="0.25">
      <c r="A269" s="417" t="str">
        <f>CONCATENATE(MAIN5," ",M5S2)</f>
        <v>CUSTOM MEASURES Dimming / Daylighting Controls</v>
      </c>
      <c r="B269" s="210"/>
      <c r="C269" s="210"/>
      <c r="D269" s="178"/>
      <c r="E269" s="178"/>
      <c r="F269" s="179"/>
      <c r="G269" s="178"/>
      <c r="H269" s="180"/>
      <c r="I269" s="180"/>
      <c r="J269" s="180"/>
      <c r="K269" s="178"/>
      <c r="L269" s="179"/>
      <c r="M269" s="179"/>
      <c r="N269" s="192"/>
      <c r="O269" s="180"/>
      <c r="P269" s="179"/>
      <c r="Q269" s="192"/>
      <c r="R269" s="178"/>
      <c r="S269" s="181"/>
      <c r="T269" s="181"/>
      <c r="U269" s="179"/>
      <c r="V269" s="178"/>
      <c r="W269" s="182"/>
      <c r="X269" s="178"/>
      <c r="Y269" s="178"/>
      <c r="Z269" s="183"/>
      <c r="AA269" s="178"/>
      <c r="AB269" s="178"/>
      <c r="AC269" s="178"/>
      <c r="AD269" s="178"/>
      <c r="AE269" s="179"/>
      <c r="AF269" s="179"/>
      <c r="AG269" s="179"/>
      <c r="AH269" s="179"/>
      <c r="AI269" s="179"/>
      <c r="AJ269" s="180" t="str">
        <f t="shared" si="92"/>
        <v/>
      </c>
      <c r="AK269" s="180" t="str">
        <f t="shared" si="93"/>
        <v/>
      </c>
      <c r="AL269" s="180" t="str">
        <f t="shared" si="94"/>
        <v/>
      </c>
      <c r="AM269" s="180"/>
      <c r="AN269" s="180"/>
      <c r="AO269" s="179"/>
      <c r="AP269" s="179"/>
      <c r="AQ269" s="179"/>
      <c r="AR269" s="412"/>
    </row>
    <row r="270" spans="1:44" x14ac:dyDescent="0.25">
      <c r="A270" s="66">
        <f t="shared" si="95"/>
        <v>0</v>
      </c>
      <c r="B270" s="66" t="str">
        <f>IF(C270="","",CONCATENATE(ROW(),"-",C270))</f>
        <v/>
      </c>
      <c r="C270" s="66" t="str">
        <f>IFERROR(IF(J270&gt;0,INDEX('M05-S02'!$AY$16:$AY$198,2*(ROWS($C$270:C270)-1)+1),""),"")</f>
        <v/>
      </c>
      <c r="D270" t="s">
        <v>212</v>
      </c>
      <c r="E270" t="str">
        <f>IFERROR(INDEX('M05-S02'!$AW$16:$AW$198,2*(ROWS($E270:E$270)-1)+1),"")</f>
        <v/>
      </c>
      <c r="F270" s="152"/>
      <c r="G270" s="135"/>
      <c r="H270" s="61">
        <f>INDEX('M05-S02'!$AD$16:$AD$198,2*(ROWS($H$270:H270)-1)+1)</f>
        <v>0</v>
      </c>
      <c r="I270" s="61">
        <f>INDEX('M05-S02'!$AF$16:$AF$198,2*(ROWS($I$270:I270)-1)+1)</f>
        <v>0</v>
      </c>
      <c r="J270" s="61" t="str">
        <f>INDEX('M05-S02'!$AH$16:$AH$198,2*(ROWS($J$270:J270)-1)+1)</f>
        <v/>
      </c>
      <c r="K270" t="str">
        <f>IFERROR(INDEX(CMELIGHTCON[Cost Basis],MATCH(INDEX('M05-S02'!$F$16:$F$198,2*(ROWS($K270:K$270)-1)+1),CMELIGHTCON[Proj Desc 1],0)),"")</f>
        <v/>
      </c>
      <c r="L270" s="151">
        <f>IF(ISNUMBER(INDEX('M05-S02'!$AK$16:$AK$198,2*(ROWS($O$270:O270)-1)+1)),INDEX('M05-S02'!$Z$16:$Z$198,2*(ROWS($L$270:L270)-1)+1),0)</f>
        <v>0</v>
      </c>
      <c r="M270" s="151">
        <f>IFERROR(IF(ISNUMBER(INDEX('M05-S02'!$AK$16:$AK$198,2*(ROWS($O$270:O270)-1)+1)),INDEX('M05-S02'!$AO$16:$AO$198,2*(ROWS($M$270:M270)-1)+1),0),"")</f>
        <v>0</v>
      </c>
      <c r="N270" s="189">
        <f>IFERROR(IF(ISNUMBER(INDEX('M05-S02'!$AK$16:$AK$198,2*(ROWS($O$270:O270)-1)+1)),INDEX('M05-S02'!$AV$16:$AV$198,2*(ROWS($N$270:N270)-1)+1),0),"")</f>
        <v>0</v>
      </c>
      <c r="O270" s="61">
        <f>IF(ISNUMBER(INDEX('M05-S02'!$AK$16:$AK$198,2*(ROWS($O$270:O270)-1)+1)),INDEX('M05-S02'!$AK$16:$AK$198,2*(ROWS($O$270:O270)-1)+1),0)</f>
        <v>0</v>
      </c>
      <c r="P270" s="151" t="str">
        <f>IFERROR(IF(NOT(ISNUMBER(INDEX('M05-S02'!$AK$16:$AK$198,2*(ROWS($O$270:O270)-1)+1))),INDEX('M05-S02'!$AO$16:$AO$198,2*(ROWS($O$270:O270)-1)+1),0),"")</f>
        <v/>
      </c>
      <c r="Q270" s="189" t="str">
        <f>IFERROR(IF(NOT(ISNUMBER(INDEX('M05-S02'!$AK$16:$AK$198,2*(ROWS($O$270:O270)-1)+1))),INDEX('M05-S02'!$AV$16:$AV$198,2*(ROWS($O$270:O270)-1)+1),0),"")</f>
        <v/>
      </c>
      <c r="R270" t="str">
        <f>IFERROR(IF(NOT(ISNUMBER(INDEX('M05-S02'!$AK$16:$AK$198,2*(ROWS($O$270:O270)-1)+1))),INDEX(SPILLOVER[Spillover Reason],MATCH(INDEX('M05-S02'!$BC$16:$BC$198,2*(ROWS($O$270:O270)-1)+1),SPILLOVER[Spillover Text],0)),""),"")</f>
        <v>Not Eligible</v>
      </c>
      <c r="S270" s="157"/>
      <c r="T270" s="157"/>
      <c r="U270" s="151">
        <f>INDEX('M05-S02'!$B$16:$B$198,2*(ROWS($U$270:U270)-1)+1)</f>
        <v>1</v>
      </c>
      <c r="V270" s="135"/>
      <c r="W270" s="58">
        <f>INDEX('M05-S01'!$F$16:$F$198,2*(ROWS($W$259:W270)-1)+1)</f>
        <v>0</v>
      </c>
      <c r="X270">
        <f>INDEX('M05-S02'!$M$16:$M$198,2*(ROWS($X$270:X270)-1)+1)</f>
        <v>0</v>
      </c>
      <c r="Y270">
        <f>INDEX('M05-S02'!$U$16:$U$198,2*(ROWS($Y$270:Y270)-1)+1)</f>
        <v>0</v>
      </c>
      <c r="Z270" s="135"/>
      <c r="AA270" s="135"/>
      <c r="AB270" s="135"/>
      <c r="AC270" s="135"/>
      <c r="AD270" s="135"/>
      <c r="AE270" s="151">
        <f>IF(NOT(ISNUMBER(INDEX('M05-S02'!$AK$16:$AK$198,2*(ROWS($O$270:O270)-1)+1))),INDEX('M05-S02'!$Z$16:$Z$198,2*(ROWS($L$270:L270)-1)+1),0)</f>
        <v>0</v>
      </c>
      <c r="AF270" s="151">
        <f>INDEX('M05-S02'!$S$16:$S$198,2*(ROWS($AF$270:AF270)-1)+1)*INDEX('M05-S02'!$Q$16:$Q$198,2*(ROWS($AF$270:AF270)-1)+1)</f>
        <v>0</v>
      </c>
      <c r="AG270" s="151">
        <f>INDEX('M05-S02'!$AB$16:$AB$198,2*(ROWS($AG$270:AG270)-1)+1)*INDEX('M05-S02'!$Z$16:$Z$198,2*(ROWS($AG$270:AG270)-1)+1)</f>
        <v>0</v>
      </c>
      <c r="AH270" s="151" t="str">
        <f>IFERROR(AF270/AO270,"")</f>
        <v/>
      </c>
      <c r="AI270" s="151" t="str">
        <f>IFERROR(AG270/L270,"")</f>
        <v/>
      </c>
      <c r="AJ270" s="61" t="str">
        <f t="shared" si="92"/>
        <v/>
      </c>
      <c r="AK270" s="61" t="str">
        <f t="shared" si="93"/>
        <v/>
      </c>
      <c r="AL270" s="61" t="str">
        <f t="shared" si="94"/>
        <v/>
      </c>
      <c r="AM270" s="61" t="str">
        <f>INDEX('M05-S02'!$AU$16:$AU$198,2*(ROWS($AM$270:AM270)-1)+1)</f>
        <v/>
      </c>
      <c r="AN270" s="61" t="str">
        <f>INDEX('M05-S02'!$BB$16:$BB$198,2*(ROWS($AN$270:AN270)-1)+1)</f>
        <v/>
      </c>
      <c r="AO270" s="151">
        <f>INDEX('M05-S02'!$Q$16:$Q$198,2*(ROWS($AO$270:AO270)-1)+1)</f>
        <v>0</v>
      </c>
      <c r="AP270" s="152"/>
      <c r="AQ270" s="152"/>
      <c r="AR270" s="416">
        <f>(IF(INDEX('M05-S02'!$AK$16:$AK$198,2*(ROWS($O$270:O270)-1)+1)=INDEX('M05-S02'!$BG$16:$BG$198,2*(ROWS($O$270:O270)-1)+1),0,(INDEX('M05-S02'!$BF$16:$BF$198,2*(ROWS($O$270:O270)-1)+1)-INDEX('M05-S02'!$BG$16:$BG$198,2*(ROWS($O$270:O270)-1)+1))))</f>
        <v>0</v>
      </c>
    </row>
    <row r="271" spans="1:44" x14ac:dyDescent="0.25">
      <c r="A271" s="66">
        <f t="shared" si="95"/>
        <v>0</v>
      </c>
      <c r="B271" s="66" t="str">
        <f t="shared" ref="B271:B280" si="99">IF(C271="","",CONCATENATE(ROW(),"-",C271))</f>
        <v/>
      </c>
      <c r="C271" s="66" t="str">
        <f>IFERROR(IF(J271&gt;0,INDEX('M05-S02'!$AY$16:$AY$198,2*(ROWS($C$270:C271)-1)+1),""),"")</f>
        <v/>
      </c>
      <c r="D271" t="s">
        <v>212</v>
      </c>
      <c r="E271" t="str">
        <f>IFERROR(INDEX('M05-S02'!$AW$16:$AW$198,2*(ROWS($E$270:E271)-1)+1),"")</f>
        <v/>
      </c>
      <c r="F271" s="152"/>
      <c r="G271" s="135"/>
      <c r="H271" s="61">
        <f>INDEX('M05-S02'!$AD$16:$AD$198,2*(ROWS($H$270:H271)-1)+1)</f>
        <v>0</v>
      </c>
      <c r="I271" s="61">
        <f>INDEX('M05-S02'!$AF$16:$AF$198,2*(ROWS($I$270:I271)-1)+1)</f>
        <v>0</v>
      </c>
      <c r="J271" s="61" t="str">
        <f>INDEX('M05-S02'!$AH$16:$AH$198,2*(ROWS($J$270:J271)-1)+1)</f>
        <v/>
      </c>
      <c r="K271" t="str">
        <f>IFERROR(INDEX(CMELIGHTCON[Cost Basis],MATCH(INDEX('M05-S02'!$F$16:$F$198,2*(ROWS($K$270:K271)-1)+1),CMELIGHTCON[Proj Desc 1],0)),"")</f>
        <v/>
      </c>
      <c r="L271" s="151">
        <f>IF(ISNUMBER(INDEX('M05-S02'!$AK$16:$AK$198,2*(ROWS($O$270:O271)-1)+1)),INDEX('M05-S02'!$Z$16:$Z$198,2*(ROWS($L$270:L271)-1)+1),0)</f>
        <v>0</v>
      </c>
      <c r="M271" s="151">
        <f>IFERROR(IF(ISNUMBER(INDEX('M05-S02'!$AK$16:$AK$198,2*(ROWS($O$270:O271)-1)+1)),INDEX('M05-S02'!$AO$16:$AO$198,2*(ROWS($M$270:M271)-1)+1),0),"")</f>
        <v>0</v>
      </c>
      <c r="N271" s="189">
        <f>IFERROR(IF(ISNUMBER(INDEX('M05-S02'!$AK$16:$AK$198,2*(ROWS($O$270:O271)-1)+1)),INDEX('M05-S02'!$AV$16:$AV$198,2*(ROWS($N$270:N271)-1)+1),0),"")</f>
        <v>0</v>
      </c>
      <c r="O271" s="61">
        <f>IF(ISNUMBER(INDEX('M05-S02'!$AK$16:$AK$198,2*(ROWS($O$270:O271)-1)+1)),INDEX('M05-S02'!$AK$16:$AK$198,2*(ROWS($O$270:O271)-1)+1),0)</f>
        <v>0</v>
      </c>
      <c r="P271" s="151" t="str">
        <f>IFERROR(IF(NOT(ISNUMBER(INDEX('M05-S02'!$AK$16:$AK$198,2*(ROWS($O$270:O271)-1)+1))),INDEX('M05-S02'!$AO$16:$AO$198,2*(ROWS($O$270:O271)-1)+1),0),"")</f>
        <v/>
      </c>
      <c r="Q271" s="189" t="str">
        <f>IFERROR(IF(NOT(ISNUMBER(INDEX('M05-S02'!$AK$16:$AK$198,2*(ROWS($O$270:O271)-1)+1))),INDEX('M05-S02'!$AV$16:$AV$198,2*(ROWS($O$270:O271)-1)+1),0),"")</f>
        <v/>
      </c>
      <c r="R271" t="str">
        <f>IFERROR(IF(NOT(ISNUMBER(INDEX('M05-S02'!$AK$16:$AK$198,2*(ROWS($O$270:O271)-1)+1))),INDEX(SPILLOVER[Spillover Reason],MATCH(INDEX('M05-S02'!$BC$16:$BC$198,2*(ROWS($O$270:O271)-1)+1),SPILLOVER[Spillover Text],0)),""),"")</f>
        <v>Not Eligible</v>
      </c>
      <c r="S271" s="157"/>
      <c r="T271" s="157"/>
      <c r="U271" s="151">
        <f>INDEX('M05-S02'!$B$16:$B$198,2*(ROWS($U$270:U271)-1)+1)</f>
        <v>2</v>
      </c>
      <c r="V271" s="135"/>
      <c r="W271" s="58">
        <f>INDEX('M05-S01'!$F$16:$F$198,2*(ROWS($W$259:W271)-1)+1)</f>
        <v>0</v>
      </c>
      <c r="X271">
        <f>INDEX('M05-S02'!$M$16:$M$198,2*(ROWS($X$270:X271)-1)+1)</f>
        <v>0</v>
      </c>
      <c r="Y271">
        <f>INDEX('M05-S02'!$U$16:$U$198,2*(ROWS($Y$270:Y271)-1)+1)</f>
        <v>0</v>
      </c>
      <c r="Z271" s="135"/>
      <c r="AA271" s="135"/>
      <c r="AB271" s="135"/>
      <c r="AC271" s="135"/>
      <c r="AD271" s="135"/>
      <c r="AE271" s="151">
        <f>IF(NOT(ISNUMBER(INDEX('M05-S02'!$AK$16:$AK$198,2*(ROWS($O$270:O271)-1)+1))),INDEX('M05-S02'!$Z$16:$Z$198,2*(ROWS($L$270:L271)-1)+1),0)</f>
        <v>0</v>
      </c>
      <c r="AF271" s="151">
        <f>INDEX('M05-S02'!$S$16:$S$198,2*(ROWS($AF$270:AF271)-1)+1)*INDEX('M05-S02'!$Q$16:$Q$198,2*(ROWS($AF$270:AF271)-1)+1)</f>
        <v>0</v>
      </c>
      <c r="AG271" s="151">
        <f>INDEX('M05-S02'!$AB$16:$AB$198,2*(ROWS($AG$270:AG271)-1)+1)*INDEX('M05-S02'!$Z$16:$Z$198,2*(ROWS($AG$270:AG271)-1)+1)</f>
        <v>0</v>
      </c>
      <c r="AH271" s="151" t="str">
        <f t="shared" ref="AH271:AH280" si="100">IFERROR(AF271/AO271,"")</f>
        <v/>
      </c>
      <c r="AI271" s="151" t="str">
        <f t="shared" ref="AI271:AI280" si="101">IFERROR(AG271/L271,"")</f>
        <v/>
      </c>
      <c r="AJ271" s="61" t="str">
        <f t="shared" ref="AJ271:AJ280" si="102">IFERROR(O271/M271,"")</f>
        <v/>
      </c>
      <c r="AK271" s="61" t="str">
        <f t="shared" ref="AK271:AK280" si="103">IFERROR(O271/N271,"")</f>
        <v/>
      </c>
      <c r="AL271" s="61" t="str">
        <f t="shared" ref="AL271:AL280" si="104">IFERROR(O271/L271,"")</f>
        <v/>
      </c>
      <c r="AM271" s="61" t="str">
        <f>INDEX('M05-S02'!$AU$16:$AU$198,2*(ROWS($AM$270:AM271)-1)+1)</f>
        <v/>
      </c>
      <c r="AN271" s="61" t="str">
        <f>INDEX('M05-S02'!$BB$16:$BB$198,2*(ROWS($AN$270:AN271)-1)+1)</f>
        <v/>
      </c>
      <c r="AO271" s="151">
        <f>INDEX('M05-S02'!$Q$16:$Q$198,2*(ROWS($AO$270:AO271)-1)+1)</f>
        <v>0</v>
      </c>
      <c r="AP271" s="152"/>
      <c r="AQ271" s="152"/>
      <c r="AR271" s="416">
        <f>(IF(INDEX('M05-S02'!$AK$16:$AK$198,2*(ROWS($O$270:O271)-1)+1)=INDEX('M05-S02'!$BG$16:$BG$198,2*(ROWS($O$270:O271)-1)+1),0,(INDEX('M05-S02'!$BF$16:$BF$198,2*(ROWS($O$270:O271)-1)+1)-INDEX('M05-S02'!$BG$16:$BG$198,2*(ROWS($O$270:O271)-1)+1))))</f>
        <v>0</v>
      </c>
    </row>
    <row r="272" spans="1:44" x14ac:dyDescent="0.25">
      <c r="A272" s="66">
        <f t="shared" si="95"/>
        <v>0</v>
      </c>
      <c r="B272" s="66" t="str">
        <f t="shared" si="99"/>
        <v/>
      </c>
      <c r="C272" s="66" t="str">
        <f>IFERROR(IF(J272&gt;0,INDEX('M05-S02'!$AY$16:$AY$198,2*(ROWS($C$270:C272)-1)+1),""),"")</f>
        <v/>
      </c>
      <c r="D272" t="s">
        <v>212</v>
      </c>
      <c r="E272" t="str">
        <f>IFERROR(INDEX('M05-S02'!$AW$16:$AW$198,2*(ROWS($E$270:E272)-1)+1),"")</f>
        <v/>
      </c>
      <c r="F272" s="152"/>
      <c r="G272" s="135"/>
      <c r="H272" s="61">
        <f>INDEX('M05-S02'!$AD$16:$AD$198,2*(ROWS($H$270:H272)-1)+1)</f>
        <v>0</v>
      </c>
      <c r="I272" s="61">
        <f>INDEX('M05-S02'!$AF$16:$AF$198,2*(ROWS($I$270:I272)-1)+1)</f>
        <v>0</v>
      </c>
      <c r="J272" s="61" t="str">
        <f>INDEX('M05-S02'!$AH$16:$AH$198,2*(ROWS($J$270:J272)-1)+1)</f>
        <v/>
      </c>
      <c r="K272" t="str">
        <f>IFERROR(INDEX(CMELIGHTCON[Cost Basis],MATCH(INDEX('M05-S02'!$F$16:$F$198,2*(ROWS($K$270:K272)-1)+1),CMELIGHTCON[Proj Desc 1],0)),"")</f>
        <v/>
      </c>
      <c r="L272" s="151">
        <f>IF(ISNUMBER(INDEX('M05-S02'!$AK$16:$AK$198,2*(ROWS($O$270:O272)-1)+1)),INDEX('M05-S02'!$Z$16:$Z$198,2*(ROWS($L$270:L272)-1)+1),0)</f>
        <v>0</v>
      </c>
      <c r="M272" s="151">
        <f>IFERROR(IF(ISNUMBER(INDEX('M05-S02'!$AK$16:$AK$198,2*(ROWS($O$270:O272)-1)+1)),INDEX('M05-S02'!$AO$16:$AO$198,2*(ROWS($M$270:M272)-1)+1),0),"")</f>
        <v>0</v>
      </c>
      <c r="N272" s="189">
        <f>IFERROR(IF(ISNUMBER(INDEX('M05-S02'!$AK$16:$AK$198,2*(ROWS($O$270:O272)-1)+1)),INDEX('M05-S02'!$AV$16:$AV$198,2*(ROWS($N$270:N272)-1)+1),0),"")</f>
        <v>0</v>
      </c>
      <c r="O272" s="61">
        <f>IF(ISNUMBER(INDEX('M05-S02'!$AK$16:$AK$198,2*(ROWS($O$270:O272)-1)+1)),INDEX('M05-S02'!$AK$16:$AK$198,2*(ROWS($O$270:O272)-1)+1),0)</f>
        <v>0</v>
      </c>
      <c r="P272" s="151" t="str">
        <f>IFERROR(IF(NOT(ISNUMBER(INDEX('M05-S02'!$AK$16:$AK$198,2*(ROWS($O$270:O272)-1)+1))),INDEX('M05-S02'!$AO$16:$AO$198,2*(ROWS($O$270:O272)-1)+1),0),"")</f>
        <v/>
      </c>
      <c r="Q272" s="189" t="str">
        <f>IFERROR(IF(NOT(ISNUMBER(INDEX('M05-S02'!$AK$16:$AK$198,2*(ROWS($O$270:O272)-1)+1))),INDEX('M05-S02'!$AV$16:$AV$198,2*(ROWS($O$270:O272)-1)+1),0),"")</f>
        <v/>
      </c>
      <c r="R272" t="str">
        <f>IFERROR(IF(NOT(ISNUMBER(INDEX('M05-S02'!$AK$16:$AK$198,2*(ROWS($O$270:O272)-1)+1))),INDEX(SPILLOVER[Spillover Reason],MATCH(INDEX('M05-S02'!$BC$16:$BC$198,2*(ROWS($O$270:O272)-1)+1),SPILLOVER[Spillover Text],0)),""),"")</f>
        <v>Not Eligible</v>
      </c>
      <c r="S272" s="157"/>
      <c r="T272" s="157"/>
      <c r="U272" s="151">
        <f>INDEX('M05-S02'!$B$16:$B$198,2*(ROWS($U$270:U272)-1)+1)</f>
        <v>3</v>
      </c>
      <c r="V272" s="135"/>
      <c r="W272" s="58">
        <f>INDEX('M05-S01'!$F$16:$F$198,2*(ROWS($W$259:W272)-1)+1)</f>
        <v>0</v>
      </c>
      <c r="X272">
        <f>INDEX('M05-S02'!$M$16:$M$198,2*(ROWS($X$270:X272)-1)+1)</f>
        <v>0</v>
      </c>
      <c r="Y272">
        <f>INDEX('M05-S02'!$U$16:$U$198,2*(ROWS($Y$270:Y272)-1)+1)</f>
        <v>0</v>
      </c>
      <c r="Z272" s="135"/>
      <c r="AA272" s="135"/>
      <c r="AB272" s="135"/>
      <c r="AC272" s="135"/>
      <c r="AD272" s="135"/>
      <c r="AE272" s="151">
        <f>IF(NOT(ISNUMBER(INDEX('M05-S02'!$AK$16:$AK$198,2*(ROWS($O$270:O272)-1)+1))),INDEX('M05-S02'!$Z$16:$Z$198,2*(ROWS($L$270:L272)-1)+1),0)</f>
        <v>0</v>
      </c>
      <c r="AF272" s="151">
        <f>INDEX('M05-S02'!$S$16:$S$198,2*(ROWS($AF$270:AF272)-1)+1)*INDEX('M05-S02'!$Q$16:$Q$198,2*(ROWS($AF$270:AF272)-1)+1)</f>
        <v>0</v>
      </c>
      <c r="AG272" s="151">
        <f>INDEX('M05-S02'!$AB$16:$AB$198,2*(ROWS($AG$270:AG272)-1)+1)*INDEX('M05-S02'!$Z$16:$Z$198,2*(ROWS($AG$270:AG272)-1)+1)</f>
        <v>0</v>
      </c>
      <c r="AH272" s="151" t="str">
        <f t="shared" si="100"/>
        <v/>
      </c>
      <c r="AI272" s="151" t="str">
        <f t="shared" si="101"/>
        <v/>
      </c>
      <c r="AJ272" s="61" t="str">
        <f t="shared" si="102"/>
        <v/>
      </c>
      <c r="AK272" s="61" t="str">
        <f t="shared" si="103"/>
        <v/>
      </c>
      <c r="AL272" s="61" t="str">
        <f t="shared" si="104"/>
        <v/>
      </c>
      <c r="AM272" s="61" t="str">
        <f>INDEX('M05-S02'!$AU$16:$AU$198,2*(ROWS($AM$270:AM272)-1)+1)</f>
        <v/>
      </c>
      <c r="AN272" s="61" t="str">
        <f>INDEX('M05-S02'!$BB$16:$BB$198,2*(ROWS($AN$270:AN272)-1)+1)</f>
        <v/>
      </c>
      <c r="AO272" s="151">
        <f>INDEX('M05-S02'!$Q$16:$Q$198,2*(ROWS($AO$270:AO272)-1)+1)</f>
        <v>0</v>
      </c>
      <c r="AP272" s="152"/>
      <c r="AQ272" s="152"/>
      <c r="AR272" s="416">
        <f>(IF(INDEX('M05-S02'!$AK$16:$AK$198,2*(ROWS($O$270:O272)-1)+1)=INDEX('M05-S02'!$BG$16:$BG$198,2*(ROWS($O$270:O272)-1)+1),0,(INDEX('M05-S02'!$BF$16:$BF$198,2*(ROWS($O$270:O272)-1)+1)-INDEX('M05-S02'!$BG$16:$BG$198,2*(ROWS($O$270:O272)-1)+1))))</f>
        <v>0</v>
      </c>
    </row>
    <row r="273" spans="1:44" x14ac:dyDescent="0.25">
      <c r="A273" s="66">
        <f t="shared" si="95"/>
        <v>0</v>
      </c>
      <c r="B273" s="66" t="str">
        <f t="shared" si="99"/>
        <v/>
      </c>
      <c r="C273" s="66" t="str">
        <f>IFERROR(IF(J273&gt;0,INDEX('M05-S02'!$AY$16:$AY$198,2*(ROWS($C$270:C273)-1)+1),""),"")</f>
        <v/>
      </c>
      <c r="D273" t="s">
        <v>212</v>
      </c>
      <c r="E273" t="str">
        <f>IFERROR(INDEX('M05-S02'!$AW$16:$AW$198,2*(ROWS($E$270:E273)-1)+1),"")</f>
        <v/>
      </c>
      <c r="F273" s="152"/>
      <c r="G273" s="135"/>
      <c r="H273" s="61">
        <f>INDEX('M05-S02'!$AD$16:$AD$198,2*(ROWS($H$270:H273)-1)+1)</f>
        <v>0</v>
      </c>
      <c r="I273" s="61">
        <f>INDEX('M05-S02'!$AF$16:$AF$198,2*(ROWS($I$270:I273)-1)+1)</f>
        <v>0</v>
      </c>
      <c r="J273" s="61" t="str">
        <f>INDEX('M05-S02'!$AH$16:$AH$198,2*(ROWS($J$270:J273)-1)+1)</f>
        <v/>
      </c>
      <c r="K273" t="str">
        <f>IFERROR(INDEX(CMELIGHTCON[Cost Basis],MATCH(INDEX('M05-S02'!$F$16:$F$198,2*(ROWS($K$270:K273)-1)+1),CMELIGHTCON[Proj Desc 1],0)),"")</f>
        <v/>
      </c>
      <c r="L273" s="151">
        <f>IF(ISNUMBER(INDEX('M05-S02'!$AK$16:$AK$198,2*(ROWS($O$270:O273)-1)+1)),INDEX('M05-S02'!$Z$16:$Z$198,2*(ROWS($L$270:L273)-1)+1),0)</f>
        <v>0</v>
      </c>
      <c r="M273" s="151">
        <f>IFERROR(IF(ISNUMBER(INDEX('M05-S02'!$AK$16:$AK$198,2*(ROWS($O$270:O273)-1)+1)),INDEX('M05-S02'!$AO$16:$AO$198,2*(ROWS($M$270:M273)-1)+1),0),"")</f>
        <v>0</v>
      </c>
      <c r="N273" s="189">
        <f>IFERROR(IF(ISNUMBER(INDEX('M05-S02'!$AK$16:$AK$198,2*(ROWS($O$270:O273)-1)+1)),INDEX('M05-S02'!$AV$16:$AV$198,2*(ROWS($N$270:N273)-1)+1),0),"")</f>
        <v>0</v>
      </c>
      <c r="O273" s="61">
        <f>IF(ISNUMBER(INDEX('M05-S02'!$AK$16:$AK$198,2*(ROWS($O$270:O273)-1)+1)),INDEX('M05-S02'!$AK$16:$AK$198,2*(ROWS($O$270:O273)-1)+1),0)</f>
        <v>0</v>
      </c>
      <c r="P273" s="151" t="str">
        <f>IFERROR(IF(NOT(ISNUMBER(INDEX('M05-S02'!$AK$16:$AK$198,2*(ROWS($O$270:O273)-1)+1))),INDEX('M05-S02'!$AO$16:$AO$198,2*(ROWS($O$270:O273)-1)+1),0),"")</f>
        <v/>
      </c>
      <c r="Q273" s="189" t="str">
        <f>IFERROR(IF(NOT(ISNUMBER(INDEX('M05-S02'!$AK$16:$AK$198,2*(ROWS($O$270:O273)-1)+1))),INDEX('M05-S02'!$AV$16:$AV$198,2*(ROWS($O$270:O273)-1)+1),0),"")</f>
        <v/>
      </c>
      <c r="R273" t="str">
        <f>IFERROR(IF(NOT(ISNUMBER(INDEX('M05-S02'!$AK$16:$AK$198,2*(ROWS($O$270:O273)-1)+1))),INDEX(SPILLOVER[Spillover Reason],MATCH(INDEX('M05-S02'!$BC$16:$BC$198,2*(ROWS($O$270:O273)-1)+1),SPILLOVER[Spillover Text],0)),""),"")</f>
        <v>Not Eligible</v>
      </c>
      <c r="S273" s="157"/>
      <c r="T273" s="157"/>
      <c r="U273" s="151">
        <f>INDEX('M05-S02'!$B$16:$B$198,2*(ROWS($U$270:U273)-1)+1)</f>
        <v>4</v>
      </c>
      <c r="V273" s="135"/>
      <c r="W273" s="58">
        <f>INDEX('M05-S01'!$F$16:$F$198,2*(ROWS($W$259:W273)-1)+1)</f>
        <v>0</v>
      </c>
      <c r="X273">
        <f>INDEX('M05-S02'!$M$16:$M$198,2*(ROWS($X$270:X273)-1)+1)</f>
        <v>0</v>
      </c>
      <c r="Y273">
        <f>INDEX('M05-S02'!$U$16:$U$198,2*(ROWS($Y$270:Y273)-1)+1)</f>
        <v>0</v>
      </c>
      <c r="Z273" s="135"/>
      <c r="AA273" s="135"/>
      <c r="AB273" s="135"/>
      <c r="AC273" s="135"/>
      <c r="AD273" s="135"/>
      <c r="AE273" s="151">
        <f>IF(NOT(ISNUMBER(INDEX('M05-S02'!$AK$16:$AK$198,2*(ROWS($O$270:O273)-1)+1))),INDEX('M05-S02'!$Z$16:$Z$198,2*(ROWS($L$270:L273)-1)+1),0)</f>
        <v>0</v>
      </c>
      <c r="AF273" s="151">
        <f>INDEX('M05-S02'!$S$16:$S$198,2*(ROWS($AF$270:AF273)-1)+1)*INDEX('M05-S02'!$Q$16:$Q$198,2*(ROWS($AF$270:AF273)-1)+1)</f>
        <v>0</v>
      </c>
      <c r="AG273" s="151">
        <f>INDEX('M05-S02'!$AB$16:$AB$198,2*(ROWS($AG$270:AG273)-1)+1)*INDEX('M05-S02'!$Z$16:$Z$198,2*(ROWS($AG$270:AG273)-1)+1)</f>
        <v>0</v>
      </c>
      <c r="AH273" s="151" t="str">
        <f t="shared" si="100"/>
        <v/>
      </c>
      <c r="AI273" s="151" t="str">
        <f t="shared" si="101"/>
        <v/>
      </c>
      <c r="AJ273" s="61" t="str">
        <f t="shared" si="102"/>
        <v/>
      </c>
      <c r="AK273" s="61" t="str">
        <f t="shared" si="103"/>
        <v/>
      </c>
      <c r="AL273" s="61" t="str">
        <f t="shared" si="104"/>
        <v/>
      </c>
      <c r="AM273" s="61" t="str">
        <f>INDEX('M05-S02'!$AU$16:$AU$198,2*(ROWS($AM$270:AM273)-1)+1)</f>
        <v/>
      </c>
      <c r="AN273" s="61" t="str">
        <f>INDEX('M05-S02'!$BB$16:$BB$198,2*(ROWS($AN$270:AN273)-1)+1)</f>
        <v/>
      </c>
      <c r="AO273" s="151">
        <f>INDEX('M05-S02'!$Q$16:$Q$198,2*(ROWS($AO$270:AO273)-1)+1)</f>
        <v>0</v>
      </c>
      <c r="AP273" s="152"/>
      <c r="AQ273" s="152"/>
      <c r="AR273" s="416">
        <f>(IF(INDEX('M05-S02'!$AK$16:$AK$198,2*(ROWS($O$270:O273)-1)+1)=INDEX('M05-S02'!$BG$16:$BG$198,2*(ROWS($O$270:O273)-1)+1),0,(INDEX('M05-S02'!$BF$16:$BF$198,2*(ROWS($O$270:O273)-1)+1)-INDEX('M05-S02'!$BG$16:$BG$198,2*(ROWS($O$270:O273)-1)+1))))</f>
        <v>0</v>
      </c>
    </row>
    <row r="274" spans="1:44" x14ac:dyDescent="0.25">
      <c r="A274" s="66">
        <f t="shared" si="95"/>
        <v>0</v>
      </c>
      <c r="B274" s="66" t="str">
        <f t="shared" si="99"/>
        <v/>
      </c>
      <c r="C274" s="66" t="str">
        <f>IFERROR(IF(J274&gt;0,INDEX('M05-S02'!$AY$16:$AY$198,2*(ROWS($C$270:C274)-1)+1),""),"")</f>
        <v/>
      </c>
      <c r="D274" t="s">
        <v>212</v>
      </c>
      <c r="E274" t="str">
        <f>IFERROR(INDEX('M05-S02'!$AW$16:$AW$198,2*(ROWS($E$270:E274)-1)+1),"")</f>
        <v/>
      </c>
      <c r="F274" s="152"/>
      <c r="G274" s="135"/>
      <c r="H274" s="61">
        <f>INDEX('M05-S02'!$AD$16:$AD$198,2*(ROWS($H$270:H274)-1)+1)</f>
        <v>0</v>
      </c>
      <c r="I274" s="61">
        <f>INDEX('M05-S02'!$AF$16:$AF$198,2*(ROWS($I$270:I274)-1)+1)</f>
        <v>0</v>
      </c>
      <c r="J274" s="61" t="str">
        <f>INDEX('M05-S02'!$AH$16:$AH$198,2*(ROWS($J$270:J274)-1)+1)</f>
        <v/>
      </c>
      <c r="K274" t="str">
        <f>IFERROR(INDEX(CMELIGHTCON[Cost Basis],MATCH(INDEX('M05-S02'!$F$16:$F$198,2*(ROWS($K$270:K274)-1)+1),CMELIGHTCON[Proj Desc 1],0)),"")</f>
        <v/>
      </c>
      <c r="L274" s="151">
        <f>IF(ISNUMBER(INDEX('M05-S02'!$AK$16:$AK$198,2*(ROWS($O$270:O274)-1)+1)),INDEX('M05-S02'!$Z$16:$Z$198,2*(ROWS($L$270:L274)-1)+1),0)</f>
        <v>0</v>
      </c>
      <c r="M274" s="151">
        <f>IFERROR(IF(ISNUMBER(INDEX('M05-S02'!$AK$16:$AK$198,2*(ROWS($O$270:O274)-1)+1)),INDEX('M05-S02'!$AO$16:$AO$198,2*(ROWS($M$270:M274)-1)+1),0),"")</f>
        <v>0</v>
      </c>
      <c r="N274" s="189">
        <f>IFERROR(IF(ISNUMBER(INDEX('M05-S02'!$AK$16:$AK$198,2*(ROWS($O$270:O274)-1)+1)),INDEX('M05-S02'!$AV$16:$AV$198,2*(ROWS($N$270:N274)-1)+1),0),"")</f>
        <v>0</v>
      </c>
      <c r="O274" s="61">
        <f>IF(ISNUMBER(INDEX('M05-S02'!$AK$16:$AK$198,2*(ROWS($O$270:O274)-1)+1)),INDEX('M05-S02'!$AK$16:$AK$198,2*(ROWS($O$270:O274)-1)+1),0)</f>
        <v>0</v>
      </c>
      <c r="P274" s="151" t="str">
        <f>IFERROR(IF(NOT(ISNUMBER(INDEX('M05-S02'!$AK$16:$AK$198,2*(ROWS($O$270:O274)-1)+1))),INDEX('M05-S02'!$AO$16:$AO$198,2*(ROWS($O$270:O274)-1)+1),0),"")</f>
        <v/>
      </c>
      <c r="Q274" s="189" t="str">
        <f>IFERROR(IF(NOT(ISNUMBER(INDEX('M05-S02'!$AK$16:$AK$198,2*(ROWS($O$270:O274)-1)+1))),INDEX('M05-S02'!$AV$16:$AV$198,2*(ROWS($O$270:O274)-1)+1),0),"")</f>
        <v/>
      </c>
      <c r="R274" t="str">
        <f>IFERROR(IF(NOT(ISNUMBER(INDEX('M05-S02'!$AK$16:$AK$198,2*(ROWS($O$270:O274)-1)+1))),INDEX(SPILLOVER[Spillover Reason],MATCH(INDEX('M05-S02'!$BC$16:$BC$198,2*(ROWS($O$270:O274)-1)+1),SPILLOVER[Spillover Text],0)),""),"")</f>
        <v>Not Eligible</v>
      </c>
      <c r="S274" s="157"/>
      <c r="T274" s="157"/>
      <c r="U274" s="151">
        <f>INDEX('M05-S02'!$B$16:$B$198,2*(ROWS($U$270:U274)-1)+1)</f>
        <v>5</v>
      </c>
      <c r="V274" s="135"/>
      <c r="W274" s="58">
        <f>INDEX('M05-S01'!$F$16:$F$198,2*(ROWS($W$259:W274)-1)+1)</f>
        <v>0</v>
      </c>
      <c r="X274">
        <f>INDEX('M05-S02'!$M$16:$M$198,2*(ROWS($X$270:X274)-1)+1)</f>
        <v>0</v>
      </c>
      <c r="Y274">
        <f>INDEX('M05-S02'!$U$16:$U$198,2*(ROWS($Y$270:Y274)-1)+1)</f>
        <v>0</v>
      </c>
      <c r="Z274" s="135"/>
      <c r="AA274" s="135"/>
      <c r="AB274" s="135"/>
      <c r="AC274" s="135"/>
      <c r="AD274" s="135"/>
      <c r="AE274" s="151">
        <f>IF(NOT(ISNUMBER(INDEX('M05-S02'!$AK$16:$AK$198,2*(ROWS($O$270:O274)-1)+1))),INDEX('M05-S02'!$Z$16:$Z$198,2*(ROWS($L$270:L274)-1)+1),0)</f>
        <v>0</v>
      </c>
      <c r="AF274" s="151">
        <f>INDEX('M05-S02'!$S$16:$S$198,2*(ROWS($AF$270:AF274)-1)+1)*INDEX('M05-S02'!$Q$16:$Q$198,2*(ROWS($AF$270:AF274)-1)+1)</f>
        <v>0</v>
      </c>
      <c r="AG274" s="151">
        <f>INDEX('M05-S02'!$AB$16:$AB$198,2*(ROWS($AG$270:AG274)-1)+1)*INDEX('M05-S02'!$Z$16:$Z$198,2*(ROWS($AG$270:AG274)-1)+1)</f>
        <v>0</v>
      </c>
      <c r="AH274" s="151" t="str">
        <f t="shared" si="100"/>
        <v/>
      </c>
      <c r="AI274" s="151" t="str">
        <f t="shared" si="101"/>
        <v/>
      </c>
      <c r="AJ274" s="61" t="str">
        <f t="shared" si="102"/>
        <v/>
      </c>
      <c r="AK274" s="61" t="str">
        <f t="shared" si="103"/>
        <v/>
      </c>
      <c r="AL274" s="61" t="str">
        <f t="shared" si="104"/>
        <v/>
      </c>
      <c r="AM274" s="61" t="str">
        <f>INDEX('M05-S02'!$AU$16:$AU$198,2*(ROWS($AM$270:AM274)-1)+1)</f>
        <v/>
      </c>
      <c r="AN274" s="61" t="str">
        <f>INDEX('M05-S02'!$BB$16:$BB$198,2*(ROWS($AN$270:AN274)-1)+1)</f>
        <v/>
      </c>
      <c r="AO274" s="151">
        <f>INDEX('M05-S02'!$Q$16:$Q$198,2*(ROWS($AO$270:AO274)-1)+1)</f>
        <v>0</v>
      </c>
      <c r="AP274" s="152"/>
      <c r="AQ274" s="152"/>
      <c r="AR274" s="416">
        <f>(IF(INDEX('M05-S02'!$AK$16:$AK$198,2*(ROWS($O$270:O274)-1)+1)=INDEX('M05-S02'!$BG$16:$BG$198,2*(ROWS($O$270:O274)-1)+1),0,(INDEX('M05-S02'!$BF$16:$BF$198,2*(ROWS($O$270:O274)-1)+1)-INDEX('M05-S02'!$BG$16:$BG$198,2*(ROWS($O$270:O274)-1)+1))))</f>
        <v>0</v>
      </c>
    </row>
    <row r="275" spans="1:44" x14ac:dyDescent="0.25">
      <c r="A275" s="66">
        <f t="shared" si="95"/>
        <v>0</v>
      </c>
      <c r="B275" s="66" t="str">
        <f t="shared" si="99"/>
        <v/>
      </c>
      <c r="C275" s="66" t="str">
        <f>IFERROR(IF(J275&gt;0,INDEX('M05-S02'!$AY$16:$AY$198,2*(ROWS($C$270:C275)-1)+1),""),"")</f>
        <v/>
      </c>
      <c r="D275" t="s">
        <v>212</v>
      </c>
      <c r="E275" t="str">
        <f>IFERROR(INDEX('M05-S02'!$AW$16:$AW$198,2*(ROWS($E$270:E275)-1)+1),"")</f>
        <v/>
      </c>
      <c r="F275" s="152"/>
      <c r="G275" s="135"/>
      <c r="H275" s="61">
        <f>INDEX('M05-S02'!$AD$16:$AD$198,2*(ROWS($H$270:H275)-1)+1)</f>
        <v>0</v>
      </c>
      <c r="I275" s="61">
        <f>INDEX('M05-S02'!$AF$16:$AF$198,2*(ROWS($I$270:I275)-1)+1)</f>
        <v>0</v>
      </c>
      <c r="J275" s="61" t="str">
        <f>INDEX('M05-S02'!$AH$16:$AH$198,2*(ROWS($J$270:J275)-1)+1)</f>
        <v/>
      </c>
      <c r="K275" t="str">
        <f>IFERROR(INDEX(CMELIGHTCON[Cost Basis],MATCH(INDEX('M05-S02'!$F$16:$F$198,2*(ROWS($K$270:K275)-1)+1),CMELIGHTCON[Proj Desc 1],0)),"")</f>
        <v/>
      </c>
      <c r="L275" s="151">
        <f>IF(ISNUMBER(INDEX('M05-S02'!$AK$16:$AK$198,2*(ROWS($O$270:O275)-1)+1)),INDEX('M05-S02'!$Z$16:$Z$198,2*(ROWS($L$270:L275)-1)+1),0)</f>
        <v>0</v>
      </c>
      <c r="M275" s="151">
        <f>IFERROR(IF(ISNUMBER(INDEX('M05-S02'!$AK$16:$AK$198,2*(ROWS($O$270:O275)-1)+1)),INDEX('M05-S02'!$AO$16:$AO$198,2*(ROWS($M$270:M275)-1)+1),0),"")</f>
        <v>0</v>
      </c>
      <c r="N275" s="189">
        <f>IFERROR(IF(ISNUMBER(INDEX('M05-S02'!$AK$16:$AK$198,2*(ROWS($O$270:O275)-1)+1)),INDEX('M05-S02'!$AV$16:$AV$198,2*(ROWS($N$270:N275)-1)+1),0),"")</f>
        <v>0</v>
      </c>
      <c r="O275" s="61">
        <f>IF(ISNUMBER(INDEX('M05-S02'!$AK$16:$AK$198,2*(ROWS($O$270:O275)-1)+1)),INDEX('M05-S02'!$AK$16:$AK$198,2*(ROWS($O$270:O275)-1)+1),0)</f>
        <v>0</v>
      </c>
      <c r="P275" s="151" t="str">
        <f>IFERROR(IF(NOT(ISNUMBER(INDEX('M05-S02'!$AK$16:$AK$198,2*(ROWS($O$270:O275)-1)+1))),INDEX('M05-S02'!$AO$16:$AO$198,2*(ROWS($O$270:O275)-1)+1),0),"")</f>
        <v/>
      </c>
      <c r="Q275" s="189" t="str">
        <f>IFERROR(IF(NOT(ISNUMBER(INDEX('M05-S02'!$AK$16:$AK$198,2*(ROWS($O$270:O275)-1)+1))),INDEX('M05-S02'!$AV$16:$AV$198,2*(ROWS($O$270:O275)-1)+1),0),"")</f>
        <v/>
      </c>
      <c r="R275" t="str">
        <f>IFERROR(IF(NOT(ISNUMBER(INDEX('M05-S02'!$AK$16:$AK$198,2*(ROWS($O$270:O275)-1)+1))),INDEX(SPILLOVER[Spillover Reason],MATCH(INDEX('M05-S02'!$BC$16:$BC$198,2*(ROWS($O$270:O275)-1)+1),SPILLOVER[Spillover Text],0)),""),"")</f>
        <v>Not Eligible</v>
      </c>
      <c r="S275" s="157"/>
      <c r="T275" s="157"/>
      <c r="U275" s="151">
        <f>INDEX('M05-S02'!$B$16:$B$198,2*(ROWS($U$270:U275)-1)+1)</f>
        <v>6</v>
      </c>
      <c r="V275" s="135"/>
      <c r="W275" s="58">
        <f>INDEX('M05-S01'!$F$16:$F$198,2*(ROWS($W$259:W275)-1)+1)</f>
        <v>0</v>
      </c>
      <c r="X275">
        <f>INDEX('M05-S02'!$M$16:$M$198,2*(ROWS($X$270:X275)-1)+1)</f>
        <v>0</v>
      </c>
      <c r="Y275">
        <f>INDEX('M05-S02'!$U$16:$U$198,2*(ROWS($Y$270:Y275)-1)+1)</f>
        <v>0</v>
      </c>
      <c r="Z275" s="135"/>
      <c r="AA275" s="135"/>
      <c r="AB275" s="135"/>
      <c r="AC275" s="135"/>
      <c r="AD275" s="135"/>
      <c r="AE275" s="151">
        <f>IF(NOT(ISNUMBER(INDEX('M05-S02'!$AK$16:$AK$198,2*(ROWS($O$270:O275)-1)+1))),INDEX('M05-S02'!$Z$16:$Z$198,2*(ROWS($L$270:L275)-1)+1),0)</f>
        <v>0</v>
      </c>
      <c r="AF275" s="151">
        <f>INDEX('M05-S02'!$S$16:$S$198,2*(ROWS($AF$270:AF275)-1)+1)*INDEX('M05-S02'!$Q$16:$Q$198,2*(ROWS($AF$270:AF275)-1)+1)</f>
        <v>0</v>
      </c>
      <c r="AG275" s="151">
        <f>INDEX('M05-S02'!$AB$16:$AB$198,2*(ROWS($AG$270:AG275)-1)+1)*INDEX('M05-S02'!$Z$16:$Z$198,2*(ROWS($AG$270:AG275)-1)+1)</f>
        <v>0</v>
      </c>
      <c r="AH275" s="151" t="str">
        <f t="shared" si="100"/>
        <v/>
      </c>
      <c r="AI275" s="151" t="str">
        <f t="shared" si="101"/>
        <v/>
      </c>
      <c r="AJ275" s="61" t="str">
        <f t="shared" si="102"/>
        <v/>
      </c>
      <c r="AK275" s="61" t="str">
        <f t="shared" si="103"/>
        <v/>
      </c>
      <c r="AL275" s="61" t="str">
        <f t="shared" si="104"/>
        <v/>
      </c>
      <c r="AM275" s="61" t="str">
        <f>INDEX('M05-S02'!$AU$16:$AU$198,2*(ROWS($AM$270:AM275)-1)+1)</f>
        <v/>
      </c>
      <c r="AN275" s="61" t="str">
        <f>INDEX('M05-S02'!$BB$16:$BB$198,2*(ROWS($AN$270:AN275)-1)+1)</f>
        <v/>
      </c>
      <c r="AO275" s="151">
        <f>INDEX('M05-S02'!$Q$16:$Q$198,2*(ROWS($AO$270:AO275)-1)+1)</f>
        <v>0</v>
      </c>
      <c r="AP275" s="152"/>
      <c r="AQ275" s="152"/>
      <c r="AR275" s="416">
        <f>(IF(INDEX('M05-S02'!$AK$16:$AK$198,2*(ROWS($O$270:O275)-1)+1)=INDEX('M05-S02'!$BG$16:$BG$198,2*(ROWS($O$270:O275)-1)+1),0,(INDEX('M05-S02'!$BF$16:$BF$198,2*(ROWS($O$270:O275)-1)+1)-INDEX('M05-S02'!$BG$16:$BG$198,2*(ROWS($O$270:O275)-1)+1))))</f>
        <v>0</v>
      </c>
    </row>
    <row r="276" spans="1:44" x14ac:dyDescent="0.25">
      <c r="A276" s="66">
        <f t="shared" si="95"/>
        <v>0</v>
      </c>
      <c r="B276" s="66" t="str">
        <f t="shared" si="99"/>
        <v/>
      </c>
      <c r="C276" s="66" t="str">
        <f>IFERROR(IF(J276&gt;0,INDEX('M05-S02'!$AY$16:$AY$198,2*(ROWS($C$270:C276)-1)+1),""),"")</f>
        <v/>
      </c>
      <c r="D276" t="s">
        <v>212</v>
      </c>
      <c r="E276" t="str">
        <f>IFERROR(INDEX('M05-S02'!$AW$16:$AW$198,2*(ROWS($E$270:E276)-1)+1),"")</f>
        <v/>
      </c>
      <c r="F276" s="152"/>
      <c r="G276" s="135"/>
      <c r="H276" s="61">
        <f>INDEX('M05-S02'!$AD$16:$AD$198,2*(ROWS($H$270:H276)-1)+1)</f>
        <v>0</v>
      </c>
      <c r="I276" s="61">
        <f>INDEX('M05-S02'!$AF$16:$AF$198,2*(ROWS($I$270:I276)-1)+1)</f>
        <v>0</v>
      </c>
      <c r="J276" s="61" t="str">
        <f>INDEX('M05-S02'!$AH$16:$AH$198,2*(ROWS($J$270:J276)-1)+1)</f>
        <v/>
      </c>
      <c r="K276" t="str">
        <f>IFERROR(INDEX(CMELIGHTCON[Cost Basis],MATCH(INDEX('M05-S02'!$F$16:$F$198,2*(ROWS($K$270:K276)-1)+1),CMELIGHTCON[Proj Desc 1],0)),"")</f>
        <v/>
      </c>
      <c r="L276" s="151">
        <f>IF(ISNUMBER(INDEX('M05-S02'!$AK$16:$AK$198,2*(ROWS($O$270:O276)-1)+1)),INDEX('M05-S02'!$Z$16:$Z$198,2*(ROWS($L$270:L276)-1)+1),0)</f>
        <v>0</v>
      </c>
      <c r="M276" s="151">
        <f>IFERROR(IF(ISNUMBER(INDEX('M05-S02'!$AK$16:$AK$198,2*(ROWS($O$270:O276)-1)+1)),INDEX('M05-S02'!$AO$16:$AO$198,2*(ROWS($M$270:M276)-1)+1),0),"")</f>
        <v>0</v>
      </c>
      <c r="N276" s="189">
        <f>IFERROR(IF(ISNUMBER(INDEX('M05-S02'!$AK$16:$AK$198,2*(ROWS($O$270:O276)-1)+1)),INDEX('M05-S02'!$AV$16:$AV$198,2*(ROWS($N$270:N276)-1)+1),0),"")</f>
        <v>0</v>
      </c>
      <c r="O276" s="61">
        <f>IF(ISNUMBER(INDEX('M05-S02'!$AK$16:$AK$198,2*(ROWS($O$270:O276)-1)+1)),INDEX('M05-S02'!$AK$16:$AK$198,2*(ROWS($O$270:O276)-1)+1),0)</f>
        <v>0</v>
      </c>
      <c r="P276" s="151" t="str">
        <f>IFERROR(IF(NOT(ISNUMBER(INDEX('M05-S02'!$AK$16:$AK$198,2*(ROWS($O$270:O276)-1)+1))),INDEX('M05-S02'!$AO$16:$AO$198,2*(ROWS($O$270:O276)-1)+1),0),"")</f>
        <v/>
      </c>
      <c r="Q276" s="189" t="str">
        <f>IFERROR(IF(NOT(ISNUMBER(INDEX('M05-S02'!$AK$16:$AK$198,2*(ROWS($O$270:O276)-1)+1))),INDEX('M05-S02'!$AV$16:$AV$198,2*(ROWS($O$270:O276)-1)+1),0),"")</f>
        <v/>
      </c>
      <c r="R276" t="str">
        <f>IFERROR(IF(NOT(ISNUMBER(INDEX('M05-S02'!$AK$16:$AK$198,2*(ROWS($O$270:O276)-1)+1))),INDEX(SPILLOVER[Spillover Reason],MATCH(INDEX('M05-S02'!$BC$16:$BC$198,2*(ROWS($O$270:O276)-1)+1),SPILLOVER[Spillover Text],0)),""),"")</f>
        <v>Not Eligible</v>
      </c>
      <c r="S276" s="157"/>
      <c r="T276" s="157"/>
      <c r="U276" s="151">
        <f>INDEX('M05-S02'!$B$16:$B$198,2*(ROWS($U$270:U276)-1)+1)</f>
        <v>7</v>
      </c>
      <c r="V276" s="135"/>
      <c r="W276" s="58">
        <f>INDEX('M05-S01'!$F$16:$F$198,2*(ROWS($W$259:W276)-1)+1)</f>
        <v>0</v>
      </c>
      <c r="X276">
        <f>INDEX('M05-S02'!$M$16:$M$198,2*(ROWS($X$270:X276)-1)+1)</f>
        <v>0</v>
      </c>
      <c r="Y276">
        <f>INDEX('M05-S02'!$U$16:$U$198,2*(ROWS($Y$270:Y276)-1)+1)</f>
        <v>0</v>
      </c>
      <c r="Z276" s="135"/>
      <c r="AA276" s="135"/>
      <c r="AB276" s="135"/>
      <c r="AC276" s="135"/>
      <c r="AD276" s="135"/>
      <c r="AE276" s="151">
        <f>IF(NOT(ISNUMBER(INDEX('M05-S02'!$AK$16:$AK$198,2*(ROWS($O$270:O276)-1)+1))),INDEX('M05-S02'!$Z$16:$Z$198,2*(ROWS($L$270:L276)-1)+1),0)</f>
        <v>0</v>
      </c>
      <c r="AF276" s="151">
        <f>INDEX('M05-S02'!$S$16:$S$198,2*(ROWS($AF$270:AF276)-1)+1)*INDEX('M05-S02'!$Q$16:$Q$198,2*(ROWS($AF$270:AF276)-1)+1)</f>
        <v>0</v>
      </c>
      <c r="AG276" s="151">
        <f>INDEX('M05-S02'!$AB$16:$AB$198,2*(ROWS($AG$270:AG276)-1)+1)*INDEX('M05-S02'!$Z$16:$Z$198,2*(ROWS($AG$270:AG276)-1)+1)</f>
        <v>0</v>
      </c>
      <c r="AH276" s="151" t="str">
        <f t="shared" si="100"/>
        <v/>
      </c>
      <c r="AI276" s="151" t="str">
        <f t="shared" si="101"/>
        <v/>
      </c>
      <c r="AJ276" s="61" t="str">
        <f t="shared" si="102"/>
        <v/>
      </c>
      <c r="AK276" s="61" t="str">
        <f t="shared" si="103"/>
        <v/>
      </c>
      <c r="AL276" s="61" t="str">
        <f t="shared" si="104"/>
        <v/>
      </c>
      <c r="AM276" s="61" t="str">
        <f>INDEX('M05-S02'!$AU$16:$AU$198,2*(ROWS($AM$270:AM276)-1)+1)</f>
        <v/>
      </c>
      <c r="AN276" s="61" t="str">
        <f>INDEX('M05-S02'!$BB$16:$BB$198,2*(ROWS($AN$270:AN276)-1)+1)</f>
        <v/>
      </c>
      <c r="AO276" s="151">
        <f>INDEX('M05-S02'!$Q$16:$Q$198,2*(ROWS($AO$270:AO276)-1)+1)</f>
        <v>0</v>
      </c>
      <c r="AP276" s="152"/>
      <c r="AQ276" s="152"/>
      <c r="AR276" s="416">
        <f>(IF(INDEX('M05-S02'!$AK$16:$AK$198,2*(ROWS($O$270:O276)-1)+1)=INDEX('M05-S02'!$BG$16:$BG$198,2*(ROWS($O$270:O276)-1)+1),0,(INDEX('M05-S02'!$BF$16:$BF$198,2*(ROWS($O$270:O276)-1)+1)-INDEX('M05-S02'!$BG$16:$BG$198,2*(ROWS($O$270:O276)-1)+1))))</f>
        <v>0</v>
      </c>
    </row>
    <row r="277" spans="1:44" x14ac:dyDescent="0.25">
      <c r="A277" s="66">
        <f t="shared" si="95"/>
        <v>0</v>
      </c>
      <c r="B277" s="66" t="str">
        <f t="shared" si="99"/>
        <v/>
      </c>
      <c r="C277" s="66" t="str">
        <f>IFERROR(IF(J277&gt;0,INDEX('M05-S02'!$AY$16:$AY$198,2*(ROWS($C$270:C277)-1)+1),""),"")</f>
        <v/>
      </c>
      <c r="D277" t="s">
        <v>212</v>
      </c>
      <c r="E277" t="str">
        <f>IFERROR(INDEX('M05-S02'!$AW$16:$AW$198,2*(ROWS($E$270:E277)-1)+1),"")</f>
        <v/>
      </c>
      <c r="F277" s="152"/>
      <c r="G277" s="135"/>
      <c r="H277" s="61">
        <f>INDEX('M05-S02'!$AD$16:$AD$198,2*(ROWS($H$270:H277)-1)+1)</f>
        <v>0</v>
      </c>
      <c r="I277" s="61">
        <f>INDEX('M05-S02'!$AF$16:$AF$198,2*(ROWS($I$270:I277)-1)+1)</f>
        <v>0</v>
      </c>
      <c r="J277" s="61" t="str">
        <f>INDEX('M05-S02'!$AH$16:$AH$198,2*(ROWS($J$270:J277)-1)+1)</f>
        <v/>
      </c>
      <c r="K277" t="str">
        <f>IFERROR(INDEX(CMELIGHTCON[Cost Basis],MATCH(INDEX('M05-S02'!$F$16:$F$198,2*(ROWS($K$270:K277)-1)+1),CMELIGHTCON[Proj Desc 1],0)),"")</f>
        <v/>
      </c>
      <c r="L277" s="151">
        <f>IF(ISNUMBER(INDEX('M05-S02'!$AK$16:$AK$198,2*(ROWS($O$270:O277)-1)+1)),INDEX('M05-S02'!$Z$16:$Z$198,2*(ROWS($L$270:L277)-1)+1),0)</f>
        <v>0</v>
      </c>
      <c r="M277" s="151">
        <f>IFERROR(IF(ISNUMBER(INDEX('M05-S02'!$AK$16:$AK$198,2*(ROWS($O$270:O277)-1)+1)),INDEX('M05-S02'!$AO$16:$AO$198,2*(ROWS($M$270:M277)-1)+1),0),"")</f>
        <v>0</v>
      </c>
      <c r="N277" s="189">
        <f>IFERROR(IF(ISNUMBER(INDEX('M05-S02'!$AK$16:$AK$198,2*(ROWS($O$270:O277)-1)+1)),INDEX('M05-S02'!$AV$16:$AV$198,2*(ROWS($N$270:N277)-1)+1),0),"")</f>
        <v>0</v>
      </c>
      <c r="O277" s="61">
        <f>IF(ISNUMBER(INDEX('M05-S02'!$AK$16:$AK$198,2*(ROWS($O$270:O277)-1)+1)),INDEX('M05-S02'!$AK$16:$AK$198,2*(ROWS($O$270:O277)-1)+1),0)</f>
        <v>0</v>
      </c>
      <c r="P277" s="151" t="str">
        <f>IFERROR(IF(NOT(ISNUMBER(INDEX('M05-S02'!$AK$16:$AK$198,2*(ROWS($O$270:O277)-1)+1))),INDEX('M05-S02'!$AO$16:$AO$198,2*(ROWS($O$270:O277)-1)+1),0),"")</f>
        <v/>
      </c>
      <c r="Q277" s="189" t="str">
        <f>IFERROR(IF(NOT(ISNUMBER(INDEX('M05-S02'!$AK$16:$AK$198,2*(ROWS($O$270:O277)-1)+1))),INDEX('M05-S02'!$AV$16:$AV$198,2*(ROWS($O$270:O277)-1)+1),0),"")</f>
        <v/>
      </c>
      <c r="R277" t="str">
        <f>IFERROR(IF(NOT(ISNUMBER(INDEX('M05-S02'!$AK$16:$AK$198,2*(ROWS($O$270:O277)-1)+1))),INDEX(SPILLOVER[Spillover Reason],MATCH(INDEX('M05-S02'!$BC$16:$BC$198,2*(ROWS($O$270:O277)-1)+1),SPILLOVER[Spillover Text],0)),""),"")</f>
        <v>Not Eligible</v>
      </c>
      <c r="S277" s="157"/>
      <c r="T277" s="157"/>
      <c r="U277" s="151">
        <f>INDEX('M05-S02'!$B$16:$B$198,2*(ROWS($U$270:U277)-1)+1)</f>
        <v>8</v>
      </c>
      <c r="V277" s="135"/>
      <c r="W277" s="58">
        <f>INDEX('M05-S01'!$F$16:$F$198,2*(ROWS($W$259:W277)-1)+1)</f>
        <v>0</v>
      </c>
      <c r="X277">
        <f>INDEX('M05-S02'!$M$16:$M$198,2*(ROWS($X$270:X277)-1)+1)</f>
        <v>0</v>
      </c>
      <c r="Y277">
        <f>INDEX('M05-S02'!$U$16:$U$198,2*(ROWS($Y$270:Y277)-1)+1)</f>
        <v>0</v>
      </c>
      <c r="Z277" s="135"/>
      <c r="AA277" s="135"/>
      <c r="AB277" s="135"/>
      <c r="AC277" s="135"/>
      <c r="AD277" s="135"/>
      <c r="AE277" s="151">
        <f>IF(NOT(ISNUMBER(INDEX('M05-S02'!$AK$16:$AK$198,2*(ROWS($O$270:O277)-1)+1))),INDEX('M05-S02'!$Z$16:$Z$198,2*(ROWS($L$270:L277)-1)+1),0)</f>
        <v>0</v>
      </c>
      <c r="AF277" s="151">
        <f>INDEX('M05-S02'!$S$16:$S$198,2*(ROWS($AF$270:AF277)-1)+1)*INDEX('M05-S02'!$Q$16:$Q$198,2*(ROWS($AF$270:AF277)-1)+1)</f>
        <v>0</v>
      </c>
      <c r="AG277" s="151">
        <f>INDEX('M05-S02'!$AB$16:$AB$198,2*(ROWS($AG$270:AG277)-1)+1)*INDEX('M05-S02'!$Z$16:$Z$198,2*(ROWS($AG$270:AG277)-1)+1)</f>
        <v>0</v>
      </c>
      <c r="AH277" s="151" t="str">
        <f t="shared" si="100"/>
        <v/>
      </c>
      <c r="AI277" s="151" t="str">
        <f t="shared" si="101"/>
        <v/>
      </c>
      <c r="AJ277" s="61" t="str">
        <f t="shared" si="102"/>
        <v/>
      </c>
      <c r="AK277" s="61" t="str">
        <f t="shared" si="103"/>
        <v/>
      </c>
      <c r="AL277" s="61" t="str">
        <f t="shared" si="104"/>
        <v/>
      </c>
      <c r="AM277" s="61" t="str">
        <f>INDEX('M05-S02'!$AU$16:$AU$198,2*(ROWS($AM$270:AM277)-1)+1)</f>
        <v/>
      </c>
      <c r="AN277" s="61" t="str">
        <f>INDEX('M05-S02'!$BB$16:$BB$198,2*(ROWS($AN$270:AN277)-1)+1)</f>
        <v/>
      </c>
      <c r="AO277" s="151">
        <f>INDEX('M05-S02'!$Q$16:$Q$198,2*(ROWS($AO$270:AO277)-1)+1)</f>
        <v>0</v>
      </c>
      <c r="AP277" s="152"/>
      <c r="AQ277" s="152"/>
      <c r="AR277" s="416">
        <f>(IF(INDEX('M05-S02'!$AK$16:$AK$198,2*(ROWS($O$270:O277)-1)+1)=INDEX('M05-S02'!$BG$16:$BG$198,2*(ROWS($O$270:O277)-1)+1),0,(INDEX('M05-S02'!$BF$16:$BF$198,2*(ROWS($O$270:O277)-1)+1)-INDEX('M05-S02'!$BG$16:$BG$198,2*(ROWS($O$270:O277)-1)+1))))</f>
        <v>0</v>
      </c>
    </row>
    <row r="278" spans="1:44" x14ac:dyDescent="0.25">
      <c r="A278" s="66">
        <f t="shared" si="95"/>
        <v>0</v>
      </c>
      <c r="B278" s="66" t="str">
        <f t="shared" si="99"/>
        <v/>
      </c>
      <c r="C278" s="66" t="str">
        <f>IFERROR(IF(J278&gt;0,INDEX('M05-S02'!$AY$16:$AY$198,2*(ROWS($C$270:C278)-1)+1),""),"")</f>
        <v/>
      </c>
      <c r="D278" t="s">
        <v>212</v>
      </c>
      <c r="E278" t="str">
        <f>IFERROR(INDEX('M05-S02'!$AW$16:$AW$198,2*(ROWS($E$270:E278)-1)+1),"")</f>
        <v/>
      </c>
      <c r="F278" s="152"/>
      <c r="G278" s="135"/>
      <c r="H278" s="61">
        <f>INDEX('M05-S02'!$AD$16:$AD$198,2*(ROWS($H$270:H278)-1)+1)</f>
        <v>0</v>
      </c>
      <c r="I278" s="61">
        <f>INDEX('M05-S02'!$AF$16:$AF$198,2*(ROWS($I$270:I278)-1)+1)</f>
        <v>0</v>
      </c>
      <c r="J278" s="61" t="str">
        <f>INDEX('M05-S02'!$AH$16:$AH$198,2*(ROWS($J$270:J278)-1)+1)</f>
        <v/>
      </c>
      <c r="K278" t="str">
        <f>IFERROR(INDEX(CMELIGHTCON[Cost Basis],MATCH(INDEX('M05-S02'!$F$16:$F$198,2*(ROWS($K$270:K278)-1)+1),CMELIGHTCON[Proj Desc 1],0)),"")</f>
        <v/>
      </c>
      <c r="L278" s="151">
        <f>IF(ISNUMBER(INDEX('M05-S02'!$AK$16:$AK$198,2*(ROWS($O$270:O278)-1)+1)),INDEX('M05-S02'!$Z$16:$Z$198,2*(ROWS($L$270:L278)-1)+1),0)</f>
        <v>0</v>
      </c>
      <c r="M278" s="151">
        <f>IFERROR(IF(ISNUMBER(INDEX('M05-S02'!$AK$16:$AK$198,2*(ROWS($O$270:O278)-1)+1)),INDEX('M05-S02'!$AO$16:$AO$198,2*(ROWS($M$270:M278)-1)+1),0),"")</f>
        <v>0</v>
      </c>
      <c r="N278" s="189">
        <f>IFERROR(IF(ISNUMBER(INDEX('M05-S02'!$AK$16:$AK$198,2*(ROWS($O$270:O278)-1)+1)),INDEX('M05-S02'!$AV$16:$AV$198,2*(ROWS($N$270:N278)-1)+1),0),"")</f>
        <v>0</v>
      </c>
      <c r="O278" s="61">
        <f>IF(ISNUMBER(INDEX('M05-S02'!$AK$16:$AK$198,2*(ROWS($O$270:O278)-1)+1)),INDEX('M05-S02'!$AK$16:$AK$198,2*(ROWS($O$270:O278)-1)+1),0)</f>
        <v>0</v>
      </c>
      <c r="P278" s="151" t="str">
        <f>IFERROR(IF(NOT(ISNUMBER(INDEX('M05-S02'!$AK$16:$AK$198,2*(ROWS($O$270:O278)-1)+1))),INDEX('M05-S02'!$AO$16:$AO$198,2*(ROWS($O$270:O278)-1)+1),0),"")</f>
        <v/>
      </c>
      <c r="Q278" s="189" t="str">
        <f>IFERROR(IF(NOT(ISNUMBER(INDEX('M05-S02'!$AK$16:$AK$198,2*(ROWS($O$270:O278)-1)+1))),INDEX('M05-S02'!$AV$16:$AV$198,2*(ROWS($O$270:O278)-1)+1),0),"")</f>
        <v/>
      </c>
      <c r="R278" t="str">
        <f>IFERROR(IF(NOT(ISNUMBER(INDEX('M05-S02'!$AK$16:$AK$198,2*(ROWS($O$270:O278)-1)+1))),INDEX(SPILLOVER[Spillover Reason],MATCH(INDEX('M05-S02'!$BC$16:$BC$198,2*(ROWS($O$270:O278)-1)+1),SPILLOVER[Spillover Text],0)),""),"")</f>
        <v>Not Eligible</v>
      </c>
      <c r="S278" s="157"/>
      <c r="T278" s="157"/>
      <c r="U278" s="151">
        <f>INDEX('M05-S02'!$B$16:$B$198,2*(ROWS($U$270:U278)-1)+1)</f>
        <v>9</v>
      </c>
      <c r="V278" s="135"/>
      <c r="W278" s="58">
        <f>INDEX('M05-S01'!$F$16:$F$198,2*(ROWS($W$259:W278)-1)+1)</f>
        <v>0</v>
      </c>
      <c r="X278">
        <f>INDEX('M05-S02'!$M$16:$M$198,2*(ROWS($X$270:X278)-1)+1)</f>
        <v>0</v>
      </c>
      <c r="Y278">
        <f>INDEX('M05-S02'!$U$16:$U$198,2*(ROWS($Y$270:Y278)-1)+1)</f>
        <v>0</v>
      </c>
      <c r="Z278" s="135"/>
      <c r="AA278" s="135"/>
      <c r="AB278" s="135"/>
      <c r="AC278" s="135"/>
      <c r="AD278" s="135"/>
      <c r="AE278" s="151">
        <f>IF(NOT(ISNUMBER(INDEX('M05-S02'!$AK$16:$AK$198,2*(ROWS($O$270:O278)-1)+1))),INDEX('M05-S02'!$Z$16:$Z$198,2*(ROWS($L$270:L278)-1)+1),0)</f>
        <v>0</v>
      </c>
      <c r="AF278" s="151">
        <f>INDEX('M05-S02'!$S$16:$S$198,2*(ROWS($AF$270:AF278)-1)+1)*INDEX('M05-S02'!$Q$16:$Q$198,2*(ROWS($AF$270:AF278)-1)+1)</f>
        <v>0</v>
      </c>
      <c r="AG278" s="151">
        <f>INDEX('M05-S02'!$AB$16:$AB$198,2*(ROWS($AG$270:AG278)-1)+1)*INDEX('M05-S02'!$Z$16:$Z$198,2*(ROWS($AG$270:AG278)-1)+1)</f>
        <v>0</v>
      </c>
      <c r="AH278" s="151" t="str">
        <f t="shared" si="100"/>
        <v/>
      </c>
      <c r="AI278" s="151" t="str">
        <f t="shared" si="101"/>
        <v/>
      </c>
      <c r="AJ278" s="61" t="str">
        <f t="shared" si="102"/>
        <v/>
      </c>
      <c r="AK278" s="61" t="str">
        <f t="shared" si="103"/>
        <v/>
      </c>
      <c r="AL278" s="61" t="str">
        <f t="shared" si="104"/>
        <v/>
      </c>
      <c r="AM278" s="61" t="str">
        <f>INDEX('M05-S02'!$AU$16:$AU$198,2*(ROWS($AM$270:AM278)-1)+1)</f>
        <v/>
      </c>
      <c r="AN278" s="61" t="str">
        <f>INDEX('M05-S02'!$BB$16:$BB$198,2*(ROWS($AN$270:AN278)-1)+1)</f>
        <v/>
      </c>
      <c r="AO278" s="151">
        <f>INDEX('M05-S02'!$Q$16:$Q$198,2*(ROWS($AO$270:AO278)-1)+1)</f>
        <v>0</v>
      </c>
      <c r="AP278" s="152"/>
      <c r="AQ278" s="152"/>
      <c r="AR278" s="416">
        <f>(IF(INDEX('M05-S02'!$AK$16:$AK$198,2*(ROWS($O$270:O278)-1)+1)=INDEX('M05-S02'!$BG$16:$BG$198,2*(ROWS($O$270:O278)-1)+1),0,(INDEX('M05-S02'!$BF$16:$BF$198,2*(ROWS($O$270:O278)-1)+1)-INDEX('M05-S02'!$BG$16:$BG$198,2*(ROWS($O$270:O278)-1)+1))))</f>
        <v>0</v>
      </c>
    </row>
    <row r="279" spans="1:44" x14ac:dyDescent="0.25">
      <c r="A279" s="66">
        <f t="shared" si="95"/>
        <v>0</v>
      </c>
      <c r="B279" s="66" t="str">
        <f t="shared" si="99"/>
        <v/>
      </c>
      <c r="C279" s="66" t="str">
        <f>IFERROR(IF(J279&gt;0,INDEX('M05-S02'!$AY$16:$AY$198,2*(ROWS($C$270:C279)-1)+1),""),"")</f>
        <v/>
      </c>
      <c r="D279" t="s">
        <v>212</v>
      </c>
      <c r="E279" t="str">
        <f>IFERROR(INDEX('M05-S02'!$AW$16:$AW$198,2*(ROWS($E$270:E279)-1)+1),"")</f>
        <v/>
      </c>
      <c r="F279" s="152"/>
      <c r="G279" s="135"/>
      <c r="H279" s="61">
        <f>INDEX('M05-S02'!$AD$16:$AD$198,2*(ROWS($H$270:H279)-1)+1)</f>
        <v>0</v>
      </c>
      <c r="I279" s="61">
        <f>INDEX('M05-S02'!$AF$16:$AF$198,2*(ROWS($I$270:I279)-1)+1)</f>
        <v>0</v>
      </c>
      <c r="J279" s="61" t="str">
        <f>INDEX('M05-S02'!$AH$16:$AH$198,2*(ROWS($J$270:J279)-1)+1)</f>
        <v/>
      </c>
      <c r="K279" t="str">
        <f>IFERROR(INDEX(CMELIGHTCON[Cost Basis],MATCH(INDEX('M05-S02'!$F$16:$F$198,2*(ROWS($K$270:K279)-1)+1),CMELIGHTCON[Proj Desc 1],0)),"")</f>
        <v/>
      </c>
      <c r="L279" s="151">
        <f>IF(ISNUMBER(INDEX('M05-S02'!$AK$16:$AK$198,2*(ROWS($O$270:O279)-1)+1)),INDEX('M05-S02'!$Z$16:$Z$198,2*(ROWS($L$270:L279)-1)+1),0)</f>
        <v>0</v>
      </c>
      <c r="M279" s="151">
        <f>IFERROR(IF(ISNUMBER(INDEX('M05-S02'!$AK$16:$AK$198,2*(ROWS($O$270:O279)-1)+1)),INDEX('M05-S02'!$AO$16:$AO$198,2*(ROWS($M$270:M279)-1)+1),0),"")</f>
        <v>0</v>
      </c>
      <c r="N279" s="189">
        <f>IFERROR(IF(ISNUMBER(INDEX('M05-S02'!$AK$16:$AK$198,2*(ROWS($O$270:O279)-1)+1)),INDEX('M05-S02'!$AV$16:$AV$198,2*(ROWS($N$270:N279)-1)+1),0),"")</f>
        <v>0</v>
      </c>
      <c r="O279" s="61">
        <f>IF(ISNUMBER(INDEX('M05-S02'!$AK$16:$AK$198,2*(ROWS($O$270:O279)-1)+1)),INDEX('M05-S02'!$AK$16:$AK$198,2*(ROWS($O$270:O279)-1)+1),0)</f>
        <v>0</v>
      </c>
      <c r="P279" s="151" t="str">
        <f>IFERROR(IF(NOT(ISNUMBER(INDEX('M05-S02'!$AK$16:$AK$198,2*(ROWS($O$270:O279)-1)+1))),INDEX('M05-S02'!$AO$16:$AO$198,2*(ROWS($O$270:O279)-1)+1),0),"")</f>
        <v/>
      </c>
      <c r="Q279" s="189" t="str">
        <f>IFERROR(IF(NOT(ISNUMBER(INDEX('M05-S02'!$AK$16:$AK$198,2*(ROWS($O$270:O279)-1)+1))),INDEX('M05-S02'!$AV$16:$AV$198,2*(ROWS($O$270:O279)-1)+1),0),"")</f>
        <v/>
      </c>
      <c r="R279" t="str">
        <f>IFERROR(IF(NOT(ISNUMBER(INDEX('M05-S02'!$AK$16:$AK$198,2*(ROWS($O$270:O279)-1)+1))),INDEX(SPILLOVER[Spillover Reason],MATCH(INDEX('M05-S02'!$BC$16:$BC$198,2*(ROWS($O$270:O279)-1)+1),SPILLOVER[Spillover Text],0)),""),"")</f>
        <v>Not Eligible</v>
      </c>
      <c r="S279" s="157"/>
      <c r="T279" s="157"/>
      <c r="U279" s="151">
        <f>INDEX('M05-S02'!$B$16:$B$198,2*(ROWS($U$270:U279)-1)+1)</f>
        <v>10</v>
      </c>
      <c r="V279" s="135"/>
      <c r="W279" s="58">
        <f>INDEX('M05-S01'!$F$16:$F$198,2*(ROWS($W$259:W279)-1)+1)</f>
        <v>0</v>
      </c>
      <c r="X279">
        <f>INDEX('M05-S02'!$M$16:$M$198,2*(ROWS($X$270:X279)-1)+1)</f>
        <v>0</v>
      </c>
      <c r="Y279">
        <f>INDEX('M05-S02'!$U$16:$U$198,2*(ROWS($Y$270:Y279)-1)+1)</f>
        <v>0</v>
      </c>
      <c r="Z279" s="135"/>
      <c r="AA279" s="135"/>
      <c r="AB279" s="135"/>
      <c r="AC279" s="135"/>
      <c r="AD279" s="135"/>
      <c r="AE279" s="151">
        <f>IF(NOT(ISNUMBER(INDEX('M05-S02'!$AK$16:$AK$198,2*(ROWS($O$270:O279)-1)+1))),INDEX('M05-S02'!$Z$16:$Z$198,2*(ROWS($L$270:L279)-1)+1),0)</f>
        <v>0</v>
      </c>
      <c r="AF279" s="151">
        <f>INDEX('M05-S02'!$S$16:$S$198,2*(ROWS($AF$270:AF279)-1)+1)*INDEX('M05-S02'!$Q$16:$Q$198,2*(ROWS($AF$270:AF279)-1)+1)</f>
        <v>0</v>
      </c>
      <c r="AG279" s="151">
        <f>INDEX('M05-S02'!$AB$16:$AB$198,2*(ROWS($AG$270:AG279)-1)+1)*INDEX('M05-S02'!$Z$16:$Z$198,2*(ROWS($AG$270:AG279)-1)+1)</f>
        <v>0</v>
      </c>
      <c r="AH279" s="151" t="str">
        <f t="shared" si="100"/>
        <v/>
      </c>
      <c r="AI279" s="151" t="str">
        <f t="shared" si="101"/>
        <v/>
      </c>
      <c r="AJ279" s="61" t="str">
        <f t="shared" si="102"/>
        <v/>
      </c>
      <c r="AK279" s="61" t="str">
        <f t="shared" si="103"/>
        <v/>
      </c>
      <c r="AL279" s="61" t="str">
        <f t="shared" si="104"/>
        <v/>
      </c>
      <c r="AM279" s="61" t="str">
        <f>INDEX('M05-S02'!$AU$16:$AU$198,2*(ROWS($AM$270:AM279)-1)+1)</f>
        <v/>
      </c>
      <c r="AN279" s="61" t="str">
        <f>INDEX('M05-S02'!$BB$16:$BB$198,2*(ROWS($AN$270:AN279)-1)+1)</f>
        <v/>
      </c>
      <c r="AO279" s="151">
        <f>INDEX('M05-S02'!$Q$16:$Q$198,2*(ROWS($AO$270:AO279)-1)+1)</f>
        <v>0</v>
      </c>
      <c r="AP279" s="152"/>
      <c r="AQ279" s="152"/>
      <c r="AR279" s="416">
        <f>(IF(INDEX('M05-S02'!$AK$16:$AK$198,2*(ROWS($O$270:O279)-1)+1)=INDEX('M05-S02'!$BG$16:$BG$198,2*(ROWS($O$270:O279)-1)+1),0,(INDEX('M05-S02'!$BF$16:$BF$198,2*(ROWS($O$270:O279)-1)+1)-INDEX('M05-S02'!$BG$16:$BG$198,2*(ROWS($O$270:O279)-1)+1))))</f>
        <v>0</v>
      </c>
    </row>
    <row r="280" spans="1:44" x14ac:dyDescent="0.25">
      <c r="A280" s="66">
        <f t="shared" si="95"/>
        <v>0</v>
      </c>
      <c r="B280" s="66" t="str">
        <f t="shared" si="99"/>
        <v/>
      </c>
      <c r="C280" s="66" t="str">
        <f>IFERROR(IF(J280&gt;0,INDEX('M05-S02'!$AY$16:$AY$198,2*(ROWS($C$270:C280)-1)+1),""),"")</f>
        <v/>
      </c>
      <c r="D280" t="s">
        <v>212</v>
      </c>
      <c r="E280">
        <f>IFERROR(INDEX('M05-S02'!$AW$16:$AW$198,2*(ROWS($E$270:E280)-1)+1),"")</f>
        <v>0</v>
      </c>
      <c r="F280" s="152"/>
      <c r="G280" s="135"/>
      <c r="H280" s="61">
        <f>INDEX('M05-S02'!$AD$16:$AD$198,2*(ROWS($H$270:H280)-1)+1)</f>
        <v>0</v>
      </c>
      <c r="I280" s="61">
        <f>INDEX('M05-S02'!$AF$16:$AF$198,2*(ROWS($I$270:I280)-1)+1)</f>
        <v>0</v>
      </c>
      <c r="J280" s="61">
        <f>INDEX('M05-S02'!$AH$16:$AH$198,2*(ROWS($J$270:J280)-1)+1)</f>
        <v>0</v>
      </c>
      <c r="K280" t="str">
        <f>IFERROR(INDEX(CMELIGHTCON[Cost Basis],MATCH(INDEX('M05-S02'!$F$16:$F$198,2*(ROWS($K$270:K280)-1)+1),CMELIGHTCON[Proj Desc 1],0)),"")</f>
        <v/>
      </c>
      <c r="L280" s="151">
        <f>IF(ISNUMBER(INDEX('M05-S02'!$AK$16:$AK$198,2*(ROWS($O$270:O280)-1)+1)),INDEX('M05-S02'!$Z$16:$Z$198,2*(ROWS($L$270:L280)-1)+1),0)</f>
        <v>0</v>
      </c>
      <c r="M280" s="151">
        <f>IFERROR(IF(ISNUMBER(INDEX('M05-S02'!$AK$16:$AK$198,2*(ROWS($O$270:O280)-1)+1)),INDEX('M05-S02'!$AO$16:$AO$198,2*(ROWS($M$270:M280)-1)+1),0),"")</f>
        <v>0</v>
      </c>
      <c r="N280" s="189">
        <f>IFERROR(IF(ISNUMBER(INDEX('M05-S02'!$AK$16:$AK$198,2*(ROWS($O$270:O280)-1)+1)),INDEX('M05-S02'!$AV$16:$AV$198,2*(ROWS($N$270:N280)-1)+1),0),"")</f>
        <v>0</v>
      </c>
      <c r="O280" s="61">
        <f>IF(ISNUMBER(INDEX('M05-S02'!$AK$16:$AK$198,2*(ROWS($O$270:O280)-1)+1)),INDEX('M05-S02'!$AK$16:$AK$198,2*(ROWS($O$270:O280)-1)+1),0)</f>
        <v>0</v>
      </c>
      <c r="P280" s="151">
        <f>IFERROR(IF(NOT(ISNUMBER(INDEX('M05-S02'!$AK$16:$AK$198,2*(ROWS($O$270:O280)-1)+1))),INDEX('M05-S02'!$AO$16:$AO$198,2*(ROWS($O$270:O280)-1)+1),0),"")</f>
        <v>0</v>
      </c>
      <c r="Q280" s="189">
        <f>IFERROR(IF(NOT(ISNUMBER(INDEX('M05-S02'!$AK$16:$AK$198,2*(ROWS($O$270:O280)-1)+1))),INDEX('M05-S02'!$AV$16:$AV$198,2*(ROWS($O$270:O280)-1)+1),0),"")</f>
        <v>0</v>
      </c>
      <c r="R280" t="str">
        <f>IFERROR(IF(NOT(ISNUMBER(INDEX('M05-S02'!$AK$16:$AK$198,2*(ROWS($O$270:O280)-1)+1))),INDEX(SPILLOVER[Spillover Reason],MATCH(INDEX('M05-S02'!$BC$16:$BC$198,2*(ROWS($O$270:O280)-1)+1),SPILLOVER[Spillover Text],0)),""),"")</f>
        <v/>
      </c>
      <c r="S280" s="157"/>
      <c r="T280" s="157"/>
      <c r="U280" s="151">
        <f>INDEX('M05-S02'!$B$16:$B$198,2*(ROWS($U$270:U280)-1)+1)</f>
        <v>11</v>
      </c>
      <c r="V280" s="135"/>
      <c r="W280" s="58">
        <f>INDEX('M05-S01'!$F$16:$F$198,2*(ROWS($W$259:W280)-1)+1)</f>
        <v>0</v>
      </c>
      <c r="X280">
        <f>INDEX('M05-S02'!$M$16:$M$198,2*(ROWS($X$270:X280)-1)+1)</f>
        <v>0</v>
      </c>
      <c r="Y280">
        <f>INDEX('M05-S02'!$U$16:$U$198,2*(ROWS($Y$270:Y280)-1)+1)</f>
        <v>0</v>
      </c>
      <c r="Z280" s="135"/>
      <c r="AA280" s="135"/>
      <c r="AB280" s="135"/>
      <c r="AC280" s="135"/>
      <c r="AD280" s="135"/>
      <c r="AE280" s="151">
        <f>IF(NOT(ISNUMBER(INDEX('M05-S02'!$AK$16:$AK$198,2*(ROWS($O$270:O280)-1)+1))),INDEX('M05-S02'!$Z$16:$Z$198,2*(ROWS($L$270:L280)-1)+1),0)</f>
        <v>0</v>
      </c>
      <c r="AF280" s="151">
        <f>INDEX('M05-S02'!$S$16:$S$198,2*(ROWS($AF$270:AF280)-1)+1)*INDEX('M05-S02'!$Q$16:$Q$198,2*(ROWS($AF$270:AF280)-1)+1)</f>
        <v>0</v>
      </c>
      <c r="AG280" s="151">
        <f>INDEX('M05-S02'!$AB$16:$AB$198,2*(ROWS($AG$270:AG280)-1)+1)*INDEX('M05-S02'!$Z$16:$Z$198,2*(ROWS($AG$270:AG280)-1)+1)</f>
        <v>0</v>
      </c>
      <c r="AH280" s="151" t="str">
        <f t="shared" si="100"/>
        <v/>
      </c>
      <c r="AI280" s="151" t="str">
        <f t="shared" si="101"/>
        <v/>
      </c>
      <c r="AJ280" s="61" t="str">
        <f t="shared" si="102"/>
        <v/>
      </c>
      <c r="AK280" s="61" t="str">
        <f t="shared" si="103"/>
        <v/>
      </c>
      <c r="AL280" s="61" t="str">
        <f t="shared" si="104"/>
        <v/>
      </c>
      <c r="AM280" s="61">
        <f>INDEX('M05-S02'!$AU$16:$AU$198,2*(ROWS($AM$270:AM280)-1)+1)</f>
        <v>0</v>
      </c>
      <c r="AN280" s="61">
        <f>INDEX('M05-S02'!$BB$16:$BB$198,2*(ROWS($AN$270:AN280)-1)+1)</f>
        <v>0</v>
      </c>
      <c r="AO280" s="151">
        <f>INDEX('M05-S02'!$Q$16:$Q$198,2*(ROWS($AO$270:AO280)-1)+1)</f>
        <v>0</v>
      </c>
      <c r="AP280" s="152"/>
      <c r="AQ280" s="152"/>
      <c r="AR280" s="416">
        <f>(IF(INDEX('M05-S02'!$AK$16:$AK$198,2*(ROWS($O$270:O280)-1)+1)=INDEX('M05-S02'!$BG$16:$BG$198,2*(ROWS($O$270:O280)-1)+1),0,(INDEX('M05-S02'!$BF$16:$BF$198,2*(ROWS($O$270:O280)-1)+1)-INDEX('M05-S02'!$BG$16:$BG$198,2*(ROWS($O$270:O280)-1)+1))))</f>
        <v>0</v>
      </c>
    </row>
    <row r="281" spans="1:44" x14ac:dyDescent="0.25">
      <c r="A281" s="417" t="str">
        <f>CONCATENATE(MAIN5," ",M5S3)</f>
        <v>CUSTOM MEASURES Commercial Cooking / Water Heating</v>
      </c>
      <c r="B281" s="210"/>
      <c r="C281" s="210"/>
      <c r="D281" s="178"/>
      <c r="E281" s="178"/>
      <c r="F281" s="179"/>
      <c r="G281" s="178"/>
      <c r="H281" s="180"/>
      <c r="I281" s="180"/>
      <c r="J281" s="180"/>
      <c r="K281" s="178"/>
      <c r="L281" s="179"/>
      <c r="M281" s="179"/>
      <c r="N281" s="192"/>
      <c r="O281" s="180"/>
      <c r="P281" s="179"/>
      <c r="Q281" s="192"/>
      <c r="R281" s="178"/>
      <c r="S281" s="181"/>
      <c r="T281" s="181"/>
      <c r="U281" s="179"/>
      <c r="V281" s="178"/>
      <c r="W281" s="182"/>
      <c r="X281" s="178"/>
      <c r="Y281" s="178"/>
      <c r="Z281" s="183"/>
      <c r="AA281" s="178"/>
      <c r="AB281" s="178"/>
      <c r="AC281" s="178"/>
      <c r="AD281" s="178"/>
      <c r="AE281" s="179"/>
      <c r="AF281" s="179"/>
      <c r="AG281" s="179"/>
      <c r="AH281" s="179"/>
      <c r="AI281" s="179"/>
      <c r="AJ281" s="180" t="str">
        <f>IFERROR(O281/M281,"")</f>
        <v/>
      </c>
      <c r="AK281" s="180" t="str">
        <f>IFERROR(O281/N281,"")</f>
        <v/>
      </c>
      <c r="AL281" s="180" t="str">
        <f>IFERROR(O281/L281,"")</f>
        <v/>
      </c>
      <c r="AM281" s="180"/>
      <c r="AN281" s="180"/>
      <c r="AO281" s="179"/>
      <c r="AP281" s="179"/>
      <c r="AQ281" s="179"/>
      <c r="AR281" s="412"/>
    </row>
    <row r="282" spans="1:44" x14ac:dyDescent="0.25">
      <c r="A282" s="66">
        <f t="shared" ref="A282:A291" si="105">PROJID</f>
        <v>0</v>
      </c>
      <c r="B282" s="66" t="str">
        <f>IF(C282="","",CONCATENATE(ROW(),"-",C282))</f>
        <v/>
      </c>
      <c r="C282" s="66" t="str">
        <f>IFERROR(IF(J282&gt;0,INDEX('M05-S03'!$AY$16:$AY$198,2*(ROWS($C$282:C282)-1)+1),""),"")</f>
        <v/>
      </c>
      <c r="D282" t="s">
        <v>212</v>
      </c>
      <c r="E282" t="str">
        <f>IFERROR(INDEX('M05-S03'!$AW$16:$AW$198,2*(ROWS($E$282:E282)-1)+1),"")</f>
        <v/>
      </c>
      <c r="F282" s="152"/>
      <c r="G282" s="135"/>
      <c r="H282" s="61">
        <f>INDEX('M05-S03'!$AD$16:$AD$198,2*(ROWS($H$282:H282)-1)+1)</f>
        <v>0</v>
      </c>
      <c r="I282" s="61">
        <f>INDEX('M05-S03'!$AF$16:$AF$198,2*(ROWS($I$282:I282)-1)+1)</f>
        <v>0</v>
      </c>
      <c r="J282" s="61" t="str">
        <f>INDEX('M05-S03'!$AH$16:$AH$198,2*(ROWS($J$282:J282)-1)+1)</f>
        <v/>
      </c>
      <c r="K282" t="str">
        <f>IFERROR(INDEX(CMECOOK[Cost Basis],MATCH(INDEX('M05-S03'!$F$16:$F$198,2*(ROWS($K$282:K282)-1)+1),CMECOOK[Proj Desc 1],0)),"")</f>
        <v/>
      </c>
      <c r="L282" s="151">
        <f>IF(ISNUMBER(INDEX('M05-S03'!$AK$16:$AK$198,2*(ROWS($O$282:O282)-1)+1)),INDEX('M05-S03'!$Z$16:$Z$198,2*(ROWS($L$282:L282)-1)+1),0)</f>
        <v>0</v>
      </c>
      <c r="M282" s="151">
        <f>IFERROR(IF(ISNUMBER(INDEX('M05-S03'!$AK$16:$AK$198,2*(ROWS($O$282:O282)-1)+1)),INDEX('M05-S03'!$AO$16:$AO$198,2*(ROWS($M$282:M282)-1)+1),0),"")</f>
        <v>0</v>
      </c>
      <c r="N282" s="189">
        <f>IFERROR(IF(ISNUMBER(INDEX('M05-S03'!$AK$16:$AK$198,2*(ROWS($O$282:O282)-1)+1)),INDEX('M05-S03'!$AV$16:$AV$198,2*(ROWS($N$282:N282)-1)+1),0),"")</f>
        <v>0</v>
      </c>
      <c r="O282" s="61">
        <f>IF(ISNUMBER(INDEX('M05-S03'!$AK$16:$AK$198,2*(ROWS($O$282:O282)-1)+1)),INDEX('M05-S03'!$AK$16:$AK$198,2*(ROWS($O$282:O282)-1)+1),0)</f>
        <v>0</v>
      </c>
      <c r="P282" s="151" t="str">
        <f>IFERROR(IF(NOT(ISNUMBER(INDEX('M05-S03'!$AK$16:$AK$198,2*(ROWS($O$282:O282)-1)+1))),INDEX('M05-S03'!$AO$16:$AO$198,2*(ROWS($O$282:O282)-1)+1),0),"")</f>
        <v/>
      </c>
      <c r="Q282" s="189" t="str">
        <f>IFERROR(IF(NOT(ISNUMBER(INDEX('M05-S03'!$AK$16:$AK$198,2*(ROWS($O$282:O282)-1)+1))),INDEX('M05-S03'!$AV$16:$AV$198,2*(ROWS($O$282:O282)-1)+1),0),"")</f>
        <v/>
      </c>
      <c r="R282" t="str">
        <f>IFERROR(IF(NOT(ISNUMBER(INDEX('M05-S03'!$AK$16:$AK$198,2*(ROWS($O$282:O282)-1)+1))),INDEX(SPILLOVER[Spillover Reason],MATCH(INDEX('M05-S03'!$BC$16:$BC$198,2*(ROWS($O$282:O282)-1)+1),SPILLOVER[Spillover Text],0)),""),"")</f>
        <v>Not Eligible</v>
      </c>
      <c r="S282" s="157"/>
      <c r="T282" s="157"/>
      <c r="U282" s="151">
        <f>INDEX('M05-S03'!$B$16:$B$198,2*(ROWS($U$282:U282)-1)+1)</f>
        <v>1</v>
      </c>
      <c r="V282" s="135"/>
      <c r="W282" s="58">
        <f>INDEX('M05-S03'!$F$16:$F$198,2*(ROWS($W$282:W282)-1)+1)</f>
        <v>0</v>
      </c>
      <c r="X282">
        <f>INDEX('M05-S03'!$L$16:$L$198,2*(ROWS($X$282:X282)-1)+1)</f>
        <v>0</v>
      </c>
      <c r="Y282">
        <f>INDEX('M05-S03'!$U$16:$U$198,2*(ROWS($Y$282:Y282)-1)+1)</f>
        <v>0</v>
      </c>
      <c r="Z282" s="135"/>
      <c r="AA282" s="135"/>
      <c r="AB282" s="135"/>
      <c r="AC282" s="135"/>
      <c r="AD282" s="135"/>
      <c r="AE282" s="151">
        <f>IF(NOT(ISNUMBER(INDEX('M05-S03'!$AK$16:$AK$198,2*(ROWS($O$282:O282)-1)+1))),INDEX('M05-S03'!$Z$16:$Z$198,2*(ROWS($L$282:L282)-1)+1),0)</f>
        <v>0</v>
      </c>
      <c r="AF282" s="151">
        <f>INDEX('M05-S03'!$S$16:$S$198,2*(ROWS($AF$282:AF282)-1)+1)*INDEX('M05-S03'!$Q$16:$Q$198,2*(ROWS($AF$282:AF282)-1)+1)</f>
        <v>0</v>
      </c>
      <c r="AG282" s="151">
        <f>INDEX('M05-S03'!$AB$16:$AB$198,2*(ROWS($AG$282:AG282)-1)+1)*INDEX('M05-S03'!$Z$16:$Z$198,2*(ROWS($AG$282:AG282)-1)+1)</f>
        <v>0</v>
      </c>
      <c r="AH282" s="151" t="str">
        <f>IFERROR(AF282/AO282,"")</f>
        <v/>
      </c>
      <c r="AI282" s="151" t="str">
        <f>IFERROR(AG282/L282,"")</f>
        <v/>
      </c>
      <c r="AJ282" s="61" t="str">
        <f>IFERROR(O282/M282,"")</f>
        <v/>
      </c>
      <c r="AK282" s="61" t="str">
        <f>IFERROR(O282/N282,"")</f>
        <v/>
      </c>
      <c r="AL282" s="61" t="str">
        <f>IFERROR(O282/L282,"")</f>
        <v/>
      </c>
      <c r="AM282" s="61" t="str">
        <f>INDEX('M05-S03'!$AU$16:$AU$198,2*(ROWS($AM$282:AM282)-1)+1)</f>
        <v/>
      </c>
      <c r="AN282" s="61" t="str">
        <f>INDEX('M05-S03'!$BB$16:$BB$198,2*(ROWS($AN$282:AN282)-1)+1)</f>
        <v/>
      </c>
      <c r="AO282" s="151">
        <f>INDEX('M05-S03'!$Q$16:$Q$198,2*(ROWS($AO$282:AO282)-1)+1)</f>
        <v>0</v>
      </c>
      <c r="AP282" s="152"/>
      <c r="AQ282" s="152"/>
      <c r="AR282" s="416"/>
    </row>
    <row r="283" spans="1:44" x14ac:dyDescent="0.25">
      <c r="A283" s="66">
        <f t="shared" si="105"/>
        <v>0</v>
      </c>
      <c r="B283" s="66" t="str">
        <f t="shared" ref="B283:B291" si="106">IF(C283="","",CONCATENATE(ROW(),"-",C283))</f>
        <v/>
      </c>
      <c r="C283" s="66" t="str">
        <f>IFERROR(IF(J283&gt;0,INDEX('M05-S03'!$AY$16:$AY$198,2*(ROWS($C$282:C283)-1)+1),""),"")</f>
        <v/>
      </c>
      <c r="D283" t="s">
        <v>212</v>
      </c>
      <c r="E283" t="str">
        <f>IFERROR(INDEX('M05-S03'!$AW$16:$AW$198,2*(ROWS($E$282:E283)-1)+1),"")</f>
        <v/>
      </c>
      <c r="F283" s="152"/>
      <c r="G283" s="135"/>
      <c r="H283" s="61">
        <f>INDEX('M05-S03'!$AD$16:$AD$198,2*(ROWS($H$282:H283)-1)+1)</f>
        <v>0</v>
      </c>
      <c r="I283" s="61">
        <f>INDEX('M05-S03'!$AF$16:$AF$198,2*(ROWS($I$282:I283)-1)+1)</f>
        <v>0</v>
      </c>
      <c r="J283" s="61" t="str">
        <f>INDEX('M05-S03'!$AH$16:$AH$198,2*(ROWS($J$282:J283)-1)+1)</f>
        <v/>
      </c>
      <c r="K283" t="str">
        <f>IFERROR(INDEX(CMECOOK[Cost Basis],MATCH(INDEX('M05-S03'!$F$16:$F$198,2*(ROWS($K$282:K283)-1)+1),CMECOOK[Proj Desc 1],0)),"")</f>
        <v/>
      </c>
      <c r="L283" s="151">
        <f>IF(ISNUMBER(INDEX('M05-S03'!$AK$16:$AK$198,2*(ROWS($O$282:O283)-1)+1)),INDEX('M05-S03'!$Z$16:$Z$198,2*(ROWS($L$282:L283)-1)+1),0)</f>
        <v>0</v>
      </c>
      <c r="M283" s="151">
        <f>IFERROR(IF(ISNUMBER(INDEX('M05-S03'!$AK$16:$AK$198,2*(ROWS($O$282:O283)-1)+1)),INDEX('M05-S03'!$AO$16:$AO$198,2*(ROWS($M$282:M283)-1)+1),0),"")</f>
        <v>0</v>
      </c>
      <c r="N283" s="189">
        <f>IFERROR(IF(ISNUMBER(INDEX('M05-S03'!$AK$16:$AK$198,2*(ROWS($O$282:O283)-1)+1)),INDEX('M05-S03'!$AV$16:$AV$198,2*(ROWS($N$282:N283)-1)+1),0),"")</f>
        <v>0</v>
      </c>
      <c r="O283" s="61">
        <f>IF(ISNUMBER(INDEX('M05-S03'!$AK$16:$AK$198,2*(ROWS($O$282:O283)-1)+1)),INDEX('M05-S03'!$AK$16:$AK$198,2*(ROWS($O$282:O283)-1)+1),0)</f>
        <v>0</v>
      </c>
      <c r="P283" s="151" t="str">
        <f>IFERROR(IF(NOT(ISNUMBER(INDEX('M05-S03'!$AK$16:$AK$198,2*(ROWS($O$282:O283)-1)+1))),INDEX('M05-S03'!$AO$16:$AO$198,2*(ROWS($O$282:O283)-1)+1),0),"")</f>
        <v/>
      </c>
      <c r="Q283" s="189" t="str">
        <f>IFERROR(IF(NOT(ISNUMBER(INDEX('M05-S03'!$AK$16:$AK$198,2*(ROWS($O$282:O283)-1)+1))),INDEX('M05-S03'!$AV$16:$AV$198,2*(ROWS($O$282:O283)-1)+1),0),"")</f>
        <v/>
      </c>
      <c r="R283" t="str">
        <f>IFERROR(IF(NOT(ISNUMBER(INDEX('M05-S03'!$AK$16:$AK$198,2*(ROWS($O$282:O283)-1)+1))),INDEX(SPILLOVER[Spillover Reason],MATCH(INDEX('M05-S03'!$BC$16:$BC$198,2*(ROWS($O$282:O283)-1)+1),SPILLOVER[Spillover Text],0)),""),"")</f>
        <v>Not Eligible</v>
      </c>
      <c r="S283" s="157"/>
      <c r="T283" s="157"/>
      <c r="U283" s="151">
        <f>INDEX('M05-S03'!$B$16:$B$198,2*(ROWS($U$282:U283)-1)+1)</f>
        <v>2</v>
      </c>
      <c r="V283" s="135"/>
      <c r="W283" s="58">
        <f>INDEX('M05-S03'!$F$16:$F$198,2*(ROWS($W$282:W283)-1)+1)</f>
        <v>0</v>
      </c>
      <c r="X283">
        <f>INDEX('M05-S03'!$L$16:$L$198,2*(ROWS($X$282:X283)-1)+1)</f>
        <v>0</v>
      </c>
      <c r="Y283">
        <f>INDEX('M05-S03'!$U$16:$U$198,2*(ROWS($Y$282:Y283)-1)+1)</f>
        <v>0</v>
      </c>
      <c r="Z283" s="135"/>
      <c r="AA283" s="135"/>
      <c r="AB283" s="135"/>
      <c r="AC283" s="135"/>
      <c r="AD283" s="135"/>
      <c r="AE283" s="151">
        <f>IF(NOT(ISNUMBER(INDEX('M05-S03'!$AK$16:$AK$198,2*(ROWS($O$282:O283)-1)+1))),INDEX('M05-S03'!$Z$16:$Z$198,2*(ROWS($L$282:L283)-1)+1),0)</f>
        <v>0</v>
      </c>
      <c r="AF283" s="151">
        <f>INDEX('M05-S03'!$S$16:$S$198,2*(ROWS($AF$282:AF283)-1)+1)*INDEX('M05-S03'!$Q$16:$Q$198,2*(ROWS($AF$282:AF283)-1)+1)</f>
        <v>0</v>
      </c>
      <c r="AG283" s="151">
        <f>INDEX('M05-S03'!$AB$16:$AB$198,2*(ROWS($AG$282:AG283)-1)+1)*INDEX('M05-S03'!$Z$16:$Z$198,2*(ROWS($AG$282:AG283)-1)+1)</f>
        <v>0</v>
      </c>
      <c r="AH283" s="151" t="str">
        <f t="shared" ref="AH283:AH291" si="107">IFERROR(AF283/AO283,"")</f>
        <v/>
      </c>
      <c r="AI283" s="151" t="str">
        <f t="shared" ref="AI283:AI291" si="108">IFERROR(AG283/L283,"")</f>
        <v/>
      </c>
      <c r="AJ283" s="61" t="str">
        <f t="shared" ref="AJ283:AJ291" si="109">IFERROR(O283/M283,"")</f>
        <v/>
      </c>
      <c r="AK283" s="61" t="str">
        <f t="shared" ref="AK283:AK291" si="110">IFERROR(O283/N283,"")</f>
        <v/>
      </c>
      <c r="AL283" s="61" t="str">
        <f t="shared" ref="AL283:AL291" si="111">IFERROR(O283/L283,"")</f>
        <v/>
      </c>
      <c r="AM283" s="61" t="str">
        <f>INDEX('M05-S03'!$AU$16:$AU$198,2*(ROWS($AM$282:AM283)-1)+1)</f>
        <v/>
      </c>
      <c r="AN283" s="61" t="str">
        <f>INDEX('M05-S03'!$BB$16:$BB$198,2*(ROWS($AN$282:AN283)-1)+1)</f>
        <v/>
      </c>
      <c r="AO283" s="151">
        <f>INDEX('M05-S03'!$Q$16:$Q$198,2*(ROWS($AO$282:AO283)-1)+1)</f>
        <v>0</v>
      </c>
      <c r="AP283" s="152"/>
      <c r="AQ283" s="152"/>
      <c r="AR283" s="416"/>
    </row>
    <row r="284" spans="1:44" x14ac:dyDescent="0.25">
      <c r="A284" s="66">
        <f t="shared" si="105"/>
        <v>0</v>
      </c>
      <c r="B284" s="66" t="str">
        <f t="shared" si="106"/>
        <v/>
      </c>
      <c r="C284" s="66" t="str">
        <f>IFERROR(IF(J284&gt;0,INDEX('M05-S03'!$AY$16:$AY$198,2*(ROWS($C$282:C284)-1)+1),""),"")</f>
        <v/>
      </c>
      <c r="D284" t="s">
        <v>212</v>
      </c>
      <c r="E284" t="str">
        <f>IFERROR(INDEX('M05-S03'!$AW$16:$AW$198,2*(ROWS($E$282:E284)-1)+1),"")</f>
        <v/>
      </c>
      <c r="F284" s="152"/>
      <c r="G284" s="135"/>
      <c r="H284" s="61">
        <f>INDEX('M05-S03'!$AD$16:$AD$198,2*(ROWS($H$282:H284)-1)+1)</f>
        <v>0</v>
      </c>
      <c r="I284" s="61">
        <f>INDEX('M05-S03'!$AF$16:$AF$198,2*(ROWS($I$282:I284)-1)+1)</f>
        <v>0</v>
      </c>
      <c r="J284" s="61" t="str">
        <f>INDEX('M05-S03'!$AH$16:$AH$198,2*(ROWS($J$282:J284)-1)+1)</f>
        <v/>
      </c>
      <c r="K284" t="str">
        <f>IFERROR(INDEX(CMECOOK[Cost Basis],MATCH(INDEX('M05-S03'!$F$16:$F$198,2*(ROWS($K$282:K284)-1)+1),CMECOOK[Proj Desc 1],0)),"")</f>
        <v/>
      </c>
      <c r="L284" s="151">
        <f>IF(ISNUMBER(INDEX('M05-S03'!$AK$16:$AK$198,2*(ROWS($O$282:O284)-1)+1)),INDEX('M05-S03'!$Z$16:$Z$198,2*(ROWS($L$282:L284)-1)+1),0)</f>
        <v>0</v>
      </c>
      <c r="M284" s="151">
        <f>IFERROR(IF(ISNUMBER(INDEX('M05-S03'!$AK$16:$AK$198,2*(ROWS($O$282:O284)-1)+1)),INDEX('M05-S03'!$AO$16:$AO$198,2*(ROWS($M$282:M284)-1)+1),0),"")</f>
        <v>0</v>
      </c>
      <c r="N284" s="189">
        <f>IFERROR(IF(ISNUMBER(INDEX('M05-S03'!$AK$16:$AK$198,2*(ROWS($O$282:O284)-1)+1)),INDEX('M05-S03'!$AV$16:$AV$198,2*(ROWS($N$282:N284)-1)+1),0),"")</f>
        <v>0</v>
      </c>
      <c r="O284" s="61">
        <f>IF(ISNUMBER(INDEX('M05-S03'!$AK$16:$AK$198,2*(ROWS($O$282:O284)-1)+1)),INDEX('M05-S03'!$AK$16:$AK$198,2*(ROWS($O$282:O284)-1)+1),0)</f>
        <v>0</v>
      </c>
      <c r="P284" s="151" t="str">
        <f>IFERROR(IF(NOT(ISNUMBER(INDEX('M05-S03'!$AK$16:$AK$198,2*(ROWS($O$282:O284)-1)+1))),INDEX('M05-S03'!$AO$16:$AO$198,2*(ROWS($O$282:O284)-1)+1),0),"")</f>
        <v/>
      </c>
      <c r="Q284" s="189" t="str">
        <f>IFERROR(IF(NOT(ISNUMBER(INDEX('M05-S03'!$AK$16:$AK$198,2*(ROWS($O$282:O284)-1)+1))),INDEX('M05-S03'!$AV$16:$AV$198,2*(ROWS($O$282:O284)-1)+1),0),"")</f>
        <v/>
      </c>
      <c r="R284" t="str">
        <f>IFERROR(IF(NOT(ISNUMBER(INDEX('M05-S03'!$AK$16:$AK$198,2*(ROWS($O$282:O284)-1)+1))),INDEX(SPILLOVER[Spillover Reason],MATCH(INDEX('M05-S03'!$BC$16:$BC$198,2*(ROWS($O$282:O284)-1)+1),SPILLOVER[Spillover Text],0)),""),"")</f>
        <v>Not Eligible</v>
      </c>
      <c r="S284" s="157"/>
      <c r="T284" s="157"/>
      <c r="U284" s="151">
        <f>INDEX('M05-S03'!$B$16:$B$198,2*(ROWS($U$282:U284)-1)+1)</f>
        <v>3</v>
      </c>
      <c r="V284" s="135"/>
      <c r="W284" s="58">
        <f>INDEX('M05-S03'!$F$16:$F$198,2*(ROWS($W$282:W284)-1)+1)</f>
        <v>0</v>
      </c>
      <c r="X284">
        <f>INDEX('M05-S03'!$L$16:$L$198,2*(ROWS($X$282:X284)-1)+1)</f>
        <v>0</v>
      </c>
      <c r="Y284">
        <f>INDEX('M05-S03'!$U$16:$U$198,2*(ROWS($Y$282:Y284)-1)+1)</f>
        <v>0</v>
      </c>
      <c r="Z284" s="135"/>
      <c r="AA284" s="135"/>
      <c r="AB284" s="135"/>
      <c r="AC284" s="135"/>
      <c r="AD284" s="135"/>
      <c r="AE284" s="151">
        <f>IF(NOT(ISNUMBER(INDEX('M05-S03'!$AK$16:$AK$198,2*(ROWS($O$282:O284)-1)+1))),INDEX('M05-S03'!$Z$16:$Z$198,2*(ROWS($L$282:L284)-1)+1),0)</f>
        <v>0</v>
      </c>
      <c r="AF284" s="151">
        <f>INDEX('M05-S03'!$S$16:$S$198,2*(ROWS($AF$282:AF284)-1)+1)*INDEX('M05-S03'!$Q$16:$Q$198,2*(ROWS($AF$282:AF284)-1)+1)</f>
        <v>0</v>
      </c>
      <c r="AG284" s="151">
        <f>INDEX('M05-S03'!$AB$16:$AB$198,2*(ROWS($AG$282:AG284)-1)+1)*INDEX('M05-S03'!$Z$16:$Z$198,2*(ROWS($AG$282:AG284)-1)+1)</f>
        <v>0</v>
      </c>
      <c r="AH284" s="151" t="str">
        <f t="shared" si="107"/>
        <v/>
      </c>
      <c r="AI284" s="151" t="str">
        <f t="shared" si="108"/>
        <v/>
      </c>
      <c r="AJ284" s="61" t="str">
        <f t="shared" si="109"/>
        <v/>
      </c>
      <c r="AK284" s="61" t="str">
        <f t="shared" si="110"/>
        <v/>
      </c>
      <c r="AL284" s="61" t="str">
        <f t="shared" si="111"/>
        <v/>
      </c>
      <c r="AM284" s="61" t="str">
        <f>INDEX('M05-S03'!$AU$16:$AU$198,2*(ROWS($AM$282:AM284)-1)+1)</f>
        <v/>
      </c>
      <c r="AN284" s="61" t="str">
        <f>INDEX('M05-S03'!$BB$16:$BB$198,2*(ROWS($AN$282:AN284)-1)+1)</f>
        <v/>
      </c>
      <c r="AO284" s="151">
        <f>INDEX('M05-S03'!$Q$16:$Q$198,2*(ROWS($AO$282:AO284)-1)+1)</f>
        <v>0</v>
      </c>
      <c r="AP284" s="152"/>
      <c r="AQ284" s="152"/>
      <c r="AR284" s="416"/>
    </row>
    <row r="285" spans="1:44" x14ac:dyDescent="0.25">
      <c r="A285" s="66">
        <f t="shared" si="105"/>
        <v>0</v>
      </c>
      <c r="B285" s="66" t="str">
        <f t="shared" si="106"/>
        <v/>
      </c>
      <c r="C285" s="66" t="str">
        <f>IFERROR(IF(J285&gt;0,INDEX('M05-S03'!$AY$16:$AY$198,2*(ROWS($C$282:C285)-1)+1),""),"")</f>
        <v/>
      </c>
      <c r="D285" t="s">
        <v>212</v>
      </c>
      <c r="E285" t="str">
        <f>IFERROR(INDEX('M05-S03'!$AW$16:$AW$198,2*(ROWS($E$282:E285)-1)+1),"")</f>
        <v/>
      </c>
      <c r="F285" s="152"/>
      <c r="G285" s="135"/>
      <c r="H285" s="61">
        <f>INDEX('M05-S03'!$AD$16:$AD$198,2*(ROWS($H$282:H285)-1)+1)</f>
        <v>0</v>
      </c>
      <c r="I285" s="61">
        <f>INDEX('M05-S03'!$AF$16:$AF$198,2*(ROWS($I$282:I285)-1)+1)</f>
        <v>0</v>
      </c>
      <c r="J285" s="61" t="str">
        <f>INDEX('M05-S03'!$AH$16:$AH$198,2*(ROWS($J$282:J285)-1)+1)</f>
        <v/>
      </c>
      <c r="K285" t="str">
        <f>IFERROR(INDEX(CMECOOK[Cost Basis],MATCH(INDEX('M05-S03'!$F$16:$F$198,2*(ROWS($K$282:K285)-1)+1),CMECOOK[Proj Desc 1],0)),"")</f>
        <v/>
      </c>
      <c r="L285" s="151">
        <f>IF(ISNUMBER(INDEX('M05-S03'!$AK$16:$AK$198,2*(ROWS($O$282:O285)-1)+1)),INDEX('M05-S03'!$Z$16:$Z$198,2*(ROWS($L$282:L285)-1)+1),0)</f>
        <v>0</v>
      </c>
      <c r="M285" s="151">
        <f>IFERROR(IF(ISNUMBER(INDEX('M05-S03'!$AK$16:$AK$198,2*(ROWS($O$282:O285)-1)+1)),INDEX('M05-S03'!$AO$16:$AO$198,2*(ROWS($M$282:M285)-1)+1),0),"")</f>
        <v>0</v>
      </c>
      <c r="N285" s="189">
        <f>IFERROR(IF(ISNUMBER(INDEX('M05-S03'!$AK$16:$AK$198,2*(ROWS($O$282:O285)-1)+1)),INDEX('M05-S03'!$AV$16:$AV$198,2*(ROWS($N$282:N285)-1)+1),0),"")</f>
        <v>0</v>
      </c>
      <c r="O285" s="61">
        <f>IF(ISNUMBER(INDEX('M05-S03'!$AK$16:$AK$198,2*(ROWS($O$282:O285)-1)+1)),INDEX('M05-S03'!$AK$16:$AK$198,2*(ROWS($O$282:O285)-1)+1),0)</f>
        <v>0</v>
      </c>
      <c r="P285" s="151" t="str">
        <f>IFERROR(IF(NOT(ISNUMBER(INDEX('M05-S03'!$AK$16:$AK$198,2*(ROWS($O$282:O285)-1)+1))),INDEX('M05-S03'!$AO$16:$AO$198,2*(ROWS($O$282:O285)-1)+1),0),"")</f>
        <v/>
      </c>
      <c r="Q285" s="189" t="str">
        <f>IFERROR(IF(NOT(ISNUMBER(INDEX('M05-S03'!$AK$16:$AK$198,2*(ROWS($O$282:O285)-1)+1))),INDEX('M05-S03'!$AV$16:$AV$198,2*(ROWS($O$282:O285)-1)+1),0),"")</f>
        <v/>
      </c>
      <c r="R285" t="str">
        <f>IFERROR(IF(NOT(ISNUMBER(INDEX('M05-S03'!$AK$16:$AK$198,2*(ROWS($O$282:O285)-1)+1))),INDEX(SPILLOVER[Spillover Reason],MATCH(INDEX('M05-S03'!$BC$16:$BC$198,2*(ROWS($O$282:O285)-1)+1),SPILLOVER[Spillover Text],0)),""),"")</f>
        <v>Not Eligible</v>
      </c>
      <c r="S285" s="157"/>
      <c r="T285" s="157"/>
      <c r="U285" s="151">
        <f>INDEX('M05-S03'!$B$16:$B$198,2*(ROWS($U$282:U285)-1)+1)</f>
        <v>4</v>
      </c>
      <c r="V285" s="135"/>
      <c r="W285" s="58">
        <f>INDEX('M05-S03'!$F$16:$F$198,2*(ROWS($W$282:W285)-1)+1)</f>
        <v>0</v>
      </c>
      <c r="X285">
        <f>INDEX('M05-S03'!$L$16:$L$198,2*(ROWS($X$282:X285)-1)+1)</f>
        <v>0</v>
      </c>
      <c r="Y285">
        <f>INDEX('M05-S03'!$U$16:$U$198,2*(ROWS($Y$282:Y285)-1)+1)</f>
        <v>0</v>
      </c>
      <c r="Z285" s="135"/>
      <c r="AA285" s="135"/>
      <c r="AB285" s="135"/>
      <c r="AC285" s="135"/>
      <c r="AD285" s="135"/>
      <c r="AE285" s="151">
        <f>IF(NOT(ISNUMBER(INDEX('M05-S03'!$AK$16:$AK$198,2*(ROWS($O$282:O285)-1)+1))),INDEX('M05-S03'!$Z$16:$Z$198,2*(ROWS($L$282:L285)-1)+1),0)</f>
        <v>0</v>
      </c>
      <c r="AF285" s="151">
        <f>INDEX('M05-S03'!$S$16:$S$198,2*(ROWS($AF$282:AF285)-1)+1)*INDEX('M05-S03'!$Q$16:$Q$198,2*(ROWS($AF$282:AF285)-1)+1)</f>
        <v>0</v>
      </c>
      <c r="AG285" s="151">
        <f>INDEX('M05-S03'!$AB$16:$AB$198,2*(ROWS($AG$282:AG285)-1)+1)*INDEX('M05-S03'!$Z$16:$Z$198,2*(ROWS($AG$282:AG285)-1)+1)</f>
        <v>0</v>
      </c>
      <c r="AH285" s="151" t="str">
        <f t="shared" si="107"/>
        <v/>
      </c>
      <c r="AI285" s="151" t="str">
        <f t="shared" si="108"/>
        <v/>
      </c>
      <c r="AJ285" s="61" t="str">
        <f t="shared" si="109"/>
        <v/>
      </c>
      <c r="AK285" s="61" t="str">
        <f t="shared" si="110"/>
        <v/>
      </c>
      <c r="AL285" s="61" t="str">
        <f t="shared" si="111"/>
        <v/>
      </c>
      <c r="AM285" s="61" t="str">
        <f>INDEX('M05-S03'!$AU$16:$AU$198,2*(ROWS($AM$282:AM285)-1)+1)</f>
        <v/>
      </c>
      <c r="AN285" s="61" t="str">
        <f>INDEX('M05-S03'!$BB$16:$BB$198,2*(ROWS($AN$282:AN285)-1)+1)</f>
        <v/>
      </c>
      <c r="AO285" s="151">
        <f>INDEX('M05-S03'!$Q$16:$Q$198,2*(ROWS($AO$282:AO285)-1)+1)</f>
        <v>0</v>
      </c>
      <c r="AP285" s="152"/>
      <c r="AQ285" s="152"/>
      <c r="AR285" s="416"/>
    </row>
    <row r="286" spans="1:44" x14ac:dyDescent="0.25">
      <c r="A286" s="66">
        <f t="shared" si="105"/>
        <v>0</v>
      </c>
      <c r="B286" s="66" t="str">
        <f t="shared" si="106"/>
        <v/>
      </c>
      <c r="C286" s="66" t="str">
        <f>IFERROR(IF(J286&gt;0,INDEX('M05-S03'!$AY$16:$AY$198,2*(ROWS($C$282:C286)-1)+1),""),"")</f>
        <v/>
      </c>
      <c r="D286" t="s">
        <v>212</v>
      </c>
      <c r="E286" t="str">
        <f>IFERROR(INDEX('M05-S03'!$AW$16:$AW$198,2*(ROWS($E$282:E286)-1)+1),"")</f>
        <v/>
      </c>
      <c r="F286" s="152"/>
      <c r="G286" s="135"/>
      <c r="H286" s="61">
        <f>INDEX('M05-S03'!$AD$16:$AD$198,2*(ROWS($H$282:H286)-1)+1)</f>
        <v>0</v>
      </c>
      <c r="I286" s="61">
        <f>INDEX('M05-S03'!$AF$16:$AF$198,2*(ROWS($I$282:I286)-1)+1)</f>
        <v>0</v>
      </c>
      <c r="J286" s="61" t="str">
        <f>INDEX('M05-S03'!$AH$16:$AH$198,2*(ROWS($J$282:J286)-1)+1)</f>
        <v/>
      </c>
      <c r="K286" t="str">
        <f>IFERROR(INDEX(CMECOOK[Cost Basis],MATCH(INDEX('M05-S03'!$F$16:$F$198,2*(ROWS($K$282:K286)-1)+1),CMECOOK[Proj Desc 1],0)),"")</f>
        <v/>
      </c>
      <c r="L286" s="151">
        <f>IF(ISNUMBER(INDEX('M05-S03'!$AK$16:$AK$198,2*(ROWS($O$282:O286)-1)+1)),INDEX('M05-S03'!$Z$16:$Z$198,2*(ROWS($L$282:L286)-1)+1),0)</f>
        <v>0</v>
      </c>
      <c r="M286" s="151">
        <f>IFERROR(IF(ISNUMBER(INDEX('M05-S03'!$AK$16:$AK$198,2*(ROWS($O$282:O286)-1)+1)),INDEX('M05-S03'!$AO$16:$AO$198,2*(ROWS($M$282:M286)-1)+1),0),"")</f>
        <v>0</v>
      </c>
      <c r="N286" s="189">
        <f>IFERROR(IF(ISNUMBER(INDEX('M05-S03'!$AK$16:$AK$198,2*(ROWS($O$282:O286)-1)+1)),INDEX('M05-S03'!$AV$16:$AV$198,2*(ROWS($N$282:N286)-1)+1),0),"")</f>
        <v>0</v>
      </c>
      <c r="O286" s="61">
        <f>IF(ISNUMBER(INDEX('M05-S03'!$AK$16:$AK$198,2*(ROWS($O$282:O286)-1)+1)),INDEX('M05-S03'!$AK$16:$AK$198,2*(ROWS($O$282:O286)-1)+1),0)</f>
        <v>0</v>
      </c>
      <c r="P286" s="151" t="str">
        <f>IFERROR(IF(NOT(ISNUMBER(INDEX('M05-S03'!$AK$16:$AK$198,2*(ROWS($O$282:O286)-1)+1))),INDEX('M05-S03'!$AO$16:$AO$198,2*(ROWS($O$282:O286)-1)+1),0),"")</f>
        <v/>
      </c>
      <c r="Q286" s="189" t="str">
        <f>IFERROR(IF(NOT(ISNUMBER(INDEX('M05-S03'!$AK$16:$AK$198,2*(ROWS($O$282:O286)-1)+1))),INDEX('M05-S03'!$AV$16:$AV$198,2*(ROWS($O$282:O286)-1)+1),0),"")</f>
        <v/>
      </c>
      <c r="R286" t="str">
        <f>IFERROR(IF(NOT(ISNUMBER(INDEX('M05-S03'!$AK$16:$AK$198,2*(ROWS($O$282:O286)-1)+1))),INDEX(SPILLOVER[Spillover Reason],MATCH(INDEX('M05-S03'!$BC$16:$BC$198,2*(ROWS($O$282:O286)-1)+1),SPILLOVER[Spillover Text],0)),""),"")</f>
        <v>Not Eligible</v>
      </c>
      <c r="S286" s="157"/>
      <c r="T286" s="157"/>
      <c r="U286" s="151">
        <f>INDEX('M05-S03'!$B$16:$B$198,2*(ROWS($U$282:U286)-1)+1)</f>
        <v>5</v>
      </c>
      <c r="V286" s="135"/>
      <c r="W286" s="58">
        <f>INDEX('M05-S03'!$F$16:$F$198,2*(ROWS($W$282:W286)-1)+1)</f>
        <v>0</v>
      </c>
      <c r="X286">
        <f>INDEX('M05-S03'!$L$16:$L$198,2*(ROWS($X$282:X286)-1)+1)</f>
        <v>0</v>
      </c>
      <c r="Y286">
        <f>INDEX('M05-S03'!$U$16:$U$198,2*(ROWS($Y$282:Y286)-1)+1)</f>
        <v>0</v>
      </c>
      <c r="Z286" s="135"/>
      <c r="AA286" s="135"/>
      <c r="AB286" s="135"/>
      <c r="AC286" s="135"/>
      <c r="AD286" s="135"/>
      <c r="AE286" s="151">
        <f>IF(NOT(ISNUMBER(INDEX('M05-S03'!$AK$16:$AK$198,2*(ROWS($O$282:O286)-1)+1))),INDEX('M05-S03'!$Z$16:$Z$198,2*(ROWS($L$282:L286)-1)+1),0)</f>
        <v>0</v>
      </c>
      <c r="AF286" s="151">
        <f>INDEX('M05-S03'!$S$16:$S$198,2*(ROWS($AF$282:AF286)-1)+1)*INDEX('M05-S03'!$Q$16:$Q$198,2*(ROWS($AF$282:AF286)-1)+1)</f>
        <v>0</v>
      </c>
      <c r="AG286" s="151">
        <f>INDEX('M05-S03'!$AB$16:$AB$198,2*(ROWS($AG$282:AG286)-1)+1)*INDEX('M05-S03'!$Z$16:$Z$198,2*(ROWS($AG$282:AG286)-1)+1)</f>
        <v>0</v>
      </c>
      <c r="AH286" s="151" t="str">
        <f t="shared" si="107"/>
        <v/>
      </c>
      <c r="AI286" s="151" t="str">
        <f t="shared" si="108"/>
        <v/>
      </c>
      <c r="AJ286" s="61" t="str">
        <f t="shared" si="109"/>
        <v/>
      </c>
      <c r="AK286" s="61" t="str">
        <f t="shared" si="110"/>
        <v/>
      </c>
      <c r="AL286" s="61" t="str">
        <f t="shared" si="111"/>
        <v/>
      </c>
      <c r="AM286" s="61" t="str">
        <f>INDEX('M05-S03'!$AU$16:$AU$198,2*(ROWS($AM$282:AM286)-1)+1)</f>
        <v/>
      </c>
      <c r="AN286" s="61" t="str">
        <f>INDEX('M05-S03'!$BB$16:$BB$198,2*(ROWS($AN$282:AN286)-1)+1)</f>
        <v/>
      </c>
      <c r="AO286" s="151">
        <f>INDEX('M05-S03'!$Q$16:$Q$198,2*(ROWS($AO$282:AO286)-1)+1)</f>
        <v>0</v>
      </c>
      <c r="AP286" s="152"/>
      <c r="AQ286" s="152"/>
      <c r="AR286" s="416"/>
    </row>
    <row r="287" spans="1:44" x14ac:dyDescent="0.25">
      <c r="A287" s="66">
        <f t="shared" si="105"/>
        <v>0</v>
      </c>
      <c r="B287" s="66" t="str">
        <f t="shared" si="106"/>
        <v/>
      </c>
      <c r="C287" s="66" t="str">
        <f>IFERROR(IF(J287&gt;0,INDEX('M05-S03'!$AY$16:$AY$198,2*(ROWS($C$282:C287)-1)+1),""),"")</f>
        <v/>
      </c>
      <c r="D287" t="s">
        <v>212</v>
      </c>
      <c r="E287" t="str">
        <f>IFERROR(INDEX('M05-S03'!$AW$16:$AW$198,2*(ROWS($E$282:E287)-1)+1),"")</f>
        <v/>
      </c>
      <c r="F287" s="152"/>
      <c r="G287" s="135"/>
      <c r="H287" s="61">
        <f>INDEX('M05-S03'!$AD$16:$AD$198,2*(ROWS($H$282:H287)-1)+1)</f>
        <v>0</v>
      </c>
      <c r="I287" s="61">
        <f>INDEX('M05-S03'!$AF$16:$AF$198,2*(ROWS($I$282:I287)-1)+1)</f>
        <v>0</v>
      </c>
      <c r="J287" s="61" t="str">
        <f>INDEX('M05-S03'!$AH$16:$AH$198,2*(ROWS($J$282:J287)-1)+1)</f>
        <v/>
      </c>
      <c r="K287" t="str">
        <f>IFERROR(INDEX(CMECOOK[Cost Basis],MATCH(INDEX('M05-S03'!$F$16:$F$198,2*(ROWS($K$282:K287)-1)+1),CMECOOK[Proj Desc 1],0)),"")</f>
        <v/>
      </c>
      <c r="L287" s="151">
        <f>IF(ISNUMBER(INDEX('M05-S03'!$AK$16:$AK$198,2*(ROWS($O$282:O287)-1)+1)),INDEX('M05-S03'!$Z$16:$Z$198,2*(ROWS($L$282:L287)-1)+1),0)</f>
        <v>0</v>
      </c>
      <c r="M287" s="151">
        <f>IFERROR(IF(ISNUMBER(INDEX('M05-S03'!$AK$16:$AK$198,2*(ROWS($O$282:O287)-1)+1)),INDEX('M05-S03'!$AO$16:$AO$198,2*(ROWS($M$282:M287)-1)+1),0),"")</f>
        <v>0</v>
      </c>
      <c r="N287" s="189">
        <f>IFERROR(IF(ISNUMBER(INDEX('M05-S03'!$AK$16:$AK$198,2*(ROWS($O$282:O287)-1)+1)),INDEX('M05-S03'!$AV$16:$AV$198,2*(ROWS($N$282:N287)-1)+1),0),"")</f>
        <v>0</v>
      </c>
      <c r="O287" s="61">
        <f>IF(ISNUMBER(INDEX('M05-S03'!$AK$16:$AK$198,2*(ROWS($O$282:O287)-1)+1)),INDEX('M05-S03'!$AK$16:$AK$198,2*(ROWS($O$282:O287)-1)+1),0)</f>
        <v>0</v>
      </c>
      <c r="P287" s="151" t="str">
        <f>IFERROR(IF(NOT(ISNUMBER(INDEX('M05-S03'!$AK$16:$AK$198,2*(ROWS($O$282:O287)-1)+1))),INDEX('M05-S03'!$AO$16:$AO$198,2*(ROWS($O$282:O287)-1)+1),0),"")</f>
        <v/>
      </c>
      <c r="Q287" s="189" t="str">
        <f>IFERROR(IF(NOT(ISNUMBER(INDEX('M05-S03'!$AK$16:$AK$198,2*(ROWS($O$282:O287)-1)+1))),INDEX('M05-S03'!$AV$16:$AV$198,2*(ROWS($O$282:O287)-1)+1),0),"")</f>
        <v/>
      </c>
      <c r="R287" t="str">
        <f>IFERROR(IF(NOT(ISNUMBER(INDEX('M05-S03'!$AK$16:$AK$198,2*(ROWS($O$282:O287)-1)+1))),INDEX(SPILLOVER[Spillover Reason],MATCH(INDEX('M05-S03'!$BC$16:$BC$198,2*(ROWS($O$282:O287)-1)+1),SPILLOVER[Spillover Text],0)),""),"")</f>
        <v>Not Eligible</v>
      </c>
      <c r="S287" s="157"/>
      <c r="T287" s="157"/>
      <c r="U287" s="151">
        <f>INDEX('M05-S03'!$B$16:$B$198,2*(ROWS($U$282:U287)-1)+1)</f>
        <v>6</v>
      </c>
      <c r="V287" s="135"/>
      <c r="W287" s="58">
        <f>INDEX('M05-S03'!$F$16:$F$198,2*(ROWS($W$282:W287)-1)+1)</f>
        <v>0</v>
      </c>
      <c r="X287">
        <f>INDEX('M05-S03'!$L$16:$L$198,2*(ROWS($X$282:X287)-1)+1)</f>
        <v>0</v>
      </c>
      <c r="Y287">
        <f>INDEX('M05-S03'!$U$16:$U$198,2*(ROWS($Y$282:Y287)-1)+1)</f>
        <v>0</v>
      </c>
      <c r="Z287" s="135"/>
      <c r="AA287" s="135"/>
      <c r="AB287" s="135"/>
      <c r="AC287" s="135"/>
      <c r="AD287" s="135"/>
      <c r="AE287" s="151">
        <f>IF(NOT(ISNUMBER(INDEX('M05-S03'!$AK$16:$AK$198,2*(ROWS($O$282:O287)-1)+1))),INDEX('M05-S03'!$Z$16:$Z$198,2*(ROWS($L$282:L287)-1)+1),0)</f>
        <v>0</v>
      </c>
      <c r="AF287" s="151">
        <f>INDEX('M05-S03'!$S$16:$S$198,2*(ROWS($AF$282:AF287)-1)+1)*INDEX('M05-S03'!$Q$16:$Q$198,2*(ROWS($AF$282:AF287)-1)+1)</f>
        <v>0</v>
      </c>
      <c r="AG287" s="151">
        <f>INDEX('M05-S03'!$AB$16:$AB$198,2*(ROWS($AG$282:AG287)-1)+1)*INDEX('M05-S03'!$Z$16:$Z$198,2*(ROWS($AG$282:AG287)-1)+1)</f>
        <v>0</v>
      </c>
      <c r="AH287" s="151" t="str">
        <f t="shared" si="107"/>
        <v/>
      </c>
      <c r="AI287" s="151" t="str">
        <f t="shared" si="108"/>
        <v/>
      </c>
      <c r="AJ287" s="61" t="str">
        <f t="shared" si="109"/>
        <v/>
      </c>
      <c r="AK287" s="61" t="str">
        <f t="shared" si="110"/>
        <v/>
      </c>
      <c r="AL287" s="61" t="str">
        <f t="shared" si="111"/>
        <v/>
      </c>
      <c r="AM287" s="61" t="str">
        <f>INDEX('M05-S03'!$AU$16:$AU$198,2*(ROWS($AM$282:AM287)-1)+1)</f>
        <v/>
      </c>
      <c r="AN287" s="61" t="str">
        <f>INDEX('M05-S03'!$BB$16:$BB$198,2*(ROWS($AN$282:AN287)-1)+1)</f>
        <v/>
      </c>
      <c r="AO287" s="151">
        <f>INDEX('M05-S03'!$Q$16:$Q$198,2*(ROWS($AO$282:AO287)-1)+1)</f>
        <v>0</v>
      </c>
      <c r="AP287" s="152"/>
      <c r="AQ287" s="152"/>
      <c r="AR287" s="416"/>
    </row>
    <row r="288" spans="1:44" x14ac:dyDescent="0.25">
      <c r="A288" s="66">
        <f t="shared" si="105"/>
        <v>0</v>
      </c>
      <c r="B288" s="66" t="str">
        <f t="shared" si="106"/>
        <v/>
      </c>
      <c r="C288" s="66" t="str">
        <f>IFERROR(IF(J288&gt;0,INDEX('M05-S03'!$AY$16:$AY$198,2*(ROWS($C$282:C288)-1)+1),""),"")</f>
        <v/>
      </c>
      <c r="D288" t="s">
        <v>212</v>
      </c>
      <c r="E288" t="str">
        <f>IFERROR(INDEX('M05-S03'!$AW$16:$AW$198,2*(ROWS($E$282:E288)-1)+1),"")</f>
        <v/>
      </c>
      <c r="F288" s="152"/>
      <c r="G288" s="135"/>
      <c r="H288" s="61">
        <f>INDEX('M05-S03'!$AD$16:$AD$198,2*(ROWS($H$282:H288)-1)+1)</f>
        <v>0</v>
      </c>
      <c r="I288" s="61">
        <f>INDEX('M05-S03'!$AF$16:$AF$198,2*(ROWS($I$282:I288)-1)+1)</f>
        <v>0</v>
      </c>
      <c r="J288" s="61" t="str">
        <f>INDEX('M05-S03'!$AH$16:$AH$198,2*(ROWS($J$282:J288)-1)+1)</f>
        <v/>
      </c>
      <c r="K288" t="str">
        <f>IFERROR(INDEX(CMECOOK[Cost Basis],MATCH(INDEX('M05-S03'!$F$16:$F$198,2*(ROWS($K$282:K288)-1)+1),CMECOOK[Proj Desc 1],0)),"")</f>
        <v/>
      </c>
      <c r="L288" s="151">
        <f>IF(ISNUMBER(INDEX('M05-S03'!$AK$16:$AK$198,2*(ROWS($O$282:O288)-1)+1)),INDEX('M05-S03'!$Z$16:$Z$198,2*(ROWS($L$282:L288)-1)+1),0)</f>
        <v>0</v>
      </c>
      <c r="M288" s="151">
        <f>IFERROR(IF(ISNUMBER(INDEX('M05-S03'!$AK$16:$AK$198,2*(ROWS($O$282:O288)-1)+1)),INDEX('M05-S03'!$AO$16:$AO$198,2*(ROWS($M$282:M288)-1)+1),0),"")</f>
        <v>0</v>
      </c>
      <c r="N288" s="189">
        <f>IFERROR(IF(ISNUMBER(INDEX('M05-S03'!$AK$16:$AK$198,2*(ROWS($O$282:O288)-1)+1)),INDEX('M05-S03'!$AV$16:$AV$198,2*(ROWS($N$282:N288)-1)+1),0),"")</f>
        <v>0</v>
      </c>
      <c r="O288" s="61">
        <f>IF(ISNUMBER(INDEX('M05-S03'!$AK$16:$AK$198,2*(ROWS($O$282:O288)-1)+1)),INDEX('M05-S03'!$AK$16:$AK$198,2*(ROWS($O$282:O288)-1)+1),0)</f>
        <v>0</v>
      </c>
      <c r="P288" s="151" t="str">
        <f>IFERROR(IF(NOT(ISNUMBER(INDEX('M05-S03'!$AK$16:$AK$198,2*(ROWS($O$282:O288)-1)+1))),INDEX('M05-S03'!$AO$16:$AO$198,2*(ROWS($O$282:O288)-1)+1),0),"")</f>
        <v/>
      </c>
      <c r="Q288" s="189" t="str">
        <f>IFERROR(IF(NOT(ISNUMBER(INDEX('M05-S03'!$AK$16:$AK$198,2*(ROWS($O$282:O288)-1)+1))),INDEX('M05-S03'!$AV$16:$AV$198,2*(ROWS($O$282:O288)-1)+1),0),"")</f>
        <v/>
      </c>
      <c r="R288" t="str">
        <f>IFERROR(IF(NOT(ISNUMBER(INDEX('M05-S03'!$AK$16:$AK$198,2*(ROWS($O$282:O288)-1)+1))),INDEX(SPILLOVER[Spillover Reason],MATCH(INDEX('M05-S03'!$BC$16:$BC$198,2*(ROWS($O$282:O288)-1)+1),SPILLOVER[Spillover Text],0)),""),"")</f>
        <v>Not Eligible</v>
      </c>
      <c r="S288" s="157"/>
      <c r="T288" s="157"/>
      <c r="U288" s="151">
        <f>INDEX('M05-S03'!$B$16:$B$198,2*(ROWS($U$282:U288)-1)+1)</f>
        <v>7</v>
      </c>
      <c r="V288" s="135"/>
      <c r="W288" s="58">
        <f>INDEX('M05-S03'!$F$16:$F$198,2*(ROWS($W$282:W288)-1)+1)</f>
        <v>0</v>
      </c>
      <c r="X288">
        <f>INDEX('M05-S03'!$L$16:$L$198,2*(ROWS($X$282:X288)-1)+1)</f>
        <v>0</v>
      </c>
      <c r="Y288">
        <f>INDEX('M05-S03'!$U$16:$U$198,2*(ROWS($Y$282:Y288)-1)+1)</f>
        <v>0</v>
      </c>
      <c r="Z288" s="135"/>
      <c r="AA288" s="135"/>
      <c r="AB288" s="135"/>
      <c r="AC288" s="135"/>
      <c r="AD288" s="135"/>
      <c r="AE288" s="151">
        <f>IF(NOT(ISNUMBER(INDEX('M05-S03'!$AK$16:$AK$198,2*(ROWS($O$282:O288)-1)+1))),INDEX('M05-S03'!$Z$16:$Z$198,2*(ROWS($L$282:L288)-1)+1),0)</f>
        <v>0</v>
      </c>
      <c r="AF288" s="151">
        <f>INDEX('M05-S03'!$S$16:$S$198,2*(ROWS($AF$282:AF288)-1)+1)*INDEX('M05-S03'!$Q$16:$Q$198,2*(ROWS($AF$282:AF288)-1)+1)</f>
        <v>0</v>
      </c>
      <c r="AG288" s="151">
        <f>INDEX('M05-S03'!$AB$16:$AB$198,2*(ROWS($AG$282:AG288)-1)+1)*INDEX('M05-S03'!$Z$16:$Z$198,2*(ROWS($AG$282:AG288)-1)+1)</f>
        <v>0</v>
      </c>
      <c r="AH288" s="151" t="str">
        <f t="shared" si="107"/>
        <v/>
      </c>
      <c r="AI288" s="151" t="str">
        <f t="shared" si="108"/>
        <v/>
      </c>
      <c r="AJ288" s="61" t="str">
        <f t="shared" si="109"/>
        <v/>
      </c>
      <c r="AK288" s="61" t="str">
        <f t="shared" si="110"/>
        <v/>
      </c>
      <c r="AL288" s="61" t="str">
        <f t="shared" si="111"/>
        <v/>
      </c>
      <c r="AM288" s="61" t="str">
        <f>INDEX('M05-S03'!$AU$16:$AU$198,2*(ROWS($AM$282:AM288)-1)+1)</f>
        <v/>
      </c>
      <c r="AN288" s="61" t="str">
        <f>INDEX('M05-S03'!$BB$16:$BB$198,2*(ROWS($AN$282:AN288)-1)+1)</f>
        <v/>
      </c>
      <c r="AO288" s="151">
        <f>INDEX('M05-S03'!$Q$16:$Q$198,2*(ROWS($AO$282:AO288)-1)+1)</f>
        <v>0</v>
      </c>
      <c r="AP288" s="152"/>
      <c r="AQ288" s="152"/>
      <c r="AR288" s="416"/>
    </row>
    <row r="289" spans="1:44" x14ac:dyDescent="0.25">
      <c r="A289" s="66">
        <f t="shared" si="105"/>
        <v>0</v>
      </c>
      <c r="B289" s="66" t="str">
        <f t="shared" si="106"/>
        <v/>
      </c>
      <c r="C289" s="66" t="str">
        <f>IFERROR(IF(J289&gt;0,INDEX('M05-S03'!$AY$16:$AY$198,2*(ROWS($C$282:C289)-1)+1),""),"")</f>
        <v/>
      </c>
      <c r="D289" t="s">
        <v>212</v>
      </c>
      <c r="E289" t="str">
        <f>IFERROR(INDEX('M05-S03'!$AW$16:$AW$198,2*(ROWS($E$282:E289)-1)+1),"")</f>
        <v/>
      </c>
      <c r="F289" s="152"/>
      <c r="G289" s="135"/>
      <c r="H289" s="61">
        <f>INDEX('M05-S03'!$AD$16:$AD$198,2*(ROWS($H$282:H289)-1)+1)</f>
        <v>0</v>
      </c>
      <c r="I289" s="61">
        <f>INDEX('M05-S03'!$AF$16:$AF$198,2*(ROWS($I$282:I289)-1)+1)</f>
        <v>0</v>
      </c>
      <c r="J289" s="61" t="str">
        <f>INDEX('M05-S03'!$AH$16:$AH$198,2*(ROWS($J$282:J289)-1)+1)</f>
        <v/>
      </c>
      <c r="K289" t="str">
        <f>IFERROR(INDEX(CMECOOK[Cost Basis],MATCH(INDEX('M05-S03'!$F$16:$F$198,2*(ROWS($K$282:K289)-1)+1),CMECOOK[Proj Desc 1],0)),"")</f>
        <v/>
      </c>
      <c r="L289" s="151">
        <f>IF(ISNUMBER(INDEX('M05-S03'!$AK$16:$AK$198,2*(ROWS($O$282:O289)-1)+1)),INDEX('M05-S03'!$Z$16:$Z$198,2*(ROWS($L$282:L289)-1)+1),0)</f>
        <v>0</v>
      </c>
      <c r="M289" s="151">
        <f>IFERROR(IF(ISNUMBER(INDEX('M05-S03'!$AK$16:$AK$198,2*(ROWS($O$282:O289)-1)+1)),INDEX('M05-S03'!$AO$16:$AO$198,2*(ROWS($M$282:M289)-1)+1),0),"")</f>
        <v>0</v>
      </c>
      <c r="N289" s="189">
        <f>IFERROR(IF(ISNUMBER(INDEX('M05-S03'!$AK$16:$AK$198,2*(ROWS($O$282:O289)-1)+1)),INDEX('M05-S03'!$AV$16:$AV$198,2*(ROWS($N$282:N289)-1)+1),0),"")</f>
        <v>0</v>
      </c>
      <c r="O289" s="61">
        <f>IF(ISNUMBER(INDEX('M05-S03'!$AK$16:$AK$198,2*(ROWS($O$282:O289)-1)+1)),INDEX('M05-S03'!$AK$16:$AK$198,2*(ROWS($O$282:O289)-1)+1),0)</f>
        <v>0</v>
      </c>
      <c r="P289" s="151" t="str">
        <f>IFERROR(IF(NOT(ISNUMBER(INDEX('M05-S03'!$AK$16:$AK$198,2*(ROWS($O$282:O289)-1)+1))),INDEX('M05-S03'!$AO$16:$AO$198,2*(ROWS($O$282:O289)-1)+1),0),"")</f>
        <v/>
      </c>
      <c r="Q289" s="189" t="str">
        <f>IFERROR(IF(NOT(ISNUMBER(INDEX('M05-S03'!$AK$16:$AK$198,2*(ROWS($O$282:O289)-1)+1))),INDEX('M05-S03'!$AV$16:$AV$198,2*(ROWS($O$282:O289)-1)+1),0),"")</f>
        <v/>
      </c>
      <c r="R289" t="str">
        <f>IFERROR(IF(NOT(ISNUMBER(INDEX('M05-S03'!$AK$16:$AK$198,2*(ROWS($O$282:O289)-1)+1))),INDEX(SPILLOVER[Spillover Reason],MATCH(INDEX('M05-S03'!$BC$16:$BC$198,2*(ROWS($O$282:O289)-1)+1),SPILLOVER[Spillover Text],0)),""),"")</f>
        <v>Not Eligible</v>
      </c>
      <c r="S289" s="157"/>
      <c r="T289" s="157"/>
      <c r="U289" s="151">
        <f>INDEX('M05-S03'!$B$16:$B$198,2*(ROWS($U$282:U289)-1)+1)</f>
        <v>8</v>
      </c>
      <c r="V289" s="135"/>
      <c r="W289" s="58">
        <f>INDEX('M05-S03'!$F$16:$F$198,2*(ROWS($W$282:W289)-1)+1)</f>
        <v>0</v>
      </c>
      <c r="X289">
        <f>INDEX('M05-S03'!$L$16:$L$198,2*(ROWS($X$282:X289)-1)+1)</f>
        <v>0</v>
      </c>
      <c r="Y289">
        <f>INDEX('M05-S03'!$U$16:$U$198,2*(ROWS($Y$282:Y289)-1)+1)</f>
        <v>0</v>
      </c>
      <c r="Z289" s="135"/>
      <c r="AA289" s="135"/>
      <c r="AB289" s="135"/>
      <c r="AC289" s="135"/>
      <c r="AD289" s="135"/>
      <c r="AE289" s="151">
        <f>IF(NOT(ISNUMBER(INDEX('M05-S03'!$AK$16:$AK$198,2*(ROWS($O$282:O289)-1)+1))),INDEX('M05-S03'!$Z$16:$Z$198,2*(ROWS($L$282:L289)-1)+1),0)</f>
        <v>0</v>
      </c>
      <c r="AF289" s="151">
        <f>INDEX('M05-S03'!$S$16:$S$198,2*(ROWS($AF$282:AF289)-1)+1)*INDEX('M05-S03'!$Q$16:$Q$198,2*(ROWS($AF$282:AF289)-1)+1)</f>
        <v>0</v>
      </c>
      <c r="AG289" s="151">
        <f>INDEX('M05-S03'!$AB$16:$AB$198,2*(ROWS($AG$282:AG289)-1)+1)*INDEX('M05-S03'!$Z$16:$Z$198,2*(ROWS($AG$282:AG289)-1)+1)</f>
        <v>0</v>
      </c>
      <c r="AH289" s="151" t="str">
        <f t="shared" si="107"/>
        <v/>
      </c>
      <c r="AI289" s="151" t="str">
        <f t="shared" si="108"/>
        <v/>
      </c>
      <c r="AJ289" s="61" t="str">
        <f t="shared" si="109"/>
        <v/>
      </c>
      <c r="AK289" s="61" t="str">
        <f t="shared" si="110"/>
        <v/>
      </c>
      <c r="AL289" s="61" t="str">
        <f t="shared" si="111"/>
        <v/>
      </c>
      <c r="AM289" s="61" t="str">
        <f>INDEX('M05-S03'!$AU$16:$AU$198,2*(ROWS($AM$282:AM289)-1)+1)</f>
        <v/>
      </c>
      <c r="AN289" s="61" t="str">
        <f>INDEX('M05-S03'!$BB$16:$BB$198,2*(ROWS($AN$282:AN289)-1)+1)</f>
        <v/>
      </c>
      <c r="AO289" s="151">
        <f>INDEX('M05-S03'!$Q$16:$Q$198,2*(ROWS($AO$282:AO289)-1)+1)</f>
        <v>0</v>
      </c>
      <c r="AP289" s="152"/>
      <c r="AQ289" s="152"/>
      <c r="AR289" s="416"/>
    </row>
    <row r="290" spans="1:44" x14ac:dyDescent="0.25">
      <c r="A290" s="66">
        <f t="shared" si="105"/>
        <v>0</v>
      </c>
      <c r="B290" s="66" t="str">
        <f t="shared" si="106"/>
        <v/>
      </c>
      <c r="C290" s="66" t="str">
        <f>IFERROR(IF(J290&gt;0,INDEX('M05-S03'!$AY$16:$AY$198,2*(ROWS($C$282:C290)-1)+1),""),"")</f>
        <v/>
      </c>
      <c r="D290" t="s">
        <v>212</v>
      </c>
      <c r="E290" t="str">
        <f>IFERROR(INDEX('M05-S03'!$AW$16:$AW$198,2*(ROWS($E$282:E290)-1)+1),"")</f>
        <v/>
      </c>
      <c r="F290" s="152"/>
      <c r="G290" s="135"/>
      <c r="H290" s="61">
        <f>INDEX('M05-S03'!$AD$16:$AD$198,2*(ROWS($H$282:H290)-1)+1)</f>
        <v>0</v>
      </c>
      <c r="I290" s="61">
        <f>INDEX('M05-S03'!$AF$16:$AF$198,2*(ROWS($I$282:I290)-1)+1)</f>
        <v>0</v>
      </c>
      <c r="J290" s="61" t="str">
        <f>INDEX('M05-S03'!$AH$16:$AH$198,2*(ROWS($J$282:J290)-1)+1)</f>
        <v/>
      </c>
      <c r="K290" t="str">
        <f>IFERROR(INDEX(CMECOOK[Cost Basis],MATCH(INDEX('M05-S03'!$F$16:$F$198,2*(ROWS($K$282:K290)-1)+1),CMECOOK[Proj Desc 1],0)),"")</f>
        <v/>
      </c>
      <c r="L290" s="151">
        <f>IF(ISNUMBER(INDEX('M05-S03'!$AK$16:$AK$198,2*(ROWS($O$282:O290)-1)+1)),INDEX('M05-S03'!$Z$16:$Z$198,2*(ROWS($L$282:L290)-1)+1),0)</f>
        <v>0</v>
      </c>
      <c r="M290" s="151">
        <f>IFERROR(IF(ISNUMBER(INDEX('M05-S03'!$AK$16:$AK$198,2*(ROWS($O$282:O290)-1)+1)),INDEX('M05-S03'!$AO$16:$AO$198,2*(ROWS($M$282:M290)-1)+1),0),"")</f>
        <v>0</v>
      </c>
      <c r="N290" s="189">
        <f>IFERROR(IF(ISNUMBER(INDEX('M05-S03'!$AK$16:$AK$198,2*(ROWS($O$282:O290)-1)+1)),INDEX('M05-S03'!$AV$16:$AV$198,2*(ROWS($N$282:N290)-1)+1),0),"")</f>
        <v>0</v>
      </c>
      <c r="O290" s="61">
        <f>IF(ISNUMBER(INDEX('M05-S03'!$AK$16:$AK$198,2*(ROWS($O$282:O290)-1)+1)),INDEX('M05-S03'!$AK$16:$AK$198,2*(ROWS($O$282:O290)-1)+1),0)</f>
        <v>0</v>
      </c>
      <c r="P290" s="151" t="str">
        <f>IFERROR(IF(NOT(ISNUMBER(INDEX('M05-S03'!$AK$16:$AK$198,2*(ROWS($O$282:O290)-1)+1))),INDEX('M05-S03'!$AO$16:$AO$198,2*(ROWS($O$282:O290)-1)+1),0),"")</f>
        <v/>
      </c>
      <c r="Q290" s="189" t="str">
        <f>IFERROR(IF(NOT(ISNUMBER(INDEX('M05-S03'!$AK$16:$AK$198,2*(ROWS($O$282:O290)-1)+1))),INDEX('M05-S03'!$AV$16:$AV$198,2*(ROWS($O$282:O290)-1)+1),0),"")</f>
        <v/>
      </c>
      <c r="R290" t="str">
        <f>IFERROR(IF(NOT(ISNUMBER(INDEX('M05-S03'!$AK$16:$AK$198,2*(ROWS($O$282:O290)-1)+1))),INDEX(SPILLOVER[Spillover Reason],MATCH(INDEX('M05-S03'!$BC$16:$BC$198,2*(ROWS($O$282:O290)-1)+1),SPILLOVER[Spillover Text],0)),""),"")</f>
        <v>Not Eligible</v>
      </c>
      <c r="S290" s="157"/>
      <c r="T290" s="157"/>
      <c r="U290" s="151">
        <f>INDEX('M05-S03'!$B$16:$B$198,2*(ROWS($U$282:U290)-1)+1)</f>
        <v>9</v>
      </c>
      <c r="V290" s="135"/>
      <c r="W290" s="58">
        <f>INDEX('M05-S03'!$F$16:$F$198,2*(ROWS($W$282:W290)-1)+1)</f>
        <v>0</v>
      </c>
      <c r="X290">
        <f>INDEX('M05-S03'!$L$16:$L$198,2*(ROWS($X$282:X290)-1)+1)</f>
        <v>0</v>
      </c>
      <c r="Y290">
        <f>INDEX('M05-S03'!$U$16:$U$198,2*(ROWS($Y$282:Y290)-1)+1)</f>
        <v>0</v>
      </c>
      <c r="Z290" s="135"/>
      <c r="AA290" s="135"/>
      <c r="AB290" s="135"/>
      <c r="AC290" s="135"/>
      <c r="AD290" s="135"/>
      <c r="AE290" s="151">
        <f>IF(NOT(ISNUMBER(INDEX('M05-S03'!$AK$16:$AK$198,2*(ROWS($O$282:O290)-1)+1))),INDEX('M05-S03'!$Z$16:$Z$198,2*(ROWS($L$282:L290)-1)+1),0)</f>
        <v>0</v>
      </c>
      <c r="AF290" s="151">
        <f>INDEX('M05-S03'!$S$16:$S$198,2*(ROWS($AF$282:AF290)-1)+1)*INDEX('M05-S03'!$Q$16:$Q$198,2*(ROWS($AF$282:AF290)-1)+1)</f>
        <v>0</v>
      </c>
      <c r="AG290" s="151">
        <f>INDEX('M05-S03'!$AB$16:$AB$198,2*(ROWS($AG$282:AG290)-1)+1)*INDEX('M05-S03'!$Z$16:$Z$198,2*(ROWS($AG$282:AG290)-1)+1)</f>
        <v>0</v>
      </c>
      <c r="AH290" s="151" t="str">
        <f t="shared" si="107"/>
        <v/>
      </c>
      <c r="AI290" s="151" t="str">
        <f t="shared" si="108"/>
        <v/>
      </c>
      <c r="AJ290" s="61" t="str">
        <f t="shared" si="109"/>
        <v/>
      </c>
      <c r="AK290" s="61" t="str">
        <f t="shared" si="110"/>
        <v/>
      </c>
      <c r="AL290" s="61" t="str">
        <f t="shared" si="111"/>
        <v/>
      </c>
      <c r="AM290" s="61" t="str">
        <f>INDEX('M05-S03'!$AU$16:$AU$198,2*(ROWS($AM$282:AM290)-1)+1)</f>
        <v/>
      </c>
      <c r="AN290" s="61" t="str">
        <f>INDEX('M05-S03'!$BB$16:$BB$198,2*(ROWS($AN$282:AN290)-1)+1)</f>
        <v/>
      </c>
      <c r="AO290" s="151">
        <f>INDEX('M05-S03'!$Q$16:$Q$198,2*(ROWS($AO$282:AO290)-1)+1)</f>
        <v>0</v>
      </c>
      <c r="AP290" s="152"/>
      <c r="AQ290" s="152"/>
      <c r="AR290" s="416"/>
    </row>
    <row r="291" spans="1:44" x14ac:dyDescent="0.25">
      <c r="A291" s="66">
        <f t="shared" si="105"/>
        <v>0</v>
      </c>
      <c r="B291" s="66" t="str">
        <f t="shared" si="106"/>
        <v/>
      </c>
      <c r="C291" s="66" t="str">
        <f>IFERROR(IF(J291&gt;0,INDEX('M05-S03'!$AY$16:$AY$198,2*(ROWS($C$282:C291)-1)+1),""),"")</f>
        <v/>
      </c>
      <c r="D291" t="s">
        <v>212</v>
      </c>
      <c r="E291" t="str">
        <f>IFERROR(INDEX('M05-S03'!$AW$16:$AW$198,2*(ROWS($E$282:E291)-1)+1),"")</f>
        <v/>
      </c>
      <c r="F291" s="152"/>
      <c r="G291" s="135"/>
      <c r="H291" s="61">
        <f>INDEX('M05-S03'!$AD$16:$AD$198,2*(ROWS($H$282:H291)-1)+1)</f>
        <v>0</v>
      </c>
      <c r="I291" s="61">
        <f>INDEX('M05-S03'!$AF$16:$AF$198,2*(ROWS($I$282:I291)-1)+1)</f>
        <v>0</v>
      </c>
      <c r="J291" s="61" t="str">
        <f>INDEX('M05-S03'!$AH$16:$AH$198,2*(ROWS($J$282:J291)-1)+1)</f>
        <v/>
      </c>
      <c r="K291" t="str">
        <f>IFERROR(INDEX(CMECOOK[Cost Basis],MATCH(INDEX('M05-S03'!$F$16:$F$198,2*(ROWS($K$282:K291)-1)+1),CMECOOK[Proj Desc 1],0)),"")</f>
        <v/>
      </c>
      <c r="L291" s="151">
        <f>IF(ISNUMBER(INDEX('M05-S03'!$AK$16:$AK$198,2*(ROWS($O$282:O291)-1)+1)),INDEX('M05-S03'!$Z$16:$Z$198,2*(ROWS($L$282:L291)-1)+1),0)</f>
        <v>0</v>
      </c>
      <c r="M291" s="151">
        <f>IFERROR(IF(ISNUMBER(INDEX('M05-S03'!$AK$16:$AK$198,2*(ROWS($O$282:O291)-1)+1)),INDEX('M05-S03'!$AO$16:$AO$198,2*(ROWS($M$282:M291)-1)+1),0),"")</f>
        <v>0</v>
      </c>
      <c r="N291" s="189">
        <f>IFERROR(IF(ISNUMBER(INDEX('M05-S03'!$AK$16:$AK$198,2*(ROWS($O$282:O291)-1)+1)),INDEX('M05-S03'!$AV$16:$AV$198,2*(ROWS($N$282:N291)-1)+1),0),"")</f>
        <v>0</v>
      </c>
      <c r="O291" s="61">
        <f>IF(ISNUMBER(INDEX('M05-S03'!$AK$16:$AK$198,2*(ROWS($O$282:O291)-1)+1)),INDEX('M05-S03'!$AK$16:$AK$198,2*(ROWS($O$282:O291)-1)+1),0)</f>
        <v>0</v>
      </c>
      <c r="P291" s="151" t="str">
        <f>IFERROR(IF(NOT(ISNUMBER(INDEX('M05-S03'!$AK$16:$AK$198,2*(ROWS($O$282:O291)-1)+1))),INDEX('M05-S03'!$AO$16:$AO$198,2*(ROWS($O$282:O291)-1)+1),0),"")</f>
        <v/>
      </c>
      <c r="Q291" s="189" t="str">
        <f>IFERROR(IF(NOT(ISNUMBER(INDEX('M05-S03'!$AK$16:$AK$198,2*(ROWS($O$282:O291)-1)+1))),INDEX('M05-S03'!$AV$16:$AV$198,2*(ROWS($O$282:O291)-1)+1),0),"")</f>
        <v/>
      </c>
      <c r="R291" t="str">
        <f>IFERROR(IF(NOT(ISNUMBER(INDEX('M05-S03'!$AK$16:$AK$198,2*(ROWS($O$282:O291)-1)+1))),INDEX(SPILLOVER[Spillover Reason],MATCH(INDEX('M05-S03'!$BC$16:$BC$198,2*(ROWS($O$282:O291)-1)+1),SPILLOVER[Spillover Text],0)),""),"")</f>
        <v>Not Eligible</v>
      </c>
      <c r="S291" s="157"/>
      <c r="T291" s="157"/>
      <c r="U291" s="151">
        <f>INDEX('M05-S03'!$B$16:$B$198,2*(ROWS($U$282:U291)-1)+1)</f>
        <v>10</v>
      </c>
      <c r="V291" s="135"/>
      <c r="W291" s="58">
        <f>INDEX('M05-S03'!$F$16:$F$198,2*(ROWS($W$282:W291)-1)+1)</f>
        <v>0</v>
      </c>
      <c r="X291">
        <f>INDEX('M05-S03'!$L$16:$L$198,2*(ROWS($X$282:X291)-1)+1)</f>
        <v>0</v>
      </c>
      <c r="Y291">
        <f>INDEX('M05-S03'!$U$16:$U$198,2*(ROWS($Y$282:Y291)-1)+1)</f>
        <v>0</v>
      </c>
      <c r="Z291" s="135"/>
      <c r="AA291" s="135"/>
      <c r="AB291" s="135"/>
      <c r="AC291" s="135"/>
      <c r="AD291" s="135"/>
      <c r="AE291" s="151">
        <f>IF(NOT(ISNUMBER(INDEX('M05-S03'!$AK$16:$AK$198,2*(ROWS($O$282:O291)-1)+1))),INDEX('M05-S03'!$Z$16:$Z$198,2*(ROWS($L$282:L291)-1)+1),0)</f>
        <v>0</v>
      </c>
      <c r="AF291" s="151">
        <f>INDEX('M05-S03'!$S$16:$S$198,2*(ROWS($AF$282:AF291)-1)+1)*INDEX('M05-S03'!$Q$16:$Q$198,2*(ROWS($AF$282:AF291)-1)+1)</f>
        <v>0</v>
      </c>
      <c r="AG291" s="151">
        <f>INDEX('M05-S03'!$AB$16:$AB$198,2*(ROWS($AG$282:AG291)-1)+1)*INDEX('M05-S03'!$Z$16:$Z$198,2*(ROWS($AG$282:AG291)-1)+1)</f>
        <v>0</v>
      </c>
      <c r="AH291" s="151" t="str">
        <f t="shared" si="107"/>
        <v/>
      </c>
      <c r="AI291" s="151" t="str">
        <f t="shared" si="108"/>
        <v/>
      </c>
      <c r="AJ291" s="61" t="str">
        <f t="shared" si="109"/>
        <v/>
      </c>
      <c r="AK291" s="61" t="str">
        <f t="shared" si="110"/>
        <v/>
      </c>
      <c r="AL291" s="61" t="str">
        <f t="shared" si="111"/>
        <v/>
      </c>
      <c r="AM291" s="61" t="str">
        <f>INDEX('M05-S03'!$AU$16:$AU$198,2*(ROWS($AM$282:AM291)-1)+1)</f>
        <v/>
      </c>
      <c r="AN291" s="61" t="str">
        <f>INDEX('M05-S03'!$BB$16:$BB$198,2*(ROWS($AN$282:AN291)-1)+1)</f>
        <v/>
      </c>
      <c r="AO291" s="151">
        <f>INDEX('M05-S03'!$Q$16:$Q$198,2*(ROWS($AO$282:AO291)-1)+1)</f>
        <v>0</v>
      </c>
      <c r="AP291" s="152"/>
      <c r="AQ291" s="152"/>
      <c r="AR291" s="416"/>
    </row>
    <row r="292" spans="1:44" x14ac:dyDescent="0.25">
      <c r="A292" s="417" t="str">
        <f>CONCATENATE(MAIN5," ",M5S4)</f>
        <v>CUSTOM MEASURES Motor / VFD / Pump</v>
      </c>
      <c r="B292" s="210"/>
      <c r="C292" s="210"/>
      <c r="D292" s="178"/>
      <c r="E292" s="178"/>
      <c r="F292" s="184"/>
      <c r="G292" s="178"/>
      <c r="H292" s="180"/>
      <c r="I292" s="180"/>
      <c r="J292" s="180"/>
      <c r="K292" s="178"/>
      <c r="L292" s="179"/>
      <c r="M292" s="179"/>
      <c r="N292" s="192"/>
      <c r="O292" s="180"/>
      <c r="P292" s="179"/>
      <c r="Q292" s="192"/>
      <c r="R292" s="178"/>
      <c r="S292" s="181"/>
      <c r="T292" s="181"/>
      <c r="U292" s="179"/>
      <c r="V292" s="178"/>
      <c r="W292" s="182"/>
      <c r="X292" s="178"/>
      <c r="Y292" s="178"/>
      <c r="Z292" s="183"/>
      <c r="AA292" s="178"/>
      <c r="AB292" s="178"/>
      <c r="AC292" s="178"/>
      <c r="AD292" s="178"/>
      <c r="AE292" s="179"/>
      <c r="AF292" s="179"/>
      <c r="AG292" s="179"/>
      <c r="AH292" s="179"/>
      <c r="AI292" s="179"/>
      <c r="AJ292" s="180" t="str">
        <f>IFERROR(O292/M292,"")</f>
        <v/>
      </c>
      <c r="AK292" s="180" t="str">
        <f>IFERROR(O292/N292,"")</f>
        <v/>
      </c>
      <c r="AL292" s="180" t="str">
        <f>IFERROR(O292/L292,"")</f>
        <v/>
      </c>
      <c r="AM292" s="180"/>
      <c r="AN292" s="180"/>
      <c r="AO292" s="179"/>
      <c r="AP292" s="179"/>
      <c r="AQ292" s="179"/>
      <c r="AR292" s="412"/>
    </row>
    <row r="293" spans="1:44" x14ac:dyDescent="0.25">
      <c r="A293" s="66">
        <f t="shared" ref="A293:A302" si="112">PROJID</f>
        <v>0</v>
      </c>
      <c r="B293" s="66" t="str">
        <f>IF(C293="","",CONCATENATE(ROW(),"-",C293))</f>
        <v/>
      </c>
      <c r="C293" s="66" t="str">
        <f>IFERROR(IF(J293&gt;0,INDEX('M05-S04'!$AY$16:$AY$198,2*(ROWS($C$293:C293)-1)+1),""),"")</f>
        <v/>
      </c>
      <c r="D293" t="s">
        <v>212</v>
      </c>
      <c r="E293" t="str">
        <f>IFERROR(INDEX('M05-S04'!$AW$16:$AW$198,2*(ROWS($E$293:E293)-1)+1),"")</f>
        <v/>
      </c>
      <c r="F293" s="152"/>
      <c r="G293" s="135"/>
      <c r="H293" s="61">
        <f>INDEX('M05-S04'!$AD$16:$AD$198,2*(ROWS($H$293:H293)-1)+1)</f>
        <v>0</v>
      </c>
      <c r="I293" s="61">
        <f>INDEX('M05-S04'!$AF$16:$AF$198,2*(ROWS($I$293:I293)-1)+1)</f>
        <v>0</v>
      </c>
      <c r="J293" s="61" t="str">
        <f>INDEX('M05-S04'!$AH$16:$AH$198,2*(ROWS($J$293:J293)-1)+1)</f>
        <v/>
      </c>
      <c r="K293" t="str">
        <f>IFERROR(INDEX(CMEMOTOR[Cost Basis],MATCH(INDEX('M05-S04'!$F$16:$F$198,2*(ROWS($K$293:K293)-1)+1),CMEMOTOR[Proj Desc 1],0)),"")</f>
        <v/>
      </c>
      <c r="L293" s="151">
        <f>IF(ISNUMBER(INDEX('M05-S04'!$AK$16:$AK$198,2*(ROWS($O$293:O293)-1)+1)),INDEX('M05-S04'!$Z$16:$Z$198,2*(ROWS($L$293:L293)-1)+1),0)</f>
        <v>0</v>
      </c>
      <c r="M293" s="151">
        <f>IFERROR(IF(ISNUMBER(INDEX('M05-S04'!$AK$16:$AK$198,2*(ROWS($O$293:O293)-1)+1)),INDEX('M05-S04'!$AO$16:$AO$198,2*(ROWS($M$293:M293)-1)+1),0),"")</f>
        <v>0</v>
      </c>
      <c r="N293" s="189">
        <f>IFERROR(IF(ISNUMBER(INDEX('M05-S04'!$AK$16:$AK$198,2*(ROWS($O$293:O293)-1)+1)),INDEX('M05-S04'!$AV$16:$AV$198,2*(ROWS($N$293:N293)-1)+1),0),"")</f>
        <v>0</v>
      </c>
      <c r="O293" s="61">
        <f>IF(ISNUMBER(INDEX('M05-S04'!$AK$16:$AK$198,2*(ROWS($O$293:O293)-1)+1)),INDEX('M05-S04'!$AK$16:$AK$198,2*(ROWS($O$293:O293)-1)+1),0)</f>
        <v>0</v>
      </c>
      <c r="P293" s="151" t="str">
        <f>IFERROR(IF(NOT(ISNUMBER(INDEX('M05-S04'!$AK$16:$AK$198,2*(ROWS($O$293:O293)-1)+1))),INDEX('M05-S04'!$AO$16:$AO$198,2*(ROWS($O$293:O293)-1)+1),0),"")</f>
        <v/>
      </c>
      <c r="Q293" s="189" t="str">
        <f>IFERROR(IF(NOT(ISNUMBER(INDEX('M05-S04'!$AK$16:$AK$198,2*(ROWS($O$293:O293)-1)+1))),INDEX('M05-S04'!$AV$16:$AV$198,2*(ROWS($O$293:O293)-1)+1),0),"")</f>
        <v/>
      </c>
      <c r="R293" t="str">
        <f>IFERROR(IF(NOT(ISNUMBER(INDEX('M05-S04'!$AK$16:$AK$198,2*(ROWS($O$293:O293)-1)+1))),INDEX(SPILLOVER[Spillover Reason],MATCH(INDEX('M05-S04'!$BC$16:$BC$198,2*(ROWS($O$293:O293)-1)+1),SPILLOVER[Spillover Text],0)),""),"")</f>
        <v>Not Eligible</v>
      </c>
      <c r="S293" s="157"/>
      <c r="T293" s="157"/>
      <c r="U293" s="151">
        <f>INDEX('M05-S04'!$B$16:$B$198,2*(ROWS($U$293:U293)-1)+1)</f>
        <v>1</v>
      </c>
      <c r="V293" s="135"/>
      <c r="W293" s="58">
        <f>INDEX('M05-S04'!$F$16:$F$198,2*(ROWS($W$293:W293)-1)+1)</f>
        <v>0</v>
      </c>
      <c r="X293">
        <f>INDEX('M05-S04'!$L$16:$L$198,2*(ROWS($X$293:X293)-1)+1)</f>
        <v>0</v>
      </c>
      <c r="Y293">
        <f>INDEX('M05-S04'!$U$16:$U$198,2*(ROWS($Y$293:Y293)-1)+1)</f>
        <v>0</v>
      </c>
      <c r="Z293" s="135"/>
      <c r="AA293" s="135"/>
      <c r="AB293" s="135"/>
      <c r="AC293" s="135"/>
      <c r="AD293" s="135"/>
      <c r="AE293" s="151">
        <f>IF(NOT(ISNUMBER(INDEX('M05-S04'!$AK$16:$AK$198,2*(ROWS($O$293:O293)-1)+1))),INDEX('M05-S04'!$Z$16:$Z$198,2*(ROWS($L$293:L293)-1)+1),0)</f>
        <v>0</v>
      </c>
      <c r="AF293" s="151">
        <f>INDEX('M05-S04'!$S$16:$S$198,2*(ROWS($AF$293:AF293)-1)+1)*INDEX('M05-S04'!$Q$16:$Q$198,2*(ROWS($AF$293:AF293)-1)+1)</f>
        <v>0</v>
      </c>
      <c r="AG293" s="151">
        <f>INDEX('M05-S04'!$AB$16:$AB$198,2*(ROWS($AG$293:AG293)-1)+1)*INDEX('M05-S04'!$Z$16:$Z$198,2*(ROWS($AG$293:AG293)-1)+1)</f>
        <v>0</v>
      </c>
      <c r="AH293" s="151" t="str">
        <f>IFERROR(AF293/AO293,"")</f>
        <v/>
      </c>
      <c r="AI293" s="151" t="str">
        <f>IFERROR(AG293/L293,"")</f>
        <v/>
      </c>
      <c r="AJ293" s="61" t="str">
        <f>IFERROR(O293/M293,"")</f>
        <v/>
      </c>
      <c r="AK293" s="61" t="str">
        <f>IFERROR(O293/N293,"")</f>
        <v/>
      </c>
      <c r="AL293" s="61" t="str">
        <f>IFERROR(O293/L293,"")</f>
        <v/>
      </c>
      <c r="AM293" s="61" t="str">
        <f>INDEX('M05-S04'!$AU$16:$AU$198,2*(ROWS($AM$293:AM293)-1)+1)</f>
        <v/>
      </c>
      <c r="AN293" s="61" t="str">
        <f>INDEX('M05-S04'!$BB$16:$BB$198,2*(ROWS($AN$293:AN293)-1)+1)</f>
        <v/>
      </c>
      <c r="AO293" s="151">
        <f>INDEX('M05-S04'!$Q$16:$Q$198,2*(ROWS($AO$293:AO293)-1)+1)</f>
        <v>0</v>
      </c>
      <c r="AP293" s="152"/>
      <c r="AQ293" s="152"/>
      <c r="AR293" s="416">
        <f>(IF(INDEX('M05-S04'!$AK$16:$AK$198,2*(ROWS($O$293:O293)-1)+1)=INDEX('M05-S04'!$BG$16:$BG$198,2*(ROWS($O$293:O293)-1)+1),0,(INDEX('M05-S04'!$BF$16:$BF$198,2*(ROWS($O$293:O293)-1)+1)-INDEX('M05-S04'!$BG$16:$BG$198,2*(ROWS($O$293:O293)-1)+1))))</f>
        <v>0</v>
      </c>
    </row>
    <row r="294" spans="1:44" x14ac:dyDescent="0.25">
      <c r="A294" s="66">
        <f t="shared" si="112"/>
        <v>0</v>
      </c>
      <c r="B294" s="66" t="str">
        <f t="shared" ref="B294:B302" si="113">IF(C294="","",CONCATENATE(ROW(),"-",C294))</f>
        <v/>
      </c>
      <c r="C294" s="66" t="str">
        <f>IFERROR(IF(J294&gt;0,INDEX('M05-S04'!$AY$16:$AY$198,2*(ROWS($C$293:C294)-1)+1),""),"")</f>
        <v/>
      </c>
      <c r="D294" t="s">
        <v>212</v>
      </c>
      <c r="E294" t="str">
        <f>IFERROR(INDEX('M05-S04'!$AW$16:$AW$198,2*(ROWS($E$293:E294)-1)+1),"")</f>
        <v/>
      </c>
      <c r="F294" s="152"/>
      <c r="G294" s="135"/>
      <c r="H294" s="61">
        <f>INDEX('M05-S04'!$AD$16:$AD$198,2*(ROWS($H$293:H294)-1)+1)</f>
        <v>0</v>
      </c>
      <c r="I294" s="61">
        <f>INDEX('M05-S04'!$AF$16:$AF$198,2*(ROWS($I$293:I294)-1)+1)</f>
        <v>0</v>
      </c>
      <c r="J294" s="61" t="str">
        <f>INDEX('M05-S04'!$AH$16:$AH$198,2*(ROWS($J$293:J294)-1)+1)</f>
        <v/>
      </c>
      <c r="K294" t="str">
        <f>IFERROR(INDEX(CMEMOTOR[Cost Basis],MATCH(INDEX('M05-S04'!$F$16:$F$198,2*(ROWS($K$293:K294)-1)+1),CMEMOTOR[Proj Desc 1],0)),"")</f>
        <v/>
      </c>
      <c r="L294" s="151">
        <f>IF(ISNUMBER(INDEX('M05-S04'!$AK$16:$AK$198,2*(ROWS($O$293:O294)-1)+1)),INDEX('M05-S04'!$Z$16:$Z$198,2*(ROWS($L$293:L294)-1)+1),0)</f>
        <v>0</v>
      </c>
      <c r="M294" s="151">
        <f>IFERROR(IF(ISNUMBER(INDEX('M05-S04'!$AK$16:$AK$198,2*(ROWS($O$293:O294)-1)+1)),INDEX('M05-S04'!$AO$16:$AO$198,2*(ROWS($M$293:M294)-1)+1),0),"")</f>
        <v>0</v>
      </c>
      <c r="N294" s="189">
        <f>IFERROR(IF(ISNUMBER(INDEX('M05-S04'!$AK$16:$AK$198,2*(ROWS($O$293:O294)-1)+1)),INDEX('M05-S04'!$AV$16:$AV$198,2*(ROWS($N$293:N294)-1)+1),0),"")</f>
        <v>0</v>
      </c>
      <c r="O294" s="61">
        <f>IF(ISNUMBER(INDEX('M05-S04'!$AK$16:$AK$198,2*(ROWS($O$293:O294)-1)+1)),INDEX('M05-S04'!$AK$16:$AK$198,2*(ROWS($O$293:O294)-1)+1),0)</f>
        <v>0</v>
      </c>
      <c r="P294" s="151" t="str">
        <f>IFERROR(IF(NOT(ISNUMBER(INDEX('M05-S04'!$AK$16:$AK$198,2*(ROWS($O$293:O294)-1)+1))),INDEX('M05-S04'!$AO$16:$AO$198,2*(ROWS($O$293:O294)-1)+1),0),"")</f>
        <v/>
      </c>
      <c r="Q294" s="189" t="str">
        <f>IFERROR(IF(NOT(ISNUMBER(INDEX('M05-S04'!$AK$16:$AK$198,2*(ROWS($O$293:O294)-1)+1))),INDEX('M05-S04'!$AV$16:$AV$198,2*(ROWS($O$293:O294)-1)+1),0),"")</f>
        <v/>
      </c>
      <c r="R294" t="str">
        <f>IFERROR(IF(NOT(ISNUMBER(INDEX('M05-S04'!$AK$16:$AK$198,2*(ROWS($O$293:O294)-1)+1))),INDEX(SPILLOVER[Spillover Reason],MATCH(INDEX('M05-S04'!$BC$16:$BC$198,2*(ROWS($O$293:O294)-1)+1),SPILLOVER[Spillover Text],0)),""),"")</f>
        <v>Not Eligible</v>
      </c>
      <c r="S294" s="157"/>
      <c r="T294" s="157"/>
      <c r="U294" s="151">
        <f>INDEX('M05-S04'!$B$16:$B$198,2*(ROWS($U$293:U294)-1)+1)</f>
        <v>2</v>
      </c>
      <c r="V294" s="135"/>
      <c r="W294" s="58">
        <f>INDEX('M05-S04'!$F$16:$F$198,2*(ROWS($W$293:W294)-1)+1)</f>
        <v>0</v>
      </c>
      <c r="X294">
        <f>INDEX('M05-S04'!$L$16:$L$198,2*(ROWS($X$293:X294)-1)+1)</f>
        <v>0</v>
      </c>
      <c r="Y294">
        <f>INDEX('M05-S04'!$U$16:$U$198,2*(ROWS($Y$293:Y294)-1)+1)</f>
        <v>0</v>
      </c>
      <c r="Z294" s="135"/>
      <c r="AA294" s="135"/>
      <c r="AB294" s="135"/>
      <c r="AC294" s="135"/>
      <c r="AD294" s="135"/>
      <c r="AE294" s="151">
        <f>IF(NOT(ISNUMBER(INDEX('M05-S04'!$AK$16:$AK$198,2*(ROWS($O$293:O294)-1)+1))),INDEX('M05-S04'!$Z$16:$Z$198,2*(ROWS($L$293:L294)-1)+1),0)</f>
        <v>0</v>
      </c>
      <c r="AF294" s="151">
        <f>INDEX('M05-S04'!$S$16:$S$198,2*(ROWS($AF$293:AF294)-1)+1)*INDEX('M05-S04'!$Q$16:$Q$198,2*(ROWS($AF$293:AF294)-1)+1)</f>
        <v>0</v>
      </c>
      <c r="AG294" s="151">
        <f>INDEX('M05-S04'!$AB$16:$AB$198,2*(ROWS($AG$293:AG294)-1)+1)*INDEX('M05-S04'!$Z$16:$Z$198,2*(ROWS($AG$293:AG294)-1)+1)</f>
        <v>0</v>
      </c>
      <c r="AH294" s="151" t="str">
        <f t="shared" ref="AH294:AH302" si="114">IFERROR(AF294/AO294,"")</f>
        <v/>
      </c>
      <c r="AI294" s="151" t="str">
        <f t="shared" ref="AI294:AI302" si="115">IFERROR(AG294/L294,"")</f>
        <v/>
      </c>
      <c r="AJ294" s="61" t="str">
        <f t="shared" ref="AJ294:AJ302" si="116">IFERROR(O294/M294,"")</f>
        <v/>
      </c>
      <c r="AK294" s="61" t="str">
        <f t="shared" ref="AK294:AK302" si="117">IFERROR(O294/N294,"")</f>
        <v/>
      </c>
      <c r="AL294" s="61" t="str">
        <f t="shared" ref="AL294:AL302" si="118">IFERROR(O294/L294,"")</f>
        <v/>
      </c>
      <c r="AM294" s="61" t="str">
        <f>INDEX('M05-S04'!$AU$16:$AU$198,2*(ROWS($AM$293:AM294)-1)+1)</f>
        <v/>
      </c>
      <c r="AN294" s="61" t="str">
        <f>INDEX('M05-S04'!$BB$16:$BB$198,2*(ROWS($AN$293:AN294)-1)+1)</f>
        <v/>
      </c>
      <c r="AO294" s="151">
        <f>INDEX('M05-S04'!$Q$16:$Q$198,2*(ROWS($AO$293:AO294)-1)+1)</f>
        <v>0</v>
      </c>
      <c r="AP294" s="152"/>
      <c r="AQ294" s="152"/>
      <c r="AR294" s="416">
        <f>(IF(INDEX('M05-S04'!$AK$16:$AK$198,2*(ROWS($O$293:O294)-1)+1)=INDEX('M05-S04'!$BG$16:$BG$198,2*(ROWS($O$293:O294)-1)+1),0,(INDEX('M05-S04'!$BF$16:$BF$198,2*(ROWS($O$293:O294)-1)+1)-INDEX('M05-S04'!$BG$16:$BG$198,2*(ROWS($O$293:O294)-1)+1))))</f>
        <v>0</v>
      </c>
    </row>
    <row r="295" spans="1:44" x14ac:dyDescent="0.25">
      <c r="A295" s="66">
        <f t="shared" si="112"/>
        <v>0</v>
      </c>
      <c r="B295" s="66" t="str">
        <f t="shared" si="113"/>
        <v/>
      </c>
      <c r="C295" s="66" t="str">
        <f>IFERROR(IF(J295&gt;0,INDEX('M05-S04'!$AY$16:$AY$198,2*(ROWS($C$293:C295)-1)+1),""),"")</f>
        <v/>
      </c>
      <c r="D295" t="s">
        <v>212</v>
      </c>
      <c r="E295" t="str">
        <f>IFERROR(INDEX('M05-S04'!$AW$16:$AW$198,2*(ROWS($E$293:E295)-1)+1),"")</f>
        <v/>
      </c>
      <c r="F295" s="152"/>
      <c r="G295" s="135"/>
      <c r="H295" s="61">
        <f>INDEX('M05-S04'!$AD$16:$AD$198,2*(ROWS($H$293:H295)-1)+1)</f>
        <v>0</v>
      </c>
      <c r="I295" s="61">
        <f>INDEX('M05-S04'!$AF$16:$AF$198,2*(ROWS($I$293:I295)-1)+1)</f>
        <v>0</v>
      </c>
      <c r="J295" s="61" t="str">
        <f>INDEX('M05-S04'!$AH$16:$AH$198,2*(ROWS($J$293:J295)-1)+1)</f>
        <v/>
      </c>
      <c r="K295" t="str">
        <f>IFERROR(INDEX(CMEMOTOR[Cost Basis],MATCH(INDEX('M05-S04'!$F$16:$F$198,2*(ROWS($K$293:K295)-1)+1),CMEMOTOR[Proj Desc 1],0)),"")</f>
        <v/>
      </c>
      <c r="L295" s="151">
        <f>IF(ISNUMBER(INDEX('M05-S04'!$AK$16:$AK$198,2*(ROWS($O$293:O295)-1)+1)),INDEX('M05-S04'!$Z$16:$Z$198,2*(ROWS($L$293:L295)-1)+1),0)</f>
        <v>0</v>
      </c>
      <c r="M295" s="151">
        <f>IFERROR(IF(ISNUMBER(INDEX('M05-S04'!$AK$16:$AK$198,2*(ROWS($O$293:O295)-1)+1)),INDEX('M05-S04'!$AO$16:$AO$198,2*(ROWS($M$293:M295)-1)+1),0),"")</f>
        <v>0</v>
      </c>
      <c r="N295" s="189">
        <f>IFERROR(IF(ISNUMBER(INDEX('M05-S04'!$AK$16:$AK$198,2*(ROWS($O$293:O295)-1)+1)),INDEX('M05-S04'!$AV$16:$AV$198,2*(ROWS($N$293:N295)-1)+1),0),"")</f>
        <v>0</v>
      </c>
      <c r="O295" s="61">
        <f>IF(ISNUMBER(INDEX('M05-S04'!$AK$16:$AK$198,2*(ROWS($O$293:O295)-1)+1)),INDEX('M05-S04'!$AK$16:$AK$198,2*(ROWS($O$293:O295)-1)+1),0)</f>
        <v>0</v>
      </c>
      <c r="P295" s="151" t="str">
        <f>IFERROR(IF(NOT(ISNUMBER(INDEX('M05-S04'!$AK$16:$AK$198,2*(ROWS($O$293:O295)-1)+1))),INDEX('M05-S04'!$AO$16:$AO$198,2*(ROWS($O$293:O295)-1)+1),0),"")</f>
        <v/>
      </c>
      <c r="Q295" s="189" t="str">
        <f>IFERROR(IF(NOT(ISNUMBER(INDEX('M05-S04'!$AK$16:$AK$198,2*(ROWS($O$293:O295)-1)+1))),INDEX('M05-S04'!$AV$16:$AV$198,2*(ROWS($O$293:O295)-1)+1),0),"")</f>
        <v/>
      </c>
      <c r="R295" t="str">
        <f>IFERROR(IF(NOT(ISNUMBER(INDEX('M05-S04'!$AK$16:$AK$198,2*(ROWS($O$293:O295)-1)+1))),INDEX(SPILLOVER[Spillover Reason],MATCH(INDEX('M05-S04'!$BC$16:$BC$198,2*(ROWS($O$293:O295)-1)+1),SPILLOVER[Spillover Text],0)),""),"")</f>
        <v>Not Eligible</v>
      </c>
      <c r="S295" s="157"/>
      <c r="T295" s="157"/>
      <c r="U295" s="151">
        <f>INDEX('M05-S04'!$B$16:$B$198,2*(ROWS($U$293:U295)-1)+1)</f>
        <v>3</v>
      </c>
      <c r="V295" s="135"/>
      <c r="W295" s="58">
        <f>INDEX('M05-S04'!$F$16:$F$198,2*(ROWS($W$293:W295)-1)+1)</f>
        <v>0</v>
      </c>
      <c r="X295">
        <f>INDEX('M05-S04'!$L$16:$L$198,2*(ROWS($X$293:X295)-1)+1)</f>
        <v>0</v>
      </c>
      <c r="Y295">
        <f>INDEX('M05-S04'!$U$16:$U$198,2*(ROWS($Y$293:Y295)-1)+1)</f>
        <v>0</v>
      </c>
      <c r="Z295" s="135"/>
      <c r="AA295" s="135"/>
      <c r="AB295" s="135"/>
      <c r="AC295" s="135"/>
      <c r="AD295" s="135"/>
      <c r="AE295" s="151">
        <f>IF(NOT(ISNUMBER(INDEX('M05-S04'!$AK$16:$AK$198,2*(ROWS($O$293:O295)-1)+1))),INDEX('M05-S04'!$Z$16:$Z$198,2*(ROWS($L$293:L295)-1)+1),0)</f>
        <v>0</v>
      </c>
      <c r="AF295" s="151">
        <f>INDEX('M05-S04'!$S$16:$S$198,2*(ROWS($AF$293:AF295)-1)+1)*INDEX('M05-S04'!$Q$16:$Q$198,2*(ROWS($AF$293:AF295)-1)+1)</f>
        <v>0</v>
      </c>
      <c r="AG295" s="151">
        <f>INDEX('M05-S04'!$AB$16:$AB$198,2*(ROWS($AG$293:AG295)-1)+1)*INDEX('M05-S04'!$Z$16:$Z$198,2*(ROWS($AG$293:AG295)-1)+1)</f>
        <v>0</v>
      </c>
      <c r="AH295" s="151" t="str">
        <f t="shared" si="114"/>
        <v/>
      </c>
      <c r="AI295" s="151" t="str">
        <f t="shared" si="115"/>
        <v/>
      </c>
      <c r="AJ295" s="61" t="str">
        <f t="shared" si="116"/>
        <v/>
      </c>
      <c r="AK295" s="61" t="str">
        <f t="shared" si="117"/>
        <v/>
      </c>
      <c r="AL295" s="61" t="str">
        <f t="shared" si="118"/>
        <v/>
      </c>
      <c r="AM295" s="61" t="str">
        <f>INDEX('M05-S04'!$AU$16:$AU$198,2*(ROWS($AM$293:AM295)-1)+1)</f>
        <v/>
      </c>
      <c r="AN295" s="61" t="str">
        <f>INDEX('M05-S04'!$BB$16:$BB$198,2*(ROWS($AN$293:AN295)-1)+1)</f>
        <v/>
      </c>
      <c r="AO295" s="151">
        <f>INDEX('M05-S04'!$Q$16:$Q$198,2*(ROWS($AO$293:AO295)-1)+1)</f>
        <v>0</v>
      </c>
      <c r="AP295" s="152"/>
      <c r="AQ295" s="152"/>
      <c r="AR295" s="416">
        <f>(IF(INDEX('M05-S04'!$AK$16:$AK$198,2*(ROWS($O$293:O295)-1)+1)=INDEX('M05-S04'!$BG$16:$BG$198,2*(ROWS($O$293:O295)-1)+1),0,(INDEX('M05-S04'!$BF$16:$BF$198,2*(ROWS($O$293:O295)-1)+1)-INDEX('M05-S04'!$BG$16:$BG$198,2*(ROWS($O$293:O295)-1)+1))))</f>
        <v>0</v>
      </c>
    </row>
    <row r="296" spans="1:44" x14ac:dyDescent="0.25">
      <c r="A296" s="66">
        <f t="shared" si="112"/>
        <v>0</v>
      </c>
      <c r="B296" s="66" t="str">
        <f t="shared" si="113"/>
        <v/>
      </c>
      <c r="C296" s="66" t="str">
        <f>IFERROR(IF(J296&gt;0,INDEX('M05-S04'!$AY$16:$AY$198,2*(ROWS($C$293:C296)-1)+1),""),"")</f>
        <v/>
      </c>
      <c r="D296" t="s">
        <v>212</v>
      </c>
      <c r="E296" t="str">
        <f>IFERROR(INDEX('M05-S04'!$AW$16:$AW$198,2*(ROWS($E$293:E296)-1)+1),"")</f>
        <v/>
      </c>
      <c r="F296" s="152"/>
      <c r="G296" s="135"/>
      <c r="H296" s="61">
        <f>INDEX('M05-S04'!$AD$16:$AD$198,2*(ROWS($H$293:H296)-1)+1)</f>
        <v>0</v>
      </c>
      <c r="I296" s="61">
        <f>INDEX('M05-S04'!$AF$16:$AF$198,2*(ROWS($I$293:I296)-1)+1)</f>
        <v>0</v>
      </c>
      <c r="J296" s="61" t="str">
        <f>INDEX('M05-S04'!$AH$16:$AH$198,2*(ROWS($J$293:J296)-1)+1)</f>
        <v/>
      </c>
      <c r="K296" t="str">
        <f>IFERROR(INDEX(CMEMOTOR[Cost Basis],MATCH(INDEX('M05-S04'!$F$16:$F$198,2*(ROWS($K$293:K296)-1)+1),CMEMOTOR[Proj Desc 1],0)),"")</f>
        <v/>
      </c>
      <c r="L296" s="151">
        <f>IF(ISNUMBER(INDEX('M05-S04'!$AK$16:$AK$198,2*(ROWS($O$293:O296)-1)+1)),INDEX('M05-S04'!$Z$16:$Z$198,2*(ROWS($L$293:L296)-1)+1),0)</f>
        <v>0</v>
      </c>
      <c r="M296" s="151">
        <f>IFERROR(IF(ISNUMBER(INDEX('M05-S04'!$AK$16:$AK$198,2*(ROWS($O$293:O296)-1)+1)),INDEX('M05-S04'!$AO$16:$AO$198,2*(ROWS($M$293:M296)-1)+1),0),"")</f>
        <v>0</v>
      </c>
      <c r="N296" s="189">
        <f>IFERROR(IF(ISNUMBER(INDEX('M05-S04'!$AK$16:$AK$198,2*(ROWS($O$293:O296)-1)+1)),INDEX('M05-S04'!$AV$16:$AV$198,2*(ROWS($N$293:N296)-1)+1),0),"")</f>
        <v>0</v>
      </c>
      <c r="O296" s="61">
        <f>IF(ISNUMBER(INDEX('M05-S04'!$AK$16:$AK$198,2*(ROWS($O$293:O296)-1)+1)),INDEX('M05-S04'!$AK$16:$AK$198,2*(ROWS($O$293:O296)-1)+1),0)</f>
        <v>0</v>
      </c>
      <c r="P296" s="151" t="str">
        <f>IFERROR(IF(NOT(ISNUMBER(INDEX('M05-S04'!$AK$16:$AK$198,2*(ROWS($O$293:O296)-1)+1))),INDEX('M05-S04'!$AO$16:$AO$198,2*(ROWS($O$293:O296)-1)+1),0),"")</f>
        <v/>
      </c>
      <c r="Q296" s="189" t="str">
        <f>IFERROR(IF(NOT(ISNUMBER(INDEX('M05-S04'!$AK$16:$AK$198,2*(ROWS($O$293:O296)-1)+1))),INDEX('M05-S04'!$AV$16:$AV$198,2*(ROWS($O$293:O296)-1)+1),0),"")</f>
        <v/>
      </c>
      <c r="R296" t="str">
        <f>IFERROR(IF(NOT(ISNUMBER(INDEX('M05-S04'!$AK$16:$AK$198,2*(ROWS($O$293:O296)-1)+1))),INDEX(SPILLOVER[Spillover Reason],MATCH(INDEX('M05-S04'!$BC$16:$BC$198,2*(ROWS($O$293:O296)-1)+1),SPILLOVER[Spillover Text],0)),""),"")</f>
        <v>Not Eligible</v>
      </c>
      <c r="S296" s="157"/>
      <c r="T296" s="157"/>
      <c r="U296" s="151">
        <f>INDEX('M05-S04'!$B$16:$B$198,2*(ROWS($U$293:U296)-1)+1)</f>
        <v>4</v>
      </c>
      <c r="V296" s="135"/>
      <c r="W296" s="58">
        <f>INDEX('M05-S04'!$F$16:$F$198,2*(ROWS($W$293:W296)-1)+1)</f>
        <v>0</v>
      </c>
      <c r="X296">
        <f>INDEX('M05-S04'!$L$16:$L$198,2*(ROWS($X$293:X296)-1)+1)</f>
        <v>0</v>
      </c>
      <c r="Y296">
        <f>INDEX('M05-S04'!$U$16:$U$198,2*(ROWS($Y$293:Y296)-1)+1)</f>
        <v>0</v>
      </c>
      <c r="Z296" s="135"/>
      <c r="AA296" s="135"/>
      <c r="AB296" s="135"/>
      <c r="AC296" s="135"/>
      <c r="AD296" s="135"/>
      <c r="AE296" s="151">
        <f>IF(NOT(ISNUMBER(INDEX('M05-S04'!$AK$16:$AK$198,2*(ROWS($O$293:O296)-1)+1))),INDEX('M05-S04'!$Z$16:$Z$198,2*(ROWS($L$293:L296)-1)+1),0)</f>
        <v>0</v>
      </c>
      <c r="AF296" s="151">
        <f>INDEX('M05-S04'!$S$16:$S$198,2*(ROWS($AF$293:AF296)-1)+1)*INDEX('M05-S04'!$Q$16:$Q$198,2*(ROWS($AF$293:AF296)-1)+1)</f>
        <v>0</v>
      </c>
      <c r="AG296" s="151">
        <f>INDEX('M05-S04'!$AB$16:$AB$198,2*(ROWS($AG$293:AG296)-1)+1)*INDEX('M05-S04'!$Z$16:$Z$198,2*(ROWS($AG$293:AG296)-1)+1)</f>
        <v>0</v>
      </c>
      <c r="AH296" s="151" t="str">
        <f t="shared" si="114"/>
        <v/>
      </c>
      <c r="AI296" s="151" t="str">
        <f t="shared" si="115"/>
        <v/>
      </c>
      <c r="AJ296" s="61" t="str">
        <f t="shared" si="116"/>
        <v/>
      </c>
      <c r="AK296" s="61" t="str">
        <f t="shared" si="117"/>
        <v/>
      </c>
      <c r="AL296" s="61" t="str">
        <f t="shared" si="118"/>
        <v/>
      </c>
      <c r="AM296" s="61" t="str">
        <f>INDEX('M05-S04'!$AU$16:$AU$198,2*(ROWS($AM$293:AM296)-1)+1)</f>
        <v/>
      </c>
      <c r="AN296" s="61" t="str">
        <f>INDEX('M05-S04'!$BB$16:$BB$198,2*(ROWS($AN$293:AN296)-1)+1)</f>
        <v/>
      </c>
      <c r="AO296" s="151">
        <f>INDEX('M05-S04'!$Q$16:$Q$198,2*(ROWS($AO$293:AO296)-1)+1)</f>
        <v>0</v>
      </c>
      <c r="AP296" s="152"/>
      <c r="AQ296" s="152"/>
      <c r="AR296" s="416">
        <f>(IF(INDEX('M05-S04'!$AK$16:$AK$198,2*(ROWS($O$293:O296)-1)+1)=INDEX('M05-S04'!$BG$16:$BG$198,2*(ROWS($O$293:O296)-1)+1),0,(INDEX('M05-S04'!$BF$16:$BF$198,2*(ROWS($O$293:O296)-1)+1)-INDEX('M05-S04'!$BG$16:$BG$198,2*(ROWS($O$293:O296)-1)+1))))</f>
        <v>0</v>
      </c>
    </row>
    <row r="297" spans="1:44" x14ac:dyDescent="0.25">
      <c r="A297" s="66">
        <f t="shared" si="112"/>
        <v>0</v>
      </c>
      <c r="B297" s="66" t="str">
        <f t="shared" si="113"/>
        <v/>
      </c>
      <c r="C297" s="66" t="str">
        <f>IFERROR(IF(J297&gt;0,INDEX('M05-S04'!$AY$16:$AY$198,2*(ROWS($C$293:C297)-1)+1),""),"")</f>
        <v/>
      </c>
      <c r="D297" t="s">
        <v>212</v>
      </c>
      <c r="E297" t="str">
        <f>IFERROR(INDEX('M05-S04'!$AW$16:$AW$198,2*(ROWS($E$293:E297)-1)+1),"")</f>
        <v/>
      </c>
      <c r="F297" s="152"/>
      <c r="G297" s="135"/>
      <c r="H297" s="61">
        <f>INDEX('M05-S04'!$AD$16:$AD$198,2*(ROWS($H$293:H297)-1)+1)</f>
        <v>0</v>
      </c>
      <c r="I297" s="61">
        <f>INDEX('M05-S04'!$AF$16:$AF$198,2*(ROWS($I$293:I297)-1)+1)</f>
        <v>0</v>
      </c>
      <c r="J297" s="61" t="str">
        <f>INDEX('M05-S04'!$AH$16:$AH$198,2*(ROWS($J$293:J297)-1)+1)</f>
        <v/>
      </c>
      <c r="K297" t="str">
        <f>IFERROR(INDEX(CMEMOTOR[Cost Basis],MATCH(INDEX('M05-S04'!$F$16:$F$198,2*(ROWS($K$293:K297)-1)+1),CMEMOTOR[Proj Desc 1],0)),"")</f>
        <v/>
      </c>
      <c r="L297" s="151">
        <f>IF(ISNUMBER(INDEX('M05-S04'!$AK$16:$AK$198,2*(ROWS($O$293:O297)-1)+1)),INDEX('M05-S04'!$Z$16:$Z$198,2*(ROWS($L$293:L297)-1)+1),0)</f>
        <v>0</v>
      </c>
      <c r="M297" s="151">
        <f>IFERROR(IF(ISNUMBER(INDEX('M05-S04'!$AK$16:$AK$198,2*(ROWS($O$293:O297)-1)+1)),INDEX('M05-S04'!$AO$16:$AO$198,2*(ROWS($M$293:M297)-1)+1),0),"")</f>
        <v>0</v>
      </c>
      <c r="N297" s="189">
        <f>IFERROR(IF(ISNUMBER(INDEX('M05-S04'!$AK$16:$AK$198,2*(ROWS($O$293:O297)-1)+1)),INDEX('M05-S04'!$AV$16:$AV$198,2*(ROWS($N$293:N297)-1)+1),0),"")</f>
        <v>0</v>
      </c>
      <c r="O297" s="61">
        <f>IF(ISNUMBER(INDEX('M05-S04'!$AK$16:$AK$198,2*(ROWS($O$293:O297)-1)+1)),INDEX('M05-S04'!$AK$16:$AK$198,2*(ROWS($O$293:O297)-1)+1),0)</f>
        <v>0</v>
      </c>
      <c r="P297" s="151" t="str">
        <f>IFERROR(IF(NOT(ISNUMBER(INDEX('M05-S04'!$AK$16:$AK$198,2*(ROWS($O$293:O297)-1)+1))),INDEX('M05-S04'!$AO$16:$AO$198,2*(ROWS($O$293:O297)-1)+1),0),"")</f>
        <v/>
      </c>
      <c r="Q297" s="189" t="str">
        <f>IFERROR(IF(NOT(ISNUMBER(INDEX('M05-S04'!$AK$16:$AK$198,2*(ROWS($O$293:O297)-1)+1))),INDEX('M05-S04'!$AV$16:$AV$198,2*(ROWS($O$293:O297)-1)+1),0),"")</f>
        <v/>
      </c>
      <c r="R297" t="str">
        <f>IFERROR(IF(NOT(ISNUMBER(INDEX('M05-S04'!$AK$16:$AK$198,2*(ROWS($O$293:O297)-1)+1))),INDEX(SPILLOVER[Spillover Reason],MATCH(INDEX('M05-S04'!$BC$16:$BC$198,2*(ROWS($O$293:O297)-1)+1),SPILLOVER[Spillover Text],0)),""),"")</f>
        <v>Not Eligible</v>
      </c>
      <c r="S297" s="157"/>
      <c r="T297" s="157"/>
      <c r="U297" s="151">
        <f>INDEX('M05-S04'!$B$16:$B$198,2*(ROWS($U$293:U297)-1)+1)</f>
        <v>5</v>
      </c>
      <c r="V297" s="135"/>
      <c r="W297" s="58">
        <f>INDEX('M05-S04'!$F$16:$F$198,2*(ROWS($W$293:W297)-1)+1)</f>
        <v>0</v>
      </c>
      <c r="X297">
        <f>INDEX('M05-S04'!$L$16:$L$198,2*(ROWS($X$293:X297)-1)+1)</f>
        <v>0</v>
      </c>
      <c r="Y297">
        <f>INDEX('M05-S04'!$U$16:$U$198,2*(ROWS($Y$293:Y297)-1)+1)</f>
        <v>0</v>
      </c>
      <c r="Z297" s="135"/>
      <c r="AA297" s="135"/>
      <c r="AB297" s="135"/>
      <c r="AC297" s="135"/>
      <c r="AD297" s="135"/>
      <c r="AE297" s="151">
        <f>IF(NOT(ISNUMBER(INDEX('M05-S04'!$AK$16:$AK$198,2*(ROWS($O$293:O297)-1)+1))),INDEX('M05-S04'!$Z$16:$Z$198,2*(ROWS($L$293:L297)-1)+1),0)</f>
        <v>0</v>
      </c>
      <c r="AF297" s="151">
        <f>INDEX('M05-S04'!$S$16:$S$198,2*(ROWS($AF$293:AF297)-1)+1)*INDEX('M05-S04'!$Q$16:$Q$198,2*(ROWS($AF$293:AF297)-1)+1)</f>
        <v>0</v>
      </c>
      <c r="AG297" s="151">
        <f>INDEX('M05-S04'!$AB$16:$AB$198,2*(ROWS($AG$293:AG297)-1)+1)*INDEX('M05-S04'!$Z$16:$Z$198,2*(ROWS($AG$293:AG297)-1)+1)</f>
        <v>0</v>
      </c>
      <c r="AH297" s="151" t="str">
        <f t="shared" si="114"/>
        <v/>
      </c>
      <c r="AI297" s="151" t="str">
        <f t="shared" si="115"/>
        <v/>
      </c>
      <c r="AJ297" s="61" t="str">
        <f t="shared" si="116"/>
        <v/>
      </c>
      <c r="AK297" s="61" t="str">
        <f t="shared" si="117"/>
        <v/>
      </c>
      <c r="AL297" s="61" t="str">
        <f t="shared" si="118"/>
        <v/>
      </c>
      <c r="AM297" s="61" t="str">
        <f>INDEX('M05-S04'!$AU$16:$AU$198,2*(ROWS($AM$293:AM297)-1)+1)</f>
        <v/>
      </c>
      <c r="AN297" s="61" t="str">
        <f>INDEX('M05-S04'!$BB$16:$BB$198,2*(ROWS($AN$293:AN297)-1)+1)</f>
        <v/>
      </c>
      <c r="AO297" s="151">
        <f>INDEX('M05-S04'!$Q$16:$Q$198,2*(ROWS($AO$293:AO297)-1)+1)</f>
        <v>0</v>
      </c>
      <c r="AP297" s="152"/>
      <c r="AQ297" s="152"/>
      <c r="AR297" s="416">
        <f>(IF(INDEX('M05-S04'!$AK$16:$AK$198,2*(ROWS($O$293:O297)-1)+1)=INDEX('M05-S04'!$BG$16:$BG$198,2*(ROWS($O$293:O297)-1)+1),0,(INDEX('M05-S04'!$BF$16:$BF$198,2*(ROWS($O$293:O297)-1)+1)-INDEX('M05-S04'!$BG$16:$BG$198,2*(ROWS($O$293:O297)-1)+1))))</f>
        <v>0</v>
      </c>
    </row>
    <row r="298" spans="1:44" x14ac:dyDescent="0.25">
      <c r="A298" s="66">
        <f t="shared" si="112"/>
        <v>0</v>
      </c>
      <c r="B298" s="66" t="str">
        <f t="shared" si="113"/>
        <v/>
      </c>
      <c r="C298" s="66" t="str">
        <f>IFERROR(IF(J298&gt;0,INDEX('M05-S04'!$AY$16:$AY$198,2*(ROWS($C$293:C298)-1)+1),""),"")</f>
        <v/>
      </c>
      <c r="D298" t="s">
        <v>212</v>
      </c>
      <c r="E298" t="str">
        <f>IFERROR(INDEX('M05-S04'!$AW$16:$AW$198,2*(ROWS($E$293:E298)-1)+1),"")</f>
        <v/>
      </c>
      <c r="F298" s="152"/>
      <c r="G298" s="135"/>
      <c r="H298" s="61">
        <f>INDEX('M05-S04'!$AD$16:$AD$198,2*(ROWS($H$293:H298)-1)+1)</f>
        <v>0</v>
      </c>
      <c r="I298" s="61">
        <f>INDEX('M05-S04'!$AF$16:$AF$198,2*(ROWS($I$293:I298)-1)+1)</f>
        <v>0</v>
      </c>
      <c r="J298" s="61" t="str">
        <f>INDEX('M05-S04'!$AH$16:$AH$198,2*(ROWS($J$293:J298)-1)+1)</f>
        <v/>
      </c>
      <c r="K298" t="str">
        <f>IFERROR(INDEX(CMEMOTOR[Cost Basis],MATCH(INDEX('M05-S04'!$F$16:$F$198,2*(ROWS($K$293:K298)-1)+1),CMEMOTOR[Proj Desc 1],0)),"")</f>
        <v/>
      </c>
      <c r="L298" s="151">
        <f>IF(ISNUMBER(INDEX('M05-S04'!$AK$16:$AK$198,2*(ROWS($O$293:O298)-1)+1)),INDEX('M05-S04'!$Z$16:$Z$198,2*(ROWS($L$293:L298)-1)+1),0)</f>
        <v>0</v>
      </c>
      <c r="M298" s="151">
        <f>IFERROR(IF(ISNUMBER(INDEX('M05-S04'!$AK$16:$AK$198,2*(ROWS($O$293:O298)-1)+1)),INDEX('M05-S04'!$AO$16:$AO$198,2*(ROWS($M$293:M298)-1)+1),0),"")</f>
        <v>0</v>
      </c>
      <c r="N298" s="189">
        <f>IFERROR(IF(ISNUMBER(INDEX('M05-S04'!$AK$16:$AK$198,2*(ROWS($O$293:O298)-1)+1)),INDEX('M05-S04'!$AV$16:$AV$198,2*(ROWS($N$293:N298)-1)+1),0),"")</f>
        <v>0</v>
      </c>
      <c r="O298" s="61">
        <f>IF(ISNUMBER(INDEX('M05-S04'!$AK$16:$AK$198,2*(ROWS($O$293:O298)-1)+1)),INDEX('M05-S04'!$AK$16:$AK$198,2*(ROWS($O$293:O298)-1)+1),0)</f>
        <v>0</v>
      </c>
      <c r="P298" s="151" t="str">
        <f>IFERROR(IF(NOT(ISNUMBER(INDEX('M05-S04'!$AK$16:$AK$198,2*(ROWS($O$293:O298)-1)+1))),INDEX('M05-S04'!$AO$16:$AO$198,2*(ROWS($O$293:O298)-1)+1),0),"")</f>
        <v/>
      </c>
      <c r="Q298" s="189" t="str">
        <f>IFERROR(IF(NOT(ISNUMBER(INDEX('M05-S04'!$AK$16:$AK$198,2*(ROWS($O$293:O298)-1)+1))),INDEX('M05-S04'!$AV$16:$AV$198,2*(ROWS($O$293:O298)-1)+1),0),"")</f>
        <v/>
      </c>
      <c r="R298" t="str">
        <f>IFERROR(IF(NOT(ISNUMBER(INDEX('M05-S04'!$AK$16:$AK$198,2*(ROWS($O$293:O298)-1)+1))),INDEX(SPILLOVER[Spillover Reason],MATCH(INDEX('M05-S04'!$BC$16:$BC$198,2*(ROWS($O$293:O298)-1)+1),SPILLOVER[Spillover Text],0)),""),"")</f>
        <v>Not Eligible</v>
      </c>
      <c r="S298" s="157"/>
      <c r="T298" s="157"/>
      <c r="U298" s="151">
        <f>INDEX('M05-S04'!$B$16:$B$198,2*(ROWS($U$293:U298)-1)+1)</f>
        <v>6</v>
      </c>
      <c r="V298" s="135"/>
      <c r="W298" s="58">
        <f>INDEX('M05-S04'!$F$16:$F$198,2*(ROWS($W$293:W298)-1)+1)</f>
        <v>0</v>
      </c>
      <c r="X298">
        <f>INDEX('M05-S04'!$L$16:$L$198,2*(ROWS($X$293:X298)-1)+1)</f>
        <v>0</v>
      </c>
      <c r="Y298">
        <f>INDEX('M05-S04'!$U$16:$U$198,2*(ROWS($Y$293:Y298)-1)+1)</f>
        <v>0</v>
      </c>
      <c r="Z298" s="135"/>
      <c r="AA298" s="135"/>
      <c r="AB298" s="135"/>
      <c r="AC298" s="135"/>
      <c r="AD298" s="135"/>
      <c r="AE298" s="151">
        <f>IF(NOT(ISNUMBER(INDEX('M05-S04'!$AK$16:$AK$198,2*(ROWS($O$293:O298)-1)+1))),INDEX('M05-S04'!$Z$16:$Z$198,2*(ROWS($L$293:L298)-1)+1),0)</f>
        <v>0</v>
      </c>
      <c r="AF298" s="151">
        <f>INDEX('M05-S04'!$S$16:$S$198,2*(ROWS($AF$293:AF298)-1)+1)*INDEX('M05-S04'!$Q$16:$Q$198,2*(ROWS($AF$293:AF298)-1)+1)</f>
        <v>0</v>
      </c>
      <c r="AG298" s="151">
        <f>INDEX('M05-S04'!$AB$16:$AB$198,2*(ROWS($AG$293:AG298)-1)+1)*INDEX('M05-S04'!$Z$16:$Z$198,2*(ROWS($AG$293:AG298)-1)+1)</f>
        <v>0</v>
      </c>
      <c r="AH298" s="151" t="str">
        <f t="shared" si="114"/>
        <v/>
      </c>
      <c r="AI298" s="151" t="str">
        <f t="shared" si="115"/>
        <v/>
      </c>
      <c r="AJ298" s="61" t="str">
        <f t="shared" si="116"/>
        <v/>
      </c>
      <c r="AK298" s="61" t="str">
        <f t="shared" si="117"/>
        <v/>
      </c>
      <c r="AL298" s="61" t="str">
        <f t="shared" si="118"/>
        <v/>
      </c>
      <c r="AM298" s="61" t="str">
        <f>INDEX('M05-S04'!$AU$16:$AU$198,2*(ROWS($AM$293:AM298)-1)+1)</f>
        <v/>
      </c>
      <c r="AN298" s="61" t="str">
        <f>INDEX('M05-S04'!$BB$16:$BB$198,2*(ROWS($AN$293:AN298)-1)+1)</f>
        <v/>
      </c>
      <c r="AO298" s="151">
        <f>INDEX('M05-S04'!$Q$16:$Q$198,2*(ROWS($AO$293:AO298)-1)+1)</f>
        <v>0</v>
      </c>
      <c r="AP298" s="152"/>
      <c r="AQ298" s="152"/>
      <c r="AR298" s="416">
        <f>(IF(INDEX('M05-S04'!$AK$16:$AK$198,2*(ROWS($O$293:O298)-1)+1)=INDEX('M05-S04'!$BG$16:$BG$198,2*(ROWS($O$293:O298)-1)+1),0,(INDEX('M05-S04'!$BF$16:$BF$198,2*(ROWS($O$293:O298)-1)+1)-INDEX('M05-S04'!$BG$16:$BG$198,2*(ROWS($O$293:O298)-1)+1))))</f>
        <v>0</v>
      </c>
    </row>
    <row r="299" spans="1:44" x14ac:dyDescent="0.25">
      <c r="A299" s="66">
        <f t="shared" si="112"/>
        <v>0</v>
      </c>
      <c r="B299" s="66" t="str">
        <f t="shared" si="113"/>
        <v/>
      </c>
      <c r="C299" s="66" t="str">
        <f>IFERROR(IF(J299&gt;0,INDEX('M05-S04'!$AY$16:$AY$198,2*(ROWS($C$293:C299)-1)+1),""),"")</f>
        <v/>
      </c>
      <c r="D299" t="s">
        <v>212</v>
      </c>
      <c r="E299" t="str">
        <f>IFERROR(INDEX('M05-S04'!$AW$16:$AW$198,2*(ROWS($E$293:E299)-1)+1),"")</f>
        <v/>
      </c>
      <c r="F299" s="152"/>
      <c r="G299" s="135"/>
      <c r="H299" s="61">
        <f>INDEX('M05-S04'!$AD$16:$AD$198,2*(ROWS($H$293:H299)-1)+1)</f>
        <v>0</v>
      </c>
      <c r="I299" s="61">
        <f>INDEX('M05-S04'!$AF$16:$AF$198,2*(ROWS($I$293:I299)-1)+1)</f>
        <v>0</v>
      </c>
      <c r="J299" s="61" t="str">
        <f>INDEX('M05-S04'!$AH$16:$AH$198,2*(ROWS($J$293:J299)-1)+1)</f>
        <v/>
      </c>
      <c r="K299" t="str">
        <f>IFERROR(INDEX(CMEMOTOR[Cost Basis],MATCH(INDEX('M05-S04'!$F$16:$F$198,2*(ROWS($K$293:K299)-1)+1),CMEMOTOR[Proj Desc 1],0)),"")</f>
        <v/>
      </c>
      <c r="L299" s="151">
        <f>IF(ISNUMBER(INDEX('M05-S04'!$AK$16:$AK$198,2*(ROWS($O$293:O299)-1)+1)),INDEX('M05-S04'!$Z$16:$Z$198,2*(ROWS($L$293:L299)-1)+1),0)</f>
        <v>0</v>
      </c>
      <c r="M299" s="151">
        <f>IFERROR(IF(ISNUMBER(INDEX('M05-S04'!$AK$16:$AK$198,2*(ROWS($O$293:O299)-1)+1)),INDEX('M05-S04'!$AO$16:$AO$198,2*(ROWS($M$293:M299)-1)+1),0),"")</f>
        <v>0</v>
      </c>
      <c r="N299" s="189">
        <f>IFERROR(IF(ISNUMBER(INDEX('M05-S04'!$AK$16:$AK$198,2*(ROWS($O$293:O299)-1)+1)),INDEX('M05-S04'!$AV$16:$AV$198,2*(ROWS($N$293:N299)-1)+1),0),"")</f>
        <v>0</v>
      </c>
      <c r="O299" s="61">
        <f>IF(ISNUMBER(INDEX('M05-S04'!$AK$16:$AK$198,2*(ROWS($O$293:O299)-1)+1)),INDEX('M05-S04'!$AK$16:$AK$198,2*(ROWS($O$293:O299)-1)+1),0)</f>
        <v>0</v>
      </c>
      <c r="P299" s="151" t="str">
        <f>IFERROR(IF(NOT(ISNUMBER(INDEX('M05-S04'!$AK$16:$AK$198,2*(ROWS($O$293:O299)-1)+1))),INDEX('M05-S04'!$AO$16:$AO$198,2*(ROWS($O$293:O299)-1)+1),0),"")</f>
        <v/>
      </c>
      <c r="Q299" s="189" t="str">
        <f>IFERROR(IF(NOT(ISNUMBER(INDEX('M05-S04'!$AK$16:$AK$198,2*(ROWS($O$293:O299)-1)+1))),INDEX('M05-S04'!$AV$16:$AV$198,2*(ROWS($O$293:O299)-1)+1),0),"")</f>
        <v/>
      </c>
      <c r="R299" t="str">
        <f>IFERROR(IF(NOT(ISNUMBER(INDEX('M05-S04'!$AK$16:$AK$198,2*(ROWS($O$293:O299)-1)+1))),INDEX(SPILLOVER[Spillover Reason],MATCH(INDEX('M05-S04'!$BC$16:$BC$198,2*(ROWS($O$293:O299)-1)+1),SPILLOVER[Spillover Text],0)),""),"")</f>
        <v>Not Eligible</v>
      </c>
      <c r="S299" s="157"/>
      <c r="T299" s="157"/>
      <c r="U299" s="151">
        <f>INDEX('M05-S04'!$B$16:$B$198,2*(ROWS($U$293:U299)-1)+1)</f>
        <v>7</v>
      </c>
      <c r="V299" s="135"/>
      <c r="W299" s="58">
        <f>INDEX('M05-S04'!$F$16:$F$198,2*(ROWS($W$293:W299)-1)+1)</f>
        <v>0</v>
      </c>
      <c r="X299">
        <f>INDEX('M05-S04'!$L$16:$L$198,2*(ROWS($X$293:X299)-1)+1)</f>
        <v>0</v>
      </c>
      <c r="Y299">
        <f>INDEX('M05-S04'!$U$16:$U$198,2*(ROWS($Y$293:Y299)-1)+1)</f>
        <v>0</v>
      </c>
      <c r="Z299" s="135"/>
      <c r="AA299" s="135"/>
      <c r="AB299" s="135"/>
      <c r="AC299" s="135"/>
      <c r="AD299" s="135"/>
      <c r="AE299" s="151">
        <f>IF(NOT(ISNUMBER(INDEX('M05-S04'!$AK$16:$AK$198,2*(ROWS($O$293:O299)-1)+1))),INDEX('M05-S04'!$Z$16:$Z$198,2*(ROWS($L$293:L299)-1)+1),0)</f>
        <v>0</v>
      </c>
      <c r="AF299" s="151">
        <f>INDEX('M05-S04'!$S$16:$S$198,2*(ROWS($AF$293:AF299)-1)+1)*INDEX('M05-S04'!$Q$16:$Q$198,2*(ROWS($AF$293:AF299)-1)+1)</f>
        <v>0</v>
      </c>
      <c r="AG299" s="151">
        <f>INDEX('M05-S04'!$AB$16:$AB$198,2*(ROWS($AG$293:AG299)-1)+1)*INDEX('M05-S04'!$Z$16:$Z$198,2*(ROWS($AG$293:AG299)-1)+1)</f>
        <v>0</v>
      </c>
      <c r="AH299" s="151" t="str">
        <f t="shared" si="114"/>
        <v/>
      </c>
      <c r="AI299" s="151" t="str">
        <f t="shared" si="115"/>
        <v/>
      </c>
      <c r="AJ299" s="61" t="str">
        <f t="shared" si="116"/>
        <v/>
      </c>
      <c r="AK299" s="61" t="str">
        <f t="shared" si="117"/>
        <v/>
      </c>
      <c r="AL299" s="61" t="str">
        <f t="shared" si="118"/>
        <v/>
      </c>
      <c r="AM299" s="61" t="str">
        <f>INDEX('M05-S04'!$AU$16:$AU$198,2*(ROWS($AM$293:AM299)-1)+1)</f>
        <v/>
      </c>
      <c r="AN299" s="61" t="str">
        <f>INDEX('M05-S04'!$BB$16:$BB$198,2*(ROWS($AN$293:AN299)-1)+1)</f>
        <v/>
      </c>
      <c r="AO299" s="151">
        <f>INDEX('M05-S04'!$Q$16:$Q$198,2*(ROWS($AO$293:AO299)-1)+1)</f>
        <v>0</v>
      </c>
      <c r="AP299" s="152"/>
      <c r="AQ299" s="152"/>
      <c r="AR299" s="416">
        <f>(IF(INDEX('M05-S04'!$AK$16:$AK$198,2*(ROWS($O$293:O299)-1)+1)=INDEX('M05-S04'!$BG$16:$BG$198,2*(ROWS($O$293:O299)-1)+1),0,(INDEX('M05-S04'!$BF$16:$BF$198,2*(ROWS($O$293:O299)-1)+1)-INDEX('M05-S04'!$BG$16:$BG$198,2*(ROWS($O$293:O299)-1)+1))))</f>
        <v>0</v>
      </c>
    </row>
    <row r="300" spans="1:44" x14ac:dyDescent="0.25">
      <c r="A300" s="66">
        <f t="shared" si="112"/>
        <v>0</v>
      </c>
      <c r="B300" s="66" t="str">
        <f t="shared" si="113"/>
        <v/>
      </c>
      <c r="C300" s="66" t="str">
        <f>IFERROR(IF(J300&gt;0,INDEX('M05-S04'!$AY$16:$AY$198,2*(ROWS($C$293:C300)-1)+1),""),"")</f>
        <v/>
      </c>
      <c r="D300" t="s">
        <v>212</v>
      </c>
      <c r="E300" t="str">
        <f>IFERROR(INDEX('M05-S04'!$AW$16:$AW$198,2*(ROWS($E$293:E300)-1)+1),"")</f>
        <v/>
      </c>
      <c r="F300" s="152"/>
      <c r="G300" s="135"/>
      <c r="H300" s="61">
        <f>INDEX('M05-S04'!$AD$16:$AD$198,2*(ROWS($H$293:H300)-1)+1)</f>
        <v>0</v>
      </c>
      <c r="I300" s="61">
        <f>INDEX('M05-S04'!$AF$16:$AF$198,2*(ROWS($I$293:I300)-1)+1)</f>
        <v>0</v>
      </c>
      <c r="J300" s="61" t="str">
        <f>INDEX('M05-S04'!$AH$16:$AH$198,2*(ROWS($J$293:J300)-1)+1)</f>
        <v/>
      </c>
      <c r="K300" t="str">
        <f>IFERROR(INDEX(CMEMOTOR[Cost Basis],MATCH(INDEX('M05-S04'!$F$16:$F$198,2*(ROWS($K$293:K300)-1)+1),CMEMOTOR[Proj Desc 1],0)),"")</f>
        <v/>
      </c>
      <c r="L300" s="151">
        <f>IF(ISNUMBER(INDEX('M05-S04'!$AK$16:$AK$198,2*(ROWS($O$293:O300)-1)+1)),INDEX('M05-S04'!$Z$16:$Z$198,2*(ROWS($L$293:L300)-1)+1),0)</f>
        <v>0</v>
      </c>
      <c r="M300" s="151">
        <f>IFERROR(IF(ISNUMBER(INDEX('M05-S04'!$AK$16:$AK$198,2*(ROWS($O$293:O300)-1)+1)),INDEX('M05-S04'!$AO$16:$AO$198,2*(ROWS($M$293:M300)-1)+1),0),"")</f>
        <v>0</v>
      </c>
      <c r="N300" s="189">
        <f>IFERROR(IF(ISNUMBER(INDEX('M05-S04'!$AK$16:$AK$198,2*(ROWS($O$293:O300)-1)+1)),INDEX('M05-S04'!$AV$16:$AV$198,2*(ROWS($N$293:N300)-1)+1),0),"")</f>
        <v>0</v>
      </c>
      <c r="O300" s="61">
        <f>IF(ISNUMBER(INDEX('M05-S04'!$AK$16:$AK$198,2*(ROWS($O$293:O300)-1)+1)),INDEX('M05-S04'!$AK$16:$AK$198,2*(ROWS($O$293:O300)-1)+1),0)</f>
        <v>0</v>
      </c>
      <c r="P300" s="151" t="str">
        <f>IFERROR(IF(NOT(ISNUMBER(INDEX('M05-S04'!$AK$16:$AK$198,2*(ROWS($O$293:O300)-1)+1))),INDEX('M05-S04'!$AO$16:$AO$198,2*(ROWS($O$293:O300)-1)+1),0),"")</f>
        <v/>
      </c>
      <c r="Q300" s="189" t="str">
        <f>IFERROR(IF(NOT(ISNUMBER(INDEX('M05-S04'!$AK$16:$AK$198,2*(ROWS($O$293:O300)-1)+1))),INDEX('M05-S04'!$AV$16:$AV$198,2*(ROWS($O$293:O300)-1)+1),0),"")</f>
        <v/>
      </c>
      <c r="R300" t="str">
        <f>IFERROR(IF(NOT(ISNUMBER(INDEX('M05-S04'!$AK$16:$AK$198,2*(ROWS($O$293:O300)-1)+1))),INDEX(SPILLOVER[Spillover Reason],MATCH(INDEX('M05-S04'!$BC$16:$BC$198,2*(ROWS($O$293:O300)-1)+1),SPILLOVER[Spillover Text],0)),""),"")</f>
        <v>Not Eligible</v>
      </c>
      <c r="S300" s="157"/>
      <c r="T300" s="157"/>
      <c r="U300" s="151">
        <f>INDEX('M05-S04'!$B$16:$B$198,2*(ROWS($U$293:U300)-1)+1)</f>
        <v>8</v>
      </c>
      <c r="V300" s="135"/>
      <c r="W300" s="58">
        <f>INDEX('M05-S04'!$F$16:$F$198,2*(ROWS($W$293:W300)-1)+1)</f>
        <v>0</v>
      </c>
      <c r="X300">
        <f>INDEX('M05-S04'!$L$16:$L$198,2*(ROWS($X$293:X300)-1)+1)</f>
        <v>0</v>
      </c>
      <c r="Y300">
        <f>INDEX('M05-S04'!$U$16:$U$198,2*(ROWS($Y$293:Y300)-1)+1)</f>
        <v>0</v>
      </c>
      <c r="Z300" s="135"/>
      <c r="AA300" s="135"/>
      <c r="AB300" s="135"/>
      <c r="AC300" s="135"/>
      <c r="AD300" s="135"/>
      <c r="AE300" s="151">
        <f>IF(NOT(ISNUMBER(INDEX('M05-S04'!$AK$16:$AK$198,2*(ROWS($O$293:O300)-1)+1))),INDEX('M05-S04'!$Z$16:$Z$198,2*(ROWS($L$293:L300)-1)+1),0)</f>
        <v>0</v>
      </c>
      <c r="AF300" s="151">
        <f>INDEX('M05-S04'!$S$16:$S$198,2*(ROWS($AF$293:AF300)-1)+1)*INDEX('M05-S04'!$Q$16:$Q$198,2*(ROWS($AF$293:AF300)-1)+1)</f>
        <v>0</v>
      </c>
      <c r="AG300" s="151">
        <f>INDEX('M05-S04'!$AB$16:$AB$198,2*(ROWS($AG$293:AG300)-1)+1)*INDEX('M05-S04'!$Z$16:$Z$198,2*(ROWS($AG$293:AG300)-1)+1)</f>
        <v>0</v>
      </c>
      <c r="AH300" s="151" t="str">
        <f t="shared" si="114"/>
        <v/>
      </c>
      <c r="AI300" s="151" t="str">
        <f t="shared" si="115"/>
        <v/>
      </c>
      <c r="AJ300" s="61" t="str">
        <f t="shared" si="116"/>
        <v/>
      </c>
      <c r="AK300" s="61" t="str">
        <f t="shared" si="117"/>
        <v/>
      </c>
      <c r="AL300" s="61" t="str">
        <f t="shared" si="118"/>
        <v/>
      </c>
      <c r="AM300" s="61" t="str">
        <f>INDEX('M05-S04'!$AU$16:$AU$198,2*(ROWS($AM$293:AM300)-1)+1)</f>
        <v/>
      </c>
      <c r="AN300" s="61" t="str">
        <f>INDEX('M05-S04'!$BB$16:$BB$198,2*(ROWS($AN$293:AN300)-1)+1)</f>
        <v/>
      </c>
      <c r="AO300" s="151">
        <f>INDEX('M05-S04'!$Q$16:$Q$198,2*(ROWS($AO$293:AO300)-1)+1)</f>
        <v>0</v>
      </c>
      <c r="AP300" s="152"/>
      <c r="AQ300" s="152"/>
      <c r="AR300" s="416">
        <f>(IF(INDEX('M05-S04'!$AK$16:$AK$198,2*(ROWS($O$293:O300)-1)+1)=INDEX('M05-S04'!$BG$16:$BG$198,2*(ROWS($O$293:O300)-1)+1),0,(INDEX('M05-S04'!$BF$16:$BF$198,2*(ROWS($O$293:O300)-1)+1)-INDEX('M05-S04'!$BG$16:$BG$198,2*(ROWS($O$293:O300)-1)+1))))</f>
        <v>0</v>
      </c>
    </row>
    <row r="301" spans="1:44" x14ac:dyDescent="0.25">
      <c r="A301" s="66">
        <f t="shared" si="112"/>
        <v>0</v>
      </c>
      <c r="B301" s="66" t="str">
        <f t="shared" si="113"/>
        <v/>
      </c>
      <c r="C301" s="66" t="str">
        <f>IFERROR(IF(J301&gt;0,INDEX('M05-S04'!$AY$16:$AY$198,2*(ROWS($C$293:C301)-1)+1),""),"")</f>
        <v/>
      </c>
      <c r="D301" t="s">
        <v>212</v>
      </c>
      <c r="E301" t="str">
        <f>IFERROR(INDEX('M05-S04'!$AW$16:$AW$198,2*(ROWS($E$293:E301)-1)+1),"")</f>
        <v/>
      </c>
      <c r="F301" s="152"/>
      <c r="G301" s="135"/>
      <c r="H301" s="61">
        <f>INDEX('M05-S04'!$AD$16:$AD$198,2*(ROWS($H$293:H301)-1)+1)</f>
        <v>0</v>
      </c>
      <c r="I301" s="61">
        <f>INDEX('M05-S04'!$AF$16:$AF$198,2*(ROWS($I$293:I301)-1)+1)</f>
        <v>0</v>
      </c>
      <c r="J301" s="61" t="str">
        <f>INDEX('M05-S04'!$AH$16:$AH$198,2*(ROWS($J$293:J301)-1)+1)</f>
        <v/>
      </c>
      <c r="K301" t="str">
        <f>IFERROR(INDEX(CMEMOTOR[Cost Basis],MATCH(INDEX('M05-S04'!$F$16:$F$198,2*(ROWS($K$293:K301)-1)+1),CMEMOTOR[Proj Desc 1],0)),"")</f>
        <v/>
      </c>
      <c r="L301" s="151">
        <f>IF(ISNUMBER(INDEX('M05-S04'!$AK$16:$AK$198,2*(ROWS($O$293:O301)-1)+1)),INDEX('M05-S04'!$Z$16:$Z$198,2*(ROWS($L$293:L301)-1)+1),0)</f>
        <v>0</v>
      </c>
      <c r="M301" s="151">
        <f>IFERROR(IF(ISNUMBER(INDEX('M05-S04'!$AK$16:$AK$198,2*(ROWS($O$293:O301)-1)+1)),INDEX('M05-S04'!$AO$16:$AO$198,2*(ROWS($M$293:M301)-1)+1),0),"")</f>
        <v>0</v>
      </c>
      <c r="N301" s="189">
        <f>IFERROR(IF(ISNUMBER(INDEX('M05-S04'!$AK$16:$AK$198,2*(ROWS($O$293:O301)-1)+1)),INDEX('M05-S04'!$AV$16:$AV$198,2*(ROWS($N$293:N301)-1)+1),0),"")</f>
        <v>0</v>
      </c>
      <c r="O301" s="61">
        <f>IF(ISNUMBER(INDEX('M05-S04'!$AK$16:$AK$198,2*(ROWS($O$293:O301)-1)+1)),INDEX('M05-S04'!$AK$16:$AK$198,2*(ROWS($O$293:O301)-1)+1),0)</f>
        <v>0</v>
      </c>
      <c r="P301" s="151" t="str">
        <f>IFERROR(IF(NOT(ISNUMBER(INDEX('M05-S04'!$AK$16:$AK$198,2*(ROWS($O$293:O301)-1)+1))),INDEX('M05-S04'!$AO$16:$AO$198,2*(ROWS($O$293:O301)-1)+1),0),"")</f>
        <v/>
      </c>
      <c r="Q301" s="189" t="str">
        <f>IFERROR(IF(NOT(ISNUMBER(INDEX('M05-S04'!$AK$16:$AK$198,2*(ROWS($O$293:O301)-1)+1))),INDEX('M05-S04'!$AV$16:$AV$198,2*(ROWS($O$293:O301)-1)+1),0),"")</f>
        <v/>
      </c>
      <c r="R301" t="str">
        <f>IFERROR(IF(NOT(ISNUMBER(INDEX('M05-S04'!$AK$16:$AK$198,2*(ROWS($O$293:O301)-1)+1))),INDEX(SPILLOVER[Spillover Reason],MATCH(INDEX('M05-S04'!$BC$16:$BC$198,2*(ROWS($O$293:O301)-1)+1),SPILLOVER[Spillover Text],0)),""),"")</f>
        <v>Not Eligible</v>
      </c>
      <c r="S301" s="157"/>
      <c r="T301" s="157"/>
      <c r="U301" s="151">
        <f>INDEX('M05-S04'!$B$16:$B$198,2*(ROWS($U$293:U301)-1)+1)</f>
        <v>9</v>
      </c>
      <c r="V301" s="135"/>
      <c r="W301" s="58">
        <f>INDEX('M05-S04'!$F$16:$F$198,2*(ROWS($W$293:W301)-1)+1)</f>
        <v>0</v>
      </c>
      <c r="X301">
        <f>INDEX('M05-S04'!$L$16:$L$198,2*(ROWS($X$293:X301)-1)+1)</f>
        <v>0</v>
      </c>
      <c r="Y301">
        <f>INDEX('M05-S04'!$U$16:$U$198,2*(ROWS($Y$293:Y301)-1)+1)</f>
        <v>0</v>
      </c>
      <c r="Z301" s="135"/>
      <c r="AA301" s="135"/>
      <c r="AB301" s="135"/>
      <c r="AC301" s="135"/>
      <c r="AD301" s="135"/>
      <c r="AE301" s="151">
        <f>IF(NOT(ISNUMBER(INDEX('M05-S04'!$AK$16:$AK$198,2*(ROWS($O$293:O301)-1)+1))),INDEX('M05-S04'!$Z$16:$Z$198,2*(ROWS($L$293:L301)-1)+1),0)</f>
        <v>0</v>
      </c>
      <c r="AF301" s="151">
        <f>INDEX('M05-S04'!$S$16:$S$198,2*(ROWS($AF$293:AF301)-1)+1)*INDEX('M05-S04'!$Q$16:$Q$198,2*(ROWS($AF$293:AF301)-1)+1)</f>
        <v>0</v>
      </c>
      <c r="AG301" s="151">
        <f>INDEX('M05-S04'!$AB$16:$AB$198,2*(ROWS($AG$293:AG301)-1)+1)*INDEX('M05-S04'!$Z$16:$Z$198,2*(ROWS($AG$293:AG301)-1)+1)</f>
        <v>0</v>
      </c>
      <c r="AH301" s="151" t="str">
        <f t="shared" si="114"/>
        <v/>
      </c>
      <c r="AI301" s="151" t="str">
        <f t="shared" si="115"/>
        <v/>
      </c>
      <c r="AJ301" s="61" t="str">
        <f t="shared" si="116"/>
        <v/>
      </c>
      <c r="AK301" s="61" t="str">
        <f t="shared" si="117"/>
        <v/>
      </c>
      <c r="AL301" s="61" t="str">
        <f t="shared" si="118"/>
        <v/>
      </c>
      <c r="AM301" s="61" t="str">
        <f>INDEX('M05-S04'!$AU$16:$AU$198,2*(ROWS($AM$293:AM301)-1)+1)</f>
        <v/>
      </c>
      <c r="AN301" s="61" t="str">
        <f>INDEX('M05-S04'!$BB$16:$BB$198,2*(ROWS($AN$293:AN301)-1)+1)</f>
        <v/>
      </c>
      <c r="AO301" s="151">
        <f>INDEX('M05-S04'!$Q$16:$Q$198,2*(ROWS($AO$293:AO301)-1)+1)</f>
        <v>0</v>
      </c>
      <c r="AP301" s="152"/>
      <c r="AQ301" s="152"/>
      <c r="AR301" s="416">
        <f>(IF(INDEX('M05-S04'!$AK$16:$AK$198,2*(ROWS($O$293:O301)-1)+1)=INDEX('M05-S04'!$BG$16:$BG$198,2*(ROWS($O$293:O301)-1)+1),0,(INDEX('M05-S04'!$BF$16:$BF$198,2*(ROWS($O$293:O301)-1)+1)-INDEX('M05-S04'!$BG$16:$BG$198,2*(ROWS($O$293:O301)-1)+1))))</f>
        <v>0</v>
      </c>
    </row>
    <row r="302" spans="1:44" x14ac:dyDescent="0.25">
      <c r="A302" s="66">
        <f t="shared" si="112"/>
        <v>0</v>
      </c>
      <c r="B302" s="66" t="str">
        <f t="shared" si="113"/>
        <v/>
      </c>
      <c r="C302" s="66" t="str">
        <f>IFERROR(IF(J302&gt;0,INDEX('M05-S04'!$AY$16:$AY$198,2*(ROWS($C$293:C302)-1)+1),""),"")</f>
        <v/>
      </c>
      <c r="D302" t="s">
        <v>212</v>
      </c>
      <c r="E302" t="str">
        <f>IFERROR(INDEX('M05-S04'!$AW$16:$AW$198,2*(ROWS($E$293:E302)-1)+1),"")</f>
        <v/>
      </c>
      <c r="F302" s="152"/>
      <c r="G302" s="135"/>
      <c r="H302" s="61">
        <f>INDEX('M05-S04'!$AD$16:$AD$198,2*(ROWS($H$293:H302)-1)+1)</f>
        <v>0</v>
      </c>
      <c r="I302" s="61">
        <f>INDEX('M05-S04'!$AF$16:$AF$198,2*(ROWS($I$293:I302)-1)+1)</f>
        <v>0</v>
      </c>
      <c r="J302" s="61" t="str">
        <f>INDEX('M05-S04'!$AH$16:$AH$198,2*(ROWS($J$293:J302)-1)+1)</f>
        <v/>
      </c>
      <c r="K302" t="str">
        <f>IFERROR(INDEX(CMEMOTOR[Cost Basis],MATCH(INDEX('M05-S04'!$F$16:$F$198,2*(ROWS($K$293:K302)-1)+1),CMEMOTOR[Proj Desc 1],0)),"")</f>
        <v/>
      </c>
      <c r="L302" s="151">
        <f>IF(ISNUMBER(INDEX('M05-S04'!$AK$16:$AK$198,2*(ROWS($O$293:O302)-1)+1)),INDEX('M05-S04'!$Z$16:$Z$198,2*(ROWS($L$293:L302)-1)+1),0)</f>
        <v>0</v>
      </c>
      <c r="M302" s="151">
        <f>IFERROR(IF(ISNUMBER(INDEX('M05-S04'!$AK$16:$AK$198,2*(ROWS($O$293:O302)-1)+1)),INDEX('M05-S04'!$AO$16:$AO$198,2*(ROWS($M$293:M302)-1)+1),0),"")</f>
        <v>0</v>
      </c>
      <c r="N302" s="189">
        <f>IFERROR(IF(ISNUMBER(INDEX('M05-S04'!$AK$16:$AK$198,2*(ROWS($O$293:O302)-1)+1)),INDEX('M05-S04'!$AV$16:$AV$198,2*(ROWS($N$293:N302)-1)+1),0),"")</f>
        <v>0</v>
      </c>
      <c r="O302" s="61">
        <f>IF(ISNUMBER(INDEX('M05-S04'!$AK$16:$AK$198,2*(ROWS($O$293:O302)-1)+1)),INDEX('M05-S04'!$AK$16:$AK$198,2*(ROWS($O$293:O302)-1)+1),0)</f>
        <v>0</v>
      </c>
      <c r="P302" s="151" t="str">
        <f>IFERROR(IF(NOT(ISNUMBER(INDEX('M05-S04'!$AK$16:$AK$198,2*(ROWS($O$293:O302)-1)+1))),INDEX('M05-S04'!$AO$16:$AO$198,2*(ROWS($O$293:O302)-1)+1),0),"")</f>
        <v/>
      </c>
      <c r="Q302" s="189" t="str">
        <f>IFERROR(IF(NOT(ISNUMBER(INDEX('M05-S04'!$AK$16:$AK$198,2*(ROWS($O$293:O302)-1)+1))),INDEX('M05-S04'!$AV$16:$AV$198,2*(ROWS($O$293:O302)-1)+1),0),"")</f>
        <v/>
      </c>
      <c r="R302" t="str">
        <f>IFERROR(IF(NOT(ISNUMBER(INDEX('M05-S04'!$AK$16:$AK$198,2*(ROWS($O$293:O302)-1)+1))),INDEX(SPILLOVER[Spillover Reason],MATCH(INDEX('M05-S04'!$BC$16:$BC$198,2*(ROWS($O$293:O302)-1)+1),SPILLOVER[Spillover Text],0)),""),"")</f>
        <v>Not Eligible</v>
      </c>
      <c r="S302" s="157"/>
      <c r="T302" s="157"/>
      <c r="U302" s="151">
        <f>INDEX('M05-S04'!$B$16:$B$198,2*(ROWS($U$293:U302)-1)+1)</f>
        <v>10</v>
      </c>
      <c r="V302" s="135"/>
      <c r="W302" s="58">
        <f>INDEX('M05-S04'!$F$16:$F$198,2*(ROWS($W$293:W302)-1)+1)</f>
        <v>0</v>
      </c>
      <c r="X302">
        <f>INDEX('M05-S04'!$L$16:$L$198,2*(ROWS($X$293:X302)-1)+1)</f>
        <v>0</v>
      </c>
      <c r="Y302">
        <f>INDEX('M05-S04'!$U$16:$U$198,2*(ROWS($Y$293:Y302)-1)+1)</f>
        <v>0</v>
      </c>
      <c r="Z302" s="135"/>
      <c r="AA302" s="135"/>
      <c r="AB302" s="135"/>
      <c r="AC302" s="135"/>
      <c r="AD302" s="135"/>
      <c r="AE302" s="151">
        <f>IF(NOT(ISNUMBER(INDEX('M05-S04'!$AK$16:$AK$198,2*(ROWS($O$293:O302)-1)+1))),INDEX('M05-S04'!$Z$16:$Z$198,2*(ROWS($L$293:L302)-1)+1),0)</f>
        <v>0</v>
      </c>
      <c r="AF302" s="151">
        <f>INDEX('M05-S04'!$S$16:$S$198,2*(ROWS($AF$293:AF302)-1)+1)*INDEX('M05-S04'!$Q$16:$Q$198,2*(ROWS($AF$293:AF302)-1)+1)</f>
        <v>0</v>
      </c>
      <c r="AG302" s="151">
        <f>INDEX('M05-S04'!$AB$16:$AB$198,2*(ROWS($AG$293:AG302)-1)+1)*INDEX('M05-S04'!$Z$16:$Z$198,2*(ROWS($AG$293:AG302)-1)+1)</f>
        <v>0</v>
      </c>
      <c r="AH302" s="151" t="str">
        <f t="shared" si="114"/>
        <v/>
      </c>
      <c r="AI302" s="151" t="str">
        <f t="shared" si="115"/>
        <v/>
      </c>
      <c r="AJ302" s="61" t="str">
        <f t="shared" si="116"/>
        <v/>
      </c>
      <c r="AK302" s="61" t="str">
        <f t="shared" si="117"/>
        <v/>
      </c>
      <c r="AL302" s="61" t="str">
        <f t="shared" si="118"/>
        <v/>
      </c>
      <c r="AM302" s="61" t="str">
        <f>INDEX('M05-S04'!$AU$16:$AU$198,2*(ROWS($AM$293:AM302)-1)+1)</f>
        <v/>
      </c>
      <c r="AN302" s="61" t="str">
        <f>INDEX('M05-S04'!$BB$16:$BB$198,2*(ROWS($AN$293:AN302)-1)+1)</f>
        <v/>
      </c>
      <c r="AO302" s="151">
        <f>INDEX('M05-S04'!$Q$16:$Q$198,2*(ROWS($AO$293:AO302)-1)+1)</f>
        <v>0</v>
      </c>
      <c r="AP302" s="152"/>
      <c r="AQ302" s="152"/>
      <c r="AR302" s="416">
        <f>(IF(INDEX('M05-S04'!$AK$16:$AK$198,2*(ROWS($O$293:O302)-1)+1)=INDEX('M05-S04'!$BG$16:$BG$198,2*(ROWS($O$293:O302)-1)+1),0,(INDEX('M05-S04'!$BF$16:$BF$198,2*(ROWS($O$293:O302)-1)+1)-INDEX('M05-S04'!$BG$16:$BG$198,2*(ROWS($O$293:O302)-1)+1))))</f>
        <v>0</v>
      </c>
    </row>
    <row r="303" spans="1:44" x14ac:dyDescent="0.25">
      <c r="A303" s="417" t="str">
        <f>CONCATENATE(MAIN5," ",M5S5)</f>
        <v>CUSTOM MEASURES Compressed Air</v>
      </c>
      <c r="B303" s="210"/>
      <c r="C303" s="210"/>
      <c r="D303" s="178"/>
      <c r="E303" s="178"/>
      <c r="F303" s="184"/>
      <c r="G303" s="178"/>
      <c r="H303" s="180"/>
      <c r="I303" s="180"/>
      <c r="J303" s="180"/>
      <c r="K303" s="178"/>
      <c r="L303" s="179"/>
      <c r="M303" s="179"/>
      <c r="N303" s="192"/>
      <c r="O303" s="180"/>
      <c r="P303" s="179"/>
      <c r="Q303" s="192"/>
      <c r="R303" s="178"/>
      <c r="S303" s="181"/>
      <c r="T303" s="181"/>
      <c r="U303" s="179"/>
      <c r="V303" s="178"/>
      <c r="W303" s="182"/>
      <c r="X303" s="178"/>
      <c r="Y303" s="178"/>
      <c r="Z303" s="183"/>
      <c r="AA303" s="178"/>
      <c r="AB303" s="178"/>
      <c r="AC303" s="178"/>
      <c r="AD303" s="178"/>
      <c r="AE303" s="179"/>
      <c r="AF303" s="179"/>
      <c r="AG303" s="179"/>
      <c r="AH303" s="179"/>
      <c r="AI303" s="179"/>
      <c r="AJ303" s="180" t="str">
        <f>IFERROR(O303/M303,"")</f>
        <v/>
      </c>
      <c r="AK303" s="180" t="str">
        <f>IFERROR(O303/N303,"")</f>
        <v/>
      </c>
      <c r="AL303" s="180" t="str">
        <f>IFERROR(O303/L303,"")</f>
        <v/>
      </c>
      <c r="AM303" s="180"/>
      <c r="AN303" s="180"/>
      <c r="AO303" s="179"/>
      <c r="AP303" s="179"/>
      <c r="AQ303" s="179"/>
      <c r="AR303" s="412"/>
    </row>
    <row r="304" spans="1:44" x14ac:dyDescent="0.25">
      <c r="A304" s="66">
        <f t="shared" ref="A304:A313" si="119">PROJID</f>
        <v>0</v>
      </c>
      <c r="B304" s="66" t="str">
        <f>IF(C304="","",CONCATENATE(ROW(),"-",C304))</f>
        <v/>
      </c>
      <c r="C304" s="66" t="str">
        <f>IFERROR(IF(J304&gt;0,INDEX('M05-S05'!$AY$16:$AY$198,2*(ROWS($C$304:C304)-1)+1),""),"")</f>
        <v/>
      </c>
      <c r="D304" t="s">
        <v>212</v>
      </c>
      <c r="E304" t="str">
        <f>IFERROR(INDEX('M05-S05'!$AW$16:$AW$198,2*(ROWS($E$304:E304)-1)+1),"")</f>
        <v/>
      </c>
      <c r="F304" s="152"/>
      <c r="G304" s="135"/>
      <c r="H304" s="61">
        <f>INDEX('M05-S05'!$AD$16:$AD$198,2*(ROWS($H$304:H304)-1)+1)</f>
        <v>0</v>
      </c>
      <c r="I304" s="61">
        <f>INDEX('M05-S05'!$AF$16:$AF$198,2*(ROWS($I$304:I304)-1)+1)</f>
        <v>0</v>
      </c>
      <c r="J304" s="61" t="str">
        <f>INDEX('M05-S05'!$AH$16:$AH$198,2*(ROWS($J$304:J304)-1)+1)</f>
        <v/>
      </c>
      <c r="K304" t="str">
        <f>IFERROR(INDEX(CMECOMPAIR[Cost Basis],MATCH(INDEX('M05-S05'!$F$16:$F$198,2*(ROWS($K$304:K304)-1)+1),CMECOMPAIR[Proj Desc 1],0)),"")</f>
        <v/>
      </c>
      <c r="L304" s="151">
        <f>IF(ISNUMBER(INDEX('M05-S05'!$AK$16:$AK$198,2*(ROWS($O$304:O304)-1)+1)),INDEX('M05-S05'!Z$16:$Z$198,2*(ROWS($L$304:L304)-1)+1),0)</f>
        <v>0</v>
      </c>
      <c r="M304" s="151">
        <f>IFERROR(IF(ISNUMBER(INDEX('M05-S05'!$AK$16:$AK$198,2*(ROWS($O$304:O304)-1)+1)),INDEX('M05-S05'!$AO$16:$AO$198,2*(ROWS($M$304:M304)-1)+1),0),"")</f>
        <v>0</v>
      </c>
      <c r="N304" s="189">
        <f>IFERROR(IF(ISNUMBER(INDEX('M05-S05'!$AK$16:$AK$198,2*(ROWS($O$304:O304)-1)+1)),INDEX('M05-S05'!$AV$16:$AV$198,2*(ROWS($N$304:N304)-1)+1),0),"")</f>
        <v>0</v>
      </c>
      <c r="O304" s="61">
        <f>IF(ISNUMBER(INDEX('M05-S05'!$AK$16:$AK$198,2*(ROWS($O$304:O304)-1)+1)),INDEX('M05-S05'!$AK$16:$AK$198,2*(ROWS($O$304:O304)-1)+1),0)</f>
        <v>0</v>
      </c>
      <c r="P304" s="151" t="str">
        <f>IFERROR(IF(NOT(ISNUMBER(INDEX('M05-S05'!$AK$16:$AK$198,2*(ROWS($O$304:O304)-1)+1))),INDEX('M05-S05'!$AO$16:$AO$198,2*(ROWS($O$304:O304)-1)+1),0),"")</f>
        <v/>
      </c>
      <c r="Q304" s="189" t="str">
        <f>IFERROR(IF(NOT(ISNUMBER(INDEX('M05-S05'!$AK$16:$AK$198,2*(ROWS($O$304:O304)-1)+1))),INDEX('M05-S05'!$AV$16:$AV$198,2*(ROWS($O$304:O304)-1)+1),0),"")</f>
        <v/>
      </c>
      <c r="R304" t="str">
        <f>IFERROR(IF(NOT(ISNUMBER(INDEX('M05-S05'!$AK$16:$AK$198,2*(ROWS($O$304:O304)-1)+1))),INDEX(SPILLOVER[Spillover Reason],MATCH(INDEX('M05-S05'!$BC$16:$BC$198,2*(ROWS($O$304:O304)-1)+1),SPILLOVER[Spillover Text],0)),""),"")</f>
        <v>Not Eligible</v>
      </c>
      <c r="S304" s="157"/>
      <c r="T304" s="157"/>
      <c r="U304" s="151">
        <f>INDEX('M05-S05'!$B$16:$B$198,2*(ROWS($U$304:U304)-1)+1)</f>
        <v>1</v>
      </c>
      <c r="V304" s="135"/>
      <c r="W304" s="58">
        <f>INDEX('M05-S05'!$F$16:$F$198,2*(ROWS($W$304:W304)-1)+1)</f>
        <v>0</v>
      </c>
      <c r="X304">
        <f>INDEX('M05-S05'!$L$16:$L$198,2*(ROWS($X$304:X304)-1)+1)</f>
        <v>0</v>
      </c>
      <c r="Y304">
        <f>INDEX('M05-S05'!$U$16:$U$198,2*(ROWS($Y$304:Y304)-1)+1)</f>
        <v>0</v>
      </c>
      <c r="Z304" s="135"/>
      <c r="AA304" s="135"/>
      <c r="AB304" s="135"/>
      <c r="AC304" s="135"/>
      <c r="AD304" s="135"/>
      <c r="AE304" s="151">
        <f>IF(NOT(ISNUMBER(INDEX('M05-S05'!$AK$16:$AK$198,2*(ROWS($O$304:O304)-1)+1))),INDEX('M05-S05'!$Z$16:$Z$198,2*(ROWS($L$304:L304)-1)+1),0)</f>
        <v>0</v>
      </c>
      <c r="AF304" s="151">
        <f>INDEX('M05-S05'!$S$16:$S$198,2*(ROWS($AF$304:AF304)-1)+1)*INDEX('M05-S05'!$Q$16:$Q$198,2*(ROWS($AF$304:AF304)-1)+1)</f>
        <v>0</v>
      </c>
      <c r="AG304" s="151">
        <f>INDEX('M05-S05'!$AB$16:$AB$198,2*(ROWS($AG$304:AG304)-1)+1)*INDEX('M05-S05'!$Z$16:$Z$198,2*(ROWS($AG$304:AG304)-1)+1)</f>
        <v>0</v>
      </c>
      <c r="AH304" s="151" t="str">
        <f>IFERROR(AF304/AO304,"")</f>
        <v/>
      </c>
      <c r="AI304" s="151" t="str">
        <f>IFERROR(AG304/L304,"")</f>
        <v/>
      </c>
      <c r="AJ304" s="61" t="str">
        <f>IFERROR(O304/M304,"")</f>
        <v/>
      </c>
      <c r="AK304" s="61" t="str">
        <f>IFERROR(O304/N304,"")</f>
        <v/>
      </c>
      <c r="AL304" s="61" t="str">
        <f>IFERROR(O304/L304,"")</f>
        <v/>
      </c>
      <c r="AM304" s="61" t="str">
        <f>INDEX('M05-S05'!$AU$16:$AU$198,2*(ROWS($AM$304:AM304)-1)+1)</f>
        <v/>
      </c>
      <c r="AN304" s="61" t="str">
        <f>INDEX('M05-S05'!$BB$16:$BB$198,2*(ROWS($AN$304:AN304)-1)+1)</f>
        <v/>
      </c>
      <c r="AO304" s="151">
        <f>INDEX('M05-S05'!$Q$16:$Q$198,2*(ROWS($AO$304:AO304)-1)+1)</f>
        <v>0</v>
      </c>
      <c r="AP304" s="152"/>
      <c r="AQ304" s="152"/>
      <c r="AR304" s="416"/>
    </row>
    <row r="305" spans="1:44" x14ac:dyDescent="0.25">
      <c r="A305" s="66">
        <f t="shared" si="119"/>
        <v>0</v>
      </c>
      <c r="B305" s="66" t="str">
        <f t="shared" ref="B305:B313" si="120">IF(C305="","",CONCATENATE(ROW(),"-",C305))</f>
        <v/>
      </c>
      <c r="C305" s="66" t="str">
        <f>IFERROR(IF(J305&gt;0,INDEX('M05-S05'!$AY$16:$AY$198,2*(ROWS($C$304:C305)-1)+1),""),"")</f>
        <v/>
      </c>
      <c r="D305" t="s">
        <v>212</v>
      </c>
      <c r="E305" t="str">
        <f>IFERROR(INDEX('M05-S05'!$AW$16:$AW$198,2*(ROWS($E$304:E305)-1)+1),"")</f>
        <v/>
      </c>
      <c r="F305" s="152"/>
      <c r="G305" s="135"/>
      <c r="H305" s="61">
        <f>INDEX('M05-S05'!$AD$16:$AD$198,2*(ROWS($H$304:H305)-1)+1)</f>
        <v>0</v>
      </c>
      <c r="I305" s="61">
        <f>INDEX('M05-S05'!$AF$16:$AF$198,2*(ROWS($I$304:I305)-1)+1)</f>
        <v>0</v>
      </c>
      <c r="J305" s="61" t="str">
        <f>INDEX('M05-S05'!$AH$16:$AH$198,2*(ROWS($J$304:J305)-1)+1)</f>
        <v/>
      </c>
      <c r="K305" t="str">
        <f>IFERROR(INDEX(CMECOMPAIR[Cost Basis],MATCH(INDEX('M05-S05'!$F$16:$F$198,2*(ROWS($K$304:K305)-1)+1),CMECOMPAIR[Proj Desc 1],0)),"")</f>
        <v/>
      </c>
      <c r="L305" s="151">
        <f>IF(ISNUMBER(INDEX('M05-S05'!$AK$16:$AK$198,2*(ROWS($O$304:O305)-1)+1)),INDEX('M05-S05'!Z$16:$Z$198,2*(ROWS($L$304:L305)-1)+1),0)</f>
        <v>0</v>
      </c>
      <c r="M305" s="151">
        <f>IFERROR(IF(ISNUMBER(INDEX('M05-S05'!$AK$16:$AK$198,2*(ROWS($O$304:O305)-1)+1)),INDEX('M05-S05'!$AO$16:$AO$198,2*(ROWS($M$304:M305)-1)+1),0),"")</f>
        <v>0</v>
      </c>
      <c r="N305" s="189">
        <f>IFERROR(IF(ISNUMBER(INDEX('M05-S05'!$AK$16:$AK$198,2*(ROWS($O$304:O305)-1)+1)),INDEX('M05-S05'!$AV$16:$AV$198,2*(ROWS($N$304:N305)-1)+1),0),"")</f>
        <v>0</v>
      </c>
      <c r="O305" s="61">
        <f>IF(ISNUMBER(INDEX('M05-S05'!$AK$16:$AK$198,2*(ROWS($O$304:O305)-1)+1)),INDEX('M05-S05'!$AK$16:$AK$198,2*(ROWS($O$304:O305)-1)+1),0)</f>
        <v>0</v>
      </c>
      <c r="P305" s="151" t="str">
        <f>IFERROR(IF(NOT(ISNUMBER(INDEX('M05-S05'!$AK$16:$AK$198,2*(ROWS($O$304:O305)-1)+1))),INDEX('M05-S05'!$AO$16:$AO$198,2*(ROWS($O$304:O305)-1)+1),0),"")</f>
        <v/>
      </c>
      <c r="Q305" s="189" t="str">
        <f>IFERROR(IF(NOT(ISNUMBER(INDEX('M05-S05'!$AK$16:$AK$198,2*(ROWS($O$304:O305)-1)+1))),INDEX('M05-S05'!$AV$16:$AV$198,2*(ROWS($O$304:O305)-1)+1),0),"")</f>
        <v/>
      </c>
      <c r="R305" t="str">
        <f>IFERROR(IF(NOT(ISNUMBER(INDEX('M05-S05'!$AK$16:$AK$198,2*(ROWS($O$304:O305)-1)+1))),INDEX(SPILLOVER[Spillover Reason],MATCH(INDEX('M05-S05'!$BC$16:$BC$198,2*(ROWS($O$304:O305)-1)+1),SPILLOVER[Spillover Text],0)),""),"")</f>
        <v>Not Eligible</v>
      </c>
      <c r="S305" s="157"/>
      <c r="T305" s="157"/>
      <c r="U305" s="151">
        <f>INDEX('M05-S05'!$B$16:$B$198,2*(ROWS($U$304:U305)-1)+1)</f>
        <v>2</v>
      </c>
      <c r="V305" s="135"/>
      <c r="W305" s="58">
        <f>INDEX('M05-S05'!$F$16:$F$198,2*(ROWS($W$304:W305)-1)+1)</f>
        <v>0</v>
      </c>
      <c r="X305">
        <f>INDEX('M05-S05'!$L$16:$L$198,2*(ROWS($X$304:X305)-1)+1)</f>
        <v>0</v>
      </c>
      <c r="Y305">
        <f>INDEX('M05-S05'!$U$16:$U$198,2*(ROWS($Y$304:Y305)-1)+1)</f>
        <v>0</v>
      </c>
      <c r="Z305" s="135"/>
      <c r="AA305" s="135"/>
      <c r="AB305" s="135"/>
      <c r="AC305" s="135"/>
      <c r="AD305" s="135"/>
      <c r="AE305" s="151">
        <f>IF(NOT(ISNUMBER(INDEX('M05-S05'!$AK$16:$AK$198,2*(ROWS($O$304:O305)-1)+1))),INDEX('M05-S05'!$Z$16:$Z$198,2*(ROWS($L$304:L305)-1)+1),0)</f>
        <v>0</v>
      </c>
      <c r="AF305" s="151">
        <f>INDEX('M05-S05'!$S$16:$S$198,2*(ROWS($AF$304:AF305)-1)+1)*INDEX('M05-S05'!$Q$16:$Q$198,2*(ROWS($AF$304:AF305)-1)+1)</f>
        <v>0</v>
      </c>
      <c r="AG305" s="151">
        <f>INDEX('M05-S05'!$AB$16:$AB$198,2*(ROWS($AG$304:AG305)-1)+1)*INDEX('M05-S05'!$Z$16:$Z$198,2*(ROWS($AG$304:AG305)-1)+1)</f>
        <v>0</v>
      </c>
      <c r="AH305" s="151" t="str">
        <f t="shared" ref="AH305:AH313" si="121">IFERROR(AF305/AO305,"")</f>
        <v/>
      </c>
      <c r="AI305" s="151" t="str">
        <f t="shared" ref="AI305:AI313" si="122">IFERROR(AG305/L305,"")</f>
        <v/>
      </c>
      <c r="AJ305" s="61" t="str">
        <f t="shared" ref="AJ305:AJ313" si="123">IFERROR(O305/M305,"")</f>
        <v/>
      </c>
      <c r="AK305" s="61" t="str">
        <f t="shared" ref="AK305:AK313" si="124">IFERROR(O305/N305,"")</f>
        <v/>
      </c>
      <c r="AL305" s="61" t="str">
        <f t="shared" ref="AL305:AL313" si="125">IFERROR(O305/L305,"")</f>
        <v/>
      </c>
      <c r="AM305" s="61" t="str">
        <f>INDEX('M05-S05'!$AU$16:$AU$198,2*(ROWS($AM$304:AM305)-1)+1)</f>
        <v/>
      </c>
      <c r="AN305" s="61" t="str">
        <f>INDEX('M05-S05'!$BB$16:$BB$198,2*(ROWS($AN$304:AN305)-1)+1)</f>
        <v/>
      </c>
      <c r="AO305" s="151">
        <f>INDEX('M05-S05'!$Q$16:$Q$198,2*(ROWS($AO$304:AO305)-1)+1)</f>
        <v>0</v>
      </c>
      <c r="AP305" s="152"/>
      <c r="AQ305" s="152"/>
      <c r="AR305" s="416"/>
    </row>
    <row r="306" spans="1:44" x14ac:dyDescent="0.25">
      <c r="A306" s="66">
        <f t="shared" si="119"/>
        <v>0</v>
      </c>
      <c r="B306" s="66" t="str">
        <f t="shared" si="120"/>
        <v/>
      </c>
      <c r="C306" s="66" t="str">
        <f>IFERROR(IF(J306&gt;0,INDEX('M05-S05'!$AY$16:$AY$198,2*(ROWS($C$304:C306)-1)+1),""),"")</f>
        <v/>
      </c>
      <c r="D306" t="s">
        <v>212</v>
      </c>
      <c r="E306" t="str">
        <f>IFERROR(INDEX('M05-S05'!$AW$16:$AW$198,2*(ROWS($E$304:E306)-1)+1),"")</f>
        <v/>
      </c>
      <c r="F306" s="152"/>
      <c r="G306" s="135"/>
      <c r="H306" s="61">
        <f>INDEX('M05-S05'!$AD$16:$AD$198,2*(ROWS($H$304:H306)-1)+1)</f>
        <v>0</v>
      </c>
      <c r="I306" s="61">
        <f>INDEX('M05-S05'!$AF$16:$AF$198,2*(ROWS($I$304:I306)-1)+1)</f>
        <v>0</v>
      </c>
      <c r="J306" s="61" t="str">
        <f>INDEX('M05-S05'!$AH$16:$AH$198,2*(ROWS($J$304:J306)-1)+1)</f>
        <v/>
      </c>
      <c r="K306" t="str">
        <f>IFERROR(INDEX(CMECOMPAIR[Cost Basis],MATCH(INDEX('M05-S05'!$F$16:$F$198,2*(ROWS($K$304:K306)-1)+1),CMECOMPAIR[Proj Desc 1],0)),"")</f>
        <v/>
      </c>
      <c r="L306" s="151">
        <f>IF(ISNUMBER(INDEX('M05-S05'!$AK$16:$AK$198,2*(ROWS($O$304:O306)-1)+1)),INDEX('M05-S05'!Z$16:$Z$198,2*(ROWS($L$304:L306)-1)+1),0)</f>
        <v>0</v>
      </c>
      <c r="M306" s="151">
        <f>IFERROR(IF(ISNUMBER(INDEX('M05-S05'!$AK$16:$AK$198,2*(ROWS($O$304:O306)-1)+1)),INDEX('M05-S05'!$AO$16:$AO$198,2*(ROWS($M$304:M306)-1)+1),0),"")</f>
        <v>0</v>
      </c>
      <c r="N306" s="189">
        <f>IFERROR(IF(ISNUMBER(INDEX('M05-S05'!$AK$16:$AK$198,2*(ROWS($O$304:O306)-1)+1)),INDEX('M05-S05'!$AV$16:$AV$198,2*(ROWS($N$304:N306)-1)+1),0),"")</f>
        <v>0</v>
      </c>
      <c r="O306" s="61">
        <f>IF(ISNUMBER(INDEX('M05-S05'!$AK$16:$AK$198,2*(ROWS($O$304:O306)-1)+1)),INDEX('M05-S05'!$AK$16:$AK$198,2*(ROWS($O$304:O306)-1)+1),0)</f>
        <v>0</v>
      </c>
      <c r="P306" s="151" t="str">
        <f>IFERROR(IF(NOT(ISNUMBER(INDEX('M05-S05'!$AK$16:$AK$198,2*(ROWS($O$304:O306)-1)+1))),INDEX('M05-S05'!$AO$16:$AO$198,2*(ROWS($O$304:O306)-1)+1),0),"")</f>
        <v/>
      </c>
      <c r="Q306" s="189" t="str">
        <f>IFERROR(IF(NOT(ISNUMBER(INDEX('M05-S05'!$AK$16:$AK$198,2*(ROWS($O$304:O306)-1)+1))),INDEX('M05-S05'!$AV$16:$AV$198,2*(ROWS($O$304:O306)-1)+1),0),"")</f>
        <v/>
      </c>
      <c r="R306" t="str">
        <f>IFERROR(IF(NOT(ISNUMBER(INDEX('M05-S05'!$AK$16:$AK$198,2*(ROWS($O$304:O306)-1)+1))),INDEX(SPILLOVER[Spillover Reason],MATCH(INDEX('M05-S05'!$BC$16:$BC$198,2*(ROWS($O$304:O306)-1)+1),SPILLOVER[Spillover Text],0)),""),"")</f>
        <v>Not Eligible</v>
      </c>
      <c r="S306" s="157"/>
      <c r="T306" s="157"/>
      <c r="U306" s="151">
        <f>INDEX('M05-S05'!$B$16:$B$198,2*(ROWS($U$304:U306)-1)+1)</f>
        <v>3</v>
      </c>
      <c r="V306" s="135"/>
      <c r="W306" s="58">
        <f>INDEX('M05-S05'!$F$16:$F$198,2*(ROWS($W$304:W306)-1)+1)</f>
        <v>0</v>
      </c>
      <c r="X306">
        <f>INDEX('M05-S05'!$L$16:$L$198,2*(ROWS($X$304:X306)-1)+1)</f>
        <v>0</v>
      </c>
      <c r="Y306">
        <f>INDEX('M05-S05'!$U$16:$U$198,2*(ROWS($Y$304:Y306)-1)+1)</f>
        <v>0</v>
      </c>
      <c r="Z306" s="135"/>
      <c r="AA306" s="135"/>
      <c r="AB306" s="135"/>
      <c r="AC306" s="135"/>
      <c r="AD306" s="135"/>
      <c r="AE306" s="151">
        <f>IF(NOT(ISNUMBER(INDEX('M05-S05'!$AK$16:$AK$198,2*(ROWS($O$304:O306)-1)+1))),INDEX('M05-S05'!$Z$16:$Z$198,2*(ROWS($L$304:L306)-1)+1),0)</f>
        <v>0</v>
      </c>
      <c r="AF306" s="151">
        <f>INDEX('M05-S05'!$S$16:$S$198,2*(ROWS($AF$304:AF306)-1)+1)*INDEX('M05-S05'!$Q$16:$Q$198,2*(ROWS($AF$304:AF306)-1)+1)</f>
        <v>0</v>
      </c>
      <c r="AG306" s="151">
        <f>INDEX('M05-S05'!$AB$16:$AB$198,2*(ROWS($AG$304:AG306)-1)+1)*INDEX('M05-S05'!$Z$16:$Z$198,2*(ROWS($AG$304:AG306)-1)+1)</f>
        <v>0</v>
      </c>
      <c r="AH306" s="151" t="str">
        <f t="shared" si="121"/>
        <v/>
      </c>
      <c r="AI306" s="151" t="str">
        <f t="shared" si="122"/>
        <v/>
      </c>
      <c r="AJ306" s="61" t="str">
        <f t="shared" si="123"/>
        <v/>
      </c>
      <c r="AK306" s="61" t="str">
        <f t="shared" si="124"/>
        <v/>
      </c>
      <c r="AL306" s="61" t="str">
        <f t="shared" si="125"/>
        <v/>
      </c>
      <c r="AM306" s="61" t="str">
        <f>INDEX('M05-S05'!$AU$16:$AU$198,2*(ROWS($AM$304:AM306)-1)+1)</f>
        <v/>
      </c>
      <c r="AN306" s="61" t="str">
        <f>INDEX('M05-S05'!$BB$16:$BB$198,2*(ROWS($AN$304:AN306)-1)+1)</f>
        <v/>
      </c>
      <c r="AO306" s="151">
        <f>INDEX('M05-S05'!$Q$16:$Q$198,2*(ROWS($AO$304:AO306)-1)+1)</f>
        <v>0</v>
      </c>
      <c r="AP306" s="152"/>
      <c r="AQ306" s="152"/>
      <c r="AR306" s="416"/>
    </row>
    <row r="307" spans="1:44" x14ac:dyDescent="0.25">
      <c r="A307" s="66">
        <f t="shared" si="119"/>
        <v>0</v>
      </c>
      <c r="B307" s="66" t="str">
        <f t="shared" si="120"/>
        <v/>
      </c>
      <c r="C307" s="66" t="str">
        <f>IFERROR(IF(J307&gt;0,INDEX('M05-S05'!$AY$16:$AY$198,2*(ROWS($C$304:C307)-1)+1),""),"")</f>
        <v/>
      </c>
      <c r="D307" t="s">
        <v>212</v>
      </c>
      <c r="E307" t="str">
        <f>IFERROR(INDEX('M05-S05'!$AW$16:$AW$198,2*(ROWS($E$304:E307)-1)+1),"")</f>
        <v/>
      </c>
      <c r="F307" s="152"/>
      <c r="G307" s="135"/>
      <c r="H307" s="61">
        <f>INDEX('M05-S05'!$AD$16:$AD$198,2*(ROWS($H$304:H307)-1)+1)</f>
        <v>0</v>
      </c>
      <c r="I307" s="61">
        <f>INDEX('M05-S05'!$AF$16:$AF$198,2*(ROWS($I$304:I307)-1)+1)</f>
        <v>0</v>
      </c>
      <c r="J307" s="61" t="str">
        <f>INDEX('M05-S05'!$AH$16:$AH$198,2*(ROWS($J$304:J307)-1)+1)</f>
        <v/>
      </c>
      <c r="K307" t="str">
        <f>IFERROR(INDEX(CMECOMPAIR[Cost Basis],MATCH(INDEX('M05-S05'!$F$16:$F$198,2*(ROWS($K$304:K307)-1)+1),CMECOMPAIR[Proj Desc 1],0)),"")</f>
        <v/>
      </c>
      <c r="L307" s="151">
        <f>IF(ISNUMBER(INDEX('M05-S05'!$AK$16:$AK$198,2*(ROWS($O$304:O307)-1)+1)),INDEX('M05-S05'!Z$16:$Z$198,2*(ROWS($L$304:L307)-1)+1),0)</f>
        <v>0</v>
      </c>
      <c r="M307" s="151">
        <f>IFERROR(IF(ISNUMBER(INDEX('M05-S05'!$AK$16:$AK$198,2*(ROWS($O$304:O307)-1)+1)),INDEX('M05-S05'!$AO$16:$AO$198,2*(ROWS($M$304:M307)-1)+1),0),"")</f>
        <v>0</v>
      </c>
      <c r="N307" s="189">
        <f>IFERROR(IF(ISNUMBER(INDEX('M05-S05'!$AK$16:$AK$198,2*(ROWS($O$304:O307)-1)+1)),INDEX('M05-S05'!$AV$16:$AV$198,2*(ROWS($N$304:N307)-1)+1),0),"")</f>
        <v>0</v>
      </c>
      <c r="O307" s="61">
        <f>IF(ISNUMBER(INDEX('M05-S05'!$AK$16:$AK$198,2*(ROWS($O$304:O307)-1)+1)),INDEX('M05-S05'!$AK$16:$AK$198,2*(ROWS($O$304:O307)-1)+1),0)</f>
        <v>0</v>
      </c>
      <c r="P307" s="151" t="str">
        <f>IFERROR(IF(NOT(ISNUMBER(INDEX('M05-S05'!$AK$16:$AK$198,2*(ROWS($O$304:O307)-1)+1))),INDEX('M05-S05'!$AO$16:$AO$198,2*(ROWS($O$304:O307)-1)+1),0),"")</f>
        <v/>
      </c>
      <c r="Q307" s="189" t="str">
        <f>IFERROR(IF(NOT(ISNUMBER(INDEX('M05-S05'!$AK$16:$AK$198,2*(ROWS($O$304:O307)-1)+1))),INDEX('M05-S05'!$AV$16:$AV$198,2*(ROWS($O$304:O307)-1)+1),0),"")</f>
        <v/>
      </c>
      <c r="R307" t="str">
        <f>IFERROR(IF(NOT(ISNUMBER(INDEX('M05-S05'!$AK$16:$AK$198,2*(ROWS($O$304:O307)-1)+1))),INDEX(SPILLOVER[Spillover Reason],MATCH(INDEX('M05-S05'!$BC$16:$BC$198,2*(ROWS($O$304:O307)-1)+1),SPILLOVER[Spillover Text],0)),""),"")</f>
        <v>Not Eligible</v>
      </c>
      <c r="S307" s="157"/>
      <c r="T307" s="157"/>
      <c r="U307" s="151">
        <f>INDEX('M05-S05'!$B$16:$B$198,2*(ROWS($U$304:U307)-1)+1)</f>
        <v>4</v>
      </c>
      <c r="V307" s="135"/>
      <c r="W307" s="58">
        <f>INDEX('M05-S05'!$F$16:$F$198,2*(ROWS($W$304:W307)-1)+1)</f>
        <v>0</v>
      </c>
      <c r="X307">
        <f>INDEX('M05-S05'!$L$16:$L$198,2*(ROWS($X$304:X307)-1)+1)</f>
        <v>0</v>
      </c>
      <c r="Y307">
        <f>INDEX('M05-S05'!$U$16:$U$198,2*(ROWS($Y$304:Y307)-1)+1)</f>
        <v>0</v>
      </c>
      <c r="Z307" s="135"/>
      <c r="AA307" s="135"/>
      <c r="AB307" s="135"/>
      <c r="AC307" s="135"/>
      <c r="AD307" s="135"/>
      <c r="AE307" s="151">
        <f>IF(NOT(ISNUMBER(INDEX('M05-S05'!$AK$16:$AK$198,2*(ROWS($O$304:O307)-1)+1))),INDEX('M05-S05'!$Z$16:$Z$198,2*(ROWS($L$304:L307)-1)+1),0)</f>
        <v>0</v>
      </c>
      <c r="AF307" s="151">
        <f>INDEX('M05-S05'!$S$16:$S$198,2*(ROWS($AF$304:AF307)-1)+1)*INDEX('M05-S05'!$Q$16:$Q$198,2*(ROWS($AF$304:AF307)-1)+1)</f>
        <v>0</v>
      </c>
      <c r="AG307" s="151">
        <f>INDEX('M05-S05'!$AB$16:$AB$198,2*(ROWS($AG$304:AG307)-1)+1)*INDEX('M05-S05'!$Z$16:$Z$198,2*(ROWS($AG$304:AG307)-1)+1)</f>
        <v>0</v>
      </c>
      <c r="AH307" s="151" t="str">
        <f t="shared" si="121"/>
        <v/>
      </c>
      <c r="AI307" s="151" t="str">
        <f t="shared" si="122"/>
        <v/>
      </c>
      <c r="AJ307" s="61" t="str">
        <f t="shared" si="123"/>
        <v/>
      </c>
      <c r="AK307" s="61" t="str">
        <f t="shared" si="124"/>
        <v/>
      </c>
      <c r="AL307" s="61" t="str">
        <f t="shared" si="125"/>
        <v/>
      </c>
      <c r="AM307" s="61" t="str">
        <f>INDEX('M05-S05'!$AU$16:$AU$198,2*(ROWS($AM$304:AM307)-1)+1)</f>
        <v/>
      </c>
      <c r="AN307" s="61" t="str">
        <f>INDEX('M05-S05'!$BB$16:$BB$198,2*(ROWS($AN$304:AN307)-1)+1)</f>
        <v/>
      </c>
      <c r="AO307" s="151">
        <f>INDEX('M05-S05'!$Q$16:$Q$198,2*(ROWS($AO$304:AO307)-1)+1)</f>
        <v>0</v>
      </c>
      <c r="AP307" s="152"/>
      <c r="AQ307" s="152"/>
      <c r="AR307" s="416"/>
    </row>
    <row r="308" spans="1:44" x14ac:dyDescent="0.25">
      <c r="A308" s="66">
        <f t="shared" si="119"/>
        <v>0</v>
      </c>
      <c r="B308" s="66" t="str">
        <f t="shared" si="120"/>
        <v/>
      </c>
      <c r="C308" s="66" t="str">
        <f>IFERROR(IF(J308&gt;0,INDEX('M05-S05'!$AY$16:$AY$198,2*(ROWS($C$304:C308)-1)+1),""),"")</f>
        <v/>
      </c>
      <c r="D308" t="s">
        <v>212</v>
      </c>
      <c r="E308" t="str">
        <f>IFERROR(INDEX('M05-S05'!$AW$16:$AW$198,2*(ROWS($E$304:E308)-1)+1),"")</f>
        <v/>
      </c>
      <c r="F308" s="152"/>
      <c r="G308" s="135"/>
      <c r="H308" s="61">
        <f>INDEX('M05-S05'!$AD$16:$AD$198,2*(ROWS($H$304:H308)-1)+1)</f>
        <v>0</v>
      </c>
      <c r="I308" s="61">
        <f>INDEX('M05-S05'!$AF$16:$AF$198,2*(ROWS($I$304:I308)-1)+1)</f>
        <v>0</v>
      </c>
      <c r="J308" s="61" t="str">
        <f>INDEX('M05-S05'!$AH$16:$AH$198,2*(ROWS($J$304:J308)-1)+1)</f>
        <v/>
      </c>
      <c r="K308" t="str">
        <f>IFERROR(INDEX(CMECOMPAIR[Cost Basis],MATCH(INDEX('M05-S05'!$F$16:$F$198,2*(ROWS($K$304:K308)-1)+1),CMECOMPAIR[Proj Desc 1],0)),"")</f>
        <v/>
      </c>
      <c r="L308" s="151">
        <f>IF(ISNUMBER(INDEX('M05-S05'!$AK$16:$AK$198,2*(ROWS($O$304:O308)-1)+1)),INDEX('M05-S05'!Z$16:$Z$198,2*(ROWS($L$304:L308)-1)+1),0)</f>
        <v>0</v>
      </c>
      <c r="M308" s="151">
        <f>IFERROR(IF(ISNUMBER(INDEX('M05-S05'!$AK$16:$AK$198,2*(ROWS($O$304:O308)-1)+1)),INDEX('M05-S05'!$AO$16:$AO$198,2*(ROWS($M$304:M308)-1)+1),0),"")</f>
        <v>0</v>
      </c>
      <c r="N308" s="189">
        <f>IFERROR(IF(ISNUMBER(INDEX('M05-S05'!$AK$16:$AK$198,2*(ROWS($O$304:O308)-1)+1)),INDEX('M05-S05'!$AV$16:$AV$198,2*(ROWS($N$304:N308)-1)+1),0),"")</f>
        <v>0</v>
      </c>
      <c r="O308" s="61">
        <f>IF(ISNUMBER(INDEX('M05-S05'!$AK$16:$AK$198,2*(ROWS($O$304:O308)-1)+1)),INDEX('M05-S05'!$AK$16:$AK$198,2*(ROWS($O$304:O308)-1)+1),0)</f>
        <v>0</v>
      </c>
      <c r="P308" s="151" t="str">
        <f>IFERROR(IF(NOT(ISNUMBER(INDEX('M05-S05'!$AK$16:$AK$198,2*(ROWS($O$304:O308)-1)+1))),INDEX('M05-S05'!$AO$16:$AO$198,2*(ROWS($O$304:O308)-1)+1),0),"")</f>
        <v/>
      </c>
      <c r="Q308" s="189" t="str">
        <f>IFERROR(IF(NOT(ISNUMBER(INDEX('M05-S05'!$AK$16:$AK$198,2*(ROWS($O$304:O308)-1)+1))),INDEX('M05-S05'!$AV$16:$AV$198,2*(ROWS($O$304:O308)-1)+1),0),"")</f>
        <v/>
      </c>
      <c r="R308" t="str">
        <f>IFERROR(IF(NOT(ISNUMBER(INDEX('M05-S05'!$AK$16:$AK$198,2*(ROWS($O$304:O308)-1)+1))),INDEX(SPILLOVER[Spillover Reason],MATCH(INDEX('M05-S05'!$BC$16:$BC$198,2*(ROWS($O$304:O308)-1)+1),SPILLOVER[Spillover Text],0)),""),"")</f>
        <v>Not Eligible</v>
      </c>
      <c r="S308" s="157"/>
      <c r="T308" s="157"/>
      <c r="U308" s="151">
        <f>INDEX('M05-S05'!$B$16:$B$198,2*(ROWS($U$304:U308)-1)+1)</f>
        <v>5</v>
      </c>
      <c r="V308" s="135"/>
      <c r="W308" s="58">
        <f>INDEX('M05-S05'!$F$16:$F$198,2*(ROWS($W$304:W308)-1)+1)</f>
        <v>0</v>
      </c>
      <c r="X308">
        <f>INDEX('M05-S05'!$L$16:$L$198,2*(ROWS($X$304:X308)-1)+1)</f>
        <v>0</v>
      </c>
      <c r="Y308">
        <f>INDEX('M05-S05'!$U$16:$U$198,2*(ROWS($Y$304:Y308)-1)+1)</f>
        <v>0</v>
      </c>
      <c r="Z308" s="135"/>
      <c r="AA308" s="135"/>
      <c r="AB308" s="135"/>
      <c r="AC308" s="135"/>
      <c r="AD308" s="135"/>
      <c r="AE308" s="151">
        <f>IF(NOT(ISNUMBER(INDEX('M05-S05'!$AK$16:$AK$198,2*(ROWS($O$304:O308)-1)+1))),INDEX('M05-S05'!$Z$16:$Z$198,2*(ROWS($L$304:L308)-1)+1),0)</f>
        <v>0</v>
      </c>
      <c r="AF308" s="151">
        <f>INDEX('M05-S05'!$S$16:$S$198,2*(ROWS($AF$304:AF308)-1)+1)*INDEX('M05-S05'!$Q$16:$Q$198,2*(ROWS($AF$304:AF308)-1)+1)</f>
        <v>0</v>
      </c>
      <c r="AG308" s="151">
        <f>INDEX('M05-S05'!$AB$16:$AB$198,2*(ROWS($AG$304:AG308)-1)+1)*INDEX('M05-S05'!$Z$16:$Z$198,2*(ROWS($AG$304:AG308)-1)+1)</f>
        <v>0</v>
      </c>
      <c r="AH308" s="151" t="str">
        <f t="shared" si="121"/>
        <v/>
      </c>
      <c r="AI308" s="151" t="str">
        <f t="shared" si="122"/>
        <v/>
      </c>
      <c r="AJ308" s="61" t="str">
        <f t="shared" si="123"/>
        <v/>
      </c>
      <c r="AK308" s="61" t="str">
        <f t="shared" si="124"/>
        <v/>
      </c>
      <c r="AL308" s="61" t="str">
        <f t="shared" si="125"/>
        <v/>
      </c>
      <c r="AM308" s="61" t="str">
        <f>INDEX('M05-S05'!$AU$16:$AU$198,2*(ROWS($AM$304:AM308)-1)+1)</f>
        <v/>
      </c>
      <c r="AN308" s="61" t="str">
        <f>INDEX('M05-S05'!$BB$16:$BB$198,2*(ROWS($AN$304:AN308)-1)+1)</f>
        <v/>
      </c>
      <c r="AO308" s="151">
        <f>INDEX('M05-S05'!$Q$16:$Q$198,2*(ROWS($AO$304:AO308)-1)+1)</f>
        <v>0</v>
      </c>
      <c r="AP308" s="152"/>
      <c r="AQ308" s="152"/>
      <c r="AR308" s="416"/>
    </row>
    <row r="309" spans="1:44" x14ac:dyDescent="0.25">
      <c r="A309" s="66">
        <f t="shared" si="119"/>
        <v>0</v>
      </c>
      <c r="B309" s="66" t="str">
        <f t="shared" si="120"/>
        <v/>
      </c>
      <c r="C309" s="66" t="str">
        <f>IFERROR(IF(J309&gt;0,INDEX('M05-S05'!$AY$16:$AY$198,2*(ROWS($C$304:C309)-1)+1),""),"")</f>
        <v/>
      </c>
      <c r="D309" t="s">
        <v>212</v>
      </c>
      <c r="E309" t="str">
        <f>IFERROR(INDEX('M05-S05'!$AW$16:$AW$198,2*(ROWS($E$304:E309)-1)+1),"")</f>
        <v/>
      </c>
      <c r="F309" s="152"/>
      <c r="G309" s="135"/>
      <c r="H309" s="61">
        <f>INDEX('M05-S05'!$AD$16:$AD$198,2*(ROWS($H$304:H309)-1)+1)</f>
        <v>0</v>
      </c>
      <c r="I309" s="61">
        <f>INDEX('M05-S05'!$AF$16:$AF$198,2*(ROWS($I$304:I309)-1)+1)</f>
        <v>0</v>
      </c>
      <c r="J309" s="61" t="str">
        <f>INDEX('M05-S05'!$AH$16:$AH$198,2*(ROWS($J$304:J309)-1)+1)</f>
        <v/>
      </c>
      <c r="K309" t="str">
        <f>IFERROR(INDEX(CMECOMPAIR[Cost Basis],MATCH(INDEX('M05-S05'!$F$16:$F$198,2*(ROWS($K$304:K309)-1)+1),CMECOMPAIR[Proj Desc 1],0)),"")</f>
        <v/>
      </c>
      <c r="L309" s="151">
        <f>IF(ISNUMBER(INDEX('M05-S05'!$AK$16:$AK$198,2*(ROWS($O$304:O309)-1)+1)),INDEX('M05-S05'!Z$16:$Z$198,2*(ROWS($L$304:L309)-1)+1),0)</f>
        <v>0</v>
      </c>
      <c r="M309" s="151">
        <f>IFERROR(IF(ISNUMBER(INDEX('M05-S05'!$AK$16:$AK$198,2*(ROWS($O$304:O309)-1)+1)),INDEX('M05-S05'!$AO$16:$AO$198,2*(ROWS($M$304:M309)-1)+1),0),"")</f>
        <v>0</v>
      </c>
      <c r="N309" s="189">
        <f>IFERROR(IF(ISNUMBER(INDEX('M05-S05'!$AK$16:$AK$198,2*(ROWS($O$304:O309)-1)+1)),INDEX('M05-S05'!$AV$16:$AV$198,2*(ROWS($N$304:N309)-1)+1),0),"")</f>
        <v>0</v>
      </c>
      <c r="O309" s="61">
        <f>IF(ISNUMBER(INDEX('M05-S05'!$AK$16:$AK$198,2*(ROWS($O$304:O309)-1)+1)),INDEX('M05-S05'!$AK$16:$AK$198,2*(ROWS($O$304:O309)-1)+1),0)</f>
        <v>0</v>
      </c>
      <c r="P309" s="151" t="str">
        <f>IFERROR(IF(NOT(ISNUMBER(INDEX('M05-S05'!$AK$16:$AK$198,2*(ROWS($O$304:O309)-1)+1))),INDEX('M05-S05'!$AO$16:$AO$198,2*(ROWS($O$304:O309)-1)+1),0),"")</f>
        <v/>
      </c>
      <c r="Q309" s="189" t="str">
        <f>IFERROR(IF(NOT(ISNUMBER(INDEX('M05-S05'!$AK$16:$AK$198,2*(ROWS($O$304:O309)-1)+1))),INDEX('M05-S05'!$AV$16:$AV$198,2*(ROWS($O$304:O309)-1)+1),0),"")</f>
        <v/>
      </c>
      <c r="R309" t="str">
        <f>IFERROR(IF(NOT(ISNUMBER(INDEX('M05-S05'!$AK$16:$AK$198,2*(ROWS($O$304:O309)-1)+1))),INDEX(SPILLOVER[Spillover Reason],MATCH(INDEX('M05-S05'!$BC$16:$BC$198,2*(ROWS($O$304:O309)-1)+1),SPILLOVER[Spillover Text],0)),""),"")</f>
        <v>Not Eligible</v>
      </c>
      <c r="S309" s="157"/>
      <c r="T309" s="157"/>
      <c r="U309" s="151">
        <f>INDEX('M05-S05'!$B$16:$B$198,2*(ROWS($U$304:U309)-1)+1)</f>
        <v>6</v>
      </c>
      <c r="V309" s="135"/>
      <c r="W309" s="58">
        <f>INDEX('M05-S05'!$F$16:$F$198,2*(ROWS($W$304:W309)-1)+1)</f>
        <v>0</v>
      </c>
      <c r="X309">
        <f>INDEX('M05-S05'!$L$16:$L$198,2*(ROWS($X$304:X309)-1)+1)</f>
        <v>0</v>
      </c>
      <c r="Y309">
        <f>INDEX('M05-S05'!$U$16:$U$198,2*(ROWS($Y$304:Y309)-1)+1)</f>
        <v>0</v>
      </c>
      <c r="Z309" s="135"/>
      <c r="AA309" s="135"/>
      <c r="AB309" s="135"/>
      <c r="AC309" s="135"/>
      <c r="AD309" s="135"/>
      <c r="AE309" s="151">
        <f>IF(NOT(ISNUMBER(INDEX('M05-S05'!$AK$16:$AK$198,2*(ROWS($O$304:O309)-1)+1))),INDEX('M05-S05'!$Z$16:$Z$198,2*(ROWS($L$304:L309)-1)+1),0)</f>
        <v>0</v>
      </c>
      <c r="AF309" s="151">
        <f>INDEX('M05-S05'!$S$16:$S$198,2*(ROWS($AF$304:AF309)-1)+1)*INDEX('M05-S05'!$Q$16:$Q$198,2*(ROWS($AF$304:AF309)-1)+1)</f>
        <v>0</v>
      </c>
      <c r="AG309" s="151">
        <f>INDEX('M05-S05'!$AB$16:$AB$198,2*(ROWS($AG$304:AG309)-1)+1)*INDEX('M05-S05'!$Z$16:$Z$198,2*(ROWS($AG$304:AG309)-1)+1)</f>
        <v>0</v>
      </c>
      <c r="AH309" s="151" t="str">
        <f t="shared" si="121"/>
        <v/>
      </c>
      <c r="AI309" s="151" t="str">
        <f t="shared" si="122"/>
        <v/>
      </c>
      <c r="AJ309" s="61" t="str">
        <f t="shared" si="123"/>
        <v/>
      </c>
      <c r="AK309" s="61" t="str">
        <f t="shared" si="124"/>
        <v/>
      </c>
      <c r="AL309" s="61" t="str">
        <f t="shared" si="125"/>
        <v/>
      </c>
      <c r="AM309" s="61" t="str">
        <f>INDEX('M05-S05'!$AU$16:$AU$198,2*(ROWS($AM$304:AM309)-1)+1)</f>
        <v/>
      </c>
      <c r="AN309" s="61" t="str">
        <f>INDEX('M05-S05'!$BB$16:$BB$198,2*(ROWS($AN$304:AN309)-1)+1)</f>
        <v/>
      </c>
      <c r="AO309" s="151">
        <f>INDEX('M05-S05'!$Q$16:$Q$198,2*(ROWS($AO$304:AO309)-1)+1)</f>
        <v>0</v>
      </c>
      <c r="AP309" s="152"/>
      <c r="AQ309" s="152"/>
      <c r="AR309" s="416"/>
    </row>
    <row r="310" spans="1:44" x14ac:dyDescent="0.25">
      <c r="A310" s="66">
        <f t="shared" si="119"/>
        <v>0</v>
      </c>
      <c r="B310" s="66" t="str">
        <f t="shared" si="120"/>
        <v/>
      </c>
      <c r="C310" s="66" t="str">
        <f>IFERROR(IF(J310&gt;0,INDEX('M05-S05'!$AY$16:$AY$198,2*(ROWS($C$304:C310)-1)+1),""),"")</f>
        <v/>
      </c>
      <c r="D310" t="s">
        <v>212</v>
      </c>
      <c r="E310" t="str">
        <f>IFERROR(INDEX('M05-S05'!$AW$16:$AW$198,2*(ROWS($E$304:E310)-1)+1),"")</f>
        <v/>
      </c>
      <c r="F310" s="152"/>
      <c r="G310" s="135"/>
      <c r="H310" s="61">
        <f>INDEX('M05-S05'!$AD$16:$AD$198,2*(ROWS($H$304:H310)-1)+1)</f>
        <v>0</v>
      </c>
      <c r="I310" s="61">
        <f>INDEX('M05-S05'!$AF$16:$AF$198,2*(ROWS($I$304:I310)-1)+1)</f>
        <v>0</v>
      </c>
      <c r="J310" s="61" t="str">
        <f>INDEX('M05-S05'!$AH$16:$AH$198,2*(ROWS($J$304:J310)-1)+1)</f>
        <v/>
      </c>
      <c r="K310" t="str">
        <f>IFERROR(INDEX(CMECOMPAIR[Cost Basis],MATCH(INDEX('M05-S05'!$F$16:$F$198,2*(ROWS($K$304:K310)-1)+1),CMECOMPAIR[Proj Desc 1],0)),"")</f>
        <v/>
      </c>
      <c r="L310" s="151">
        <f>IF(ISNUMBER(INDEX('M05-S05'!$AK$16:$AK$198,2*(ROWS($O$304:O310)-1)+1)),INDEX('M05-S05'!Z$16:$Z$198,2*(ROWS($L$304:L310)-1)+1),0)</f>
        <v>0</v>
      </c>
      <c r="M310" s="151">
        <f>IFERROR(IF(ISNUMBER(INDEX('M05-S05'!$AK$16:$AK$198,2*(ROWS($O$304:O310)-1)+1)),INDEX('M05-S05'!$AO$16:$AO$198,2*(ROWS($M$304:M310)-1)+1),0),"")</f>
        <v>0</v>
      </c>
      <c r="N310" s="189">
        <f>IFERROR(IF(ISNUMBER(INDEX('M05-S05'!$AK$16:$AK$198,2*(ROWS($O$304:O310)-1)+1)),INDEX('M05-S05'!$AV$16:$AV$198,2*(ROWS($N$304:N310)-1)+1),0),"")</f>
        <v>0</v>
      </c>
      <c r="O310" s="61">
        <f>IF(ISNUMBER(INDEX('M05-S05'!$AK$16:$AK$198,2*(ROWS($O$304:O310)-1)+1)),INDEX('M05-S05'!$AK$16:$AK$198,2*(ROWS($O$304:O310)-1)+1),0)</f>
        <v>0</v>
      </c>
      <c r="P310" s="151" t="str">
        <f>IFERROR(IF(NOT(ISNUMBER(INDEX('M05-S05'!$AK$16:$AK$198,2*(ROWS($O$304:O310)-1)+1))),INDEX('M05-S05'!$AO$16:$AO$198,2*(ROWS($O$304:O310)-1)+1),0),"")</f>
        <v/>
      </c>
      <c r="Q310" s="189" t="str">
        <f>IFERROR(IF(NOT(ISNUMBER(INDEX('M05-S05'!$AK$16:$AK$198,2*(ROWS($O$304:O310)-1)+1))),INDEX('M05-S05'!$AV$16:$AV$198,2*(ROWS($O$304:O310)-1)+1),0),"")</f>
        <v/>
      </c>
      <c r="R310" t="str">
        <f>IFERROR(IF(NOT(ISNUMBER(INDEX('M05-S05'!$AK$16:$AK$198,2*(ROWS($O$304:O310)-1)+1))),INDEX(SPILLOVER[Spillover Reason],MATCH(INDEX('M05-S05'!$BC$16:$BC$198,2*(ROWS($O$304:O310)-1)+1),SPILLOVER[Spillover Text],0)),""),"")</f>
        <v>Not Eligible</v>
      </c>
      <c r="S310" s="157"/>
      <c r="T310" s="157"/>
      <c r="U310" s="151">
        <f>INDEX('M05-S05'!$B$16:$B$198,2*(ROWS($U$304:U310)-1)+1)</f>
        <v>7</v>
      </c>
      <c r="V310" s="135"/>
      <c r="W310" s="58">
        <f>INDEX('M05-S05'!$F$16:$F$198,2*(ROWS($W$304:W310)-1)+1)</f>
        <v>0</v>
      </c>
      <c r="X310">
        <f>INDEX('M05-S05'!$L$16:$L$198,2*(ROWS($X$304:X310)-1)+1)</f>
        <v>0</v>
      </c>
      <c r="Y310">
        <f>INDEX('M05-S05'!$U$16:$U$198,2*(ROWS($Y$304:Y310)-1)+1)</f>
        <v>0</v>
      </c>
      <c r="Z310" s="135"/>
      <c r="AA310" s="135"/>
      <c r="AB310" s="135"/>
      <c r="AC310" s="135"/>
      <c r="AD310" s="135"/>
      <c r="AE310" s="151">
        <f>IF(NOT(ISNUMBER(INDEX('M05-S05'!$AK$16:$AK$198,2*(ROWS($O$304:O310)-1)+1))),INDEX('M05-S05'!$Z$16:$Z$198,2*(ROWS($L$304:L310)-1)+1),0)</f>
        <v>0</v>
      </c>
      <c r="AF310" s="151">
        <f>INDEX('M05-S05'!$S$16:$S$198,2*(ROWS($AF$304:AF310)-1)+1)*INDEX('M05-S05'!$Q$16:$Q$198,2*(ROWS($AF$304:AF310)-1)+1)</f>
        <v>0</v>
      </c>
      <c r="AG310" s="151">
        <f>INDEX('M05-S05'!$AB$16:$AB$198,2*(ROWS($AG$304:AG310)-1)+1)*INDEX('M05-S05'!$Z$16:$Z$198,2*(ROWS($AG$304:AG310)-1)+1)</f>
        <v>0</v>
      </c>
      <c r="AH310" s="151" t="str">
        <f t="shared" si="121"/>
        <v/>
      </c>
      <c r="AI310" s="151" t="str">
        <f t="shared" si="122"/>
        <v/>
      </c>
      <c r="AJ310" s="61" t="str">
        <f t="shared" si="123"/>
        <v/>
      </c>
      <c r="AK310" s="61" t="str">
        <f t="shared" si="124"/>
        <v/>
      </c>
      <c r="AL310" s="61" t="str">
        <f t="shared" si="125"/>
        <v/>
      </c>
      <c r="AM310" s="61" t="str">
        <f>INDEX('M05-S05'!$AU$16:$AU$198,2*(ROWS($AM$304:AM310)-1)+1)</f>
        <v/>
      </c>
      <c r="AN310" s="61" t="str">
        <f>INDEX('M05-S05'!$BB$16:$BB$198,2*(ROWS($AN$304:AN310)-1)+1)</f>
        <v/>
      </c>
      <c r="AO310" s="151">
        <f>INDEX('M05-S05'!$Q$16:$Q$198,2*(ROWS($AO$304:AO310)-1)+1)</f>
        <v>0</v>
      </c>
      <c r="AP310" s="152"/>
      <c r="AQ310" s="152"/>
      <c r="AR310" s="416"/>
    </row>
    <row r="311" spans="1:44" x14ac:dyDescent="0.25">
      <c r="A311" s="66">
        <f t="shared" si="119"/>
        <v>0</v>
      </c>
      <c r="B311" s="66" t="str">
        <f t="shared" si="120"/>
        <v/>
      </c>
      <c r="C311" s="66" t="str">
        <f>IFERROR(IF(J311&gt;0,INDEX('M05-S05'!$AY$16:$AY$198,2*(ROWS($C$304:C311)-1)+1),""),"")</f>
        <v/>
      </c>
      <c r="D311" t="s">
        <v>212</v>
      </c>
      <c r="E311" t="str">
        <f>IFERROR(INDEX('M05-S05'!$AW$16:$AW$198,2*(ROWS($E$304:E311)-1)+1),"")</f>
        <v/>
      </c>
      <c r="F311" s="152"/>
      <c r="G311" s="135"/>
      <c r="H311" s="61">
        <f>INDEX('M05-S05'!$AD$16:$AD$198,2*(ROWS($H$304:H311)-1)+1)</f>
        <v>0</v>
      </c>
      <c r="I311" s="61">
        <f>INDEX('M05-S05'!$AF$16:$AF$198,2*(ROWS($I$304:I311)-1)+1)</f>
        <v>0</v>
      </c>
      <c r="J311" s="61" t="str">
        <f>INDEX('M05-S05'!$AH$16:$AH$198,2*(ROWS($J$304:J311)-1)+1)</f>
        <v/>
      </c>
      <c r="K311" t="str">
        <f>IFERROR(INDEX(CMECOMPAIR[Cost Basis],MATCH(INDEX('M05-S05'!$F$16:$F$198,2*(ROWS($K$304:K311)-1)+1),CMECOMPAIR[Proj Desc 1],0)),"")</f>
        <v/>
      </c>
      <c r="L311" s="151">
        <f>IF(ISNUMBER(INDEX('M05-S05'!$AK$16:$AK$198,2*(ROWS($O$304:O311)-1)+1)),INDEX('M05-S05'!Z$16:$Z$198,2*(ROWS($L$304:L311)-1)+1),0)</f>
        <v>0</v>
      </c>
      <c r="M311" s="151">
        <f>IFERROR(IF(ISNUMBER(INDEX('M05-S05'!$AK$16:$AK$198,2*(ROWS($O$304:O311)-1)+1)),INDEX('M05-S05'!$AO$16:$AO$198,2*(ROWS($M$304:M311)-1)+1),0),"")</f>
        <v>0</v>
      </c>
      <c r="N311" s="189">
        <f>IFERROR(IF(ISNUMBER(INDEX('M05-S05'!$AK$16:$AK$198,2*(ROWS($O$304:O311)-1)+1)),INDEX('M05-S05'!$AV$16:$AV$198,2*(ROWS($N$304:N311)-1)+1),0),"")</f>
        <v>0</v>
      </c>
      <c r="O311" s="61">
        <f>IF(ISNUMBER(INDEX('M05-S05'!$AK$16:$AK$198,2*(ROWS($O$304:O311)-1)+1)),INDEX('M05-S05'!$AK$16:$AK$198,2*(ROWS($O$304:O311)-1)+1),0)</f>
        <v>0</v>
      </c>
      <c r="P311" s="151" t="str">
        <f>IFERROR(IF(NOT(ISNUMBER(INDEX('M05-S05'!$AK$16:$AK$198,2*(ROWS($O$304:O311)-1)+1))),INDEX('M05-S05'!$AO$16:$AO$198,2*(ROWS($O$304:O311)-1)+1),0),"")</f>
        <v/>
      </c>
      <c r="Q311" s="189" t="str">
        <f>IFERROR(IF(NOT(ISNUMBER(INDEX('M05-S05'!$AK$16:$AK$198,2*(ROWS($O$304:O311)-1)+1))),INDEX('M05-S05'!$AV$16:$AV$198,2*(ROWS($O$304:O311)-1)+1),0),"")</f>
        <v/>
      </c>
      <c r="R311" t="str">
        <f>IFERROR(IF(NOT(ISNUMBER(INDEX('M05-S05'!$AK$16:$AK$198,2*(ROWS($O$304:O311)-1)+1))),INDEX(SPILLOVER[Spillover Reason],MATCH(INDEX('M05-S05'!$BC$16:$BC$198,2*(ROWS($O$304:O311)-1)+1),SPILLOVER[Spillover Text],0)),""),"")</f>
        <v>Not Eligible</v>
      </c>
      <c r="S311" s="157"/>
      <c r="T311" s="157"/>
      <c r="U311" s="151">
        <f>INDEX('M05-S05'!$B$16:$B$198,2*(ROWS($U$304:U311)-1)+1)</f>
        <v>8</v>
      </c>
      <c r="V311" s="135"/>
      <c r="W311" s="58">
        <f>INDEX('M05-S05'!$F$16:$F$198,2*(ROWS($W$304:W311)-1)+1)</f>
        <v>0</v>
      </c>
      <c r="X311">
        <f>INDEX('M05-S05'!$L$16:$L$198,2*(ROWS($X$304:X311)-1)+1)</f>
        <v>0</v>
      </c>
      <c r="Y311">
        <f>INDEX('M05-S05'!$U$16:$U$198,2*(ROWS($Y$304:Y311)-1)+1)</f>
        <v>0</v>
      </c>
      <c r="Z311" s="135"/>
      <c r="AA311" s="135"/>
      <c r="AB311" s="135"/>
      <c r="AC311" s="135"/>
      <c r="AD311" s="135"/>
      <c r="AE311" s="151">
        <f>IF(NOT(ISNUMBER(INDEX('M05-S05'!$AK$16:$AK$198,2*(ROWS($O$304:O311)-1)+1))),INDEX('M05-S05'!$Z$16:$Z$198,2*(ROWS($L$304:L311)-1)+1),0)</f>
        <v>0</v>
      </c>
      <c r="AF311" s="151">
        <f>INDEX('M05-S05'!$S$16:$S$198,2*(ROWS($AF$304:AF311)-1)+1)*INDEX('M05-S05'!$Q$16:$Q$198,2*(ROWS($AF$304:AF311)-1)+1)</f>
        <v>0</v>
      </c>
      <c r="AG311" s="151">
        <f>INDEX('M05-S05'!$AB$16:$AB$198,2*(ROWS($AG$304:AG311)-1)+1)*INDEX('M05-S05'!$Z$16:$Z$198,2*(ROWS($AG$304:AG311)-1)+1)</f>
        <v>0</v>
      </c>
      <c r="AH311" s="151" t="str">
        <f t="shared" si="121"/>
        <v/>
      </c>
      <c r="AI311" s="151" t="str">
        <f t="shared" si="122"/>
        <v/>
      </c>
      <c r="AJ311" s="61" t="str">
        <f t="shared" si="123"/>
        <v/>
      </c>
      <c r="AK311" s="61" t="str">
        <f t="shared" si="124"/>
        <v/>
      </c>
      <c r="AL311" s="61" t="str">
        <f t="shared" si="125"/>
        <v/>
      </c>
      <c r="AM311" s="61" t="str">
        <f>INDEX('M05-S05'!$AU$16:$AU$198,2*(ROWS($AM$304:AM311)-1)+1)</f>
        <v/>
      </c>
      <c r="AN311" s="61" t="str">
        <f>INDEX('M05-S05'!$BB$16:$BB$198,2*(ROWS($AN$304:AN311)-1)+1)</f>
        <v/>
      </c>
      <c r="AO311" s="151">
        <f>INDEX('M05-S05'!$Q$16:$Q$198,2*(ROWS($AO$304:AO311)-1)+1)</f>
        <v>0</v>
      </c>
      <c r="AP311" s="152"/>
      <c r="AQ311" s="152"/>
      <c r="AR311" s="416"/>
    </row>
    <row r="312" spans="1:44" x14ac:dyDescent="0.25">
      <c r="A312" s="66">
        <f t="shared" si="119"/>
        <v>0</v>
      </c>
      <c r="B312" s="66" t="str">
        <f t="shared" si="120"/>
        <v/>
      </c>
      <c r="C312" s="66" t="str">
        <f>IFERROR(IF(J312&gt;0,INDEX('M05-S05'!$AY$16:$AY$198,2*(ROWS($C$304:C312)-1)+1),""),"")</f>
        <v/>
      </c>
      <c r="D312" t="s">
        <v>212</v>
      </c>
      <c r="E312" t="str">
        <f>IFERROR(INDEX('M05-S05'!$AW$16:$AW$198,2*(ROWS($E$304:E312)-1)+1),"")</f>
        <v/>
      </c>
      <c r="F312" s="152"/>
      <c r="G312" s="135"/>
      <c r="H312" s="61">
        <f>INDEX('M05-S05'!$AD$16:$AD$198,2*(ROWS($H$304:H312)-1)+1)</f>
        <v>0</v>
      </c>
      <c r="I312" s="61">
        <f>INDEX('M05-S05'!$AF$16:$AF$198,2*(ROWS($I$304:I312)-1)+1)</f>
        <v>0</v>
      </c>
      <c r="J312" s="61" t="str">
        <f>INDEX('M05-S05'!$AH$16:$AH$198,2*(ROWS($J$304:J312)-1)+1)</f>
        <v/>
      </c>
      <c r="K312" t="str">
        <f>IFERROR(INDEX(CMECOMPAIR[Cost Basis],MATCH(INDEX('M05-S05'!$F$16:$F$198,2*(ROWS($K$304:K312)-1)+1),CMECOMPAIR[Proj Desc 1],0)),"")</f>
        <v/>
      </c>
      <c r="L312" s="151">
        <f>IF(ISNUMBER(INDEX('M05-S05'!$AK$16:$AK$198,2*(ROWS($O$304:O312)-1)+1)),INDEX('M05-S05'!Z$16:$Z$198,2*(ROWS($L$304:L312)-1)+1),0)</f>
        <v>0</v>
      </c>
      <c r="M312" s="151">
        <f>IFERROR(IF(ISNUMBER(INDEX('M05-S05'!$AK$16:$AK$198,2*(ROWS($O$304:O312)-1)+1)),INDEX('M05-S05'!$AO$16:$AO$198,2*(ROWS($M$304:M312)-1)+1),0),"")</f>
        <v>0</v>
      </c>
      <c r="N312" s="189">
        <f>IFERROR(IF(ISNUMBER(INDEX('M05-S05'!$AK$16:$AK$198,2*(ROWS($O$304:O312)-1)+1)),INDEX('M05-S05'!$AV$16:$AV$198,2*(ROWS($N$304:N312)-1)+1),0),"")</f>
        <v>0</v>
      </c>
      <c r="O312" s="61">
        <f>IF(ISNUMBER(INDEX('M05-S05'!$AK$16:$AK$198,2*(ROWS($O$304:O312)-1)+1)),INDEX('M05-S05'!$AK$16:$AK$198,2*(ROWS($O$304:O312)-1)+1),0)</f>
        <v>0</v>
      </c>
      <c r="P312" s="151" t="str">
        <f>IFERROR(IF(NOT(ISNUMBER(INDEX('M05-S05'!$AK$16:$AK$198,2*(ROWS($O$304:O312)-1)+1))),INDEX('M05-S05'!$AO$16:$AO$198,2*(ROWS($O$304:O312)-1)+1),0),"")</f>
        <v/>
      </c>
      <c r="Q312" s="189" t="str">
        <f>IFERROR(IF(NOT(ISNUMBER(INDEX('M05-S05'!$AK$16:$AK$198,2*(ROWS($O$304:O312)-1)+1))),INDEX('M05-S05'!$AV$16:$AV$198,2*(ROWS($O$304:O312)-1)+1),0),"")</f>
        <v/>
      </c>
      <c r="R312" t="str">
        <f>IFERROR(IF(NOT(ISNUMBER(INDEX('M05-S05'!$AK$16:$AK$198,2*(ROWS($O$304:O312)-1)+1))),INDEX(SPILLOVER[Spillover Reason],MATCH(INDEX('M05-S05'!$BC$16:$BC$198,2*(ROWS($O$304:O312)-1)+1),SPILLOVER[Spillover Text],0)),""),"")</f>
        <v>Not Eligible</v>
      </c>
      <c r="S312" s="157"/>
      <c r="T312" s="157"/>
      <c r="U312" s="151">
        <f>INDEX('M05-S05'!$B$16:$B$198,2*(ROWS($U$304:U312)-1)+1)</f>
        <v>9</v>
      </c>
      <c r="V312" s="135"/>
      <c r="W312" s="58">
        <f>INDEX('M05-S05'!$F$16:$F$198,2*(ROWS($W$304:W312)-1)+1)</f>
        <v>0</v>
      </c>
      <c r="X312">
        <f>INDEX('M05-S05'!$L$16:$L$198,2*(ROWS($X$304:X312)-1)+1)</f>
        <v>0</v>
      </c>
      <c r="Y312">
        <f>INDEX('M05-S05'!$U$16:$U$198,2*(ROWS($Y$304:Y312)-1)+1)</f>
        <v>0</v>
      </c>
      <c r="Z312" s="135"/>
      <c r="AA312" s="135"/>
      <c r="AB312" s="135"/>
      <c r="AC312" s="135"/>
      <c r="AD312" s="135"/>
      <c r="AE312" s="151">
        <f>IF(NOT(ISNUMBER(INDEX('M05-S05'!$AK$16:$AK$198,2*(ROWS($O$304:O312)-1)+1))),INDEX('M05-S05'!$Z$16:$Z$198,2*(ROWS($L$304:L312)-1)+1),0)</f>
        <v>0</v>
      </c>
      <c r="AF312" s="151">
        <f>INDEX('M05-S05'!$S$16:$S$198,2*(ROWS($AF$304:AF312)-1)+1)*INDEX('M05-S05'!$Q$16:$Q$198,2*(ROWS($AF$304:AF312)-1)+1)</f>
        <v>0</v>
      </c>
      <c r="AG312" s="151">
        <f>INDEX('M05-S05'!$AB$16:$AB$198,2*(ROWS($AG$304:AG312)-1)+1)*INDEX('M05-S05'!$Z$16:$Z$198,2*(ROWS($AG$304:AG312)-1)+1)</f>
        <v>0</v>
      </c>
      <c r="AH312" s="151" t="str">
        <f t="shared" si="121"/>
        <v/>
      </c>
      <c r="AI312" s="151" t="str">
        <f t="shared" si="122"/>
        <v/>
      </c>
      <c r="AJ312" s="61" t="str">
        <f t="shared" si="123"/>
        <v/>
      </c>
      <c r="AK312" s="61" t="str">
        <f t="shared" si="124"/>
        <v/>
      </c>
      <c r="AL312" s="61" t="str">
        <f t="shared" si="125"/>
        <v/>
      </c>
      <c r="AM312" s="61" t="str">
        <f>INDEX('M05-S05'!$AU$16:$AU$198,2*(ROWS($AM$304:AM312)-1)+1)</f>
        <v/>
      </c>
      <c r="AN312" s="61" t="str">
        <f>INDEX('M05-S05'!$BB$16:$BB$198,2*(ROWS($AN$304:AN312)-1)+1)</f>
        <v/>
      </c>
      <c r="AO312" s="151">
        <f>INDEX('M05-S05'!$Q$16:$Q$198,2*(ROWS($AO$304:AO312)-1)+1)</f>
        <v>0</v>
      </c>
      <c r="AP312" s="152"/>
      <c r="AQ312" s="152"/>
      <c r="AR312" s="416"/>
    </row>
    <row r="313" spans="1:44" x14ac:dyDescent="0.25">
      <c r="A313" s="66">
        <f t="shared" si="119"/>
        <v>0</v>
      </c>
      <c r="B313" s="66" t="str">
        <f t="shared" si="120"/>
        <v/>
      </c>
      <c r="C313" s="66" t="str">
        <f>IFERROR(IF(J313&gt;0,INDEX('M05-S05'!$AY$16:$AY$198,2*(ROWS($C$304:C313)-1)+1),""),"")</f>
        <v/>
      </c>
      <c r="D313" t="s">
        <v>212</v>
      </c>
      <c r="E313" t="str">
        <f>IFERROR(INDEX('M05-S05'!$AW$16:$AW$198,2*(ROWS($E$304:E313)-1)+1),"")</f>
        <v/>
      </c>
      <c r="F313" s="152"/>
      <c r="G313" s="135"/>
      <c r="H313" s="61">
        <f>INDEX('M05-S05'!$AD$16:$AD$198,2*(ROWS($H$304:H313)-1)+1)</f>
        <v>0</v>
      </c>
      <c r="I313" s="61">
        <f>INDEX('M05-S05'!$AF$16:$AF$198,2*(ROWS($I$304:I313)-1)+1)</f>
        <v>0</v>
      </c>
      <c r="J313" s="61" t="str">
        <f>INDEX('M05-S05'!$AH$16:$AH$198,2*(ROWS($J$304:J313)-1)+1)</f>
        <v/>
      </c>
      <c r="K313" t="str">
        <f>IFERROR(INDEX(CMECOMPAIR[Cost Basis],MATCH(INDEX('M05-S05'!$F$16:$F$198,2*(ROWS($K$304:K313)-1)+1),CMECOMPAIR[Proj Desc 1],0)),"")</f>
        <v/>
      </c>
      <c r="L313" s="151">
        <f>IF(ISNUMBER(INDEX('M05-S05'!$AK$16:$AK$198,2*(ROWS($O$304:O313)-1)+1)),INDEX('M05-S05'!Z$16:$Z$198,2*(ROWS($L$304:L313)-1)+1),0)</f>
        <v>0</v>
      </c>
      <c r="M313" s="151">
        <f>IFERROR(IF(ISNUMBER(INDEX('M05-S05'!$AK$16:$AK$198,2*(ROWS($O$304:O313)-1)+1)),INDEX('M05-S05'!$AO$16:$AO$198,2*(ROWS($M$304:M313)-1)+1),0),"")</f>
        <v>0</v>
      </c>
      <c r="N313" s="189">
        <f>IFERROR(IF(ISNUMBER(INDEX('M05-S05'!$AK$16:$AK$198,2*(ROWS($O$304:O313)-1)+1)),INDEX('M05-S05'!$AV$16:$AV$198,2*(ROWS($N$304:N313)-1)+1),0),"")</f>
        <v>0</v>
      </c>
      <c r="O313" s="61">
        <f>IF(ISNUMBER(INDEX('M05-S05'!$AK$16:$AK$198,2*(ROWS($O$304:O313)-1)+1)),INDEX('M05-S05'!$AK$16:$AK$198,2*(ROWS($O$304:O313)-1)+1),0)</f>
        <v>0</v>
      </c>
      <c r="P313" s="151" t="str">
        <f>IFERROR(IF(NOT(ISNUMBER(INDEX('M05-S05'!$AK$16:$AK$198,2*(ROWS($O$304:O313)-1)+1))),INDEX('M05-S05'!$AO$16:$AO$198,2*(ROWS($O$304:O313)-1)+1),0),"")</f>
        <v/>
      </c>
      <c r="Q313" s="189" t="str">
        <f>IFERROR(IF(NOT(ISNUMBER(INDEX('M05-S05'!$AK$16:$AK$198,2*(ROWS($O$304:O313)-1)+1))),INDEX('M05-S05'!$AV$16:$AV$198,2*(ROWS($O$304:O313)-1)+1),0),"")</f>
        <v/>
      </c>
      <c r="R313" t="str">
        <f>IFERROR(IF(NOT(ISNUMBER(INDEX('M05-S05'!$AK$16:$AK$198,2*(ROWS($O$304:O313)-1)+1))),INDEX(SPILLOVER[Spillover Reason],MATCH(INDEX('M05-S05'!$BC$16:$BC$198,2*(ROWS($O$304:O313)-1)+1),SPILLOVER[Spillover Text],0)),""),"")</f>
        <v>Not Eligible</v>
      </c>
      <c r="S313" s="157"/>
      <c r="T313" s="157"/>
      <c r="U313" s="151">
        <f>INDEX('M05-S05'!$B$16:$B$198,2*(ROWS($U$304:U313)-1)+1)</f>
        <v>10</v>
      </c>
      <c r="V313" s="135"/>
      <c r="W313" s="58">
        <f>INDEX('M05-S05'!$F$16:$F$198,2*(ROWS($W$304:W313)-1)+1)</f>
        <v>0</v>
      </c>
      <c r="X313">
        <f>INDEX('M05-S05'!$L$16:$L$198,2*(ROWS($X$304:X313)-1)+1)</f>
        <v>0</v>
      </c>
      <c r="Y313">
        <f>INDEX('M05-S05'!$U$16:$U$198,2*(ROWS($Y$304:Y313)-1)+1)</f>
        <v>0</v>
      </c>
      <c r="Z313" s="135"/>
      <c r="AA313" s="135"/>
      <c r="AB313" s="135"/>
      <c r="AC313" s="135"/>
      <c r="AD313" s="135"/>
      <c r="AE313" s="151">
        <f>IF(NOT(ISNUMBER(INDEX('M05-S05'!$AK$16:$AK$198,2*(ROWS($O$304:O313)-1)+1))),INDEX('M05-S05'!$Z$16:$Z$198,2*(ROWS($L$304:L313)-1)+1),0)</f>
        <v>0</v>
      </c>
      <c r="AF313" s="151">
        <f>INDEX('M05-S05'!$S$16:$S$198,2*(ROWS($AF$304:AF313)-1)+1)*INDEX('M05-S05'!$Q$16:$Q$198,2*(ROWS($AF$304:AF313)-1)+1)</f>
        <v>0</v>
      </c>
      <c r="AG313" s="151">
        <f>INDEX('M05-S05'!$AB$16:$AB$198,2*(ROWS($AG$304:AG313)-1)+1)*INDEX('M05-S05'!$Z$16:$Z$198,2*(ROWS($AG$304:AG313)-1)+1)</f>
        <v>0</v>
      </c>
      <c r="AH313" s="151" t="str">
        <f t="shared" si="121"/>
        <v/>
      </c>
      <c r="AI313" s="151" t="str">
        <f t="shared" si="122"/>
        <v/>
      </c>
      <c r="AJ313" s="61" t="str">
        <f t="shared" si="123"/>
        <v/>
      </c>
      <c r="AK313" s="61" t="str">
        <f t="shared" si="124"/>
        <v/>
      </c>
      <c r="AL313" s="61" t="str">
        <f t="shared" si="125"/>
        <v/>
      </c>
      <c r="AM313" s="61" t="str">
        <f>INDEX('M05-S05'!$AU$16:$AU$198,2*(ROWS($AM$304:AM313)-1)+1)</f>
        <v/>
      </c>
      <c r="AN313" s="61" t="str">
        <f>INDEX('M05-S05'!$BB$16:$BB$198,2*(ROWS($AN$304:AN313)-1)+1)</f>
        <v/>
      </c>
      <c r="AO313" s="151">
        <f>INDEX('M05-S05'!$Q$16:$Q$198,2*(ROWS($AO$304:AO313)-1)+1)</f>
        <v>0</v>
      </c>
      <c r="AP313" s="152"/>
      <c r="AQ313" s="152"/>
      <c r="AR313" s="416"/>
    </row>
    <row r="314" spans="1:44" x14ac:dyDescent="0.25">
      <c r="A314" s="417" t="str">
        <f>CONCATENATE(MAIN5," ",M5S6)</f>
        <v>CUSTOM MEASURES Refrigeration</v>
      </c>
      <c r="B314" s="210"/>
      <c r="C314" s="210"/>
      <c r="D314" s="178"/>
      <c r="E314" s="178"/>
      <c r="F314" s="184"/>
      <c r="G314" s="178"/>
      <c r="H314" s="180"/>
      <c r="I314" s="180"/>
      <c r="J314" s="180"/>
      <c r="K314" s="178"/>
      <c r="L314" s="179"/>
      <c r="M314" s="179"/>
      <c r="N314" s="192"/>
      <c r="O314" s="180"/>
      <c r="P314" s="179"/>
      <c r="Q314" s="192"/>
      <c r="R314" s="178"/>
      <c r="S314" s="181"/>
      <c r="T314" s="181"/>
      <c r="U314" s="179"/>
      <c r="V314" s="178"/>
      <c r="W314" s="182"/>
      <c r="X314" s="178"/>
      <c r="Y314" s="178"/>
      <c r="Z314" s="178"/>
      <c r="AA314" s="178"/>
      <c r="AB314" s="178"/>
      <c r="AC314" s="178"/>
      <c r="AD314" s="178"/>
      <c r="AE314" s="179"/>
      <c r="AF314" s="179"/>
      <c r="AG314" s="179"/>
      <c r="AH314" s="179"/>
      <c r="AI314" s="179"/>
      <c r="AJ314" s="180" t="str">
        <f>IFERROR(O314/M314,"")</f>
        <v/>
      </c>
      <c r="AK314" s="180" t="str">
        <f>IFERROR(O314/N314,"")</f>
        <v/>
      </c>
      <c r="AL314" s="180" t="str">
        <f>IFERROR(O314/L314,"")</f>
        <v/>
      </c>
      <c r="AM314" s="180"/>
      <c r="AN314" s="180"/>
      <c r="AO314" s="179"/>
      <c r="AP314" s="179"/>
      <c r="AQ314" s="179"/>
      <c r="AR314" s="412"/>
    </row>
    <row r="315" spans="1:44" x14ac:dyDescent="0.25">
      <c r="A315" s="66">
        <f t="shared" ref="A315:A324" si="126">PROJID</f>
        <v>0</v>
      </c>
      <c r="B315" s="66" t="str">
        <f>IF(C315="","",CONCATENATE(ROW(),"-",C315))</f>
        <v/>
      </c>
      <c r="C315" s="66" t="str">
        <f>IFERROR(IF(J315&gt;0,INDEX('M05-S06'!$AY$16:$AY$198,2*(ROWS($C$315:C315)-1)+1),""),"")</f>
        <v/>
      </c>
      <c r="D315" t="s">
        <v>212</v>
      </c>
      <c r="E315" t="str">
        <f>IFERROR(INDEX('M05-S06'!$AW$16:$AW$198,2*(ROWS($E$315:E315)-1)+1),"")</f>
        <v/>
      </c>
      <c r="F315" s="152"/>
      <c r="G315" s="135"/>
      <c r="H315" s="61">
        <f>INDEX('M05-S06'!$AD$16:$AD$198,2*(ROWS($H$315:H315)-1)+1)</f>
        <v>0</v>
      </c>
      <c r="I315" s="61">
        <f>INDEX('M05-S06'!$AF$16:$AF$198,2*(ROWS($I$315:I315)-1)+1)</f>
        <v>0</v>
      </c>
      <c r="J315" s="61" t="str">
        <f>INDEX('M05-S06'!$AH$16:$AH$198,2*(ROWS($J$315:J315)-1)+1)</f>
        <v/>
      </c>
      <c r="K315" t="str">
        <f>IFERROR(INDEX(CMEREFRI[Cost Basis],MATCH(INDEX('M05-S06'!$F$16:$F$198,2*(ROWS($K$315:K315)-1)+1),CMEREFRI[Proj Desc 1],0)),"")</f>
        <v/>
      </c>
      <c r="L315" s="151">
        <f>IF(ISNUMBER(INDEX('M05-S06'!$AK$16:$AK$198,2*(ROWS($O$315:O315)-1)+1)),INDEX('M05-S06'!$Z$16:$Z$198,2*(ROWS($L$315:L315)-1)+1),0)</f>
        <v>0</v>
      </c>
      <c r="M315" s="151">
        <f>IFERROR(IF(ISNUMBER(INDEX('M05-S06'!$AK$16:$AK$198,2*(ROWS($O$315:O315)-1)+1)),INDEX('M05-S06'!$AO$16:$AO$198,2*(ROWS($M$315:M315)-1)+1),0),"")</f>
        <v>0</v>
      </c>
      <c r="N315" s="189">
        <f>IFERROR(IF(ISNUMBER(INDEX('M05-S06'!$AK$16:$AK$198,2*(ROWS($O$315:O315)-1)+1)),INDEX('M05-S06'!$AV$16:$AV$198,2*(ROWS($N$315:N315)-1)+1),0),"")</f>
        <v>0</v>
      </c>
      <c r="O315" s="61">
        <f>IF(ISNUMBER(INDEX('M05-S06'!$AK$16:$AK$198,2*(ROWS($O$315:O315)-1)+1)),INDEX('M05-S06'!$AK$16:$AK$198,2*(ROWS($O$315:O315)-1)+1),0)</f>
        <v>0</v>
      </c>
      <c r="P315" s="151" t="str">
        <f>IFERROR(IF(NOT(ISNUMBER(INDEX('M05-S06'!$AK$16:$AK$198,2*(ROWS($O$315:O315)-1)+1))),INDEX('M05-S06'!$AO$16:$AO$198,2*(ROWS($O$315:O315)-1)+1),0),"")</f>
        <v/>
      </c>
      <c r="Q315" s="189" t="str">
        <f>IFERROR(IF(NOT(ISNUMBER(INDEX('M05-S06'!$AK$16:$AK$198,2*(ROWS($O$315:O315)-1)+1))),INDEX('M05-S06'!$AV$16:$AV$198,2*(ROWS($O$315:O315)-1)+1),0),"")</f>
        <v/>
      </c>
      <c r="R315" t="str">
        <f>IFERROR(IF(NOT(ISNUMBER(INDEX('M05-S06'!$AK$16:$AK$198,2*(ROWS($O$315:O315)-1)+1))),INDEX(SPILLOVER[Spillover Reason],MATCH(INDEX('M05-S06'!$BC$16:$BC$198,2*(ROWS($O$315:O315)-1)+1),SPILLOVER[Spillover Text],0)),""),"")</f>
        <v>Not Eligible</v>
      </c>
      <c r="S315" s="157"/>
      <c r="T315" s="157"/>
      <c r="U315" s="151">
        <f>INDEX('M05-S06'!$B$16:$B$198,2*(ROWS($U$315:U315)-1)+1)</f>
        <v>1</v>
      </c>
      <c r="V315" s="135"/>
      <c r="W315" s="58">
        <f>INDEX('M05-S06'!$F$16:$F$198,2*(ROWS($W$315:W315)-1)+1)</f>
        <v>0</v>
      </c>
      <c r="X315">
        <f>INDEX('M05-S06'!$L$16:$L$198,2*(ROWS($X$315:X315)-1)+1)</f>
        <v>0</v>
      </c>
      <c r="Y315">
        <f>INDEX('M05-S06'!$U$16:$U$198,2*(ROWS($Y$315:Y315)-1)+1)</f>
        <v>0</v>
      </c>
      <c r="Z315" s="135"/>
      <c r="AA315" s="135"/>
      <c r="AB315" s="135"/>
      <c r="AC315" s="135"/>
      <c r="AD315" s="135"/>
      <c r="AE315" s="151">
        <f>IF(NOT(ISNUMBER(INDEX('M05-S06'!$AK$16:$AK$198,2*(ROWS($O$315:O315)-1)+1))),INDEX('M05-S06'!$Z$16:$Z$198,2*(ROWS($L$315:L315)-1)+1),0)</f>
        <v>0</v>
      </c>
      <c r="AF315" s="151">
        <f>INDEX('M05-S06'!$S$16:$S$198,2*(ROWS($AF$315:AF315)-1)+1)*INDEX('M05-S06'!$Q$16:$Q$198,2*(ROWS($AF$315:AF315)-1)+1)</f>
        <v>0</v>
      </c>
      <c r="AG315" s="151">
        <f>INDEX('M05-S06'!$AB$16:$AB$198,2*(ROWS($AG$315:AG315)-1)+1)*INDEX('M05-S06'!$Z$16:$Z$198,2*(ROWS($AG$315:AG315)-1)+1)</f>
        <v>0</v>
      </c>
      <c r="AH315" s="151" t="str">
        <f>IFERROR(AF315/AO315,"")</f>
        <v/>
      </c>
      <c r="AI315" s="151" t="str">
        <f>IFERROR(AG315/L315,"")</f>
        <v/>
      </c>
      <c r="AJ315" s="61" t="str">
        <f>IFERROR(O315/M315,"")</f>
        <v/>
      </c>
      <c r="AK315" s="61" t="str">
        <f>IFERROR(O315/N315,"")</f>
        <v/>
      </c>
      <c r="AL315" s="61" t="str">
        <f>IFERROR(O315/L315,"")</f>
        <v/>
      </c>
      <c r="AM315" s="61" t="str">
        <f>INDEX('M05-S06'!$AU$16:$AU$198,2*(ROWS($AM$315:AM315)-1)+1)</f>
        <v/>
      </c>
      <c r="AN315" s="61" t="str">
        <f>INDEX('M05-S06'!$BB$16:$BB$198,2*(ROWS($AN$315:AN315)-1)+1)</f>
        <v/>
      </c>
      <c r="AO315" s="151">
        <f>INDEX('M05-S06'!$Q$16:$Q$198,2*(ROWS($AO$315:AO315)-1)+1)</f>
        <v>0</v>
      </c>
      <c r="AP315" s="152"/>
      <c r="AQ315" s="152"/>
      <c r="AR315" s="416"/>
    </row>
    <row r="316" spans="1:44" x14ac:dyDescent="0.25">
      <c r="A316" s="66">
        <f t="shared" si="126"/>
        <v>0</v>
      </c>
      <c r="B316" s="66" t="str">
        <f t="shared" ref="B316:B324" si="127">IF(C316="","",CONCATENATE(ROW(),"-",C316))</f>
        <v/>
      </c>
      <c r="C316" s="66" t="str">
        <f>IFERROR(IF(J316&gt;0,INDEX('M05-S06'!$AY$16:$AY$198,2*(ROWS($C$315:C316)-1)+1),""),"")</f>
        <v/>
      </c>
      <c r="D316" t="s">
        <v>212</v>
      </c>
      <c r="E316" t="str">
        <f>IFERROR(INDEX('M05-S06'!$AW$16:$AW$198,2*(ROWS($E$315:E316)-1)+1),"")</f>
        <v/>
      </c>
      <c r="F316" s="152"/>
      <c r="G316" s="135"/>
      <c r="H316" s="61">
        <f>INDEX('M05-S06'!$AD$16:$AD$198,2*(ROWS($H$315:H316)-1)+1)</f>
        <v>0</v>
      </c>
      <c r="I316" s="61">
        <f>INDEX('M05-S06'!$AF$16:$AF$198,2*(ROWS($I$315:I316)-1)+1)</f>
        <v>0</v>
      </c>
      <c r="J316" s="61" t="str">
        <f>INDEX('M05-S06'!$AH$16:$AH$198,2*(ROWS($J$315:J316)-1)+1)</f>
        <v/>
      </c>
      <c r="K316" t="str">
        <f>IFERROR(INDEX(CMEREFRI[Cost Basis],MATCH(INDEX('M05-S06'!$F$16:$F$198,2*(ROWS($K$315:K316)-1)+1),CMEREFRI[Proj Desc 1],0)),"")</f>
        <v/>
      </c>
      <c r="L316" s="151">
        <f>IF(ISNUMBER(INDEX('M05-S06'!$AK$16:$AK$198,2*(ROWS($O$315:O316)-1)+1)),INDEX('M05-S06'!$Z$16:$Z$198,2*(ROWS($L$315:L316)-1)+1),0)</f>
        <v>0</v>
      </c>
      <c r="M316" s="151">
        <f>IFERROR(IF(ISNUMBER(INDEX('M05-S06'!$AK$16:$AK$198,2*(ROWS($O$315:O316)-1)+1)),INDEX('M05-S06'!$AO$16:$AO$198,2*(ROWS($M$315:M316)-1)+1),0),"")</f>
        <v>0</v>
      </c>
      <c r="N316" s="189">
        <f>IFERROR(IF(ISNUMBER(INDEX('M05-S06'!$AK$16:$AK$198,2*(ROWS($O$315:O316)-1)+1)),INDEX('M05-S06'!$AV$16:$AV$198,2*(ROWS($N$315:N316)-1)+1),0),"")</f>
        <v>0</v>
      </c>
      <c r="O316" s="61">
        <f>IF(ISNUMBER(INDEX('M05-S06'!$AK$16:$AK$198,2*(ROWS($O$315:O316)-1)+1)),INDEX('M05-S06'!$AK$16:$AK$198,2*(ROWS($O$315:O316)-1)+1),0)</f>
        <v>0</v>
      </c>
      <c r="P316" s="151" t="str">
        <f>IFERROR(IF(NOT(ISNUMBER(INDEX('M05-S06'!$AK$16:$AK$198,2*(ROWS($O$315:O316)-1)+1))),INDEX('M05-S06'!$AO$16:$AO$198,2*(ROWS($O$315:O316)-1)+1),0),"")</f>
        <v/>
      </c>
      <c r="Q316" s="189" t="str">
        <f>IFERROR(IF(NOT(ISNUMBER(INDEX('M05-S06'!$AK$16:$AK$198,2*(ROWS($O$315:O316)-1)+1))),INDEX('M05-S06'!$AV$16:$AV$198,2*(ROWS($O$315:O316)-1)+1),0),"")</f>
        <v/>
      </c>
      <c r="R316" t="str">
        <f>IFERROR(IF(NOT(ISNUMBER(INDEX('M05-S06'!$AK$16:$AK$198,2*(ROWS($O$315:O316)-1)+1))),INDEX(SPILLOVER[Spillover Reason],MATCH(INDEX('M05-S06'!$BC$16:$BC$198,2*(ROWS($O$315:O316)-1)+1),SPILLOVER[Spillover Text],0)),""),"")</f>
        <v>Not Eligible</v>
      </c>
      <c r="S316" s="157"/>
      <c r="T316" s="157"/>
      <c r="U316" s="151">
        <f>INDEX('M05-S06'!$B$16:$B$198,2*(ROWS($U$315:U316)-1)+1)</f>
        <v>2</v>
      </c>
      <c r="V316" s="135"/>
      <c r="W316" s="58">
        <f>INDEX('M05-S06'!$F$16:$F$198,2*(ROWS($W$315:W316)-1)+1)</f>
        <v>0</v>
      </c>
      <c r="X316">
        <f>INDEX('M05-S06'!$L$16:$L$198,2*(ROWS($X$315:X316)-1)+1)</f>
        <v>0</v>
      </c>
      <c r="Y316">
        <f>INDEX('M05-S06'!$U$16:$U$198,2*(ROWS($Y$315:Y316)-1)+1)</f>
        <v>0</v>
      </c>
      <c r="Z316" s="135"/>
      <c r="AA316" s="135"/>
      <c r="AB316" s="135"/>
      <c r="AC316" s="135"/>
      <c r="AD316" s="135"/>
      <c r="AE316" s="151">
        <f>IF(NOT(ISNUMBER(INDEX('M05-S06'!$AK$16:$AK$198,2*(ROWS($O$315:O316)-1)+1))),INDEX('M05-S06'!$Z$16:$Z$198,2*(ROWS($L$315:L316)-1)+1),0)</f>
        <v>0</v>
      </c>
      <c r="AF316" s="151">
        <f>INDEX('M05-S06'!$S$16:$S$198,2*(ROWS($AF$315:AF316)-1)+1)*INDEX('M05-S06'!$Q$16:$Q$198,2*(ROWS($AF$315:AF316)-1)+1)</f>
        <v>0</v>
      </c>
      <c r="AG316" s="151">
        <f>INDEX('M05-S06'!$AB$16:$AB$198,2*(ROWS($AG$315:AG316)-1)+1)*INDEX('M05-S06'!$Z$16:$Z$198,2*(ROWS($AG$315:AG316)-1)+1)</f>
        <v>0</v>
      </c>
      <c r="AH316" s="151" t="str">
        <f t="shared" ref="AH316:AH324" si="128">IFERROR(AF316/AO316,"")</f>
        <v/>
      </c>
      <c r="AI316" s="151" t="str">
        <f t="shared" ref="AI316:AI324" si="129">IFERROR(AG316/L316,"")</f>
        <v/>
      </c>
      <c r="AJ316" s="61" t="str">
        <f t="shared" ref="AJ316:AJ324" si="130">IFERROR(O316/M316,"")</f>
        <v/>
      </c>
      <c r="AK316" s="61" t="str">
        <f t="shared" ref="AK316:AK324" si="131">IFERROR(O316/N316,"")</f>
        <v/>
      </c>
      <c r="AL316" s="61" t="str">
        <f t="shared" ref="AL316:AL324" si="132">IFERROR(O316/L316,"")</f>
        <v/>
      </c>
      <c r="AM316" s="61" t="str">
        <f>INDEX('M05-S06'!$AU$16:$AU$198,2*(ROWS($AM$315:AM316)-1)+1)</f>
        <v/>
      </c>
      <c r="AN316" s="61" t="str">
        <f>INDEX('M05-S06'!$BB$16:$BB$198,2*(ROWS($AN$315:AN316)-1)+1)</f>
        <v/>
      </c>
      <c r="AO316" s="151">
        <f>INDEX('M05-S06'!$Q$16:$Q$198,2*(ROWS($AO$315:AO316)-1)+1)</f>
        <v>0</v>
      </c>
      <c r="AP316" s="152"/>
      <c r="AQ316" s="152"/>
      <c r="AR316" s="416"/>
    </row>
    <row r="317" spans="1:44" x14ac:dyDescent="0.25">
      <c r="A317" s="66">
        <f t="shared" si="126"/>
        <v>0</v>
      </c>
      <c r="B317" s="66" t="str">
        <f t="shared" si="127"/>
        <v/>
      </c>
      <c r="C317" s="66" t="str">
        <f>IFERROR(IF(J317&gt;0,INDEX('M05-S06'!$AY$16:$AY$198,2*(ROWS($C$315:C317)-1)+1),""),"")</f>
        <v/>
      </c>
      <c r="D317" t="s">
        <v>212</v>
      </c>
      <c r="E317" t="str">
        <f>IFERROR(INDEX('M05-S06'!$AW$16:$AW$198,2*(ROWS($E$315:E317)-1)+1),"")</f>
        <v/>
      </c>
      <c r="F317" s="152"/>
      <c r="G317" s="135"/>
      <c r="H317" s="61">
        <f>INDEX('M05-S06'!$AD$16:$AD$198,2*(ROWS($H$315:H317)-1)+1)</f>
        <v>0</v>
      </c>
      <c r="I317" s="61">
        <f>INDEX('M05-S06'!$AF$16:$AF$198,2*(ROWS($I$315:I317)-1)+1)</f>
        <v>0</v>
      </c>
      <c r="J317" s="61" t="str">
        <f>INDEX('M05-S06'!$AH$16:$AH$198,2*(ROWS($J$315:J317)-1)+1)</f>
        <v/>
      </c>
      <c r="K317" t="str">
        <f>IFERROR(INDEX(CMEREFRI[Cost Basis],MATCH(INDEX('M05-S06'!$F$16:$F$198,2*(ROWS($K$315:K317)-1)+1),CMEREFRI[Proj Desc 1],0)),"")</f>
        <v/>
      </c>
      <c r="L317" s="151">
        <f>IF(ISNUMBER(INDEX('M05-S06'!$AK$16:$AK$198,2*(ROWS($O$315:O317)-1)+1)),INDEX('M05-S06'!$Z$16:$Z$198,2*(ROWS($L$315:L317)-1)+1),0)</f>
        <v>0</v>
      </c>
      <c r="M317" s="151">
        <f>IFERROR(IF(ISNUMBER(INDEX('M05-S06'!$AK$16:$AK$198,2*(ROWS($O$315:O317)-1)+1)),INDEX('M05-S06'!$AO$16:$AO$198,2*(ROWS($M$315:M317)-1)+1),0),"")</f>
        <v>0</v>
      </c>
      <c r="N317" s="189">
        <f>IFERROR(IF(ISNUMBER(INDEX('M05-S06'!$AK$16:$AK$198,2*(ROWS($O$315:O317)-1)+1)),INDEX('M05-S06'!$AV$16:$AV$198,2*(ROWS($N$315:N317)-1)+1),0),"")</f>
        <v>0</v>
      </c>
      <c r="O317" s="61">
        <f>IF(ISNUMBER(INDEX('M05-S06'!$AK$16:$AK$198,2*(ROWS($O$315:O317)-1)+1)),INDEX('M05-S06'!$AK$16:$AK$198,2*(ROWS($O$315:O317)-1)+1),0)</f>
        <v>0</v>
      </c>
      <c r="P317" s="151" t="str">
        <f>IFERROR(IF(NOT(ISNUMBER(INDEX('M05-S06'!$AK$16:$AK$198,2*(ROWS($O$315:O317)-1)+1))),INDEX('M05-S06'!$AO$16:$AO$198,2*(ROWS($O$315:O317)-1)+1),0),"")</f>
        <v/>
      </c>
      <c r="Q317" s="189" t="str">
        <f>IFERROR(IF(NOT(ISNUMBER(INDEX('M05-S06'!$AK$16:$AK$198,2*(ROWS($O$315:O317)-1)+1))),INDEX('M05-S06'!$AV$16:$AV$198,2*(ROWS($O$315:O317)-1)+1),0),"")</f>
        <v/>
      </c>
      <c r="R317" t="str">
        <f>IFERROR(IF(NOT(ISNUMBER(INDEX('M05-S06'!$AK$16:$AK$198,2*(ROWS($O$315:O317)-1)+1))),INDEX(SPILLOVER[Spillover Reason],MATCH(INDEX('M05-S06'!$BC$16:$BC$198,2*(ROWS($O$315:O317)-1)+1),SPILLOVER[Spillover Text],0)),""),"")</f>
        <v>Not Eligible</v>
      </c>
      <c r="S317" s="157"/>
      <c r="T317" s="157"/>
      <c r="U317" s="151">
        <f>INDEX('M05-S06'!$B$16:$B$198,2*(ROWS($U$315:U317)-1)+1)</f>
        <v>3</v>
      </c>
      <c r="V317" s="135"/>
      <c r="W317" s="58">
        <f>INDEX('M05-S06'!$F$16:$F$198,2*(ROWS($W$315:W317)-1)+1)</f>
        <v>0</v>
      </c>
      <c r="X317">
        <f>INDEX('M05-S06'!$L$16:$L$198,2*(ROWS($X$315:X317)-1)+1)</f>
        <v>0</v>
      </c>
      <c r="Y317">
        <f>INDEX('M05-S06'!$U$16:$U$198,2*(ROWS($Y$315:Y317)-1)+1)</f>
        <v>0</v>
      </c>
      <c r="Z317" s="135"/>
      <c r="AA317" s="135"/>
      <c r="AB317" s="135"/>
      <c r="AC317" s="135"/>
      <c r="AD317" s="135"/>
      <c r="AE317" s="151">
        <f>IF(NOT(ISNUMBER(INDEX('M05-S06'!$AK$16:$AK$198,2*(ROWS($O$315:O317)-1)+1))),INDEX('M05-S06'!$Z$16:$Z$198,2*(ROWS($L$315:L317)-1)+1),0)</f>
        <v>0</v>
      </c>
      <c r="AF317" s="151">
        <f>INDEX('M05-S06'!$S$16:$S$198,2*(ROWS($AF$315:AF317)-1)+1)*INDEX('M05-S06'!$Q$16:$Q$198,2*(ROWS($AF$315:AF317)-1)+1)</f>
        <v>0</v>
      </c>
      <c r="AG317" s="151">
        <f>INDEX('M05-S06'!$AB$16:$AB$198,2*(ROWS($AG$315:AG317)-1)+1)*INDEX('M05-S06'!$Z$16:$Z$198,2*(ROWS($AG$315:AG317)-1)+1)</f>
        <v>0</v>
      </c>
      <c r="AH317" s="151" t="str">
        <f t="shared" si="128"/>
        <v/>
      </c>
      <c r="AI317" s="151" t="str">
        <f t="shared" si="129"/>
        <v/>
      </c>
      <c r="AJ317" s="61" t="str">
        <f t="shared" si="130"/>
        <v/>
      </c>
      <c r="AK317" s="61" t="str">
        <f t="shared" si="131"/>
        <v/>
      </c>
      <c r="AL317" s="61" t="str">
        <f t="shared" si="132"/>
        <v/>
      </c>
      <c r="AM317" s="61" t="str">
        <f>INDEX('M05-S06'!$AU$16:$AU$198,2*(ROWS($AM$315:AM317)-1)+1)</f>
        <v/>
      </c>
      <c r="AN317" s="61" t="str">
        <f>INDEX('M05-S06'!$BB$16:$BB$198,2*(ROWS($AN$315:AN317)-1)+1)</f>
        <v/>
      </c>
      <c r="AO317" s="151">
        <f>INDEX('M05-S06'!$Q$16:$Q$198,2*(ROWS($AO$315:AO317)-1)+1)</f>
        <v>0</v>
      </c>
      <c r="AP317" s="152"/>
      <c r="AQ317" s="152"/>
      <c r="AR317" s="416"/>
    </row>
    <row r="318" spans="1:44" x14ac:dyDescent="0.25">
      <c r="A318" s="66">
        <f t="shared" si="126"/>
        <v>0</v>
      </c>
      <c r="B318" s="66" t="str">
        <f t="shared" si="127"/>
        <v/>
      </c>
      <c r="C318" s="66" t="str">
        <f>IFERROR(IF(J318&gt;0,INDEX('M05-S06'!$AY$16:$AY$198,2*(ROWS($C$315:C318)-1)+1),""),"")</f>
        <v/>
      </c>
      <c r="D318" t="s">
        <v>212</v>
      </c>
      <c r="E318" t="str">
        <f>IFERROR(INDEX('M05-S06'!$AW$16:$AW$198,2*(ROWS($E$315:E318)-1)+1),"")</f>
        <v/>
      </c>
      <c r="F318" s="152"/>
      <c r="G318" s="135"/>
      <c r="H318" s="61">
        <f>INDEX('M05-S06'!$AD$16:$AD$198,2*(ROWS($H$315:H318)-1)+1)</f>
        <v>0</v>
      </c>
      <c r="I318" s="61">
        <f>INDEX('M05-S06'!$AF$16:$AF$198,2*(ROWS($I$315:I318)-1)+1)</f>
        <v>0</v>
      </c>
      <c r="J318" s="61" t="str">
        <f>INDEX('M05-S06'!$AH$16:$AH$198,2*(ROWS($J$315:J318)-1)+1)</f>
        <v/>
      </c>
      <c r="K318" t="str">
        <f>IFERROR(INDEX(CMEREFRI[Cost Basis],MATCH(INDEX('M05-S06'!$F$16:$F$198,2*(ROWS($K$315:K318)-1)+1),CMEREFRI[Proj Desc 1],0)),"")</f>
        <v/>
      </c>
      <c r="L318" s="151">
        <f>IF(ISNUMBER(INDEX('M05-S06'!$AK$16:$AK$198,2*(ROWS($O$315:O318)-1)+1)),INDEX('M05-S06'!$Z$16:$Z$198,2*(ROWS($L$315:L318)-1)+1),0)</f>
        <v>0</v>
      </c>
      <c r="M318" s="151">
        <f>IFERROR(IF(ISNUMBER(INDEX('M05-S06'!$AK$16:$AK$198,2*(ROWS($O$315:O318)-1)+1)),INDEX('M05-S06'!$AO$16:$AO$198,2*(ROWS($M$315:M318)-1)+1),0),"")</f>
        <v>0</v>
      </c>
      <c r="N318" s="189">
        <f>IFERROR(IF(ISNUMBER(INDEX('M05-S06'!$AK$16:$AK$198,2*(ROWS($O$315:O318)-1)+1)),INDEX('M05-S06'!$AV$16:$AV$198,2*(ROWS($N$315:N318)-1)+1),0),"")</f>
        <v>0</v>
      </c>
      <c r="O318" s="61">
        <f>IF(ISNUMBER(INDEX('M05-S06'!$AK$16:$AK$198,2*(ROWS($O$315:O318)-1)+1)),INDEX('M05-S06'!$AK$16:$AK$198,2*(ROWS($O$315:O318)-1)+1),0)</f>
        <v>0</v>
      </c>
      <c r="P318" s="151" t="str">
        <f>IFERROR(IF(NOT(ISNUMBER(INDEX('M05-S06'!$AK$16:$AK$198,2*(ROWS($O$315:O318)-1)+1))),INDEX('M05-S06'!$AO$16:$AO$198,2*(ROWS($O$315:O318)-1)+1),0),"")</f>
        <v/>
      </c>
      <c r="Q318" s="189" t="str">
        <f>IFERROR(IF(NOT(ISNUMBER(INDEX('M05-S06'!$AK$16:$AK$198,2*(ROWS($O$315:O318)-1)+1))),INDEX('M05-S06'!$AV$16:$AV$198,2*(ROWS($O$315:O318)-1)+1),0),"")</f>
        <v/>
      </c>
      <c r="R318" t="str">
        <f>IFERROR(IF(NOT(ISNUMBER(INDEX('M05-S06'!$AK$16:$AK$198,2*(ROWS($O$315:O318)-1)+1))),INDEX(SPILLOVER[Spillover Reason],MATCH(INDEX('M05-S06'!$BC$16:$BC$198,2*(ROWS($O$315:O318)-1)+1),SPILLOVER[Spillover Text],0)),""),"")</f>
        <v>Not Eligible</v>
      </c>
      <c r="S318" s="157"/>
      <c r="T318" s="157"/>
      <c r="U318" s="151">
        <f>INDEX('M05-S06'!$B$16:$B$198,2*(ROWS($U$315:U318)-1)+1)</f>
        <v>4</v>
      </c>
      <c r="V318" s="135"/>
      <c r="W318" s="58">
        <f>INDEX('M05-S06'!$F$16:$F$198,2*(ROWS($W$315:W318)-1)+1)</f>
        <v>0</v>
      </c>
      <c r="X318">
        <f>INDEX('M05-S06'!$L$16:$L$198,2*(ROWS($X$315:X318)-1)+1)</f>
        <v>0</v>
      </c>
      <c r="Y318">
        <f>INDEX('M05-S06'!$U$16:$U$198,2*(ROWS($Y$315:Y318)-1)+1)</f>
        <v>0</v>
      </c>
      <c r="Z318" s="135"/>
      <c r="AA318" s="135"/>
      <c r="AB318" s="135"/>
      <c r="AC318" s="135"/>
      <c r="AD318" s="135"/>
      <c r="AE318" s="151">
        <f>IF(NOT(ISNUMBER(INDEX('M05-S06'!$AK$16:$AK$198,2*(ROWS($O$315:O318)-1)+1))),INDEX('M05-S06'!$Z$16:$Z$198,2*(ROWS($L$315:L318)-1)+1),0)</f>
        <v>0</v>
      </c>
      <c r="AF318" s="151">
        <f>INDEX('M05-S06'!$S$16:$S$198,2*(ROWS($AF$315:AF318)-1)+1)*INDEX('M05-S06'!$Q$16:$Q$198,2*(ROWS($AF$315:AF318)-1)+1)</f>
        <v>0</v>
      </c>
      <c r="AG318" s="151">
        <f>INDEX('M05-S06'!$AB$16:$AB$198,2*(ROWS($AG$315:AG318)-1)+1)*INDEX('M05-S06'!$Z$16:$Z$198,2*(ROWS($AG$315:AG318)-1)+1)</f>
        <v>0</v>
      </c>
      <c r="AH318" s="151" t="str">
        <f t="shared" si="128"/>
        <v/>
      </c>
      <c r="AI318" s="151" t="str">
        <f t="shared" si="129"/>
        <v/>
      </c>
      <c r="AJ318" s="61" t="str">
        <f t="shared" si="130"/>
        <v/>
      </c>
      <c r="AK318" s="61" t="str">
        <f t="shared" si="131"/>
        <v/>
      </c>
      <c r="AL318" s="61" t="str">
        <f t="shared" si="132"/>
        <v/>
      </c>
      <c r="AM318" s="61" t="str">
        <f>INDEX('M05-S06'!$AU$16:$AU$198,2*(ROWS($AM$315:AM318)-1)+1)</f>
        <v/>
      </c>
      <c r="AN318" s="61" t="str">
        <f>INDEX('M05-S06'!$BB$16:$BB$198,2*(ROWS($AN$315:AN318)-1)+1)</f>
        <v/>
      </c>
      <c r="AO318" s="151">
        <f>INDEX('M05-S06'!$Q$16:$Q$198,2*(ROWS($AO$315:AO318)-1)+1)</f>
        <v>0</v>
      </c>
      <c r="AP318" s="152"/>
      <c r="AQ318" s="152"/>
      <c r="AR318" s="416"/>
    </row>
    <row r="319" spans="1:44" x14ac:dyDescent="0.25">
      <c r="A319" s="66">
        <f t="shared" si="126"/>
        <v>0</v>
      </c>
      <c r="B319" s="66" t="str">
        <f t="shared" si="127"/>
        <v/>
      </c>
      <c r="C319" s="66" t="str">
        <f>IFERROR(IF(J319&gt;0,INDEX('M05-S06'!$AY$16:$AY$198,2*(ROWS($C$315:C319)-1)+1),""),"")</f>
        <v/>
      </c>
      <c r="D319" t="s">
        <v>212</v>
      </c>
      <c r="E319" t="str">
        <f>IFERROR(INDEX('M05-S06'!$AW$16:$AW$198,2*(ROWS($E$315:E319)-1)+1),"")</f>
        <v/>
      </c>
      <c r="F319" s="152"/>
      <c r="G319" s="135"/>
      <c r="H319" s="61">
        <f>INDEX('M05-S06'!$AD$16:$AD$198,2*(ROWS($H$315:H319)-1)+1)</f>
        <v>0</v>
      </c>
      <c r="I319" s="61">
        <f>INDEX('M05-S06'!$AF$16:$AF$198,2*(ROWS($I$315:I319)-1)+1)</f>
        <v>0</v>
      </c>
      <c r="J319" s="61" t="str">
        <f>INDEX('M05-S06'!$AH$16:$AH$198,2*(ROWS($J$315:J319)-1)+1)</f>
        <v/>
      </c>
      <c r="K319" t="str">
        <f>IFERROR(INDEX(CMEREFRI[Cost Basis],MATCH(INDEX('M05-S06'!$F$16:$F$198,2*(ROWS($K$315:K319)-1)+1),CMEREFRI[Proj Desc 1],0)),"")</f>
        <v/>
      </c>
      <c r="L319" s="151">
        <f>IF(ISNUMBER(INDEX('M05-S06'!$AK$16:$AK$198,2*(ROWS($O$315:O319)-1)+1)),INDEX('M05-S06'!$Z$16:$Z$198,2*(ROWS($L$315:L319)-1)+1),0)</f>
        <v>0</v>
      </c>
      <c r="M319" s="151">
        <f>IFERROR(IF(ISNUMBER(INDEX('M05-S06'!$AK$16:$AK$198,2*(ROWS($O$315:O319)-1)+1)),INDEX('M05-S06'!$AO$16:$AO$198,2*(ROWS($M$315:M319)-1)+1),0),"")</f>
        <v>0</v>
      </c>
      <c r="N319" s="189">
        <f>IFERROR(IF(ISNUMBER(INDEX('M05-S06'!$AK$16:$AK$198,2*(ROWS($O$315:O319)-1)+1)),INDEX('M05-S06'!$AV$16:$AV$198,2*(ROWS($N$315:N319)-1)+1),0),"")</f>
        <v>0</v>
      </c>
      <c r="O319" s="61">
        <f>IF(ISNUMBER(INDEX('M05-S06'!$AK$16:$AK$198,2*(ROWS($O$315:O319)-1)+1)),INDEX('M05-S06'!$AK$16:$AK$198,2*(ROWS($O$315:O319)-1)+1),0)</f>
        <v>0</v>
      </c>
      <c r="P319" s="151" t="str">
        <f>IFERROR(IF(NOT(ISNUMBER(INDEX('M05-S06'!$AK$16:$AK$198,2*(ROWS($O$315:O319)-1)+1))),INDEX('M05-S06'!$AO$16:$AO$198,2*(ROWS($O$315:O319)-1)+1),0),"")</f>
        <v/>
      </c>
      <c r="Q319" s="189" t="str">
        <f>IFERROR(IF(NOT(ISNUMBER(INDEX('M05-S06'!$AK$16:$AK$198,2*(ROWS($O$315:O319)-1)+1))),INDEX('M05-S06'!$AV$16:$AV$198,2*(ROWS($O$315:O319)-1)+1),0),"")</f>
        <v/>
      </c>
      <c r="R319" t="str">
        <f>IFERROR(IF(NOT(ISNUMBER(INDEX('M05-S06'!$AK$16:$AK$198,2*(ROWS($O$315:O319)-1)+1))),INDEX(SPILLOVER[Spillover Reason],MATCH(INDEX('M05-S06'!$BC$16:$BC$198,2*(ROWS($O$315:O319)-1)+1),SPILLOVER[Spillover Text],0)),""),"")</f>
        <v>Not Eligible</v>
      </c>
      <c r="S319" s="157"/>
      <c r="T319" s="157"/>
      <c r="U319" s="151">
        <f>INDEX('M05-S06'!$B$16:$B$198,2*(ROWS($U$315:U319)-1)+1)</f>
        <v>5</v>
      </c>
      <c r="V319" s="135"/>
      <c r="W319" s="58">
        <f>INDEX('M05-S06'!$F$16:$F$198,2*(ROWS($W$315:W319)-1)+1)</f>
        <v>0</v>
      </c>
      <c r="X319">
        <f>INDEX('M05-S06'!$L$16:$L$198,2*(ROWS($X$315:X319)-1)+1)</f>
        <v>0</v>
      </c>
      <c r="Y319">
        <f>INDEX('M05-S06'!$U$16:$U$198,2*(ROWS($Y$315:Y319)-1)+1)</f>
        <v>0</v>
      </c>
      <c r="Z319" s="135"/>
      <c r="AA319" s="135"/>
      <c r="AB319" s="135"/>
      <c r="AC319" s="135"/>
      <c r="AD319" s="135"/>
      <c r="AE319" s="151">
        <f>IF(NOT(ISNUMBER(INDEX('M05-S06'!$AK$16:$AK$198,2*(ROWS($O$315:O319)-1)+1))),INDEX('M05-S06'!$Z$16:$Z$198,2*(ROWS($L$315:L319)-1)+1),0)</f>
        <v>0</v>
      </c>
      <c r="AF319" s="151">
        <f>INDEX('M05-S06'!$S$16:$S$198,2*(ROWS($AF$315:AF319)-1)+1)*INDEX('M05-S06'!$Q$16:$Q$198,2*(ROWS($AF$315:AF319)-1)+1)</f>
        <v>0</v>
      </c>
      <c r="AG319" s="151">
        <f>INDEX('M05-S06'!$AB$16:$AB$198,2*(ROWS($AG$315:AG319)-1)+1)*INDEX('M05-S06'!$Z$16:$Z$198,2*(ROWS($AG$315:AG319)-1)+1)</f>
        <v>0</v>
      </c>
      <c r="AH319" s="151" t="str">
        <f t="shared" si="128"/>
        <v/>
      </c>
      <c r="AI319" s="151" t="str">
        <f t="shared" si="129"/>
        <v/>
      </c>
      <c r="AJ319" s="61" t="str">
        <f t="shared" si="130"/>
        <v/>
      </c>
      <c r="AK319" s="61" t="str">
        <f t="shared" si="131"/>
        <v/>
      </c>
      <c r="AL319" s="61" t="str">
        <f t="shared" si="132"/>
        <v/>
      </c>
      <c r="AM319" s="61" t="str">
        <f>INDEX('M05-S06'!$AU$16:$AU$198,2*(ROWS($AM$315:AM319)-1)+1)</f>
        <v/>
      </c>
      <c r="AN319" s="61" t="str">
        <f>INDEX('M05-S06'!$BB$16:$BB$198,2*(ROWS($AN$315:AN319)-1)+1)</f>
        <v/>
      </c>
      <c r="AO319" s="151">
        <f>INDEX('M05-S06'!$Q$16:$Q$198,2*(ROWS($AO$315:AO319)-1)+1)</f>
        <v>0</v>
      </c>
      <c r="AP319" s="152"/>
      <c r="AQ319" s="152"/>
      <c r="AR319" s="416"/>
    </row>
    <row r="320" spans="1:44" x14ac:dyDescent="0.25">
      <c r="A320" s="66">
        <f t="shared" si="126"/>
        <v>0</v>
      </c>
      <c r="B320" s="66" t="str">
        <f t="shared" si="127"/>
        <v/>
      </c>
      <c r="C320" s="66" t="str">
        <f>IFERROR(IF(J320&gt;0,INDEX('M05-S06'!$AY$16:$AY$198,2*(ROWS($C$315:C320)-1)+1),""),"")</f>
        <v/>
      </c>
      <c r="D320" t="s">
        <v>212</v>
      </c>
      <c r="E320" t="str">
        <f>IFERROR(INDEX('M05-S06'!$AW$16:$AW$198,2*(ROWS($E$315:E320)-1)+1),"")</f>
        <v/>
      </c>
      <c r="F320" s="152"/>
      <c r="G320" s="135"/>
      <c r="H320" s="61">
        <f>INDEX('M05-S06'!$AD$16:$AD$198,2*(ROWS($H$315:H320)-1)+1)</f>
        <v>0</v>
      </c>
      <c r="I320" s="61">
        <f>INDEX('M05-S06'!$AF$16:$AF$198,2*(ROWS($I$315:I320)-1)+1)</f>
        <v>0</v>
      </c>
      <c r="J320" s="61" t="str">
        <f>INDEX('M05-S06'!$AH$16:$AH$198,2*(ROWS($J$315:J320)-1)+1)</f>
        <v/>
      </c>
      <c r="K320" t="str">
        <f>IFERROR(INDEX(CMEREFRI[Cost Basis],MATCH(INDEX('M05-S06'!$F$16:$F$198,2*(ROWS($K$315:K320)-1)+1),CMEREFRI[Proj Desc 1],0)),"")</f>
        <v/>
      </c>
      <c r="L320" s="151">
        <f>IF(ISNUMBER(INDEX('M05-S06'!$AK$16:$AK$198,2*(ROWS($O$315:O320)-1)+1)),INDEX('M05-S06'!$Z$16:$Z$198,2*(ROWS($L$315:L320)-1)+1),0)</f>
        <v>0</v>
      </c>
      <c r="M320" s="151">
        <f>IFERROR(IF(ISNUMBER(INDEX('M05-S06'!$AK$16:$AK$198,2*(ROWS($O$315:O320)-1)+1)),INDEX('M05-S06'!$AO$16:$AO$198,2*(ROWS($M$315:M320)-1)+1),0),"")</f>
        <v>0</v>
      </c>
      <c r="N320" s="189">
        <f>IFERROR(IF(ISNUMBER(INDEX('M05-S06'!$AK$16:$AK$198,2*(ROWS($O$315:O320)-1)+1)),INDEX('M05-S06'!$AV$16:$AV$198,2*(ROWS($N$315:N320)-1)+1),0),"")</f>
        <v>0</v>
      </c>
      <c r="O320" s="61">
        <f>IF(ISNUMBER(INDEX('M05-S06'!$AK$16:$AK$198,2*(ROWS($O$315:O320)-1)+1)),INDEX('M05-S06'!$AK$16:$AK$198,2*(ROWS($O$315:O320)-1)+1),0)</f>
        <v>0</v>
      </c>
      <c r="P320" s="151" t="str">
        <f>IFERROR(IF(NOT(ISNUMBER(INDEX('M05-S06'!$AK$16:$AK$198,2*(ROWS($O$315:O320)-1)+1))),INDEX('M05-S06'!$AO$16:$AO$198,2*(ROWS($O$315:O320)-1)+1),0),"")</f>
        <v/>
      </c>
      <c r="Q320" s="189" t="str">
        <f>IFERROR(IF(NOT(ISNUMBER(INDEX('M05-S06'!$AK$16:$AK$198,2*(ROWS($O$315:O320)-1)+1))),INDEX('M05-S06'!$AV$16:$AV$198,2*(ROWS($O$315:O320)-1)+1),0),"")</f>
        <v/>
      </c>
      <c r="R320" t="str">
        <f>IFERROR(IF(NOT(ISNUMBER(INDEX('M05-S06'!$AK$16:$AK$198,2*(ROWS($O$315:O320)-1)+1))),INDEX(SPILLOVER[Spillover Reason],MATCH(INDEX('M05-S06'!$BC$16:$BC$198,2*(ROWS($O$315:O320)-1)+1),SPILLOVER[Spillover Text],0)),""),"")</f>
        <v>Not Eligible</v>
      </c>
      <c r="S320" s="157"/>
      <c r="T320" s="157"/>
      <c r="U320" s="151">
        <f>INDEX('M05-S06'!$B$16:$B$198,2*(ROWS($U$315:U320)-1)+1)</f>
        <v>6</v>
      </c>
      <c r="V320" s="135"/>
      <c r="W320" s="58">
        <f>INDEX('M05-S06'!$F$16:$F$198,2*(ROWS($W$315:W320)-1)+1)</f>
        <v>0</v>
      </c>
      <c r="X320">
        <f>INDEX('M05-S06'!$L$16:$L$198,2*(ROWS($X$315:X320)-1)+1)</f>
        <v>0</v>
      </c>
      <c r="Y320">
        <f>INDEX('M05-S06'!$U$16:$U$198,2*(ROWS($Y$315:Y320)-1)+1)</f>
        <v>0</v>
      </c>
      <c r="Z320" s="135"/>
      <c r="AA320" s="135"/>
      <c r="AB320" s="135"/>
      <c r="AC320" s="135"/>
      <c r="AD320" s="135"/>
      <c r="AE320" s="151">
        <f>IF(NOT(ISNUMBER(INDEX('M05-S06'!$AK$16:$AK$198,2*(ROWS($O$315:O320)-1)+1))),INDEX('M05-S06'!$Z$16:$Z$198,2*(ROWS($L$315:L320)-1)+1),0)</f>
        <v>0</v>
      </c>
      <c r="AF320" s="151">
        <f>INDEX('M05-S06'!$S$16:$S$198,2*(ROWS($AF$315:AF320)-1)+1)*INDEX('M05-S06'!$Q$16:$Q$198,2*(ROWS($AF$315:AF320)-1)+1)</f>
        <v>0</v>
      </c>
      <c r="AG320" s="151">
        <f>INDEX('M05-S06'!$AB$16:$AB$198,2*(ROWS($AG$315:AG320)-1)+1)*INDEX('M05-S06'!$Z$16:$Z$198,2*(ROWS($AG$315:AG320)-1)+1)</f>
        <v>0</v>
      </c>
      <c r="AH320" s="151" t="str">
        <f t="shared" si="128"/>
        <v/>
      </c>
      <c r="AI320" s="151" t="str">
        <f t="shared" si="129"/>
        <v/>
      </c>
      <c r="AJ320" s="61" t="str">
        <f t="shared" si="130"/>
        <v/>
      </c>
      <c r="AK320" s="61" t="str">
        <f t="shared" si="131"/>
        <v/>
      </c>
      <c r="AL320" s="61" t="str">
        <f t="shared" si="132"/>
        <v/>
      </c>
      <c r="AM320" s="61" t="str">
        <f>INDEX('M05-S06'!$AU$16:$AU$198,2*(ROWS($AM$315:AM320)-1)+1)</f>
        <v/>
      </c>
      <c r="AN320" s="61" t="str">
        <f>INDEX('M05-S06'!$BB$16:$BB$198,2*(ROWS($AN$315:AN320)-1)+1)</f>
        <v/>
      </c>
      <c r="AO320" s="151">
        <f>INDEX('M05-S06'!$Q$16:$Q$198,2*(ROWS($AO$315:AO320)-1)+1)</f>
        <v>0</v>
      </c>
      <c r="AP320" s="152"/>
      <c r="AQ320" s="152"/>
      <c r="AR320" s="416"/>
    </row>
    <row r="321" spans="1:44" x14ac:dyDescent="0.25">
      <c r="A321" s="66">
        <f t="shared" si="126"/>
        <v>0</v>
      </c>
      <c r="B321" s="66" t="str">
        <f t="shared" si="127"/>
        <v/>
      </c>
      <c r="C321" s="66" t="str">
        <f>IFERROR(IF(J321&gt;0,INDEX('M05-S06'!$AY$16:$AY$198,2*(ROWS($C$315:C321)-1)+1),""),"")</f>
        <v/>
      </c>
      <c r="D321" t="s">
        <v>212</v>
      </c>
      <c r="E321" t="str">
        <f>IFERROR(INDEX('M05-S06'!$AW$16:$AW$198,2*(ROWS($E$315:E321)-1)+1),"")</f>
        <v/>
      </c>
      <c r="F321" s="152"/>
      <c r="G321" s="135"/>
      <c r="H321" s="61">
        <f>INDEX('M05-S06'!$AD$16:$AD$198,2*(ROWS($H$315:H321)-1)+1)</f>
        <v>0</v>
      </c>
      <c r="I321" s="61">
        <f>INDEX('M05-S06'!$AF$16:$AF$198,2*(ROWS($I$315:I321)-1)+1)</f>
        <v>0</v>
      </c>
      <c r="J321" s="61" t="str">
        <f>INDEX('M05-S06'!$AH$16:$AH$198,2*(ROWS($J$315:J321)-1)+1)</f>
        <v/>
      </c>
      <c r="K321" t="str">
        <f>IFERROR(INDEX(CMEREFRI[Cost Basis],MATCH(INDEX('M05-S06'!$F$16:$F$198,2*(ROWS($K$315:K321)-1)+1),CMEREFRI[Proj Desc 1],0)),"")</f>
        <v/>
      </c>
      <c r="L321" s="151">
        <f>IF(ISNUMBER(INDEX('M05-S06'!$AK$16:$AK$198,2*(ROWS($O$315:O321)-1)+1)),INDEX('M05-S06'!$Z$16:$Z$198,2*(ROWS($L$315:L321)-1)+1),0)</f>
        <v>0</v>
      </c>
      <c r="M321" s="151">
        <f>IFERROR(IF(ISNUMBER(INDEX('M05-S06'!$AK$16:$AK$198,2*(ROWS($O$315:O321)-1)+1)),INDEX('M05-S06'!$AO$16:$AO$198,2*(ROWS($M$315:M321)-1)+1),0),"")</f>
        <v>0</v>
      </c>
      <c r="N321" s="189">
        <f>IFERROR(IF(ISNUMBER(INDEX('M05-S06'!$AK$16:$AK$198,2*(ROWS($O$315:O321)-1)+1)),INDEX('M05-S06'!$AV$16:$AV$198,2*(ROWS($N$315:N321)-1)+1),0),"")</f>
        <v>0</v>
      </c>
      <c r="O321" s="61">
        <f>IF(ISNUMBER(INDEX('M05-S06'!$AK$16:$AK$198,2*(ROWS($O$315:O321)-1)+1)),INDEX('M05-S06'!$AK$16:$AK$198,2*(ROWS($O$315:O321)-1)+1),0)</f>
        <v>0</v>
      </c>
      <c r="P321" s="151" t="str">
        <f>IFERROR(IF(NOT(ISNUMBER(INDEX('M05-S06'!$AK$16:$AK$198,2*(ROWS($O$315:O321)-1)+1))),INDEX('M05-S06'!$AO$16:$AO$198,2*(ROWS($O$315:O321)-1)+1),0),"")</f>
        <v/>
      </c>
      <c r="Q321" s="189" t="str">
        <f>IFERROR(IF(NOT(ISNUMBER(INDEX('M05-S06'!$AK$16:$AK$198,2*(ROWS($O$315:O321)-1)+1))),INDEX('M05-S06'!$AV$16:$AV$198,2*(ROWS($O$315:O321)-1)+1),0),"")</f>
        <v/>
      </c>
      <c r="R321" t="str">
        <f>IFERROR(IF(NOT(ISNUMBER(INDEX('M05-S06'!$AK$16:$AK$198,2*(ROWS($O$315:O321)-1)+1))),INDEX(SPILLOVER[Spillover Reason],MATCH(INDEX('M05-S06'!$BC$16:$BC$198,2*(ROWS($O$315:O321)-1)+1),SPILLOVER[Spillover Text],0)),""),"")</f>
        <v>Not Eligible</v>
      </c>
      <c r="S321" s="157"/>
      <c r="T321" s="157"/>
      <c r="U321" s="151">
        <f>INDEX('M05-S06'!$B$16:$B$198,2*(ROWS($U$315:U321)-1)+1)</f>
        <v>7</v>
      </c>
      <c r="V321" s="135"/>
      <c r="W321" s="58">
        <f>INDEX('M05-S06'!$F$16:$F$198,2*(ROWS($W$315:W321)-1)+1)</f>
        <v>0</v>
      </c>
      <c r="X321">
        <f>INDEX('M05-S06'!$L$16:$L$198,2*(ROWS($X$315:X321)-1)+1)</f>
        <v>0</v>
      </c>
      <c r="Y321">
        <f>INDEX('M05-S06'!$U$16:$U$198,2*(ROWS($Y$315:Y321)-1)+1)</f>
        <v>0</v>
      </c>
      <c r="Z321" s="135"/>
      <c r="AA321" s="135"/>
      <c r="AB321" s="135"/>
      <c r="AC321" s="135"/>
      <c r="AD321" s="135"/>
      <c r="AE321" s="151">
        <f>IF(NOT(ISNUMBER(INDEX('M05-S06'!$AK$16:$AK$198,2*(ROWS($O$315:O321)-1)+1))),INDEX('M05-S06'!$Z$16:$Z$198,2*(ROWS($L$315:L321)-1)+1),0)</f>
        <v>0</v>
      </c>
      <c r="AF321" s="151">
        <f>INDEX('M05-S06'!$S$16:$S$198,2*(ROWS($AF$315:AF321)-1)+1)*INDEX('M05-S06'!$Q$16:$Q$198,2*(ROWS($AF$315:AF321)-1)+1)</f>
        <v>0</v>
      </c>
      <c r="AG321" s="151">
        <f>INDEX('M05-S06'!$AB$16:$AB$198,2*(ROWS($AG$315:AG321)-1)+1)*INDEX('M05-S06'!$Z$16:$Z$198,2*(ROWS($AG$315:AG321)-1)+1)</f>
        <v>0</v>
      </c>
      <c r="AH321" s="151" t="str">
        <f t="shared" si="128"/>
        <v/>
      </c>
      <c r="AI321" s="151" t="str">
        <f t="shared" si="129"/>
        <v/>
      </c>
      <c r="AJ321" s="61" t="str">
        <f t="shared" si="130"/>
        <v/>
      </c>
      <c r="AK321" s="61" t="str">
        <f t="shared" si="131"/>
        <v/>
      </c>
      <c r="AL321" s="61" t="str">
        <f t="shared" si="132"/>
        <v/>
      </c>
      <c r="AM321" s="61" t="str">
        <f>INDEX('M05-S06'!$AU$16:$AU$198,2*(ROWS($AM$315:AM321)-1)+1)</f>
        <v/>
      </c>
      <c r="AN321" s="61" t="str">
        <f>INDEX('M05-S06'!$BB$16:$BB$198,2*(ROWS($AN$315:AN321)-1)+1)</f>
        <v/>
      </c>
      <c r="AO321" s="151">
        <f>INDEX('M05-S06'!$Q$16:$Q$198,2*(ROWS($AO$315:AO321)-1)+1)</f>
        <v>0</v>
      </c>
      <c r="AP321" s="152"/>
      <c r="AQ321" s="152"/>
      <c r="AR321" s="416"/>
    </row>
    <row r="322" spans="1:44" x14ac:dyDescent="0.25">
      <c r="A322" s="66">
        <f t="shared" si="126"/>
        <v>0</v>
      </c>
      <c r="B322" s="66" t="str">
        <f t="shared" si="127"/>
        <v/>
      </c>
      <c r="C322" s="66" t="str">
        <f>IFERROR(IF(J322&gt;0,INDEX('M05-S06'!$AY$16:$AY$198,2*(ROWS($C$315:C322)-1)+1),""),"")</f>
        <v/>
      </c>
      <c r="D322" t="s">
        <v>212</v>
      </c>
      <c r="E322" t="str">
        <f>IFERROR(INDEX('M05-S06'!$AW$16:$AW$198,2*(ROWS($E$315:E322)-1)+1),"")</f>
        <v/>
      </c>
      <c r="F322" s="152"/>
      <c r="G322" s="135"/>
      <c r="H322" s="61">
        <f>INDEX('M05-S06'!$AD$16:$AD$198,2*(ROWS($H$315:H322)-1)+1)</f>
        <v>0</v>
      </c>
      <c r="I322" s="61">
        <f>INDEX('M05-S06'!$AF$16:$AF$198,2*(ROWS($I$315:I322)-1)+1)</f>
        <v>0</v>
      </c>
      <c r="J322" s="61" t="str">
        <f>INDEX('M05-S06'!$AH$16:$AH$198,2*(ROWS($J$315:J322)-1)+1)</f>
        <v/>
      </c>
      <c r="K322" t="str">
        <f>IFERROR(INDEX(CMEREFRI[Cost Basis],MATCH(INDEX('M05-S06'!$F$16:$F$198,2*(ROWS($K$315:K322)-1)+1),CMEREFRI[Proj Desc 1],0)),"")</f>
        <v/>
      </c>
      <c r="L322" s="151">
        <f>IF(ISNUMBER(INDEX('M05-S06'!$AK$16:$AK$198,2*(ROWS($O$315:O322)-1)+1)),INDEX('M05-S06'!$Z$16:$Z$198,2*(ROWS($L$315:L322)-1)+1),0)</f>
        <v>0</v>
      </c>
      <c r="M322" s="151">
        <f>IFERROR(IF(ISNUMBER(INDEX('M05-S06'!$AK$16:$AK$198,2*(ROWS($O$315:O322)-1)+1)),INDEX('M05-S06'!$AO$16:$AO$198,2*(ROWS($M$315:M322)-1)+1),0),"")</f>
        <v>0</v>
      </c>
      <c r="N322" s="189">
        <f>IFERROR(IF(ISNUMBER(INDEX('M05-S06'!$AK$16:$AK$198,2*(ROWS($O$315:O322)-1)+1)),INDEX('M05-S06'!$AV$16:$AV$198,2*(ROWS($N$315:N322)-1)+1),0),"")</f>
        <v>0</v>
      </c>
      <c r="O322" s="61">
        <f>IF(ISNUMBER(INDEX('M05-S06'!$AK$16:$AK$198,2*(ROWS($O$315:O322)-1)+1)),INDEX('M05-S06'!$AK$16:$AK$198,2*(ROWS($O$315:O322)-1)+1),0)</f>
        <v>0</v>
      </c>
      <c r="P322" s="151" t="str">
        <f>IFERROR(IF(NOT(ISNUMBER(INDEX('M05-S06'!$AK$16:$AK$198,2*(ROWS($O$315:O322)-1)+1))),INDEX('M05-S06'!$AO$16:$AO$198,2*(ROWS($O$315:O322)-1)+1),0),"")</f>
        <v/>
      </c>
      <c r="Q322" s="189" t="str">
        <f>IFERROR(IF(NOT(ISNUMBER(INDEX('M05-S06'!$AK$16:$AK$198,2*(ROWS($O$315:O322)-1)+1))),INDEX('M05-S06'!$AV$16:$AV$198,2*(ROWS($O$315:O322)-1)+1),0),"")</f>
        <v/>
      </c>
      <c r="R322" t="str">
        <f>IFERROR(IF(NOT(ISNUMBER(INDEX('M05-S06'!$AK$16:$AK$198,2*(ROWS($O$315:O322)-1)+1))),INDEX(SPILLOVER[Spillover Reason],MATCH(INDEX('M05-S06'!$BC$16:$BC$198,2*(ROWS($O$315:O322)-1)+1),SPILLOVER[Spillover Text],0)),""),"")</f>
        <v>Not Eligible</v>
      </c>
      <c r="S322" s="157"/>
      <c r="T322" s="157"/>
      <c r="U322" s="151">
        <f>INDEX('M05-S06'!$B$16:$B$198,2*(ROWS($U$315:U322)-1)+1)</f>
        <v>8</v>
      </c>
      <c r="V322" s="135"/>
      <c r="W322" s="58">
        <f>INDEX('M05-S06'!$F$16:$F$198,2*(ROWS($W$315:W322)-1)+1)</f>
        <v>0</v>
      </c>
      <c r="X322">
        <f>INDEX('M05-S06'!$L$16:$L$198,2*(ROWS($X$315:X322)-1)+1)</f>
        <v>0</v>
      </c>
      <c r="Y322">
        <f>INDEX('M05-S06'!$U$16:$U$198,2*(ROWS($Y$315:Y322)-1)+1)</f>
        <v>0</v>
      </c>
      <c r="Z322" s="135"/>
      <c r="AA322" s="135"/>
      <c r="AB322" s="135"/>
      <c r="AC322" s="135"/>
      <c r="AD322" s="135"/>
      <c r="AE322" s="151">
        <f>IF(NOT(ISNUMBER(INDEX('M05-S06'!$AK$16:$AK$198,2*(ROWS($O$315:O322)-1)+1))),INDEX('M05-S06'!$Z$16:$Z$198,2*(ROWS($L$315:L322)-1)+1),0)</f>
        <v>0</v>
      </c>
      <c r="AF322" s="151">
        <f>INDEX('M05-S06'!$S$16:$S$198,2*(ROWS($AF$315:AF322)-1)+1)*INDEX('M05-S06'!$Q$16:$Q$198,2*(ROWS($AF$315:AF322)-1)+1)</f>
        <v>0</v>
      </c>
      <c r="AG322" s="151">
        <f>INDEX('M05-S06'!$AB$16:$AB$198,2*(ROWS($AG$315:AG322)-1)+1)*INDEX('M05-S06'!$Z$16:$Z$198,2*(ROWS($AG$315:AG322)-1)+1)</f>
        <v>0</v>
      </c>
      <c r="AH322" s="151" t="str">
        <f t="shared" si="128"/>
        <v/>
      </c>
      <c r="AI322" s="151" t="str">
        <f t="shared" si="129"/>
        <v/>
      </c>
      <c r="AJ322" s="61" t="str">
        <f t="shared" si="130"/>
        <v/>
      </c>
      <c r="AK322" s="61" t="str">
        <f t="shared" si="131"/>
        <v/>
      </c>
      <c r="AL322" s="61" t="str">
        <f t="shared" si="132"/>
        <v/>
      </c>
      <c r="AM322" s="61" t="str">
        <f>INDEX('M05-S06'!$AU$16:$AU$198,2*(ROWS($AM$315:AM322)-1)+1)</f>
        <v/>
      </c>
      <c r="AN322" s="61" t="str">
        <f>INDEX('M05-S06'!$BB$16:$BB$198,2*(ROWS($AN$315:AN322)-1)+1)</f>
        <v/>
      </c>
      <c r="AO322" s="151">
        <f>INDEX('M05-S06'!$Q$16:$Q$198,2*(ROWS($AO$315:AO322)-1)+1)</f>
        <v>0</v>
      </c>
      <c r="AP322" s="152"/>
      <c r="AQ322" s="152"/>
      <c r="AR322" s="416"/>
    </row>
    <row r="323" spans="1:44" x14ac:dyDescent="0.25">
      <c r="A323" s="66">
        <f t="shared" si="126"/>
        <v>0</v>
      </c>
      <c r="B323" s="66" t="str">
        <f t="shared" si="127"/>
        <v/>
      </c>
      <c r="C323" s="66" t="str">
        <f>IFERROR(IF(J323&gt;0,INDEX('M05-S06'!$AY$16:$AY$198,2*(ROWS($C$315:C323)-1)+1),""),"")</f>
        <v/>
      </c>
      <c r="D323" t="s">
        <v>212</v>
      </c>
      <c r="E323" t="str">
        <f>IFERROR(INDEX('M05-S06'!$AW$16:$AW$198,2*(ROWS($E$315:E323)-1)+1),"")</f>
        <v/>
      </c>
      <c r="F323" s="152"/>
      <c r="G323" s="135"/>
      <c r="H323" s="61">
        <f>INDEX('M05-S06'!$AD$16:$AD$198,2*(ROWS($H$315:H323)-1)+1)</f>
        <v>0</v>
      </c>
      <c r="I323" s="61">
        <f>INDEX('M05-S06'!$AF$16:$AF$198,2*(ROWS($I$315:I323)-1)+1)</f>
        <v>0</v>
      </c>
      <c r="J323" s="61" t="str">
        <f>INDEX('M05-S06'!$AH$16:$AH$198,2*(ROWS($J$315:J323)-1)+1)</f>
        <v/>
      </c>
      <c r="K323" t="str">
        <f>IFERROR(INDEX(CMEREFRI[Cost Basis],MATCH(INDEX('M05-S06'!$F$16:$F$198,2*(ROWS($K$315:K323)-1)+1),CMEREFRI[Proj Desc 1],0)),"")</f>
        <v/>
      </c>
      <c r="L323" s="151">
        <f>IF(ISNUMBER(INDEX('M05-S06'!$AK$16:$AK$198,2*(ROWS($O$315:O323)-1)+1)),INDEX('M05-S06'!$Z$16:$Z$198,2*(ROWS($L$315:L323)-1)+1),0)</f>
        <v>0</v>
      </c>
      <c r="M323" s="151">
        <f>IFERROR(IF(ISNUMBER(INDEX('M05-S06'!$AK$16:$AK$198,2*(ROWS($O$315:O323)-1)+1)),INDEX('M05-S06'!$AO$16:$AO$198,2*(ROWS($M$315:M323)-1)+1),0),"")</f>
        <v>0</v>
      </c>
      <c r="N323" s="189">
        <f>IFERROR(IF(ISNUMBER(INDEX('M05-S06'!$AK$16:$AK$198,2*(ROWS($O$315:O323)-1)+1)),INDEX('M05-S06'!$AV$16:$AV$198,2*(ROWS($N$315:N323)-1)+1),0),"")</f>
        <v>0</v>
      </c>
      <c r="O323" s="61">
        <f>IF(ISNUMBER(INDEX('M05-S06'!$AK$16:$AK$198,2*(ROWS($O$315:O323)-1)+1)),INDEX('M05-S06'!$AK$16:$AK$198,2*(ROWS($O$315:O323)-1)+1),0)</f>
        <v>0</v>
      </c>
      <c r="P323" s="151" t="str">
        <f>IFERROR(IF(NOT(ISNUMBER(INDEX('M05-S06'!$AK$16:$AK$198,2*(ROWS($O$315:O323)-1)+1))),INDEX('M05-S06'!$AO$16:$AO$198,2*(ROWS($O$315:O323)-1)+1),0),"")</f>
        <v/>
      </c>
      <c r="Q323" s="189" t="str">
        <f>IFERROR(IF(NOT(ISNUMBER(INDEX('M05-S06'!$AK$16:$AK$198,2*(ROWS($O$315:O323)-1)+1))),INDEX('M05-S06'!$AV$16:$AV$198,2*(ROWS($O$315:O323)-1)+1),0),"")</f>
        <v/>
      </c>
      <c r="R323" t="str">
        <f>IFERROR(IF(NOT(ISNUMBER(INDEX('M05-S06'!$AK$16:$AK$198,2*(ROWS($O$315:O323)-1)+1))),INDEX(SPILLOVER[Spillover Reason],MATCH(INDEX('M05-S06'!$BC$16:$BC$198,2*(ROWS($O$315:O323)-1)+1),SPILLOVER[Spillover Text],0)),""),"")</f>
        <v>Not Eligible</v>
      </c>
      <c r="S323" s="157"/>
      <c r="T323" s="157"/>
      <c r="U323" s="151">
        <f>INDEX('M05-S06'!$B$16:$B$198,2*(ROWS($U$315:U323)-1)+1)</f>
        <v>9</v>
      </c>
      <c r="V323" s="135"/>
      <c r="W323" s="58">
        <f>INDEX('M05-S06'!$F$16:$F$198,2*(ROWS($W$315:W323)-1)+1)</f>
        <v>0</v>
      </c>
      <c r="X323">
        <f>INDEX('M05-S06'!$L$16:$L$198,2*(ROWS($X$315:X323)-1)+1)</f>
        <v>0</v>
      </c>
      <c r="Y323">
        <f>INDEX('M05-S06'!$U$16:$U$198,2*(ROWS($Y$315:Y323)-1)+1)</f>
        <v>0</v>
      </c>
      <c r="Z323" s="135"/>
      <c r="AA323" s="135"/>
      <c r="AB323" s="135"/>
      <c r="AC323" s="135"/>
      <c r="AD323" s="135"/>
      <c r="AE323" s="151">
        <f>IF(NOT(ISNUMBER(INDEX('M05-S06'!$AK$16:$AK$198,2*(ROWS($O$315:O323)-1)+1))),INDEX('M05-S06'!$Z$16:$Z$198,2*(ROWS($L$315:L323)-1)+1),0)</f>
        <v>0</v>
      </c>
      <c r="AF323" s="151">
        <f>INDEX('M05-S06'!$S$16:$S$198,2*(ROWS($AF$315:AF323)-1)+1)*INDEX('M05-S06'!$Q$16:$Q$198,2*(ROWS($AF$315:AF323)-1)+1)</f>
        <v>0</v>
      </c>
      <c r="AG323" s="151">
        <f>INDEX('M05-S06'!$AB$16:$AB$198,2*(ROWS($AG$315:AG323)-1)+1)*INDEX('M05-S06'!$Z$16:$Z$198,2*(ROWS($AG$315:AG323)-1)+1)</f>
        <v>0</v>
      </c>
      <c r="AH323" s="151" t="str">
        <f t="shared" si="128"/>
        <v/>
      </c>
      <c r="AI323" s="151" t="str">
        <f t="shared" si="129"/>
        <v/>
      </c>
      <c r="AJ323" s="61" t="str">
        <f t="shared" si="130"/>
        <v/>
      </c>
      <c r="AK323" s="61" t="str">
        <f t="shared" si="131"/>
        <v/>
      </c>
      <c r="AL323" s="61" t="str">
        <f t="shared" si="132"/>
        <v/>
      </c>
      <c r="AM323" s="61" t="str">
        <f>INDEX('M05-S06'!$AU$16:$AU$198,2*(ROWS($AM$315:AM323)-1)+1)</f>
        <v/>
      </c>
      <c r="AN323" s="61" t="str">
        <f>INDEX('M05-S06'!$BB$16:$BB$198,2*(ROWS($AN$315:AN323)-1)+1)</f>
        <v/>
      </c>
      <c r="AO323" s="151">
        <f>INDEX('M05-S06'!$Q$16:$Q$198,2*(ROWS($AO$315:AO323)-1)+1)</f>
        <v>0</v>
      </c>
      <c r="AP323" s="152"/>
      <c r="AQ323" s="152"/>
      <c r="AR323" s="416"/>
    </row>
    <row r="324" spans="1:44" x14ac:dyDescent="0.25">
      <c r="A324" s="66">
        <f t="shared" si="126"/>
        <v>0</v>
      </c>
      <c r="B324" s="66" t="str">
        <f t="shared" si="127"/>
        <v/>
      </c>
      <c r="C324" s="66" t="str">
        <f>IFERROR(IF(J324&gt;0,INDEX('M05-S06'!$AY$16:$AY$198,2*(ROWS($C$315:C324)-1)+1),""),"")</f>
        <v/>
      </c>
      <c r="D324" t="s">
        <v>212</v>
      </c>
      <c r="E324" t="str">
        <f>IFERROR(INDEX('M05-S06'!$AW$16:$AW$198,2*(ROWS($E$315:E324)-1)+1),"")</f>
        <v/>
      </c>
      <c r="F324" s="152"/>
      <c r="G324" s="135"/>
      <c r="H324" s="61">
        <f>INDEX('M05-S06'!$AD$16:$AD$198,2*(ROWS($H$315:H324)-1)+1)</f>
        <v>0</v>
      </c>
      <c r="I324" s="61">
        <f>INDEX('M05-S06'!$AF$16:$AF$198,2*(ROWS($I$315:I324)-1)+1)</f>
        <v>0</v>
      </c>
      <c r="J324" s="61" t="str">
        <f>INDEX('M05-S06'!$AH$16:$AH$198,2*(ROWS($J$315:J324)-1)+1)</f>
        <v/>
      </c>
      <c r="K324" t="str">
        <f>IFERROR(INDEX(CMEREFRI[Cost Basis],MATCH(INDEX('M05-S06'!$F$16:$F$198,2*(ROWS($K$315:K324)-1)+1),CMEREFRI[Proj Desc 1],0)),"")</f>
        <v/>
      </c>
      <c r="L324" s="151">
        <f>IF(ISNUMBER(INDEX('M05-S06'!$AK$16:$AK$198,2*(ROWS($O$315:O324)-1)+1)),INDEX('M05-S06'!$Z$16:$Z$198,2*(ROWS($L$315:L324)-1)+1),0)</f>
        <v>0</v>
      </c>
      <c r="M324" s="151">
        <f>IFERROR(IF(ISNUMBER(INDEX('M05-S06'!$AK$16:$AK$198,2*(ROWS($O$315:O324)-1)+1)),INDEX('M05-S06'!$AO$16:$AO$198,2*(ROWS($M$315:M324)-1)+1),0),"")</f>
        <v>0</v>
      </c>
      <c r="N324" s="189">
        <f>IFERROR(IF(ISNUMBER(INDEX('M05-S06'!$AK$16:$AK$198,2*(ROWS($O$315:O324)-1)+1)),INDEX('M05-S06'!$AV$16:$AV$198,2*(ROWS($N$315:N324)-1)+1),0),"")</f>
        <v>0</v>
      </c>
      <c r="O324" s="61">
        <f>IF(ISNUMBER(INDEX('M05-S06'!$AK$16:$AK$198,2*(ROWS($O$315:O324)-1)+1)),INDEX('M05-S06'!$AK$16:$AK$198,2*(ROWS($O$315:O324)-1)+1),0)</f>
        <v>0</v>
      </c>
      <c r="P324" s="151" t="str">
        <f>IFERROR(IF(NOT(ISNUMBER(INDEX('M05-S06'!$AK$16:$AK$198,2*(ROWS($O$315:O324)-1)+1))),INDEX('M05-S06'!$AO$16:$AO$198,2*(ROWS($O$315:O324)-1)+1),0),"")</f>
        <v/>
      </c>
      <c r="Q324" s="189" t="str">
        <f>IFERROR(IF(NOT(ISNUMBER(INDEX('M05-S06'!$AK$16:$AK$198,2*(ROWS($O$315:O324)-1)+1))),INDEX('M05-S06'!$AV$16:$AV$198,2*(ROWS($O$315:O324)-1)+1),0),"")</f>
        <v/>
      </c>
      <c r="R324" t="str">
        <f>IFERROR(IF(NOT(ISNUMBER(INDEX('M05-S06'!$AK$16:$AK$198,2*(ROWS($O$315:O324)-1)+1))),INDEX(SPILLOVER[Spillover Reason],MATCH(INDEX('M05-S06'!$BC$16:$BC$198,2*(ROWS($O$315:O324)-1)+1),SPILLOVER[Spillover Text],0)),""),"")</f>
        <v>Not Eligible</v>
      </c>
      <c r="S324" s="157"/>
      <c r="T324" s="157"/>
      <c r="U324" s="151">
        <f>INDEX('M05-S06'!$B$16:$B$198,2*(ROWS($U$315:U324)-1)+1)</f>
        <v>10</v>
      </c>
      <c r="V324" s="135"/>
      <c r="W324" s="58">
        <f>INDEX('M05-S06'!$F$16:$F$198,2*(ROWS($W$315:W324)-1)+1)</f>
        <v>0</v>
      </c>
      <c r="X324">
        <f>INDEX('M05-S06'!$L$16:$L$198,2*(ROWS($X$315:X324)-1)+1)</f>
        <v>0</v>
      </c>
      <c r="Y324">
        <f>INDEX('M05-S06'!$U$16:$U$198,2*(ROWS($Y$315:Y324)-1)+1)</f>
        <v>0</v>
      </c>
      <c r="Z324" s="135"/>
      <c r="AA324" s="135"/>
      <c r="AB324" s="135"/>
      <c r="AC324" s="135"/>
      <c r="AD324" s="135"/>
      <c r="AE324" s="151">
        <f>IF(NOT(ISNUMBER(INDEX('M05-S06'!$AK$16:$AK$198,2*(ROWS($O$315:O324)-1)+1))),INDEX('M05-S06'!$Z$16:$Z$198,2*(ROWS($L$315:L324)-1)+1),0)</f>
        <v>0</v>
      </c>
      <c r="AF324" s="151">
        <f>INDEX('M05-S06'!$S$16:$S$198,2*(ROWS($AF$315:AF324)-1)+1)*INDEX('M05-S06'!$Q$16:$Q$198,2*(ROWS($AF$315:AF324)-1)+1)</f>
        <v>0</v>
      </c>
      <c r="AG324" s="151">
        <f>INDEX('M05-S06'!$AB$16:$AB$198,2*(ROWS($AG$315:AG324)-1)+1)*INDEX('M05-S06'!$Z$16:$Z$198,2*(ROWS($AG$315:AG324)-1)+1)</f>
        <v>0</v>
      </c>
      <c r="AH324" s="151" t="str">
        <f t="shared" si="128"/>
        <v/>
      </c>
      <c r="AI324" s="151" t="str">
        <f t="shared" si="129"/>
        <v/>
      </c>
      <c r="AJ324" s="61" t="str">
        <f t="shared" si="130"/>
        <v/>
      </c>
      <c r="AK324" s="61" t="str">
        <f t="shared" si="131"/>
        <v/>
      </c>
      <c r="AL324" s="61" t="str">
        <f t="shared" si="132"/>
        <v/>
      </c>
      <c r="AM324" s="61" t="str">
        <f>INDEX('M05-S06'!$AU$16:$AU$198,2*(ROWS($AM$315:AM324)-1)+1)</f>
        <v/>
      </c>
      <c r="AN324" s="61" t="str">
        <f>INDEX('M05-S06'!$BB$16:$BB$198,2*(ROWS($AN$315:AN324)-1)+1)</f>
        <v/>
      </c>
      <c r="AO324" s="151">
        <f>INDEX('M05-S06'!$Q$16:$Q$198,2*(ROWS($AO$315:AO324)-1)+1)</f>
        <v>0</v>
      </c>
      <c r="AP324" s="152"/>
      <c r="AQ324" s="152"/>
      <c r="AR324" s="416"/>
    </row>
    <row r="325" spans="1:44" x14ac:dyDescent="0.25">
      <c r="A325" s="417" t="str">
        <f>CONCATENATE(MAIN5," ",M5S7)</f>
        <v>CUSTOM MEASURES Miscellaneous</v>
      </c>
      <c r="B325" s="210"/>
      <c r="C325" s="210"/>
      <c r="D325" s="178"/>
      <c r="E325" s="178"/>
      <c r="F325" s="184"/>
      <c r="G325" s="178"/>
      <c r="H325" s="180"/>
      <c r="I325" s="180"/>
      <c r="J325" s="180"/>
      <c r="K325" s="178"/>
      <c r="L325" s="179"/>
      <c r="M325" s="179"/>
      <c r="N325" s="192"/>
      <c r="O325" s="180"/>
      <c r="P325" s="179"/>
      <c r="Q325" s="192"/>
      <c r="R325" s="178"/>
      <c r="S325" s="181"/>
      <c r="T325" s="181"/>
      <c r="U325" s="179"/>
      <c r="V325" s="178"/>
      <c r="W325" s="182"/>
      <c r="X325" s="178"/>
      <c r="Y325" s="178"/>
      <c r="Z325" s="178"/>
      <c r="AA325" s="178"/>
      <c r="AB325" s="178"/>
      <c r="AC325" s="178"/>
      <c r="AD325" s="178"/>
      <c r="AE325" s="179"/>
      <c r="AF325" s="179"/>
      <c r="AG325" s="179"/>
      <c r="AH325" s="179"/>
      <c r="AI325" s="179"/>
      <c r="AJ325" s="180" t="str">
        <f>IFERROR(O325/M325,"")</f>
        <v/>
      </c>
      <c r="AK325" s="180" t="str">
        <f>IFERROR(O325/N325,"")</f>
        <v/>
      </c>
      <c r="AL325" s="180" t="str">
        <f>IFERROR(O325/L325,"")</f>
        <v/>
      </c>
      <c r="AM325" s="180"/>
      <c r="AN325" s="180"/>
      <c r="AO325" s="179"/>
      <c r="AP325" s="179"/>
      <c r="AQ325" s="179"/>
      <c r="AR325" s="412"/>
    </row>
    <row r="326" spans="1:44" x14ac:dyDescent="0.25">
      <c r="A326" s="66">
        <f t="shared" ref="A326:A335" si="133">PROJID</f>
        <v>0</v>
      </c>
      <c r="B326" s="66" t="str">
        <f>IF(C326="","",CONCATENATE(ROW(),"-",C326))</f>
        <v/>
      </c>
      <c r="C326" s="66" t="str">
        <f>IFERROR(IF(J326&gt;0,INDEX('M05-S07'!$AY$16:$AY$198,2*(ROWS($C$326:C326)-1)+1),""),"")</f>
        <v/>
      </c>
      <c r="D326" t="s">
        <v>212</v>
      </c>
      <c r="E326" t="str">
        <f>IFERROR(INDEX('M05-S07'!$AW$16:$AW$198,2*(ROWS($E$326:E326)-1)+1),"")</f>
        <v/>
      </c>
      <c r="F326" s="152"/>
      <c r="G326" s="135"/>
      <c r="H326" s="61">
        <f>INDEX('M05-S07'!$AD$16:$AD$198,2*(ROWS($H$326:H326)-1)+1)</f>
        <v>0</v>
      </c>
      <c r="I326" s="61">
        <f>INDEX('M05-S07'!$AF$16:$AF$198,2*(ROWS($I$326:I326)-1)+1)</f>
        <v>0</v>
      </c>
      <c r="J326" s="61" t="str">
        <f>INDEX('M05-S07'!$AH$16:$AH$198,2*(ROWS($J$326:J326)-1)+1)</f>
        <v/>
      </c>
      <c r="K326" t="str">
        <f>IFERROR(INDEX(CMEMISC[Cost Basis],MATCH(INDEX('M05-S07'!$F$16:$F$198,2*(ROWS($K$326:K326)-1)+1),CMEMISC[Proj Desc 1],0)),"")</f>
        <v/>
      </c>
      <c r="L326" s="151">
        <f>IF(ISNUMBER(INDEX('M05-S07'!$AK$16:$AK$198,2*(ROWS($O$326:O326)-1)+1)),INDEX('M05-S07'!$Z$16:$Z$198,2*(ROWS($L$326:L326)-1)+1),0)</f>
        <v>0</v>
      </c>
      <c r="M326" s="151">
        <f>IFERROR(IF(ISNUMBER(INDEX('M05-S07'!$AK$16:$AK$198,2*(ROWS($O$326:O326)-1)+1)),INDEX('M05-S07'!$AO$16:$AO$198,2*(ROWS($M$326:M326)-1)+1),0),"")</f>
        <v>0</v>
      </c>
      <c r="N326" s="189">
        <f>IFERROR(IF(ISNUMBER(INDEX('M05-S07'!$AK$16:$AK$198,2*(ROWS($O$326:O326)-1)+1)),INDEX('M05-S07'!$AV$16:$AV$198,2*(ROWS($N$326:N326)-1)+1),0),"")</f>
        <v>0</v>
      </c>
      <c r="O326" s="61">
        <f>IF(ISNUMBER(INDEX('M05-S07'!$AK$16:$AK$198,2*(ROWS($O$326:O326)-1)+1)),INDEX('M05-S07'!$AK$16:$AK$198,2*(ROWS($O$326:O326)-1)+1),0)</f>
        <v>0</v>
      </c>
      <c r="P326" s="151" t="str">
        <f>IFERROR(IF(NOT(ISNUMBER(INDEX('M05-S07'!$AK$16:$AK$198,2*(ROWS($O$326:O326)-1)+1))),INDEX('M05-S07'!$AO$16:$AO$198,2*(ROWS($O$326:O326)-1)+1),0),"")</f>
        <v/>
      </c>
      <c r="Q326" s="189" t="str">
        <f>IFERROR(IF(NOT(ISNUMBER(INDEX('M05-S07'!$AK$16:$AK$198,2*(ROWS($O$326:O326)-1)+1))),INDEX('M05-S07'!$AV$16:$AV$198,2*(ROWS($O$326:O326)-1)+1),0),"")</f>
        <v/>
      </c>
      <c r="R326" t="str">
        <f>IFERROR(IF(NOT(ISNUMBER(INDEX('M05-S07'!$AK$16:$AK$198,2*(ROWS($O$326:O326)-1)+1))),INDEX(SPILLOVER[Spillover Reason],MATCH(INDEX('M05-S07'!$BC$16:$BC$198,2*(ROWS($O$326:O326)-1)+1),SPILLOVER[Spillover Text],0)),""),"")</f>
        <v>Not Eligible</v>
      </c>
      <c r="S326" s="157"/>
      <c r="T326" s="157"/>
      <c r="U326" s="151">
        <f>INDEX('M05-S07'!$B$16:$B$198,2*(ROWS($U$326:U326)-1)+1)</f>
        <v>1</v>
      </c>
      <c r="V326" s="135"/>
      <c r="W326" s="58">
        <f>INDEX('M05-S07'!$F$16:$F$198,2*(ROWS($W$326:W326)-1)+1)</f>
        <v>0</v>
      </c>
      <c r="X326">
        <f>INDEX('M05-S07'!$L$16:$L$198,2*(ROWS($X$326:X326)-1)+1)</f>
        <v>0</v>
      </c>
      <c r="Y326">
        <f>INDEX('M05-S07'!$U$16:$U$198,2*(ROWS($Y$326:Y326)-1)+1)</f>
        <v>0</v>
      </c>
      <c r="Z326" s="135"/>
      <c r="AA326" s="135"/>
      <c r="AB326" s="135"/>
      <c r="AC326" s="135"/>
      <c r="AD326" s="135"/>
      <c r="AE326" s="151">
        <f>IF(NOT(ISNUMBER(INDEX('M05-S07'!$AK$16:$AK$198,2*(ROWS($O$326:O326)-1)+1))),INDEX('M05-S07'!$Z$16:$Z$198,2*(ROWS($L$326:L326)-1)+1),0)</f>
        <v>0</v>
      </c>
      <c r="AF326" s="151">
        <f>INDEX('M05-S07'!$S$16:$S$198,2*(ROWS($AF$326:AF326)-1)+1)*INDEX('M05-S07'!$Q$16:$Q$198,2*(ROWS($AF$326:AF326)-1)+1)</f>
        <v>0</v>
      </c>
      <c r="AG326" s="151">
        <f>INDEX('M05-S07'!$AB$16:$AB$198,2*(ROWS($AG$326:AG326)-1)+1)*INDEX('M05-S07'!$Z$16:$Z$198,2*(ROWS($AG$326:AG326)-1)+1)</f>
        <v>0</v>
      </c>
      <c r="AH326" s="151" t="str">
        <f>IFERROR(AF326/AO326,"")</f>
        <v/>
      </c>
      <c r="AI326" s="151" t="str">
        <f>IFERROR(AG326/L326,"")</f>
        <v/>
      </c>
      <c r="AJ326" s="61" t="str">
        <f>IFERROR(O326/M326,"")</f>
        <v/>
      </c>
      <c r="AK326" s="61" t="str">
        <f>IFERROR(O326/N326,"")</f>
        <v/>
      </c>
      <c r="AL326" s="61" t="str">
        <f>IFERROR(O326/L326,"")</f>
        <v/>
      </c>
      <c r="AM326" s="61" t="str">
        <f>INDEX('M05-S07'!$AU$16:$AU$198,2*(ROWS($AM$326:AM326)-1)+1)</f>
        <v/>
      </c>
      <c r="AN326" s="61" t="str">
        <f>INDEX('M05-S07'!$BB$16:$BB$198,2*(ROWS($AN$326:AN326)-1)+1)</f>
        <v/>
      </c>
      <c r="AO326" s="151">
        <f>INDEX('M05-S07'!$Q$16:$Q$198,2*(ROWS($AO$326:AO326)-1)+1)</f>
        <v>0</v>
      </c>
      <c r="AP326" s="152"/>
      <c r="AQ326" s="152"/>
      <c r="AR326" s="416"/>
    </row>
    <row r="327" spans="1:44" x14ac:dyDescent="0.25">
      <c r="A327" s="66">
        <f t="shared" si="133"/>
        <v>0</v>
      </c>
      <c r="B327" s="66" t="str">
        <f t="shared" ref="B327:B335" si="134">IF(C327="","",CONCATENATE(ROW(),"-",C327))</f>
        <v/>
      </c>
      <c r="C327" s="66" t="str">
        <f>IFERROR(IF(J327&gt;0,INDEX('M05-S07'!$AY$16:$AY$198,2*(ROWS($C$326:C327)-1)+1),""),"")</f>
        <v/>
      </c>
      <c r="D327" t="s">
        <v>212</v>
      </c>
      <c r="E327" t="str">
        <f>IFERROR(INDEX('M05-S07'!$AW$16:$AW$198,2*(ROWS($E$326:E327)-1)+1),"")</f>
        <v/>
      </c>
      <c r="F327" s="152"/>
      <c r="G327" s="135"/>
      <c r="H327" s="61">
        <f>INDEX('M05-S07'!$AD$16:$AD$198,2*(ROWS($H$326:H327)-1)+1)</f>
        <v>0</v>
      </c>
      <c r="I327" s="61">
        <f>INDEX('M05-S07'!$AF$16:$AF$198,2*(ROWS($I$326:I327)-1)+1)</f>
        <v>0</v>
      </c>
      <c r="J327" s="61" t="str">
        <f>INDEX('M05-S07'!$AH$16:$AH$198,2*(ROWS($J$326:J327)-1)+1)</f>
        <v/>
      </c>
      <c r="K327" t="str">
        <f>IFERROR(INDEX(CMEMISC[Cost Basis],MATCH(INDEX('M05-S07'!$F$16:$F$198,2*(ROWS($K$326:K327)-1)+1),CMEMISC[Proj Desc 1],0)),"")</f>
        <v/>
      </c>
      <c r="L327" s="151">
        <f>IF(ISNUMBER(INDEX('M05-S07'!$AK$16:$AK$198,2*(ROWS($O$326:O327)-1)+1)),INDEX('M05-S07'!$Z$16:$Z$198,2*(ROWS($L$326:L327)-1)+1),0)</f>
        <v>0</v>
      </c>
      <c r="M327" s="151">
        <f>IFERROR(IF(ISNUMBER(INDEX('M05-S07'!$AK$16:$AK$198,2*(ROWS($O$326:O327)-1)+1)),INDEX('M05-S07'!$AO$16:$AO$198,2*(ROWS($M$326:M327)-1)+1),0),"")</f>
        <v>0</v>
      </c>
      <c r="N327" s="189">
        <f>IFERROR(IF(ISNUMBER(INDEX('M05-S07'!$AK$16:$AK$198,2*(ROWS($O$326:O327)-1)+1)),INDEX('M05-S07'!$AV$16:$AV$198,2*(ROWS($N$326:N327)-1)+1),0),"")</f>
        <v>0</v>
      </c>
      <c r="O327" s="61">
        <f>IF(ISNUMBER(INDEX('M05-S07'!$AK$16:$AK$198,2*(ROWS($O$326:O327)-1)+1)),INDEX('M05-S07'!$AK$16:$AK$198,2*(ROWS($O$326:O327)-1)+1),0)</f>
        <v>0</v>
      </c>
      <c r="P327" s="151" t="str">
        <f>IFERROR(IF(NOT(ISNUMBER(INDEX('M05-S07'!$AK$16:$AK$198,2*(ROWS($O$326:O327)-1)+1))),INDEX('M05-S07'!$AO$16:$AO$198,2*(ROWS($O$326:O327)-1)+1),0),"")</f>
        <v/>
      </c>
      <c r="Q327" s="189" t="str">
        <f>IFERROR(IF(NOT(ISNUMBER(INDEX('M05-S07'!$AK$16:$AK$198,2*(ROWS($O$326:O327)-1)+1))),INDEX('M05-S07'!$AV$16:$AV$198,2*(ROWS($O$326:O327)-1)+1),0),"")</f>
        <v/>
      </c>
      <c r="R327" t="str">
        <f>IFERROR(IF(NOT(ISNUMBER(INDEX('M05-S07'!$AK$16:$AK$198,2*(ROWS($O$326:O327)-1)+1))),INDEX(SPILLOVER[Spillover Reason],MATCH(INDEX('M05-S07'!$BC$16:$BC$198,2*(ROWS($O$326:O327)-1)+1),SPILLOVER[Spillover Text],0)),""),"")</f>
        <v>Not Eligible</v>
      </c>
      <c r="S327" s="157"/>
      <c r="T327" s="157"/>
      <c r="U327" s="151">
        <f>INDEX('M05-S07'!$B$16:$B$198,2*(ROWS($U$326:U327)-1)+1)</f>
        <v>2</v>
      </c>
      <c r="V327" s="135"/>
      <c r="W327" s="58">
        <f>INDEX('M05-S07'!$F$16:$F$198,2*(ROWS($W$326:W327)-1)+1)</f>
        <v>0</v>
      </c>
      <c r="X327">
        <f>INDEX('M05-S07'!$L$16:$L$198,2*(ROWS($X$326:X327)-1)+1)</f>
        <v>0</v>
      </c>
      <c r="Y327">
        <f>INDEX('M05-S07'!$U$16:$U$198,2*(ROWS($Y$326:Y327)-1)+1)</f>
        <v>0</v>
      </c>
      <c r="Z327" s="135"/>
      <c r="AA327" s="135"/>
      <c r="AB327" s="135"/>
      <c r="AC327" s="135"/>
      <c r="AD327" s="135"/>
      <c r="AE327" s="151">
        <f>IF(NOT(ISNUMBER(INDEX('M05-S07'!$AK$16:$AK$198,2*(ROWS($O$326:O327)-1)+1))),INDEX('M05-S07'!$Z$16:$Z$198,2*(ROWS($L$326:L327)-1)+1),0)</f>
        <v>0</v>
      </c>
      <c r="AF327" s="151">
        <f>INDEX('M05-S07'!$S$16:$S$198,2*(ROWS($AF$326:AF327)-1)+1)*INDEX('M05-S07'!$Q$16:$Q$198,2*(ROWS($AF$326:AF327)-1)+1)</f>
        <v>0</v>
      </c>
      <c r="AG327" s="151">
        <f>INDEX('M05-S07'!$AB$16:$AB$198,2*(ROWS($AG$326:AG327)-1)+1)*INDEX('M05-S07'!$Z$16:$Z$198,2*(ROWS($AG$326:AG327)-1)+1)</f>
        <v>0</v>
      </c>
      <c r="AH327" s="151" t="str">
        <f t="shared" ref="AH327:AH335" si="135">IFERROR(AF327/AO327,"")</f>
        <v/>
      </c>
      <c r="AI327" s="151" t="str">
        <f t="shared" ref="AI327:AI335" si="136">IFERROR(AG327/L327,"")</f>
        <v/>
      </c>
      <c r="AJ327" s="61" t="str">
        <f t="shared" ref="AJ327:AJ335" si="137">IFERROR(O327/M327,"")</f>
        <v/>
      </c>
      <c r="AK327" s="61" t="str">
        <f t="shared" ref="AK327:AK335" si="138">IFERROR(O327/N327,"")</f>
        <v/>
      </c>
      <c r="AL327" s="61" t="str">
        <f t="shared" ref="AL327:AL335" si="139">IFERROR(O327/L327,"")</f>
        <v/>
      </c>
      <c r="AM327" s="61" t="str">
        <f>INDEX('M05-S07'!$AU$16:$AU$198,2*(ROWS($AM$326:AM327)-1)+1)</f>
        <v/>
      </c>
      <c r="AN327" s="61" t="str">
        <f>INDEX('M05-S07'!$BB$16:$BB$198,2*(ROWS($AN$326:AN327)-1)+1)</f>
        <v/>
      </c>
      <c r="AO327" s="151">
        <f>INDEX('M05-S07'!$Q$16:$Q$198,2*(ROWS($AO$326:AO327)-1)+1)</f>
        <v>0</v>
      </c>
      <c r="AP327" s="152"/>
      <c r="AQ327" s="152"/>
      <c r="AR327" s="416"/>
    </row>
    <row r="328" spans="1:44" x14ac:dyDescent="0.25">
      <c r="A328" s="66">
        <f t="shared" si="133"/>
        <v>0</v>
      </c>
      <c r="B328" s="66" t="str">
        <f t="shared" si="134"/>
        <v/>
      </c>
      <c r="C328" s="66" t="str">
        <f>IFERROR(IF(J328&gt;0,INDEX('M05-S07'!$AY$16:$AY$198,2*(ROWS($C$326:C328)-1)+1),""),"")</f>
        <v/>
      </c>
      <c r="D328" t="s">
        <v>212</v>
      </c>
      <c r="E328" t="str">
        <f>IFERROR(INDEX('M05-S07'!$AW$16:$AW$198,2*(ROWS($E$326:E328)-1)+1),"")</f>
        <v/>
      </c>
      <c r="F328" s="152"/>
      <c r="G328" s="135"/>
      <c r="H328" s="61">
        <f>INDEX('M05-S07'!$AD$16:$AD$198,2*(ROWS($H$326:H328)-1)+1)</f>
        <v>0</v>
      </c>
      <c r="I328" s="61">
        <f>INDEX('M05-S07'!$AF$16:$AF$198,2*(ROWS($I$326:I328)-1)+1)</f>
        <v>0</v>
      </c>
      <c r="J328" s="61" t="str">
        <f>INDEX('M05-S07'!$AH$16:$AH$198,2*(ROWS($J$326:J328)-1)+1)</f>
        <v/>
      </c>
      <c r="K328" t="str">
        <f>IFERROR(INDEX(CMEMISC[Cost Basis],MATCH(INDEX('M05-S07'!$F$16:$F$198,2*(ROWS($K$326:K328)-1)+1),CMEMISC[Proj Desc 1],0)),"")</f>
        <v/>
      </c>
      <c r="L328" s="151">
        <f>IF(ISNUMBER(INDEX('M05-S07'!$AK$16:$AK$198,2*(ROWS($O$326:O328)-1)+1)),INDEX('M05-S07'!$Z$16:$Z$198,2*(ROWS($L$326:L328)-1)+1),0)</f>
        <v>0</v>
      </c>
      <c r="M328" s="151">
        <f>IFERROR(IF(ISNUMBER(INDEX('M05-S07'!$AK$16:$AK$198,2*(ROWS($O$326:O328)-1)+1)),INDEX('M05-S07'!$AO$16:$AO$198,2*(ROWS($M$326:M328)-1)+1),0),"")</f>
        <v>0</v>
      </c>
      <c r="N328" s="189">
        <f>IFERROR(IF(ISNUMBER(INDEX('M05-S07'!$AK$16:$AK$198,2*(ROWS($O$326:O328)-1)+1)),INDEX('M05-S07'!$AV$16:$AV$198,2*(ROWS($N$326:N328)-1)+1),0),"")</f>
        <v>0</v>
      </c>
      <c r="O328" s="61">
        <f>IF(ISNUMBER(INDEX('M05-S07'!$AK$16:$AK$198,2*(ROWS($O$326:O328)-1)+1)),INDEX('M05-S07'!$AK$16:$AK$198,2*(ROWS($O$326:O328)-1)+1),0)</f>
        <v>0</v>
      </c>
      <c r="P328" s="151" t="str">
        <f>IFERROR(IF(NOT(ISNUMBER(INDEX('M05-S07'!$AK$16:$AK$198,2*(ROWS($O$326:O328)-1)+1))),INDEX('M05-S07'!$AO$16:$AO$198,2*(ROWS($O$326:O328)-1)+1),0),"")</f>
        <v/>
      </c>
      <c r="Q328" s="189" t="str">
        <f>IFERROR(IF(NOT(ISNUMBER(INDEX('M05-S07'!$AK$16:$AK$198,2*(ROWS($O$326:O328)-1)+1))),INDEX('M05-S07'!$AV$16:$AV$198,2*(ROWS($O$326:O328)-1)+1),0),"")</f>
        <v/>
      </c>
      <c r="R328" t="str">
        <f>IFERROR(IF(NOT(ISNUMBER(INDEX('M05-S07'!$AK$16:$AK$198,2*(ROWS($O$326:O328)-1)+1))),INDEX(SPILLOVER[Spillover Reason],MATCH(INDEX('M05-S07'!$BC$16:$BC$198,2*(ROWS($O$326:O328)-1)+1),SPILLOVER[Spillover Text],0)),""),"")</f>
        <v>Not Eligible</v>
      </c>
      <c r="S328" s="157"/>
      <c r="T328" s="157"/>
      <c r="U328" s="151">
        <f>INDEX('M05-S07'!$B$16:$B$198,2*(ROWS($U$326:U328)-1)+1)</f>
        <v>3</v>
      </c>
      <c r="V328" s="135"/>
      <c r="W328" s="58">
        <f>INDEX('M05-S07'!$F$16:$F$198,2*(ROWS($W$326:W328)-1)+1)</f>
        <v>0</v>
      </c>
      <c r="X328">
        <f>INDEX('M05-S07'!$L$16:$L$198,2*(ROWS($X$326:X328)-1)+1)</f>
        <v>0</v>
      </c>
      <c r="Y328">
        <f>INDEX('M05-S07'!$U$16:$U$198,2*(ROWS($Y$326:Y328)-1)+1)</f>
        <v>0</v>
      </c>
      <c r="Z328" s="135"/>
      <c r="AA328" s="135"/>
      <c r="AB328" s="135"/>
      <c r="AC328" s="135"/>
      <c r="AD328" s="135"/>
      <c r="AE328" s="151">
        <f>IF(NOT(ISNUMBER(INDEX('M05-S07'!$AK$16:$AK$198,2*(ROWS($O$326:O328)-1)+1))),INDEX('M05-S07'!$Z$16:$Z$198,2*(ROWS($L$326:L328)-1)+1),0)</f>
        <v>0</v>
      </c>
      <c r="AF328" s="151">
        <f>INDEX('M05-S07'!$S$16:$S$198,2*(ROWS($AF$326:AF328)-1)+1)*INDEX('M05-S07'!$Q$16:$Q$198,2*(ROWS($AF$326:AF328)-1)+1)</f>
        <v>0</v>
      </c>
      <c r="AG328" s="151">
        <f>INDEX('M05-S07'!$AB$16:$AB$198,2*(ROWS($AG$326:AG328)-1)+1)*INDEX('M05-S07'!$Z$16:$Z$198,2*(ROWS($AG$326:AG328)-1)+1)</f>
        <v>0</v>
      </c>
      <c r="AH328" s="151" t="str">
        <f t="shared" si="135"/>
        <v/>
      </c>
      <c r="AI328" s="151" t="str">
        <f t="shared" si="136"/>
        <v/>
      </c>
      <c r="AJ328" s="61" t="str">
        <f t="shared" si="137"/>
        <v/>
      </c>
      <c r="AK328" s="61" t="str">
        <f t="shared" si="138"/>
        <v/>
      </c>
      <c r="AL328" s="61" t="str">
        <f t="shared" si="139"/>
        <v/>
      </c>
      <c r="AM328" s="61" t="str">
        <f>INDEX('M05-S07'!$AU$16:$AU$198,2*(ROWS($AM$326:AM328)-1)+1)</f>
        <v/>
      </c>
      <c r="AN328" s="61" t="str">
        <f>INDEX('M05-S07'!$BB$16:$BB$198,2*(ROWS($AN$326:AN328)-1)+1)</f>
        <v/>
      </c>
      <c r="AO328" s="151">
        <f>INDEX('M05-S07'!$Q$16:$Q$198,2*(ROWS($AO$326:AO328)-1)+1)</f>
        <v>0</v>
      </c>
      <c r="AP328" s="152"/>
      <c r="AQ328" s="152"/>
      <c r="AR328" s="416"/>
    </row>
    <row r="329" spans="1:44" x14ac:dyDescent="0.25">
      <c r="A329" s="66">
        <f t="shared" si="133"/>
        <v>0</v>
      </c>
      <c r="B329" s="66" t="str">
        <f t="shared" si="134"/>
        <v/>
      </c>
      <c r="C329" s="66" t="str">
        <f>IFERROR(IF(J329&gt;0,INDEX('M05-S07'!$AY$16:$AY$198,2*(ROWS($C$326:C329)-1)+1),""),"")</f>
        <v/>
      </c>
      <c r="D329" t="s">
        <v>212</v>
      </c>
      <c r="E329" t="str">
        <f>IFERROR(INDEX('M05-S07'!$AW$16:$AW$198,2*(ROWS($E$326:E329)-1)+1),"")</f>
        <v/>
      </c>
      <c r="F329" s="152"/>
      <c r="G329" s="135"/>
      <c r="H329" s="61">
        <f>INDEX('M05-S07'!$AD$16:$AD$198,2*(ROWS($H$326:H329)-1)+1)</f>
        <v>0</v>
      </c>
      <c r="I329" s="61">
        <f>INDEX('M05-S07'!$AF$16:$AF$198,2*(ROWS($I$326:I329)-1)+1)</f>
        <v>0</v>
      </c>
      <c r="J329" s="61" t="str">
        <f>INDEX('M05-S07'!$AH$16:$AH$198,2*(ROWS($J$326:J329)-1)+1)</f>
        <v/>
      </c>
      <c r="K329" t="str">
        <f>IFERROR(INDEX(CMEMISC[Cost Basis],MATCH(INDEX('M05-S07'!$F$16:$F$198,2*(ROWS($K$326:K329)-1)+1),CMEMISC[Proj Desc 1],0)),"")</f>
        <v/>
      </c>
      <c r="L329" s="151">
        <f>IF(ISNUMBER(INDEX('M05-S07'!$AK$16:$AK$198,2*(ROWS($O$326:O329)-1)+1)),INDEX('M05-S07'!$Z$16:$Z$198,2*(ROWS($L$326:L329)-1)+1),0)</f>
        <v>0</v>
      </c>
      <c r="M329" s="151">
        <f>IFERROR(IF(ISNUMBER(INDEX('M05-S07'!$AK$16:$AK$198,2*(ROWS($O$326:O329)-1)+1)),INDEX('M05-S07'!$AO$16:$AO$198,2*(ROWS($M$326:M329)-1)+1),0),"")</f>
        <v>0</v>
      </c>
      <c r="N329" s="189">
        <f>IFERROR(IF(ISNUMBER(INDEX('M05-S07'!$AK$16:$AK$198,2*(ROWS($O$326:O329)-1)+1)),INDEX('M05-S07'!$AV$16:$AV$198,2*(ROWS($N$326:N329)-1)+1),0),"")</f>
        <v>0</v>
      </c>
      <c r="O329" s="61">
        <f>IF(ISNUMBER(INDEX('M05-S07'!$AK$16:$AK$198,2*(ROWS($O$326:O329)-1)+1)),INDEX('M05-S07'!$AK$16:$AK$198,2*(ROWS($O$326:O329)-1)+1),0)</f>
        <v>0</v>
      </c>
      <c r="P329" s="151" t="str">
        <f>IFERROR(IF(NOT(ISNUMBER(INDEX('M05-S07'!$AK$16:$AK$198,2*(ROWS($O$326:O329)-1)+1))),INDEX('M05-S07'!$AO$16:$AO$198,2*(ROWS($O$326:O329)-1)+1),0),"")</f>
        <v/>
      </c>
      <c r="Q329" s="189" t="str">
        <f>IFERROR(IF(NOT(ISNUMBER(INDEX('M05-S07'!$AK$16:$AK$198,2*(ROWS($O$326:O329)-1)+1))),INDEX('M05-S07'!$AV$16:$AV$198,2*(ROWS($O$326:O329)-1)+1),0),"")</f>
        <v/>
      </c>
      <c r="R329" t="str">
        <f>IFERROR(IF(NOT(ISNUMBER(INDEX('M05-S07'!$AK$16:$AK$198,2*(ROWS($O$326:O329)-1)+1))),INDEX(SPILLOVER[Spillover Reason],MATCH(INDEX('M05-S07'!$BC$16:$BC$198,2*(ROWS($O$326:O329)-1)+1),SPILLOVER[Spillover Text],0)),""),"")</f>
        <v>Not Eligible</v>
      </c>
      <c r="S329" s="157"/>
      <c r="T329" s="157"/>
      <c r="U329" s="151">
        <f>INDEX('M05-S07'!$B$16:$B$198,2*(ROWS($U$326:U329)-1)+1)</f>
        <v>4</v>
      </c>
      <c r="V329" s="135"/>
      <c r="W329" s="58">
        <f>INDEX('M05-S07'!$F$16:$F$198,2*(ROWS($W$326:W329)-1)+1)</f>
        <v>0</v>
      </c>
      <c r="X329">
        <f>INDEX('M05-S07'!$L$16:$L$198,2*(ROWS($X$326:X329)-1)+1)</f>
        <v>0</v>
      </c>
      <c r="Y329">
        <f>INDEX('M05-S07'!$U$16:$U$198,2*(ROWS($Y$326:Y329)-1)+1)</f>
        <v>0</v>
      </c>
      <c r="Z329" s="135"/>
      <c r="AA329" s="135"/>
      <c r="AB329" s="135"/>
      <c r="AC329" s="135"/>
      <c r="AD329" s="135"/>
      <c r="AE329" s="151">
        <f>IF(NOT(ISNUMBER(INDEX('M05-S07'!$AK$16:$AK$198,2*(ROWS($O$326:O329)-1)+1))),INDEX('M05-S07'!$Z$16:$Z$198,2*(ROWS($L$326:L329)-1)+1),0)</f>
        <v>0</v>
      </c>
      <c r="AF329" s="151">
        <f>INDEX('M05-S07'!$S$16:$S$198,2*(ROWS($AF$326:AF329)-1)+1)*INDEX('M05-S07'!$Q$16:$Q$198,2*(ROWS($AF$326:AF329)-1)+1)</f>
        <v>0</v>
      </c>
      <c r="AG329" s="151">
        <f>INDEX('M05-S07'!$AB$16:$AB$198,2*(ROWS($AG$326:AG329)-1)+1)*INDEX('M05-S07'!$Z$16:$Z$198,2*(ROWS($AG$326:AG329)-1)+1)</f>
        <v>0</v>
      </c>
      <c r="AH329" s="151" t="str">
        <f t="shared" si="135"/>
        <v/>
      </c>
      <c r="AI329" s="151" t="str">
        <f t="shared" si="136"/>
        <v/>
      </c>
      <c r="AJ329" s="61" t="str">
        <f t="shared" si="137"/>
        <v/>
      </c>
      <c r="AK329" s="61" t="str">
        <f t="shared" si="138"/>
        <v/>
      </c>
      <c r="AL329" s="61" t="str">
        <f t="shared" si="139"/>
        <v/>
      </c>
      <c r="AM329" s="61" t="str">
        <f>INDEX('M05-S07'!$AU$16:$AU$198,2*(ROWS($AM$326:AM329)-1)+1)</f>
        <v/>
      </c>
      <c r="AN329" s="61" t="str">
        <f>INDEX('M05-S07'!$BB$16:$BB$198,2*(ROWS($AN$326:AN329)-1)+1)</f>
        <v/>
      </c>
      <c r="AO329" s="151">
        <f>INDEX('M05-S07'!$Q$16:$Q$198,2*(ROWS($AO$326:AO329)-1)+1)</f>
        <v>0</v>
      </c>
      <c r="AP329" s="152"/>
      <c r="AQ329" s="152"/>
      <c r="AR329" s="416"/>
    </row>
    <row r="330" spans="1:44" x14ac:dyDescent="0.25">
      <c r="A330" s="66">
        <f t="shared" si="133"/>
        <v>0</v>
      </c>
      <c r="B330" s="66" t="str">
        <f t="shared" si="134"/>
        <v/>
      </c>
      <c r="C330" s="66" t="str">
        <f>IFERROR(IF(J330&gt;0,INDEX('M05-S07'!$AY$16:$AY$198,2*(ROWS($C$326:C330)-1)+1),""),"")</f>
        <v/>
      </c>
      <c r="D330" t="s">
        <v>212</v>
      </c>
      <c r="E330" t="str">
        <f>IFERROR(INDEX('M05-S07'!$AW$16:$AW$198,2*(ROWS($E$326:E330)-1)+1),"")</f>
        <v/>
      </c>
      <c r="F330" s="152"/>
      <c r="G330" s="135"/>
      <c r="H330" s="61">
        <f>INDEX('M05-S07'!$AD$16:$AD$198,2*(ROWS($H$326:H330)-1)+1)</f>
        <v>0</v>
      </c>
      <c r="I330" s="61">
        <f>INDEX('M05-S07'!$AF$16:$AF$198,2*(ROWS($I$326:I330)-1)+1)</f>
        <v>0</v>
      </c>
      <c r="J330" s="61" t="str">
        <f>INDEX('M05-S07'!$AH$16:$AH$198,2*(ROWS($J$326:J330)-1)+1)</f>
        <v/>
      </c>
      <c r="K330" t="str">
        <f>IFERROR(INDEX(CMEMISC[Cost Basis],MATCH(INDEX('M05-S07'!$F$16:$F$198,2*(ROWS($K$326:K330)-1)+1),CMEMISC[Proj Desc 1],0)),"")</f>
        <v/>
      </c>
      <c r="L330" s="151">
        <f>IF(ISNUMBER(INDEX('M05-S07'!$AK$16:$AK$198,2*(ROWS($O$326:O330)-1)+1)),INDEX('M05-S07'!$Z$16:$Z$198,2*(ROWS($L$326:L330)-1)+1),0)</f>
        <v>0</v>
      </c>
      <c r="M330" s="151">
        <f>IFERROR(IF(ISNUMBER(INDEX('M05-S07'!$AK$16:$AK$198,2*(ROWS($O$326:O330)-1)+1)),INDEX('M05-S07'!$AO$16:$AO$198,2*(ROWS($M$326:M330)-1)+1),0),"")</f>
        <v>0</v>
      </c>
      <c r="N330" s="189">
        <f>IFERROR(IF(ISNUMBER(INDEX('M05-S07'!$AK$16:$AK$198,2*(ROWS($O$326:O330)-1)+1)),INDEX('M05-S07'!$AV$16:$AV$198,2*(ROWS($N$326:N330)-1)+1),0),"")</f>
        <v>0</v>
      </c>
      <c r="O330" s="61">
        <f>IF(ISNUMBER(INDEX('M05-S07'!$AK$16:$AK$198,2*(ROWS($O$326:O330)-1)+1)),INDEX('M05-S07'!$AK$16:$AK$198,2*(ROWS($O$326:O330)-1)+1),0)</f>
        <v>0</v>
      </c>
      <c r="P330" s="151" t="str">
        <f>IFERROR(IF(NOT(ISNUMBER(INDEX('M05-S07'!$AK$16:$AK$198,2*(ROWS($O$326:O330)-1)+1))),INDEX('M05-S07'!$AO$16:$AO$198,2*(ROWS($O$326:O330)-1)+1),0),"")</f>
        <v/>
      </c>
      <c r="Q330" s="189" t="str">
        <f>IFERROR(IF(NOT(ISNUMBER(INDEX('M05-S07'!$AK$16:$AK$198,2*(ROWS($O$326:O330)-1)+1))),INDEX('M05-S07'!$AV$16:$AV$198,2*(ROWS($O$326:O330)-1)+1),0),"")</f>
        <v/>
      </c>
      <c r="R330" t="str">
        <f>IFERROR(IF(NOT(ISNUMBER(INDEX('M05-S07'!$AK$16:$AK$198,2*(ROWS($O$326:O330)-1)+1))),INDEX(SPILLOVER[Spillover Reason],MATCH(INDEX('M05-S07'!$BC$16:$BC$198,2*(ROWS($O$326:O330)-1)+1),SPILLOVER[Spillover Text],0)),""),"")</f>
        <v>Not Eligible</v>
      </c>
      <c r="S330" s="157"/>
      <c r="T330" s="157"/>
      <c r="U330" s="151">
        <f>INDEX('M05-S07'!$B$16:$B$198,2*(ROWS($U$326:U330)-1)+1)</f>
        <v>5</v>
      </c>
      <c r="V330" s="135"/>
      <c r="W330" s="58">
        <f>INDEX('M05-S07'!$F$16:$F$198,2*(ROWS($W$326:W330)-1)+1)</f>
        <v>0</v>
      </c>
      <c r="X330">
        <f>INDEX('M05-S07'!$L$16:$L$198,2*(ROWS($X$326:X330)-1)+1)</f>
        <v>0</v>
      </c>
      <c r="Y330">
        <f>INDEX('M05-S07'!$U$16:$U$198,2*(ROWS($Y$326:Y330)-1)+1)</f>
        <v>0</v>
      </c>
      <c r="Z330" s="135"/>
      <c r="AA330" s="135"/>
      <c r="AB330" s="135"/>
      <c r="AC330" s="135"/>
      <c r="AD330" s="135"/>
      <c r="AE330" s="151">
        <f>IF(NOT(ISNUMBER(INDEX('M05-S07'!$AK$16:$AK$198,2*(ROWS($O$326:O330)-1)+1))),INDEX('M05-S07'!$Z$16:$Z$198,2*(ROWS($L$326:L330)-1)+1),0)</f>
        <v>0</v>
      </c>
      <c r="AF330" s="151">
        <f>INDEX('M05-S07'!$S$16:$S$198,2*(ROWS($AF$326:AF330)-1)+1)*INDEX('M05-S07'!$Q$16:$Q$198,2*(ROWS($AF$326:AF330)-1)+1)</f>
        <v>0</v>
      </c>
      <c r="AG330" s="151">
        <f>INDEX('M05-S07'!$AB$16:$AB$198,2*(ROWS($AG$326:AG330)-1)+1)*INDEX('M05-S07'!$Z$16:$Z$198,2*(ROWS($AG$326:AG330)-1)+1)</f>
        <v>0</v>
      </c>
      <c r="AH330" s="151" t="str">
        <f t="shared" si="135"/>
        <v/>
      </c>
      <c r="AI330" s="151" t="str">
        <f t="shared" si="136"/>
        <v/>
      </c>
      <c r="AJ330" s="61" t="str">
        <f t="shared" si="137"/>
        <v/>
      </c>
      <c r="AK330" s="61" t="str">
        <f t="shared" si="138"/>
        <v/>
      </c>
      <c r="AL330" s="61" t="str">
        <f t="shared" si="139"/>
        <v/>
      </c>
      <c r="AM330" s="61" t="str">
        <f>INDEX('M05-S07'!$AU$16:$AU$198,2*(ROWS($AM$326:AM330)-1)+1)</f>
        <v/>
      </c>
      <c r="AN330" s="61" t="str">
        <f>INDEX('M05-S07'!$BB$16:$BB$198,2*(ROWS($AN$326:AN330)-1)+1)</f>
        <v/>
      </c>
      <c r="AO330" s="151">
        <f>INDEX('M05-S07'!$Q$16:$Q$198,2*(ROWS($AO$326:AO330)-1)+1)</f>
        <v>0</v>
      </c>
      <c r="AP330" s="152"/>
      <c r="AQ330" s="152"/>
      <c r="AR330" s="416"/>
    </row>
    <row r="331" spans="1:44" x14ac:dyDescent="0.25">
      <c r="A331" s="66">
        <f t="shared" si="133"/>
        <v>0</v>
      </c>
      <c r="B331" s="66" t="str">
        <f t="shared" si="134"/>
        <v/>
      </c>
      <c r="C331" s="66" t="str">
        <f>IFERROR(IF(J331&gt;0,INDEX('M05-S07'!$AY$16:$AY$198,2*(ROWS($C$326:C331)-1)+1),""),"")</f>
        <v/>
      </c>
      <c r="D331" t="s">
        <v>212</v>
      </c>
      <c r="E331" t="str">
        <f>IFERROR(INDEX('M05-S07'!$AW$16:$AW$198,2*(ROWS($E$326:E331)-1)+1),"")</f>
        <v/>
      </c>
      <c r="F331" s="152"/>
      <c r="G331" s="135"/>
      <c r="H331" s="61">
        <f>INDEX('M05-S07'!$AD$16:$AD$198,2*(ROWS($H$326:H331)-1)+1)</f>
        <v>0</v>
      </c>
      <c r="I331" s="61">
        <f>INDEX('M05-S07'!$AF$16:$AF$198,2*(ROWS($I$326:I331)-1)+1)</f>
        <v>0</v>
      </c>
      <c r="J331" s="61" t="str">
        <f>INDEX('M05-S07'!$AH$16:$AH$198,2*(ROWS($J$326:J331)-1)+1)</f>
        <v/>
      </c>
      <c r="K331" t="str">
        <f>IFERROR(INDEX(CMEMISC[Cost Basis],MATCH(INDEX('M05-S07'!$F$16:$F$198,2*(ROWS($K$326:K331)-1)+1),CMEMISC[Proj Desc 1],0)),"")</f>
        <v/>
      </c>
      <c r="L331" s="151">
        <f>IF(ISNUMBER(INDEX('M05-S07'!$AK$16:$AK$198,2*(ROWS($O$326:O331)-1)+1)),INDEX('M05-S07'!$Z$16:$Z$198,2*(ROWS($L$326:L331)-1)+1),0)</f>
        <v>0</v>
      </c>
      <c r="M331" s="151">
        <f>IFERROR(IF(ISNUMBER(INDEX('M05-S07'!$AK$16:$AK$198,2*(ROWS($O$326:O331)-1)+1)),INDEX('M05-S07'!$AO$16:$AO$198,2*(ROWS($M$326:M331)-1)+1),0),"")</f>
        <v>0</v>
      </c>
      <c r="N331" s="189">
        <f>IFERROR(IF(ISNUMBER(INDEX('M05-S07'!$AK$16:$AK$198,2*(ROWS($O$326:O331)-1)+1)),INDEX('M05-S07'!$AV$16:$AV$198,2*(ROWS($N$326:N331)-1)+1),0),"")</f>
        <v>0</v>
      </c>
      <c r="O331" s="61">
        <f>IF(ISNUMBER(INDEX('M05-S07'!$AK$16:$AK$198,2*(ROWS($O$326:O331)-1)+1)),INDEX('M05-S07'!$AK$16:$AK$198,2*(ROWS($O$326:O331)-1)+1),0)</f>
        <v>0</v>
      </c>
      <c r="P331" s="151" t="str">
        <f>IFERROR(IF(NOT(ISNUMBER(INDEX('M05-S07'!$AK$16:$AK$198,2*(ROWS($O$326:O331)-1)+1))),INDEX('M05-S07'!$AO$16:$AO$198,2*(ROWS($O$326:O331)-1)+1),0),"")</f>
        <v/>
      </c>
      <c r="Q331" s="189" t="str">
        <f>IFERROR(IF(NOT(ISNUMBER(INDEX('M05-S07'!$AK$16:$AK$198,2*(ROWS($O$326:O331)-1)+1))),INDEX('M05-S07'!$AV$16:$AV$198,2*(ROWS($O$326:O331)-1)+1),0),"")</f>
        <v/>
      </c>
      <c r="R331" t="str">
        <f>IFERROR(IF(NOT(ISNUMBER(INDEX('M05-S07'!$AK$16:$AK$198,2*(ROWS($O$326:O331)-1)+1))),INDEX(SPILLOVER[Spillover Reason],MATCH(INDEX('M05-S07'!$BC$16:$BC$198,2*(ROWS($O$326:O331)-1)+1),SPILLOVER[Spillover Text],0)),""),"")</f>
        <v>Not Eligible</v>
      </c>
      <c r="S331" s="157"/>
      <c r="T331" s="157"/>
      <c r="U331" s="151">
        <f>INDEX('M05-S07'!$B$16:$B$198,2*(ROWS($U$326:U331)-1)+1)</f>
        <v>6</v>
      </c>
      <c r="V331" s="135"/>
      <c r="W331" s="58">
        <f>INDEX('M05-S07'!$F$16:$F$198,2*(ROWS($W$326:W331)-1)+1)</f>
        <v>0</v>
      </c>
      <c r="X331">
        <f>INDEX('M05-S07'!$L$16:$L$198,2*(ROWS($X$326:X331)-1)+1)</f>
        <v>0</v>
      </c>
      <c r="Y331">
        <f>INDEX('M05-S07'!$U$16:$U$198,2*(ROWS($Y$326:Y331)-1)+1)</f>
        <v>0</v>
      </c>
      <c r="Z331" s="135"/>
      <c r="AA331" s="135"/>
      <c r="AB331" s="135"/>
      <c r="AC331" s="135"/>
      <c r="AD331" s="135"/>
      <c r="AE331" s="151">
        <f>IF(NOT(ISNUMBER(INDEX('M05-S07'!$AK$16:$AK$198,2*(ROWS($O$326:O331)-1)+1))),INDEX('M05-S07'!$Z$16:$Z$198,2*(ROWS($L$326:L331)-1)+1),0)</f>
        <v>0</v>
      </c>
      <c r="AF331" s="151">
        <f>INDEX('M05-S07'!$S$16:$S$198,2*(ROWS($AF$326:AF331)-1)+1)*INDEX('M05-S07'!$Q$16:$Q$198,2*(ROWS($AF$326:AF331)-1)+1)</f>
        <v>0</v>
      </c>
      <c r="AG331" s="151">
        <f>INDEX('M05-S07'!$AB$16:$AB$198,2*(ROWS($AG$326:AG331)-1)+1)*INDEX('M05-S07'!$Z$16:$Z$198,2*(ROWS($AG$326:AG331)-1)+1)</f>
        <v>0</v>
      </c>
      <c r="AH331" s="151" t="str">
        <f t="shared" si="135"/>
        <v/>
      </c>
      <c r="AI331" s="151" t="str">
        <f t="shared" si="136"/>
        <v/>
      </c>
      <c r="AJ331" s="61" t="str">
        <f t="shared" si="137"/>
        <v/>
      </c>
      <c r="AK331" s="61" t="str">
        <f t="shared" si="138"/>
        <v/>
      </c>
      <c r="AL331" s="61" t="str">
        <f t="shared" si="139"/>
        <v/>
      </c>
      <c r="AM331" s="61" t="str">
        <f>INDEX('M05-S07'!$AU$16:$AU$198,2*(ROWS($AM$326:AM331)-1)+1)</f>
        <v/>
      </c>
      <c r="AN331" s="61" t="str">
        <f>INDEX('M05-S07'!$BB$16:$BB$198,2*(ROWS($AN$326:AN331)-1)+1)</f>
        <v/>
      </c>
      <c r="AO331" s="151">
        <f>INDEX('M05-S07'!$Q$16:$Q$198,2*(ROWS($AO$326:AO331)-1)+1)</f>
        <v>0</v>
      </c>
      <c r="AP331" s="152"/>
      <c r="AQ331" s="152"/>
      <c r="AR331" s="416"/>
    </row>
    <row r="332" spans="1:44" x14ac:dyDescent="0.25">
      <c r="A332" s="66">
        <f t="shared" si="133"/>
        <v>0</v>
      </c>
      <c r="B332" s="66" t="str">
        <f t="shared" si="134"/>
        <v/>
      </c>
      <c r="C332" s="66" t="str">
        <f>IFERROR(IF(J332&gt;0,INDEX('M05-S07'!$AY$16:$AY$198,2*(ROWS($C$326:C332)-1)+1),""),"")</f>
        <v/>
      </c>
      <c r="D332" t="s">
        <v>212</v>
      </c>
      <c r="E332" t="str">
        <f>IFERROR(INDEX('M05-S07'!$AW$16:$AW$198,2*(ROWS($E$326:E332)-1)+1),"")</f>
        <v/>
      </c>
      <c r="F332" s="152"/>
      <c r="G332" s="135"/>
      <c r="H332" s="61">
        <f>INDEX('M05-S07'!$AD$16:$AD$198,2*(ROWS($H$326:H332)-1)+1)</f>
        <v>0</v>
      </c>
      <c r="I332" s="61">
        <f>INDEX('M05-S07'!$AF$16:$AF$198,2*(ROWS($I$326:I332)-1)+1)</f>
        <v>0</v>
      </c>
      <c r="J332" s="61" t="str">
        <f>INDEX('M05-S07'!$AH$16:$AH$198,2*(ROWS($J$326:J332)-1)+1)</f>
        <v/>
      </c>
      <c r="K332" t="str">
        <f>IFERROR(INDEX(CMEMISC[Cost Basis],MATCH(INDEX('M05-S07'!$F$16:$F$198,2*(ROWS($K$326:K332)-1)+1),CMEMISC[Proj Desc 1],0)),"")</f>
        <v/>
      </c>
      <c r="L332" s="151">
        <f>IF(ISNUMBER(INDEX('M05-S07'!$AK$16:$AK$198,2*(ROWS($O$326:O332)-1)+1)),INDEX('M05-S07'!$Z$16:$Z$198,2*(ROWS($L$326:L332)-1)+1),0)</f>
        <v>0</v>
      </c>
      <c r="M332" s="151">
        <f>IFERROR(IF(ISNUMBER(INDEX('M05-S07'!$AK$16:$AK$198,2*(ROWS($O$326:O332)-1)+1)),INDEX('M05-S07'!$AO$16:$AO$198,2*(ROWS($M$326:M332)-1)+1),0),"")</f>
        <v>0</v>
      </c>
      <c r="N332" s="189">
        <f>IFERROR(IF(ISNUMBER(INDEX('M05-S07'!$AK$16:$AK$198,2*(ROWS($O$326:O332)-1)+1)),INDEX('M05-S07'!$AV$16:$AV$198,2*(ROWS($N$326:N332)-1)+1),0),"")</f>
        <v>0</v>
      </c>
      <c r="O332" s="61">
        <f>IF(ISNUMBER(INDEX('M05-S07'!$AK$16:$AK$198,2*(ROWS($O$326:O332)-1)+1)),INDEX('M05-S07'!$AK$16:$AK$198,2*(ROWS($O$326:O332)-1)+1),0)</f>
        <v>0</v>
      </c>
      <c r="P332" s="151" t="str">
        <f>IFERROR(IF(NOT(ISNUMBER(INDEX('M05-S07'!$AK$16:$AK$198,2*(ROWS($O$326:O332)-1)+1))),INDEX('M05-S07'!$AO$16:$AO$198,2*(ROWS($O$326:O332)-1)+1),0),"")</f>
        <v/>
      </c>
      <c r="Q332" s="189" t="str">
        <f>IFERROR(IF(NOT(ISNUMBER(INDEX('M05-S07'!$AK$16:$AK$198,2*(ROWS($O$326:O332)-1)+1))),INDEX('M05-S07'!$AV$16:$AV$198,2*(ROWS($O$326:O332)-1)+1),0),"")</f>
        <v/>
      </c>
      <c r="R332" t="str">
        <f>IFERROR(IF(NOT(ISNUMBER(INDEX('M05-S07'!$AK$16:$AK$198,2*(ROWS($O$326:O332)-1)+1))),INDEX(SPILLOVER[Spillover Reason],MATCH(INDEX('M05-S07'!$BC$16:$BC$198,2*(ROWS($O$326:O332)-1)+1),SPILLOVER[Spillover Text],0)),""),"")</f>
        <v>Not Eligible</v>
      </c>
      <c r="S332" s="157"/>
      <c r="T332" s="157"/>
      <c r="U332" s="151">
        <f>INDEX('M05-S07'!$B$16:$B$198,2*(ROWS($U$326:U332)-1)+1)</f>
        <v>7</v>
      </c>
      <c r="V332" s="135"/>
      <c r="W332" s="58">
        <f>INDEX('M05-S07'!$F$16:$F$198,2*(ROWS($W$326:W332)-1)+1)</f>
        <v>0</v>
      </c>
      <c r="X332">
        <f>INDEX('M05-S07'!$L$16:$L$198,2*(ROWS($X$326:X332)-1)+1)</f>
        <v>0</v>
      </c>
      <c r="Y332">
        <f>INDEX('M05-S07'!$U$16:$U$198,2*(ROWS($Y$326:Y332)-1)+1)</f>
        <v>0</v>
      </c>
      <c r="Z332" s="135"/>
      <c r="AA332" s="135"/>
      <c r="AB332" s="135"/>
      <c r="AC332" s="135"/>
      <c r="AD332" s="135"/>
      <c r="AE332" s="151">
        <f>IF(NOT(ISNUMBER(INDEX('M05-S07'!$AK$16:$AK$198,2*(ROWS($O$326:O332)-1)+1))),INDEX('M05-S07'!$Z$16:$Z$198,2*(ROWS($L$326:L332)-1)+1),0)</f>
        <v>0</v>
      </c>
      <c r="AF332" s="151">
        <f>INDEX('M05-S07'!$S$16:$S$198,2*(ROWS($AF$326:AF332)-1)+1)*INDEX('M05-S07'!$Q$16:$Q$198,2*(ROWS($AF$326:AF332)-1)+1)</f>
        <v>0</v>
      </c>
      <c r="AG332" s="151">
        <f>INDEX('M05-S07'!$AB$16:$AB$198,2*(ROWS($AG$326:AG332)-1)+1)*INDEX('M05-S07'!$Z$16:$Z$198,2*(ROWS($AG$326:AG332)-1)+1)</f>
        <v>0</v>
      </c>
      <c r="AH332" s="151" t="str">
        <f t="shared" si="135"/>
        <v/>
      </c>
      <c r="AI332" s="151" t="str">
        <f t="shared" si="136"/>
        <v/>
      </c>
      <c r="AJ332" s="61" t="str">
        <f t="shared" si="137"/>
        <v/>
      </c>
      <c r="AK332" s="61" t="str">
        <f t="shared" si="138"/>
        <v/>
      </c>
      <c r="AL332" s="61" t="str">
        <f t="shared" si="139"/>
        <v/>
      </c>
      <c r="AM332" s="61" t="str">
        <f>INDEX('M05-S07'!$AU$16:$AU$198,2*(ROWS($AM$326:AM332)-1)+1)</f>
        <v/>
      </c>
      <c r="AN332" s="61" t="str">
        <f>INDEX('M05-S07'!$BB$16:$BB$198,2*(ROWS($AN$326:AN332)-1)+1)</f>
        <v/>
      </c>
      <c r="AO332" s="151">
        <f>INDEX('M05-S07'!$Q$16:$Q$198,2*(ROWS($AO$326:AO332)-1)+1)</f>
        <v>0</v>
      </c>
      <c r="AP332" s="152"/>
      <c r="AQ332" s="152"/>
      <c r="AR332" s="416"/>
    </row>
    <row r="333" spans="1:44" x14ac:dyDescent="0.25">
      <c r="A333" s="66">
        <f t="shared" si="133"/>
        <v>0</v>
      </c>
      <c r="B333" s="66" t="str">
        <f t="shared" si="134"/>
        <v/>
      </c>
      <c r="C333" s="66" t="str">
        <f>IFERROR(IF(J333&gt;0,INDEX('M05-S07'!$AY$16:$AY$198,2*(ROWS($C$326:C333)-1)+1),""),"")</f>
        <v/>
      </c>
      <c r="D333" t="s">
        <v>212</v>
      </c>
      <c r="E333" t="str">
        <f>IFERROR(INDEX('M05-S07'!$AW$16:$AW$198,2*(ROWS($E$326:E333)-1)+1),"")</f>
        <v/>
      </c>
      <c r="F333" s="152"/>
      <c r="G333" s="135"/>
      <c r="H333" s="61">
        <f>INDEX('M05-S07'!$AD$16:$AD$198,2*(ROWS($H$326:H333)-1)+1)</f>
        <v>0</v>
      </c>
      <c r="I333" s="61">
        <f>INDEX('M05-S07'!$AF$16:$AF$198,2*(ROWS($I$326:I333)-1)+1)</f>
        <v>0</v>
      </c>
      <c r="J333" s="61" t="str">
        <f>INDEX('M05-S07'!$AH$16:$AH$198,2*(ROWS($J$326:J333)-1)+1)</f>
        <v/>
      </c>
      <c r="K333" t="str">
        <f>IFERROR(INDEX(CMEMISC[Cost Basis],MATCH(INDEX('M05-S07'!$F$16:$F$198,2*(ROWS($K$326:K333)-1)+1),CMEMISC[Proj Desc 1],0)),"")</f>
        <v/>
      </c>
      <c r="L333" s="151">
        <f>IF(ISNUMBER(INDEX('M05-S07'!$AK$16:$AK$198,2*(ROWS($O$326:O333)-1)+1)),INDEX('M05-S07'!$Z$16:$Z$198,2*(ROWS($L$326:L333)-1)+1),0)</f>
        <v>0</v>
      </c>
      <c r="M333" s="151">
        <f>IFERROR(IF(ISNUMBER(INDEX('M05-S07'!$AK$16:$AK$198,2*(ROWS($O$326:O333)-1)+1)),INDEX('M05-S07'!$AO$16:$AO$198,2*(ROWS($M$326:M333)-1)+1),0),"")</f>
        <v>0</v>
      </c>
      <c r="N333" s="189">
        <f>IFERROR(IF(ISNUMBER(INDEX('M05-S07'!$AK$16:$AK$198,2*(ROWS($O$326:O333)-1)+1)),INDEX('M05-S07'!$AV$16:$AV$198,2*(ROWS($N$326:N333)-1)+1),0),"")</f>
        <v>0</v>
      </c>
      <c r="O333" s="61">
        <f>IF(ISNUMBER(INDEX('M05-S07'!$AK$16:$AK$198,2*(ROWS($O$326:O333)-1)+1)),INDEX('M05-S07'!$AK$16:$AK$198,2*(ROWS($O$326:O333)-1)+1),0)</f>
        <v>0</v>
      </c>
      <c r="P333" s="151" t="str">
        <f>IFERROR(IF(NOT(ISNUMBER(INDEX('M05-S07'!$AK$16:$AK$198,2*(ROWS($O$326:O333)-1)+1))),INDEX('M05-S07'!$AO$16:$AO$198,2*(ROWS($O$326:O333)-1)+1),0),"")</f>
        <v/>
      </c>
      <c r="Q333" s="189" t="str">
        <f>IFERROR(IF(NOT(ISNUMBER(INDEX('M05-S07'!$AK$16:$AK$198,2*(ROWS($O$326:O333)-1)+1))),INDEX('M05-S07'!$AV$16:$AV$198,2*(ROWS($O$326:O333)-1)+1),0),"")</f>
        <v/>
      </c>
      <c r="R333" t="str">
        <f>IFERROR(IF(NOT(ISNUMBER(INDEX('M05-S07'!$AK$16:$AK$198,2*(ROWS($O$326:O333)-1)+1))),INDEX(SPILLOVER[Spillover Reason],MATCH(INDEX('M05-S07'!$BC$16:$BC$198,2*(ROWS($O$326:O333)-1)+1),SPILLOVER[Spillover Text],0)),""),"")</f>
        <v>Not Eligible</v>
      </c>
      <c r="S333" s="157"/>
      <c r="T333" s="157"/>
      <c r="U333" s="151">
        <f>INDEX('M05-S07'!$B$16:$B$198,2*(ROWS($U$326:U333)-1)+1)</f>
        <v>8</v>
      </c>
      <c r="V333" s="135"/>
      <c r="W333" s="58">
        <f>INDEX('M05-S07'!$F$16:$F$198,2*(ROWS($W$326:W333)-1)+1)</f>
        <v>0</v>
      </c>
      <c r="X333">
        <f>INDEX('M05-S07'!$L$16:$L$198,2*(ROWS($X$326:X333)-1)+1)</f>
        <v>0</v>
      </c>
      <c r="Y333">
        <f>INDEX('M05-S07'!$U$16:$U$198,2*(ROWS($Y$326:Y333)-1)+1)</f>
        <v>0</v>
      </c>
      <c r="Z333" s="135"/>
      <c r="AA333" s="135"/>
      <c r="AB333" s="135"/>
      <c r="AC333" s="135"/>
      <c r="AD333" s="135"/>
      <c r="AE333" s="151">
        <f>IF(NOT(ISNUMBER(INDEX('M05-S07'!$AK$16:$AK$198,2*(ROWS($O$326:O333)-1)+1))),INDEX('M05-S07'!$Z$16:$Z$198,2*(ROWS($L$326:L333)-1)+1),0)</f>
        <v>0</v>
      </c>
      <c r="AF333" s="151">
        <f>INDEX('M05-S07'!$S$16:$S$198,2*(ROWS($AF$326:AF333)-1)+1)*INDEX('M05-S07'!$Q$16:$Q$198,2*(ROWS($AF$326:AF333)-1)+1)</f>
        <v>0</v>
      </c>
      <c r="AG333" s="151">
        <f>INDEX('M05-S07'!$AB$16:$AB$198,2*(ROWS($AG$326:AG333)-1)+1)*INDEX('M05-S07'!$Z$16:$Z$198,2*(ROWS($AG$326:AG333)-1)+1)</f>
        <v>0</v>
      </c>
      <c r="AH333" s="151" t="str">
        <f t="shared" si="135"/>
        <v/>
      </c>
      <c r="AI333" s="151" t="str">
        <f t="shared" si="136"/>
        <v/>
      </c>
      <c r="AJ333" s="61" t="str">
        <f t="shared" si="137"/>
        <v/>
      </c>
      <c r="AK333" s="61" t="str">
        <f t="shared" si="138"/>
        <v/>
      </c>
      <c r="AL333" s="61" t="str">
        <f t="shared" si="139"/>
        <v/>
      </c>
      <c r="AM333" s="61" t="str">
        <f>INDEX('M05-S07'!$AU$16:$AU$198,2*(ROWS($AM$326:AM333)-1)+1)</f>
        <v/>
      </c>
      <c r="AN333" s="61" t="str">
        <f>INDEX('M05-S07'!$BB$16:$BB$198,2*(ROWS($AN$326:AN333)-1)+1)</f>
        <v/>
      </c>
      <c r="AO333" s="151">
        <f>INDEX('M05-S07'!$Q$16:$Q$198,2*(ROWS($AO$326:AO333)-1)+1)</f>
        <v>0</v>
      </c>
      <c r="AP333" s="152"/>
      <c r="AQ333" s="152"/>
      <c r="AR333" s="416"/>
    </row>
    <row r="334" spans="1:44" x14ac:dyDescent="0.25">
      <c r="A334" s="66">
        <f t="shared" si="133"/>
        <v>0</v>
      </c>
      <c r="B334" s="66" t="str">
        <f t="shared" si="134"/>
        <v/>
      </c>
      <c r="C334" s="66" t="str">
        <f>IFERROR(IF(J334&gt;0,INDEX('M05-S07'!$AY$16:$AY$198,2*(ROWS($C$326:C334)-1)+1),""),"")</f>
        <v/>
      </c>
      <c r="D334" t="s">
        <v>212</v>
      </c>
      <c r="E334" t="str">
        <f>IFERROR(INDEX('M05-S07'!$AW$16:$AW$198,2*(ROWS($E$326:E334)-1)+1),"")</f>
        <v/>
      </c>
      <c r="F334" s="152"/>
      <c r="G334" s="135"/>
      <c r="H334" s="61">
        <f>INDEX('M05-S07'!$AD$16:$AD$198,2*(ROWS($H$326:H334)-1)+1)</f>
        <v>0</v>
      </c>
      <c r="I334" s="61">
        <f>INDEX('M05-S07'!$AF$16:$AF$198,2*(ROWS($I$326:I334)-1)+1)</f>
        <v>0</v>
      </c>
      <c r="J334" s="61" t="str">
        <f>INDEX('M05-S07'!$AH$16:$AH$198,2*(ROWS($J$326:J334)-1)+1)</f>
        <v/>
      </c>
      <c r="K334" t="str">
        <f>IFERROR(INDEX(CMEMISC[Cost Basis],MATCH(INDEX('M05-S07'!$F$16:$F$198,2*(ROWS($K$326:K334)-1)+1),CMEMISC[Proj Desc 1],0)),"")</f>
        <v/>
      </c>
      <c r="L334" s="151">
        <f>IF(ISNUMBER(INDEX('M05-S07'!$AK$16:$AK$198,2*(ROWS($O$326:O334)-1)+1)),INDEX('M05-S07'!$Z$16:$Z$198,2*(ROWS($L$326:L334)-1)+1),0)</f>
        <v>0</v>
      </c>
      <c r="M334" s="151">
        <f>IFERROR(IF(ISNUMBER(INDEX('M05-S07'!$AK$16:$AK$198,2*(ROWS($O$326:O334)-1)+1)),INDEX('M05-S07'!$AO$16:$AO$198,2*(ROWS($M$326:M334)-1)+1),0),"")</f>
        <v>0</v>
      </c>
      <c r="N334" s="189">
        <f>IFERROR(IF(ISNUMBER(INDEX('M05-S07'!$AK$16:$AK$198,2*(ROWS($O$326:O334)-1)+1)),INDEX('M05-S07'!$AV$16:$AV$198,2*(ROWS($N$326:N334)-1)+1),0),"")</f>
        <v>0</v>
      </c>
      <c r="O334" s="61">
        <f>IF(ISNUMBER(INDEX('M05-S07'!$AK$16:$AK$198,2*(ROWS($O$326:O334)-1)+1)),INDEX('M05-S07'!$AK$16:$AK$198,2*(ROWS($O$326:O334)-1)+1),0)</f>
        <v>0</v>
      </c>
      <c r="P334" s="151" t="str">
        <f>IFERROR(IF(NOT(ISNUMBER(INDEX('M05-S07'!$AK$16:$AK$198,2*(ROWS($O$326:O334)-1)+1))),INDEX('M05-S07'!$AO$16:$AO$198,2*(ROWS($O$326:O334)-1)+1),0),"")</f>
        <v/>
      </c>
      <c r="Q334" s="189" t="str">
        <f>IFERROR(IF(NOT(ISNUMBER(INDEX('M05-S07'!$AK$16:$AK$198,2*(ROWS($O$326:O334)-1)+1))),INDEX('M05-S07'!$AV$16:$AV$198,2*(ROWS($O$326:O334)-1)+1),0),"")</f>
        <v/>
      </c>
      <c r="R334" t="str">
        <f>IFERROR(IF(NOT(ISNUMBER(INDEX('M05-S07'!$AK$16:$AK$198,2*(ROWS($O$326:O334)-1)+1))),INDEX(SPILLOVER[Spillover Reason],MATCH(INDEX('M05-S07'!$BC$16:$BC$198,2*(ROWS($O$326:O334)-1)+1),SPILLOVER[Spillover Text],0)),""),"")</f>
        <v>Not Eligible</v>
      </c>
      <c r="S334" s="157"/>
      <c r="T334" s="157"/>
      <c r="U334" s="151">
        <f>INDEX('M05-S07'!$B$16:$B$198,2*(ROWS($U$326:U334)-1)+1)</f>
        <v>9</v>
      </c>
      <c r="V334" s="135"/>
      <c r="W334" s="58">
        <f>INDEX('M05-S07'!$F$16:$F$198,2*(ROWS($W$326:W334)-1)+1)</f>
        <v>0</v>
      </c>
      <c r="X334">
        <f>INDEX('M05-S07'!$L$16:$L$198,2*(ROWS($X$326:X334)-1)+1)</f>
        <v>0</v>
      </c>
      <c r="Y334">
        <f>INDEX('M05-S07'!$U$16:$U$198,2*(ROWS($Y$326:Y334)-1)+1)</f>
        <v>0</v>
      </c>
      <c r="Z334" s="135"/>
      <c r="AA334" s="135"/>
      <c r="AB334" s="135"/>
      <c r="AC334" s="135"/>
      <c r="AD334" s="135"/>
      <c r="AE334" s="151">
        <f>IF(NOT(ISNUMBER(INDEX('M05-S07'!$AK$16:$AK$198,2*(ROWS($O$326:O334)-1)+1))),INDEX('M05-S07'!$Z$16:$Z$198,2*(ROWS($L$326:L334)-1)+1),0)</f>
        <v>0</v>
      </c>
      <c r="AF334" s="151">
        <f>INDEX('M05-S07'!$S$16:$S$198,2*(ROWS($AF$326:AF334)-1)+1)*INDEX('M05-S07'!$Q$16:$Q$198,2*(ROWS($AF$326:AF334)-1)+1)</f>
        <v>0</v>
      </c>
      <c r="AG334" s="151">
        <f>INDEX('M05-S07'!$AB$16:$AB$198,2*(ROWS($AG$326:AG334)-1)+1)*INDEX('M05-S07'!$Z$16:$Z$198,2*(ROWS($AG$326:AG334)-1)+1)</f>
        <v>0</v>
      </c>
      <c r="AH334" s="151" t="str">
        <f t="shared" si="135"/>
        <v/>
      </c>
      <c r="AI334" s="151" t="str">
        <f t="shared" si="136"/>
        <v/>
      </c>
      <c r="AJ334" s="61" t="str">
        <f t="shared" si="137"/>
        <v/>
      </c>
      <c r="AK334" s="61" t="str">
        <f t="shared" si="138"/>
        <v/>
      </c>
      <c r="AL334" s="61" t="str">
        <f t="shared" si="139"/>
        <v/>
      </c>
      <c r="AM334" s="61" t="str">
        <f>INDEX('M05-S07'!$AU$16:$AU$198,2*(ROWS($AM$326:AM334)-1)+1)</f>
        <v/>
      </c>
      <c r="AN334" s="61" t="str">
        <f>INDEX('M05-S07'!$BB$16:$BB$198,2*(ROWS($AN$326:AN334)-1)+1)</f>
        <v/>
      </c>
      <c r="AO334" s="151">
        <f>INDEX('M05-S07'!$Q$16:$Q$198,2*(ROWS($AO$326:AO334)-1)+1)</f>
        <v>0</v>
      </c>
      <c r="AP334" s="152"/>
      <c r="AQ334" s="152"/>
      <c r="AR334" s="416"/>
    </row>
    <row r="335" spans="1:44" x14ac:dyDescent="0.25">
      <c r="A335" s="66">
        <f t="shared" si="133"/>
        <v>0</v>
      </c>
      <c r="B335" s="66" t="str">
        <f t="shared" si="134"/>
        <v/>
      </c>
      <c r="C335" s="66" t="str">
        <f>IFERROR(IF(J335&gt;0,INDEX('M05-S07'!$AY$16:$AY$198,2*(ROWS($C$326:C335)-1)+1),""),"")</f>
        <v/>
      </c>
      <c r="D335" t="s">
        <v>212</v>
      </c>
      <c r="E335" t="str">
        <f>IFERROR(INDEX('M05-S07'!$AW$16:$AW$198,2*(ROWS($E$326:E335)-1)+1),"")</f>
        <v/>
      </c>
      <c r="F335" s="152"/>
      <c r="G335" s="135"/>
      <c r="H335" s="61">
        <f>INDEX('M05-S07'!$AD$16:$AD$198,2*(ROWS($H$326:H335)-1)+1)</f>
        <v>0</v>
      </c>
      <c r="I335" s="61">
        <f>INDEX('M05-S07'!$AF$16:$AF$198,2*(ROWS($I$326:I335)-1)+1)</f>
        <v>0</v>
      </c>
      <c r="J335" s="61" t="str">
        <f>INDEX('M05-S07'!$AH$16:$AH$198,2*(ROWS($J$326:J335)-1)+1)</f>
        <v/>
      </c>
      <c r="K335" t="str">
        <f>IFERROR(INDEX(CMEMISC[Cost Basis],MATCH(INDEX('M05-S07'!$F$16:$F$198,2*(ROWS($K$326:K335)-1)+1),CMEMISC[Proj Desc 1],0)),"")</f>
        <v/>
      </c>
      <c r="L335" s="151">
        <f>IF(ISNUMBER(INDEX('M05-S07'!$AK$16:$AK$198,2*(ROWS($O$326:O335)-1)+1)),INDEX('M05-S07'!$Z$16:$Z$198,2*(ROWS($L$326:L335)-1)+1),0)</f>
        <v>0</v>
      </c>
      <c r="M335" s="151">
        <f>IFERROR(IF(ISNUMBER(INDEX('M05-S07'!$AK$16:$AK$198,2*(ROWS($O$326:O335)-1)+1)),INDEX('M05-S07'!$AO$16:$AO$198,2*(ROWS($M$326:M335)-1)+1),0),"")</f>
        <v>0</v>
      </c>
      <c r="N335" s="189">
        <f>IFERROR(IF(ISNUMBER(INDEX('M05-S07'!$AK$16:$AK$198,2*(ROWS($O$326:O335)-1)+1)),INDEX('M05-S07'!$AV$16:$AV$198,2*(ROWS($N$326:N335)-1)+1),0),"")</f>
        <v>0</v>
      </c>
      <c r="O335" s="61">
        <f>IF(ISNUMBER(INDEX('M05-S07'!$AK$16:$AK$198,2*(ROWS($O$326:O335)-1)+1)),INDEX('M05-S07'!$AK$16:$AK$198,2*(ROWS($O$326:O335)-1)+1),0)</f>
        <v>0</v>
      </c>
      <c r="P335" s="151" t="str">
        <f>IFERROR(IF(NOT(ISNUMBER(INDEX('M05-S07'!$AK$16:$AK$198,2*(ROWS($O$326:O335)-1)+1))),INDEX('M05-S07'!$AO$16:$AO$198,2*(ROWS($O$326:O335)-1)+1),0),"")</f>
        <v/>
      </c>
      <c r="Q335" s="189" t="str">
        <f>IFERROR(IF(NOT(ISNUMBER(INDEX('M05-S07'!$AK$16:$AK$198,2*(ROWS($O$326:O335)-1)+1))),INDEX('M05-S07'!$AV$16:$AV$198,2*(ROWS($O$326:O335)-1)+1),0),"")</f>
        <v/>
      </c>
      <c r="R335" t="str">
        <f>IFERROR(IF(NOT(ISNUMBER(INDEX('M05-S07'!$AK$16:$AK$198,2*(ROWS($O$326:O335)-1)+1))),INDEX(SPILLOVER[Spillover Reason],MATCH(INDEX('M05-S07'!$BC$16:$BC$198,2*(ROWS($O$326:O335)-1)+1),SPILLOVER[Spillover Text],0)),""),"")</f>
        <v>Not Eligible</v>
      </c>
      <c r="S335" s="157"/>
      <c r="T335" s="157"/>
      <c r="U335" s="151">
        <f>INDEX('M05-S07'!$B$16:$B$198,2*(ROWS($U$326:U335)-1)+1)</f>
        <v>10</v>
      </c>
      <c r="V335" s="135"/>
      <c r="W335" s="58">
        <f>INDEX('M05-S07'!$F$16:$F$198,2*(ROWS($W$326:W335)-1)+1)</f>
        <v>0</v>
      </c>
      <c r="X335">
        <f>INDEX('M05-S07'!$L$16:$L$198,2*(ROWS($X$326:X335)-1)+1)</f>
        <v>0</v>
      </c>
      <c r="Y335">
        <f>INDEX('M05-S07'!$U$16:$U$198,2*(ROWS($Y$326:Y335)-1)+1)</f>
        <v>0</v>
      </c>
      <c r="Z335" s="135"/>
      <c r="AA335" s="135"/>
      <c r="AB335" s="135"/>
      <c r="AC335" s="135"/>
      <c r="AD335" s="135"/>
      <c r="AE335" s="151">
        <f>IF(NOT(ISNUMBER(INDEX('M05-S07'!$AK$16:$AK$198,2*(ROWS($O$326:O335)-1)+1))),INDEX('M05-S07'!$Z$16:$Z$198,2*(ROWS($L$326:L335)-1)+1),0)</f>
        <v>0</v>
      </c>
      <c r="AF335" s="151">
        <f>INDEX('M05-S07'!$S$16:$S$198,2*(ROWS($AF$326:AF335)-1)+1)*INDEX('M05-S07'!$Q$16:$Q$198,2*(ROWS($AF$326:AF335)-1)+1)</f>
        <v>0</v>
      </c>
      <c r="AG335" s="151">
        <f>INDEX('M05-S07'!$AB$16:$AB$198,2*(ROWS($AG$326:AG335)-1)+1)*INDEX('M05-S07'!$Z$16:$Z$198,2*(ROWS($AG$326:AG335)-1)+1)</f>
        <v>0</v>
      </c>
      <c r="AH335" s="151" t="str">
        <f t="shared" si="135"/>
        <v/>
      </c>
      <c r="AI335" s="151" t="str">
        <f t="shared" si="136"/>
        <v/>
      </c>
      <c r="AJ335" s="61" t="str">
        <f t="shared" si="137"/>
        <v/>
      </c>
      <c r="AK335" s="61" t="str">
        <f t="shared" si="138"/>
        <v/>
      </c>
      <c r="AL335" s="61" t="str">
        <f t="shared" si="139"/>
        <v/>
      </c>
      <c r="AM335" s="61" t="str">
        <f>INDEX('M05-S07'!$AU$16:$AU$198,2*(ROWS($AM$326:AM335)-1)+1)</f>
        <v/>
      </c>
      <c r="AN335" s="61" t="str">
        <f>INDEX('M05-S07'!$BB$16:$BB$198,2*(ROWS($AN$326:AN335)-1)+1)</f>
        <v/>
      </c>
      <c r="AO335" s="151">
        <f>INDEX('M05-S07'!$Q$16:$Q$198,2*(ROWS($AO$326:AO335)-1)+1)</f>
        <v>0</v>
      </c>
      <c r="AP335" s="152"/>
      <c r="AQ335" s="152"/>
      <c r="AR335" s="416"/>
    </row>
    <row r="336" spans="1:44" hidden="1" x14ac:dyDescent="0.25">
      <c r="A336" s="210"/>
      <c r="B336" s="210"/>
      <c r="C336" s="210"/>
      <c r="D336" s="178"/>
      <c r="E336" s="178"/>
      <c r="F336" s="179"/>
      <c r="G336" s="178"/>
      <c r="H336" s="180"/>
      <c r="I336" s="180"/>
      <c r="J336" s="180"/>
      <c r="K336" s="178"/>
      <c r="L336" s="179"/>
      <c r="M336" s="179"/>
      <c r="N336" s="192"/>
      <c r="O336" s="180"/>
      <c r="P336" s="179"/>
      <c r="Q336" s="192"/>
      <c r="R336" s="178"/>
      <c r="S336" s="181"/>
      <c r="T336" s="181"/>
      <c r="U336" s="179"/>
      <c r="V336" s="178"/>
      <c r="W336" s="178"/>
      <c r="X336" s="178"/>
      <c r="Y336" s="178"/>
      <c r="Z336" s="178"/>
      <c r="AA336" s="178"/>
      <c r="AB336" s="178"/>
      <c r="AC336" s="178"/>
      <c r="AD336" s="178"/>
      <c r="AE336" s="179"/>
      <c r="AF336" s="179"/>
      <c r="AG336" s="179"/>
      <c r="AH336" s="179"/>
      <c r="AI336" s="179"/>
      <c r="AJ336" s="180"/>
      <c r="AK336" s="180"/>
      <c r="AL336" s="180"/>
      <c r="AM336" s="180"/>
      <c r="AN336" s="180"/>
      <c r="AO336" s="179"/>
      <c r="AP336" s="179"/>
      <c r="AQ336" s="179"/>
      <c r="AR336" s="412"/>
    </row>
    <row r="337" spans="22:44" hidden="1" x14ac:dyDescent="0.25">
      <c r="V337"/>
      <c r="W337"/>
      <c r="AP337"/>
      <c r="AQ337"/>
      <c r="AR337"/>
    </row>
    <row r="338" spans="22:44" hidden="1" x14ac:dyDescent="0.25">
      <c r="V338"/>
      <c r="W338"/>
      <c r="AP338"/>
      <c r="AQ338"/>
      <c r="AR338"/>
    </row>
    <row r="339" spans="22:44" hidden="1" x14ac:dyDescent="0.25">
      <c r="V339"/>
      <c r="W339"/>
      <c r="AP339"/>
      <c r="AQ339"/>
      <c r="AR339"/>
    </row>
    <row r="340" spans="22:44" hidden="1" x14ac:dyDescent="0.25">
      <c r="V340"/>
      <c r="W340"/>
      <c r="AP340"/>
      <c r="AQ340"/>
      <c r="AR340"/>
    </row>
    <row r="341" spans="22:44" hidden="1" x14ac:dyDescent="0.25">
      <c r="V341"/>
      <c r="W341"/>
      <c r="AP341"/>
      <c r="AQ341"/>
      <c r="AR341"/>
    </row>
    <row r="342" spans="22:44" hidden="1" x14ac:dyDescent="0.25">
      <c r="V342"/>
      <c r="W342"/>
      <c r="AP342"/>
      <c r="AQ342"/>
      <c r="AR342"/>
    </row>
    <row r="343" spans="22:44" hidden="1" x14ac:dyDescent="0.25">
      <c r="V343"/>
      <c r="W343"/>
      <c r="AP343"/>
      <c r="AQ343"/>
      <c r="AR343"/>
    </row>
    <row r="344" spans="22:44" hidden="1" x14ac:dyDescent="0.25">
      <c r="V344"/>
      <c r="W344"/>
      <c r="AP344"/>
      <c r="AQ344"/>
      <c r="AR344"/>
    </row>
    <row r="345" spans="22:44" hidden="1" x14ac:dyDescent="0.25">
      <c r="V345"/>
      <c r="W345"/>
      <c r="AP345"/>
      <c r="AQ345"/>
      <c r="AR345"/>
    </row>
    <row r="346" spans="22:44" hidden="1" x14ac:dyDescent="0.25">
      <c r="V346"/>
      <c r="W346"/>
      <c r="AP346"/>
      <c r="AQ346"/>
      <c r="AR346"/>
    </row>
    <row r="347" spans="22:44" hidden="1" x14ac:dyDescent="0.25">
      <c r="V347"/>
      <c r="W347"/>
      <c r="AP347"/>
      <c r="AQ347"/>
      <c r="AR347"/>
    </row>
    <row r="348" spans="22:44" hidden="1" x14ac:dyDescent="0.25">
      <c r="V348"/>
      <c r="W348"/>
      <c r="AP348"/>
      <c r="AQ348"/>
      <c r="AR348"/>
    </row>
    <row r="349" spans="22:44" hidden="1" x14ac:dyDescent="0.25">
      <c r="V349"/>
      <c r="W349"/>
      <c r="AP349"/>
      <c r="AQ349"/>
      <c r="AR349"/>
    </row>
    <row r="350" spans="22:44" hidden="1" x14ac:dyDescent="0.25">
      <c r="V350"/>
      <c r="W350"/>
      <c r="AP350"/>
      <c r="AQ350"/>
      <c r="AR350"/>
    </row>
    <row r="351" spans="22:44" hidden="1" x14ac:dyDescent="0.25">
      <c r="V351"/>
      <c r="W351"/>
      <c r="AP351"/>
      <c r="AQ351"/>
      <c r="AR351"/>
    </row>
    <row r="352" spans="22:44" hidden="1" x14ac:dyDescent="0.25">
      <c r="V352"/>
      <c r="W352"/>
      <c r="AP352"/>
      <c r="AQ352"/>
      <c r="AR352"/>
    </row>
    <row r="353" spans="22:44" hidden="1" x14ac:dyDescent="0.25">
      <c r="V353"/>
      <c r="W353"/>
      <c r="AP353"/>
      <c r="AQ353"/>
      <c r="AR353"/>
    </row>
    <row r="354" spans="22:44" hidden="1" x14ac:dyDescent="0.25">
      <c r="V354"/>
      <c r="W354"/>
      <c r="AP354"/>
      <c r="AQ354"/>
      <c r="AR354"/>
    </row>
    <row r="355" spans="22:44" hidden="1" x14ac:dyDescent="0.25">
      <c r="V355"/>
      <c r="W355"/>
      <c r="AP355"/>
      <c r="AQ355"/>
      <c r="AR355"/>
    </row>
    <row r="356" spans="22:44" hidden="1" x14ac:dyDescent="0.25">
      <c r="V356"/>
      <c r="W356"/>
      <c r="AP356"/>
      <c r="AQ356"/>
      <c r="AR356"/>
    </row>
    <row r="357" spans="22:44" hidden="1" x14ac:dyDescent="0.25">
      <c r="V357"/>
      <c r="W357"/>
      <c r="AP357"/>
      <c r="AQ357"/>
      <c r="AR357"/>
    </row>
    <row r="358" spans="22:44" hidden="1" x14ac:dyDescent="0.25">
      <c r="V358"/>
      <c r="W358"/>
      <c r="AP358"/>
      <c r="AQ358"/>
      <c r="AR358"/>
    </row>
    <row r="359" spans="22:44" hidden="1" x14ac:dyDescent="0.25">
      <c r="V359"/>
      <c r="W359"/>
      <c r="AP359"/>
      <c r="AQ359"/>
      <c r="AR359"/>
    </row>
    <row r="360" spans="22:44" hidden="1" x14ac:dyDescent="0.25">
      <c r="V360"/>
      <c r="W360"/>
      <c r="AP360"/>
      <c r="AQ360"/>
      <c r="AR360"/>
    </row>
    <row r="361" spans="22:44" hidden="1" x14ac:dyDescent="0.25">
      <c r="V361"/>
      <c r="W361"/>
      <c r="AP361"/>
      <c r="AQ361"/>
      <c r="AR361"/>
    </row>
    <row r="362" spans="22:44" hidden="1" x14ac:dyDescent="0.25">
      <c r="V362"/>
      <c r="W362"/>
      <c r="AP362"/>
      <c r="AQ362"/>
      <c r="AR362"/>
    </row>
    <row r="363" spans="22:44" hidden="1" x14ac:dyDescent="0.25">
      <c r="V363"/>
      <c r="W363"/>
      <c r="AP363"/>
      <c r="AQ363"/>
      <c r="AR363"/>
    </row>
    <row r="364" spans="22:44" hidden="1" x14ac:dyDescent="0.25">
      <c r="V364"/>
      <c r="W364"/>
      <c r="AP364"/>
      <c r="AQ364"/>
      <c r="AR364"/>
    </row>
    <row r="365" spans="22:44" hidden="1" x14ac:dyDescent="0.25">
      <c r="V365"/>
      <c r="W365"/>
      <c r="AP365"/>
      <c r="AQ365"/>
      <c r="AR365"/>
    </row>
    <row r="366" spans="22:44" hidden="1" x14ac:dyDescent="0.25">
      <c r="V366"/>
      <c r="W366"/>
      <c r="AP366"/>
      <c r="AQ366"/>
      <c r="AR366"/>
    </row>
    <row r="367" spans="22:44" hidden="1" x14ac:dyDescent="0.25">
      <c r="V367"/>
      <c r="W367"/>
      <c r="AP367"/>
      <c r="AQ367"/>
      <c r="AR367"/>
    </row>
    <row r="368" spans="22:44" hidden="1" x14ac:dyDescent="0.25">
      <c r="V368"/>
      <c r="W368"/>
      <c r="AP368"/>
      <c r="AQ368"/>
      <c r="AR368"/>
    </row>
    <row r="369" spans="22:44" hidden="1" x14ac:dyDescent="0.25">
      <c r="V369"/>
      <c r="W369"/>
      <c r="AP369"/>
      <c r="AQ369"/>
      <c r="AR369"/>
    </row>
    <row r="370" spans="22:44" hidden="1" x14ac:dyDescent="0.25">
      <c r="V370"/>
      <c r="W370"/>
      <c r="AP370"/>
      <c r="AQ370"/>
      <c r="AR370"/>
    </row>
    <row r="371" spans="22:44" hidden="1" x14ac:dyDescent="0.25">
      <c r="V371"/>
      <c r="W371"/>
      <c r="AP371"/>
      <c r="AQ371"/>
      <c r="AR371"/>
    </row>
    <row r="372" spans="22:44" hidden="1" x14ac:dyDescent="0.25">
      <c r="V372"/>
      <c r="W372"/>
      <c r="AP372"/>
      <c r="AQ372"/>
      <c r="AR372"/>
    </row>
    <row r="373" spans="22:44" hidden="1" x14ac:dyDescent="0.25">
      <c r="V373"/>
      <c r="W373"/>
      <c r="AP373"/>
      <c r="AQ373"/>
      <c r="AR373"/>
    </row>
    <row r="374" spans="22:44" hidden="1" x14ac:dyDescent="0.25">
      <c r="V374"/>
      <c r="W374"/>
      <c r="AP374"/>
      <c r="AQ374"/>
      <c r="AR374"/>
    </row>
    <row r="375" spans="22:44" hidden="1" x14ac:dyDescent="0.25">
      <c r="V375"/>
      <c r="W375"/>
      <c r="AP375"/>
      <c r="AQ375"/>
      <c r="AR375"/>
    </row>
    <row r="376" spans="22:44" hidden="1" x14ac:dyDescent="0.25">
      <c r="V376"/>
      <c r="W376"/>
      <c r="AP376"/>
      <c r="AQ376"/>
      <c r="AR376"/>
    </row>
    <row r="377" spans="22:44" hidden="1" x14ac:dyDescent="0.25">
      <c r="V377"/>
      <c r="W377"/>
      <c r="AP377"/>
      <c r="AQ377"/>
      <c r="AR377"/>
    </row>
    <row r="378" spans="22:44" hidden="1" x14ac:dyDescent="0.25">
      <c r="V378"/>
      <c r="W378"/>
      <c r="AP378"/>
      <c r="AQ378"/>
      <c r="AR378"/>
    </row>
    <row r="379" spans="22:44" hidden="1" x14ac:dyDescent="0.25">
      <c r="V379"/>
      <c r="W379"/>
      <c r="AP379"/>
      <c r="AQ379"/>
      <c r="AR379"/>
    </row>
    <row r="380" spans="22:44" hidden="1" x14ac:dyDescent="0.25">
      <c r="V380"/>
      <c r="W380"/>
      <c r="AP380"/>
      <c r="AQ380"/>
      <c r="AR380"/>
    </row>
    <row r="381" spans="22:44" hidden="1" x14ac:dyDescent="0.25">
      <c r="V381"/>
      <c r="W381"/>
      <c r="AP381"/>
      <c r="AQ381"/>
      <c r="AR381"/>
    </row>
    <row r="417" x14ac:dyDescent="0.25"/>
    <row r="418"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sheetData>
  <sheetProtection algorithmName="SHA-512" hashValue="mM/cBtVE0nlpbs7vCxdT2TRP/2dHtEVR6NOm+9cQYjTKDzmpCnKppwE59b9n+Ig+UvUjC0nEWtKlzhjLuz/2/g==" saltValue="LlRg90BS0U9edejwFa2p2g==" spinCount="100000" sheet="1" objects="1" scenarios="1"/>
  <hyperlinks>
    <hyperlink ref="A3" location="'M03-S01'!A1" display="P-Electric Lighting" xr:uid="{00000000-0004-0000-0600-000000000000}"/>
    <hyperlink ref="A34" location="'M03-S02'!A1" display="P-Electric Lighting Controls" xr:uid="{00000000-0004-0000-0600-000001000000}"/>
    <hyperlink ref="A96" location="'M03-S04'!A1" display="'M03-S04'!A1" xr:uid="{00000000-0004-0000-0600-000002000000}"/>
    <hyperlink ref="A150" location="'M03-S05'!A1" display="'M03-S05'!A1" xr:uid="{00000000-0004-0000-0600-000003000000}"/>
    <hyperlink ref="A258" location="'M05-S01'!A1" display="'M05-S01'!A1" xr:uid="{00000000-0004-0000-0600-000005000000}"/>
    <hyperlink ref="A269" location="'M05-S02'!A1" display="'M05-S02'!A1" xr:uid="{00000000-0004-0000-0600-000006000000}"/>
    <hyperlink ref="A281" location="'M05-S03'!A1" display="'M05-S03'!A1" xr:uid="{00000000-0004-0000-0600-000007000000}"/>
    <hyperlink ref="A292" location="'M05-S04'!A1" display="'M05-S04'!A1" xr:uid="{00000000-0004-0000-0600-000008000000}"/>
    <hyperlink ref="A303" location="'M05-S05'!A1" display="'M05-S05'!A1" xr:uid="{00000000-0004-0000-0600-000009000000}"/>
    <hyperlink ref="A314" location="'M05-S06'!A1" display="'M05-S06'!A1" xr:uid="{00000000-0004-0000-0600-00000A000000}"/>
    <hyperlink ref="A325" location="'M05-S07'!A1" display="'M05-S07'!A1" xr:uid="{00000000-0004-0000-0600-00000B000000}"/>
    <hyperlink ref="A181" location="'M04-S01'!A1" display="=CONCATENATE(MAIN4,&quot; &quot;,M4S1)" xr:uid="{00000000-0004-0000-0600-00000D000000}"/>
    <hyperlink ref="A65" location="'M03-S03'!A1" display="'M03-S03'!A1" xr:uid="{00000000-0004-0000-0600-00000E000000}"/>
    <hyperlink ref="A192" location="'M04-S02'!A1" display="=CONCATENATE(MAIN4,&quot; &quot;,M4S2)" xr:uid="{860ABEDB-7474-4F85-B301-559F8FF7FF38}"/>
    <hyperlink ref="A203" location="'M04-S03'!A1" display="=CONCATENATE(MAIN4,&quot; &quot;,M4S3)" xr:uid="{D0E28F66-1553-4A65-9473-6497FC437961}"/>
    <hyperlink ref="A214" location="'M04-S04'!A1" display="=CONCATENATE(MAIN4,&quot; &quot;,M4S4)" xr:uid="{62B91885-6E85-4923-9384-84996F7CD8A4}"/>
    <hyperlink ref="A225" location="'M04-S05'!A1" display="=CONCATENATE(MAIN4,&quot; &quot;,M4S5)" xr:uid="{752D9C2E-1BB4-4015-81ED-3493A8E46D9E}"/>
    <hyperlink ref="A127" location="'M03-S06'!A1" display="'M03-S06'!A1" xr:uid="{7A3EC477-4BB9-4863-A919-756227A992CD}"/>
    <hyperlink ref="A236" location="'M04-S06'!A1" display="'M04-S06'!A1" xr:uid="{AAAE19B4-3DDA-46E3-969E-E990D6169780}"/>
    <hyperlink ref="A247" location="'M04-S07'!A1" display="'M04-S07'!A1" xr:uid="{E6889B0C-4B79-420E-9BE3-1D433D0E4321}"/>
    <hyperlink ref="A140" location="'M03-S06'!A1" display="'M03-S06'!A1" xr:uid="{8EBC8703-CE3B-4A0C-BEAC-0D12EE68FA45}"/>
    <hyperlink ref="A142" location="'M03-S06'!A1" display="'M03-S06'!A1" xr:uid="{47CDF8BB-DAAC-4E0F-929B-17D84FA1F0E2}"/>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B7797-9DD8-457A-96A8-2FF01AE7828B}">
  <sheetPr codeName="Sheet7"/>
  <dimension ref="A1:G87"/>
  <sheetViews>
    <sheetView showRowColHeaders="0" topLeftCell="A75" zoomScale="130" zoomScaleNormal="130" workbookViewId="0">
      <selection activeCell="D79" sqref="D79"/>
    </sheetView>
  </sheetViews>
  <sheetFormatPr defaultRowHeight="15" x14ac:dyDescent="0.25"/>
  <cols>
    <col min="1" max="2" width="16.28515625" customWidth="1"/>
    <col min="4" max="4" width="116.7109375" customWidth="1"/>
  </cols>
  <sheetData>
    <row r="1" spans="1:7" x14ac:dyDescent="0.25">
      <c r="A1" s="594" t="s">
        <v>162</v>
      </c>
      <c r="B1" s="594"/>
      <c r="C1" s="594"/>
      <c r="D1" s="594"/>
    </row>
    <row r="2" spans="1:7" x14ac:dyDescent="0.25">
      <c r="A2" s="594"/>
      <c r="B2" s="594"/>
      <c r="C2" s="594"/>
      <c r="D2" s="594"/>
    </row>
    <row r="3" spans="1:7" x14ac:dyDescent="0.25">
      <c r="A3" s="594"/>
      <c r="B3" s="594"/>
      <c r="C3" s="594"/>
      <c r="D3" s="594"/>
    </row>
    <row r="4" spans="1:7" x14ac:dyDescent="0.25">
      <c r="A4" s="23" t="s">
        <v>165</v>
      </c>
      <c r="B4" s="23" t="s">
        <v>163</v>
      </c>
      <c r="C4" s="23" t="s">
        <v>164</v>
      </c>
      <c r="D4" s="24" t="s">
        <v>166</v>
      </c>
      <c r="F4" s="23" t="s">
        <v>1213</v>
      </c>
    </row>
    <row r="5" spans="1:7" ht="15.75" x14ac:dyDescent="0.3">
      <c r="A5" s="25">
        <v>42464</v>
      </c>
      <c r="B5" s="26" t="s">
        <v>1160</v>
      </c>
      <c r="C5" s="27" t="s">
        <v>1161</v>
      </c>
      <c r="D5" s="28" t="s">
        <v>1162</v>
      </c>
      <c r="F5" t="s">
        <v>1209</v>
      </c>
      <c r="G5" t="s">
        <v>1212</v>
      </c>
    </row>
    <row r="6" spans="1:7" ht="54" x14ac:dyDescent="0.3">
      <c r="A6" s="25">
        <v>42467</v>
      </c>
      <c r="B6" s="26" t="s">
        <v>1160</v>
      </c>
      <c r="C6" s="27" t="s">
        <v>1186</v>
      </c>
      <c r="D6" s="28" t="s">
        <v>1206</v>
      </c>
      <c r="F6" t="s">
        <v>1210</v>
      </c>
      <c r="G6" t="s">
        <v>1230</v>
      </c>
    </row>
    <row r="7" spans="1:7" ht="40.5" x14ac:dyDescent="0.3">
      <c r="A7" s="25">
        <v>42472</v>
      </c>
      <c r="B7" s="26" t="s">
        <v>1160</v>
      </c>
      <c r="C7" s="27" t="s">
        <v>1187</v>
      </c>
      <c r="D7" s="28" t="s">
        <v>1207</v>
      </c>
      <c r="F7" t="s">
        <v>1211</v>
      </c>
      <c r="G7" t="s">
        <v>1217</v>
      </c>
    </row>
    <row r="8" spans="1:7" ht="54" x14ac:dyDescent="0.3">
      <c r="A8" s="25">
        <v>42489</v>
      </c>
      <c r="B8" s="26" t="s">
        <v>1160</v>
      </c>
      <c r="C8" s="27" t="s">
        <v>1196</v>
      </c>
      <c r="D8" s="28" t="s">
        <v>1208</v>
      </c>
      <c r="F8" t="s">
        <v>1817</v>
      </c>
    </row>
    <row r="9" spans="1:7" ht="121.5" x14ac:dyDescent="0.3">
      <c r="A9" s="25">
        <v>42510</v>
      </c>
      <c r="B9" s="26" t="s">
        <v>1160</v>
      </c>
      <c r="C9" s="27" t="s">
        <v>1215</v>
      </c>
      <c r="D9" s="28" t="s">
        <v>1214</v>
      </c>
    </row>
    <row r="10" spans="1:7" ht="15.75" x14ac:dyDescent="0.3">
      <c r="A10" s="25">
        <v>42514</v>
      </c>
      <c r="B10" s="26" t="s">
        <v>1160</v>
      </c>
      <c r="C10" s="27" t="s">
        <v>1216</v>
      </c>
      <c r="D10" s="28" t="s">
        <v>1218</v>
      </c>
    </row>
    <row r="11" spans="1:7" ht="15.75" x14ac:dyDescent="0.3">
      <c r="A11" s="25">
        <v>42517</v>
      </c>
      <c r="B11" s="26" t="s">
        <v>1160</v>
      </c>
      <c r="C11" s="27" t="s">
        <v>1223</v>
      </c>
      <c r="D11" s="28" t="s">
        <v>1224</v>
      </c>
    </row>
    <row r="12" spans="1:7" ht="81" x14ac:dyDescent="0.3">
      <c r="A12" s="25">
        <v>42543</v>
      </c>
      <c r="B12" s="26" t="s">
        <v>1160</v>
      </c>
      <c r="C12" s="27" t="s">
        <v>1237</v>
      </c>
      <c r="D12" s="28" t="s">
        <v>1238</v>
      </c>
    </row>
    <row r="13" spans="1:7" ht="15.75" x14ac:dyDescent="0.3">
      <c r="A13" s="25">
        <v>42544</v>
      </c>
      <c r="B13" s="26" t="s">
        <v>1160</v>
      </c>
      <c r="C13" s="27" t="s">
        <v>1241</v>
      </c>
      <c r="D13" s="28" t="s">
        <v>1242</v>
      </c>
    </row>
    <row r="14" spans="1:7" ht="15.75" x14ac:dyDescent="0.3">
      <c r="A14" s="25">
        <v>42550</v>
      </c>
      <c r="B14" s="26" t="s">
        <v>1160</v>
      </c>
      <c r="C14" s="27" t="s">
        <v>1272</v>
      </c>
      <c r="D14" s="28" t="s">
        <v>1273</v>
      </c>
    </row>
    <row r="15" spans="1:7" ht="256.5" x14ac:dyDescent="0.3">
      <c r="A15" s="25">
        <v>42640</v>
      </c>
      <c r="B15" s="26" t="s">
        <v>1308</v>
      </c>
      <c r="C15" s="27" t="s">
        <v>1310</v>
      </c>
      <c r="D15" s="28" t="s">
        <v>1311</v>
      </c>
    </row>
    <row r="16" spans="1:7" ht="121.5" x14ac:dyDescent="0.3">
      <c r="A16" s="25">
        <v>42713</v>
      </c>
      <c r="B16" s="26" t="s">
        <v>1308</v>
      </c>
      <c r="C16" s="27" t="s">
        <v>1312</v>
      </c>
      <c r="D16" s="28" t="s">
        <v>1318</v>
      </c>
    </row>
    <row r="17" spans="1:4" ht="202.5" x14ac:dyDescent="0.3">
      <c r="A17" s="25">
        <v>42793</v>
      </c>
      <c r="B17" s="26" t="s">
        <v>1308</v>
      </c>
      <c r="C17" s="27" t="s">
        <v>1322</v>
      </c>
      <c r="D17" s="28" t="s">
        <v>1325</v>
      </c>
    </row>
    <row r="18" spans="1:4" ht="54" x14ac:dyDescent="0.3">
      <c r="A18" s="25">
        <v>42797</v>
      </c>
      <c r="B18" s="26" t="s">
        <v>1160</v>
      </c>
      <c r="C18" s="27" t="s">
        <v>1327</v>
      </c>
      <c r="D18" s="28" t="s">
        <v>1328</v>
      </c>
    </row>
    <row r="19" spans="1:4" ht="15.75" x14ac:dyDescent="0.3">
      <c r="A19" s="25">
        <v>42802</v>
      </c>
      <c r="B19" s="26" t="s">
        <v>1308</v>
      </c>
      <c r="C19" s="27" t="s">
        <v>1329</v>
      </c>
      <c r="D19" s="28" t="s">
        <v>1330</v>
      </c>
    </row>
    <row r="20" spans="1:4" ht="189" x14ac:dyDescent="0.3">
      <c r="A20" s="25">
        <v>42845</v>
      </c>
      <c r="B20" s="26" t="s">
        <v>1308</v>
      </c>
      <c r="C20" s="27" t="s">
        <v>1331</v>
      </c>
      <c r="D20" s="28" t="s">
        <v>1340</v>
      </c>
    </row>
    <row r="21" spans="1:4" ht="121.5" x14ac:dyDescent="0.3">
      <c r="A21" s="25">
        <v>42909</v>
      </c>
      <c r="B21" s="26" t="s">
        <v>1308</v>
      </c>
      <c r="C21" s="27" t="s">
        <v>1341</v>
      </c>
      <c r="D21" s="28" t="s">
        <v>1346</v>
      </c>
    </row>
    <row r="22" spans="1:4" ht="121.5" x14ac:dyDescent="0.3">
      <c r="A22" s="25">
        <v>42978</v>
      </c>
      <c r="B22" s="26" t="s">
        <v>1308</v>
      </c>
      <c r="C22" s="27" t="s">
        <v>1347</v>
      </c>
      <c r="D22" s="28" t="s">
        <v>1351</v>
      </c>
    </row>
    <row r="23" spans="1:4" ht="40.5" x14ac:dyDescent="0.3">
      <c r="A23" s="25">
        <v>42997</v>
      </c>
      <c r="B23" s="26" t="s">
        <v>1308</v>
      </c>
      <c r="C23" s="27" t="s">
        <v>1355</v>
      </c>
      <c r="D23" s="28" t="s">
        <v>1356</v>
      </c>
    </row>
    <row r="24" spans="1:4" ht="94.5" x14ac:dyDescent="0.3">
      <c r="A24" s="25">
        <v>43108</v>
      </c>
      <c r="B24" s="26" t="s">
        <v>1308</v>
      </c>
      <c r="C24" s="27" t="s">
        <v>1391</v>
      </c>
      <c r="D24" s="28" t="s">
        <v>1411</v>
      </c>
    </row>
    <row r="25" spans="1:4" ht="15.75" x14ac:dyDescent="0.3">
      <c r="A25" s="25">
        <v>43111</v>
      </c>
      <c r="B25" s="26" t="s">
        <v>1308</v>
      </c>
      <c r="C25" s="27" t="s">
        <v>1414</v>
      </c>
      <c r="D25" s="28" t="s">
        <v>1415</v>
      </c>
    </row>
    <row r="26" spans="1:4" ht="81" x14ac:dyDescent="0.3">
      <c r="A26" s="25">
        <v>43175</v>
      </c>
      <c r="B26" s="26" t="s">
        <v>1308</v>
      </c>
      <c r="C26" s="27" t="s">
        <v>1416</v>
      </c>
      <c r="D26" s="28" t="s">
        <v>1421</v>
      </c>
    </row>
    <row r="27" spans="1:4" ht="15.75" x14ac:dyDescent="0.3">
      <c r="A27" s="25">
        <v>43272</v>
      </c>
      <c r="B27" s="26" t="s">
        <v>1308</v>
      </c>
      <c r="C27" s="27" t="s">
        <v>1422</v>
      </c>
      <c r="D27" s="28" t="s">
        <v>1424</v>
      </c>
    </row>
    <row r="28" spans="1:4" ht="148.5" x14ac:dyDescent="0.3">
      <c r="A28" s="25">
        <v>43313</v>
      </c>
      <c r="B28" s="26" t="s">
        <v>1308</v>
      </c>
      <c r="C28" s="27" t="s">
        <v>1423</v>
      </c>
      <c r="D28" s="28" t="s">
        <v>1493</v>
      </c>
    </row>
    <row r="29" spans="1:4" ht="54" x14ac:dyDescent="0.3">
      <c r="A29" s="25">
        <v>43434</v>
      </c>
      <c r="B29" s="26" t="s">
        <v>1308</v>
      </c>
      <c r="C29" s="27" t="s">
        <v>1514</v>
      </c>
      <c r="D29" s="28" t="s">
        <v>1533</v>
      </c>
    </row>
    <row r="30" spans="1:4" ht="27" x14ac:dyDescent="0.3">
      <c r="A30" s="25">
        <v>43451</v>
      </c>
      <c r="B30" s="26" t="s">
        <v>1308</v>
      </c>
      <c r="C30" s="27" t="s">
        <v>1534</v>
      </c>
      <c r="D30" s="28" t="s">
        <v>1535</v>
      </c>
    </row>
    <row r="31" spans="1:4" ht="40.5" x14ac:dyDescent="0.3">
      <c r="A31" s="25">
        <v>43525</v>
      </c>
      <c r="B31" s="26" t="s">
        <v>1308</v>
      </c>
      <c r="C31" s="27" t="s">
        <v>1668</v>
      </c>
      <c r="D31" s="28" t="s">
        <v>1693</v>
      </c>
    </row>
    <row r="32" spans="1:4" ht="27" x14ac:dyDescent="0.3">
      <c r="A32" s="25">
        <v>43525</v>
      </c>
      <c r="B32" s="26" t="s">
        <v>1308</v>
      </c>
      <c r="C32" s="27" t="s">
        <v>1820</v>
      </c>
      <c r="D32" s="28" t="s">
        <v>1832</v>
      </c>
    </row>
    <row r="33" spans="1:4" ht="67.5" x14ac:dyDescent="0.3">
      <c r="A33" s="25">
        <v>43536</v>
      </c>
      <c r="B33" s="26" t="s">
        <v>1308</v>
      </c>
      <c r="C33" s="27" t="s">
        <v>1833</v>
      </c>
      <c r="D33" s="28" t="s">
        <v>1834</v>
      </c>
    </row>
    <row r="34" spans="1:4" ht="27" x14ac:dyDescent="0.3">
      <c r="A34" s="25">
        <v>43549</v>
      </c>
      <c r="B34" s="26" t="s">
        <v>1308</v>
      </c>
      <c r="C34" s="27" t="s">
        <v>1835</v>
      </c>
      <c r="D34" s="28" t="s">
        <v>1836</v>
      </c>
    </row>
    <row r="35" spans="1:4" ht="94.5" x14ac:dyDescent="0.3">
      <c r="A35" s="25">
        <v>43567</v>
      </c>
      <c r="B35" s="26" t="s">
        <v>1308</v>
      </c>
      <c r="C35" s="27" t="s">
        <v>1838</v>
      </c>
      <c r="D35" s="28" t="s">
        <v>1842</v>
      </c>
    </row>
    <row r="36" spans="1:4" ht="15.75" x14ac:dyDescent="0.3">
      <c r="A36" s="25">
        <v>43588</v>
      </c>
      <c r="B36" s="26" t="s">
        <v>1308</v>
      </c>
      <c r="C36" s="27" t="s">
        <v>1844</v>
      </c>
      <c r="D36" s="28" t="s">
        <v>1845</v>
      </c>
    </row>
    <row r="37" spans="1:4" ht="148.5" x14ac:dyDescent="0.3">
      <c r="A37" s="25">
        <v>43616</v>
      </c>
      <c r="B37" s="26" t="s">
        <v>1308</v>
      </c>
      <c r="C37" s="27" t="s">
        <v>1856</v>
      </c>
      <c r="D37" s="28" t="s">
        <v>1901</v>
      </c>
    </row>
    <row r="38" spans="1:4" ht="175.5" x14ac:dyDescent="0.3">
      <c r="A38" s="25">
        <v>43707</v>
      </c>
      <c r="B38" s="26" t="s">
        <v>1308</v>
      </c>
      <c r="C38" s="27" t="s">
        <v>1904</v>
      </c>
      <c r="D38" s="28" t="s">
        <v>1954</v>
      </c>
    </row>
    <row r="39" spans="1:4" ht="15.75" x14ac:dyDescent="0.3">
      <c r="A39" s="25">
        <v>43834</v>
      </c>
      <c r="B39" s="26" t="s">
        <v>1308</v>
      </c>
      <c r="C39" s="27" t="s">
        <v>1960</v>
      </c>
      <c r="D39" s="28" t="s">
        <v>1961</v>
      </c>
    </row>
    <row r="40" spans="1:4" ht="229.5" x14ac:dyDescent="0.3">
      <c r="A40" s="25">
        <v>43861</v>
      </c>
      <c r="B40" s="26" t="s">
        <v>1308</v>
      </c>
      <c r="C40" s="27" t="s">
        <v>1958</v>
      </c>
      <c r="D40" s="28" t="s">
        <v>1994</v>
      </c>
    </row>
    <row r="41" spans="1:4" ht="15.75" x14ac:dyDescent="0.3">
      <c r="A41" s="25">
        <v>43899</v>
      </c>
      <c r="B41" s="26" t="s">
        <v>1308</v>
      </c>
      <c r="C41" s="27" t="s">
        <v>2000</v>
      </c>
      <c r="D41" s="28" t="s">
        <v>2001</v>
      </c>
    </row>
    <row r="42" spans="1:4" ht="15.75" x14ac:dyDescent="0.3">
      <c r="A42" s="25">
        <v>43951</v>
      </c>
      <c r="B42" s="26" t="s">
        <v>1308</v>
      </c>
      <c r="C42" s="27" t="s">
        <v>2002</v>
      </c>
      <c r="D42" s="28" t="s">
        <v>2003</v>
      </c>
    </row>
    <row r="43" spans="1:4" ht="40.5" x14ac:dyDescent="0.3">
      <c r="A43" s="25">
        <v>43987</v>
      </c>
      <c r="B43" s="26" t="s">
        <v>1308</v>
      </c>
      <c r="C43" s="27" t="s">
        <v>2004</v>
      </c>
      <c r="D43" s="28" t="s">
        <v>2005</v>
      </c>
    </row>
    <row r="44" spans="1:4" ht="189" x14ac:dyDescent="0.3">
      <c r="A44" s="25">
        <v>44013</v>
      </c>
      <c r="B44" s="26" t="s">
        <v>1308</v>
      </c>
      <c r="C44" s="27" t="s">
        <v>2012</v>
      </c>
      <c r="D44" s="487" t="s">
        <v>2104</v>
      </c>
    </row>
    <row r="45" spans="1:4" ht="27" x14ac:dyDescent="0.3">
      <c r="A45" s="25">
        <v>44019</v>
      </c>
      <c r="B45" s="26" t="s">
        <v>1308</v>
      </c>
      <c r="C45" s="27" t="s">
        <v>2105</v>
      </c>
      <c r="D45" s="28" t="s">
        <v>2106</v>
      </c>
    </row>
    <row r="46" spans="1:4" ht="40.5" x14ac:dyDescent="0.3">
      <c r="A46" s="25">
        <v>44053</v>
      </c>
      <c r="B46" s="26" t="s">
        <v>1308</v>
      </c>
      <c r="C46" s="27" t="s">
        <v>2107</v>
      </c>
      <c r="D46" s="28" t="s">
        <v>2108</v>
      </c>
    </row>
    <row r="47" spans="1:4" ht="15.75" x14ac:dyDescent="0.3">
      <c r="A47" s="25">
        <v>44083</v>
      </c>
      <c r="B47" s="26" t="s">
        <v>1308</v>
      </c>
      <c r="C47" s="27" t="s">
        <v>2109</v>
      </c>
      <c r="D47" s="28" t="s">
        <v>2110</v>
      </c>
    </row>
    <row r="48" spans="1:4" ht="27" x14ac:dyDescent="0.3">
      <c r="A48" s="25">
        <v>44106</v>
      </c>
      <c r="B48" s="26" t="s">
        <v>1308</v>
      </c>
      <c r="C48" s="27" t="s">
        <v>2124</v>
      </c>
      <c r="D48" s="28" t="s">
        <v>2125</v>
      </c>
    </row>
    <row r="49" spans="1:4" ht="15.75" x14ac:dyDescent="0.3">
      <c r="A49" s="25">
        <v>44110</v>
      </c>
      <c r="B49" s="26" t="s">
        <v>1308</v>
      </c>
      <c r="C49" s="27" t="s">
        <v>2149</v>
      </c>
      <c r="D49" s="28" t="s">
        <v>2150</v>
      </c>
    </row>
    <row r="50" spans="1:4" ht="15.75" x14ac:dyDescent="0.3">
      <c r="A50" s="25">
        <v>44134</v>
      </c>
      <c r="B50" s="26" t="s">
        <v>1308</v>
      </c>
      <c r="C50" s="27" t="s">
        <v>2157</v>
      </c>
      <c r="D50" s="28" t="s">
        <v>2158</v>
      </c>
    </row>
    <row r="51" spans="1:4" ht="27" x14ac:dyDescent="0.3">
      <c r="A51" s="25">
        <v>44151</v>
      </c>
      <c r="B51" s="26" t="s">
        <v>1308</v>
      </c>
      <c r="C51" s="27" t="s">
        <v>2160</v>
      </c>
      <c r="D51" s="28" t="s">
        <v>2161</v>
      </c>
    </row>
    <row r="52" spans="1:4" ht="27" x14ac:dyDescent="0.3">
      <c r="A52" s="25">
        <v>44168</v>
      </c>
      <c r="B52" s="26" t="s">
        <v>1308</v>
      </c>
      <c r="C52" s="27" t="s">
        <v>2178</v>
      </c>
      <c r="D52" s="28" t="s">
        <v>2181</v>
      </c>
    </row>
    <row r="53" spans="1:4" ht="27" x14ac:dyDescent="0.3">
      <c r="A53" s="25">
        <v>44203</v>
      </c>
      <c r="B53" s="26" t="s">
        <v>1308</v>
      </c>
      <c r="C53" s="27" t="s">
        <v>2185</v>
      </c>
      <c r="D53" s="28" t="s">
        <v>2186</v>
      </c>
    </row>
    <row r="54" spans="1:4" ht="94.5" x14ac:dyDescent="0.3">
      <c r="A54" s="25">
        <v>44249</v>
      </c>
      <c r="B54" s="26" t="s">
        <v>1308</v>
      </c>
      <c r="C54" s="27" t="s">
        <v>2187</v>
      </c>
      <c r="D54" s="28" t="s">
        <v>2224</v>
      </c>
    </row>
    <row r="55" spans="1:4" ht="67.5" x14ac:dyDescent="0.3">
      <c r="A55" s="25">
        <v>44316</v>
      </c>
      <c r="B55" s="26" t="s">
        <v>1308</v>
      </c>
      <c r="C55" s="27" t="s">
        <v>2228</v>
      </c>
      <c r="D55" s="28" t="s">
        <v>2230</v>
      </c>
    </row>
    <row r="56" spans="1:4" ht="26.25" customHeight="1" x14ac:dyDescent="0.3">
      <c r="A56" s="25">
        <v>44350</v>
      </c>
      <c r="B56" s="26" t="s">
        <v>1308</v>
      </c>
      <c r="C56" s="27" t="s">
        <v>2231</v>
      </c>
      <c r="D56" s="28" t="s">
        <v>2232</v>
      </c>
    </row>
    <row r="57" spans="1:4" ht="27" x14ac:dyDescent="0.3">
      <c r="A57" s="25">
        <v>44357</v>
      </c>
      <c r="B57" s="26" t="s">
        <v>1308</v>
      </c>
      <c r="C57" s="27" t="s">
        <v>2233</v>
      </c>
      <c r="D57" s="28" t="s">
        <v>2234</v>
      </c>
    </row>
    <row r="58" spans="1:4" ht="15.75" x14ac:dyDescent="0.3">
      <c r="A58" s="25">
        <v>44403</v>
      </c>
      <c r="B58" s="26" t="s">
        <v>1308</v>
      </c>
      <c r="C58" s="27" t="s">
        <v>2235</v>
      </c>
      <c r="D58" s="28" t="s">
        <v>2236</v>
      </c>
    </row>
    <row r="59" spans="1:4" ht="67.5" x14ac:dyDescent="0.3">
      <c r="A59" s="25">
        <v>44493</v>
      </c>
      <c r="B59" s="26" t="s">
        <v>1308</v>
      </c>
      <c r="C59" s="27" t="s">
        <v>2244</v>
      </c>
      <c r="D59" s="28" t="s">
        <v>2254</v>
      </c>
    </row>
    <row r="60" spans="1:4" ht="175.5" x14ac:dyDescent="0.3">
      <c r="A60" s="25">
        <v>44561</v>
      </c>
      <c r="B60" s="26" t="s">
        <v>1308</v>
      </c>
      <c r="C60" s="27" t="s">
        <v>2316</v>
      </c>
      <c r="D60" s="28" t="s">
        <v>2354</v>
      </c>
    </row>
    <row r="61" spans="1:4" ht="27" x14ac:dyDescent="0.3">
      <c r="A61" s="25">
        <v>44596</v>
      </c>
      <c r="B61" s="26" t="s">
        <v>1308</v>
      </c>
      <c r="C61" s="27" t="s">
        <v>2368</v>
      </c>
      <c r="D61" s="28" t="s">
        <v>2369</v>
      </c>
    </row>
    <row r="62" spans="1:4" ht="148.5" x14ac:dyDescent="0.3">
      <c r="A62" s="25">
        <v>44681</v>
      </c>
      <c r="B62" s="26" t="s">
        <v>1308</v>
      </c>
      <c r="C62" s="27" t="s">
        <v>2370</v>
      </c>
      <c r="D62" s="28" t="s">
        <v>2377</v>
      </c>
    </row>
    <row r="63" spans="1:4" ht="15.75" x14ac:dyDescent="0.3">
      <c r="A63" s="25">
        <v>44691</v>
      </c>
      <c r="B63" s="26" t="s">
        <v>1308</v>
      </c>
      <c r="C63" s="27" t="s">
        <v>2378</v>
      </c>
      <c r="D63" s="28" t="s">
        <v>2379</v>
      </c>
    </row>
    <row r="64" spans="1:4" ht="15.75" x14ac:dyDescent="0.3">
      <c r="A64" s="25">
        <v>44781</v>
      </c>
      <c r="B64" s="26" t="s">
        <v>1308</v>
      </c>
      <c r="C64" s="27" t="s">
        <v>2380</v>
      </c>
      <c r="D64" s="28" t="s">
        <v>2381</v>
      </c>
    </row>
    <row r="65" spans="1:4" ht="15.75" x14ac:dyDescent="0.3">
      <c r="A65" s="25">
        <v>44799</v>
      </c>
      <c r="B65" s="26" t="s">
        <v>1308</v>
      </c>
      <c r="C65" s="27" t="s">
        <v>2382</v>
      </c>
      <c r="D65" s="28" t="s">
        <v>2383</v>
      </c>
    </row>
    <row r="66" spans="1:4" ht="15.75" x14ac:dyDescent="0.3">
      <c r="A66" s="25">
        <v>44826</v>
      </c>
      <c r="B66" s="26" t="s">
        <v>1308</v>
      </c>
      <c r="C66" s="27" t="s">
        <v>2384</v>
      </c>
      <c r="D66" s="28" t="s">
        <v>2385</v>
      </c>
    </row>
    <row r="67" spans="1:4" ht="27" x14ac:dyDescent="0.3">
      <c r="A67" s="25">
        <v>44841</v>
      </c>
      <c r="B67" s="26" t="s">
        <v>1308</v>
      </c>
      <c r="C67" s="27" t="s">
        <v>2386</v>
      </c>
      <c r="D67" s="28" t="s">
        <v>2387</v>
      </c>
    </row>
    <row r="68" spans="1:4" ht="108" x14ac:dyDescent="0.3">
      <c r="A68" s="25">
        <v>44926</v>
      </c>
      <c r="B68" s="26" t="s">
        <v>1308</v>
      </c>
      <c r="C68" s="27" t="s">
        <v>2388</v>
      </c>
      <c r="D68" s="28" t="s">
        <v>2393</v>
      </c>
    </row>
    <row r="69" spans="1:4" ht="40.5" x14ac:dyDescent="0.3">
      <c r="A69" s="25">
        <v>44971</v>
      </c>
      <c r="B69" s="26" t="s">
        <v>1308</v>
      </c>
      <c r="C69" s="27" t="s">
        <v>2395</v>
      </c>
      <c r="D69" s="28" t="s">
        <v>2397</v>
      </c>
    </row>
    <row r="70" spans="1:4" ht="27" x14ac:dyDescent="0.3">
      <c r="A70" s="25">
        <v>45047</v>
      </c>
      <c r="B70" s="26" t="s">
        <v>1308</v>
      </c>
      <c r="C70" s="27" t="s">
        <v>2398</v>
      </c>
      <c r="D70" s="28" t="s">
        <v>2399</v>
      </c>
    </row>
    <row r="71" spans="1:4" ht="15.75" x14ac:dyDescent="0.3">
      <c r="A71" s="25">
        <v>45063</v>
      </c>
      <c r="B71" s="26" t="s">
        <v>1308</v>
      </c>
      <c r="C71" s="27" t="s">
        <v>2400</v>
      </c>
      <c r="D71" s="28" t="s">
        <v>2401</v>
      </c>
    </row>
    <row r="72" spans="1:4" ht="27" x14ac:dyDescent="0.3">
      <c r="A72" s="25">
        <v>45108</v>
      </c>
      <c r="B72" s="26" t="s">
        <v>1308</v>
      </c>
      <c r="C72" s="27" t="s">
        <v>2402</v>
      </c>
      <c r="D72" s="28" t="s">
        <v>2403</v>
      </c>
    </row>
    <row r="73" spans="1:4" ht="15.75" x14ac:dyDescent="0.3">
      <c r="A73" s="25">
        <v>45155</v>
      </c>
      <c r="B73" s="26" t="s">
        <v>1308</v>
      </c>
      <c r="C73" s="27" t="s">
        <v>2404</v>
      </c>
      <c r="D73" s="28" t="s">
        <v>2405</v>
      </c>
    </row>
    <row r="74" spans="1:4" ht="15.75" x14ac:dyDescent="0.3">
      <c r="A74" s="25">
        <v>45186</v>
      </c>
      <c r="B74" s="26" t="s">
        <v>1308</v>
      </c>
      <c r="C74" s="27" t="s">
        <v>2407</v>
      </c>
      <c r="D74" s="28" t="s">
        <v>2408</v>
      </c>
    </row>
    <row r="75" spans="1:4" ht="378" x14ac:dyDescent="0.3">
      <c r="A75" s="25">
        <v>45293</v>
      </c>
      <c r="B75" s="26" t="s">
        <v>1308</v>
      </c>
      <c r="C75" s="27" t="s">
        <v>2461</v>
      </c>
      <c r="D75" s="28" t="s">
        <v>2462</v>
      </c>
    </row>
    <row r="76" spans="1:4" ht="27" x14ac:dyDescent="0.3">
      <c r="A76" s="25">
        <v>45316</v>
      </c>
      <c r="B76" s="26" t="s">
        <v>1308</v>
      </c>
      <c r="C76" s="27" t="s">
        <v>2463</v>
      </c>
      <c r="D76" s="28" t="s">
        <v>2464</v>
      </c>
    </row>
    <row r="77" spans="1:4" ht="40.5" x14ac:dyDescent="0.3">
      <c r="A77" s="25">
        <v>45356</v>
      </c>
      <c r="B77" s="26" t="s">
        <v>1308</v>
      </c>
      <c r="C77" s="27" t="s">
        <v>2465</v>
      </c>
      <c r="D77" s="28" t="s">
        <v>2467</v>
      </c>
    </row>
    <row r="78" spans="1:4" ht="108" x14ac:dyDescent="0.3">
      <c r="A78" s="25">
        <v>45397</v>
      </c>
      <c r="B78" s="26" t="s">
        <v>1308</v>
      </c>
      <c r="C78" s="27" t="s">
        <v>2480</v>
      </c>
      <c r="D78" s="28" t="s">
        <v>2483</v>
      </c>
    </row>
    <row r="79" spans="1:4" ht="15.75" x14ac:dyDescent="0.3">
      <c r="A79" s="25"/>
      <c r="B79" s="26"/>
      <c r="C79" s="27"/>
      <c r="D79" s="28"/>
    </row>
    <row r="80" spans="1:4" ht="15.75" x14ac:dyDescent="0.3">
      <c r="A80" s="25"/>
      <c r="B80" s="26"/>
      <c r="C80" s="27"/>
      <c r="D80" s="28"/>
    </row>
    <row r="81" spans="1:4" ht="15.75" x14ac:dyDescent="0.3">
      <c r="A81" s="25"/>
      <c r="B81" s="26"/>
      <c r="C81" s="27"/>
      <c r="D81" s="28"/>
    </row>
    <row r="82" spans="1:4" ht="15.75" x14ac:dyDescent="0.3">
      <c r="A82" s="25"/>
      <c r="B82" s="26"/>
      <c r="C82" s="27"/>
      <c r="D82" s="28"/>
    </row>
    <row r="83" spans="1:4" ht="15.75" x14ac:dyDescent="0.3">
      <c r="A83" s="25"/>
      <c r="B83" s="26"/>
      <c r="C83" s="27"/>
      <c r="D83" s="28"/>
    </row>
    <row r="84" spans="1:4" ht="15.75" x14ac:dyDescent="0.3">
      <c r="A84" s="25"/>
      <c r="B84" s="26"/>
      <c r="C84" s="27"/>
      <c r="D84" s="28"/>
    </row>
    <row r="85" spans="1:4" ht="15.75" x14ac:dyDescent="0.3">
      <c r="A85" s="25"/>
      <c r="B85" s="26"/>
      <c r="C85" s="27"/>
      <c r="D85" s="28"/>
    </row>
    <row r="86" spans="1:4" ht="15.75" x14ac:dyDescent="0.3">
      <c r="A86" s="25"/>
      <c r="B86" s="26"/>
      <c r="C86" s="27"/>
      <c r="D86" s="28"/>
    </row>
    <row r="87" spans="1:4" ht="15.75" x14ac:dyDescent="0.3">
      <c r="A87" s="25"/>
      <c r="B87" s="26"/>
      <c r="C87" s="27"/>
      <c r="D87" s="28"/>
    </row>
  </sheetData>
  <sheetProtection algorithmName="SHA-512" hashValue="e27hUYgR991UVdy8OFPYFxb6vonkzaB1Bj+uMrdM2pzKP3gCsf9WzS1Z200RDhuhJxnWummGKTL+41fjHrO81A==" saltValue="96L+UNzOuio9DPC6xP/0FQ==" spinCount="100000" sheet="1" objects="1" scenarios="1"/>
  <mergeCells count="1">
    <mergeCell ref="A1:D3"/>
  </mergeCells>
  <phoneticPr fontId="16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x14ac:dyDescent="0.25"/>
  <cols>
    <col min="1" max="43" width="4.7109375" customWidth="1"/>
    <col min="44" max="44" width="4.85546875" customWidth="1"/>
    <col min="45"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25">
      <c r="C10" s="599" t="s">
        <v>1151</v>
      </c>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row>
    <row r="11" spans="3:44" ht="15.95" customHeight="1" x14ac:dyDescent="0.25">
      <c r="C11" s="599"/>
      <c r="D11" s="599"/>
      <c r="E11" s="599"/>
      <c r="F11" s="599"/>
      <c r="G11" s="599"/>
      <c r="H11" s="599"/>
      <c r="I11" s="599"/>
      <c r="J11" s="599"/>
      <c r="K11" s="599"/>
      <c r="L11" s="599"/>
      <c r="M11" s="599"/>
      <c r="N11" s="599"/>
      <c r="O11" s="599"/>
      <c r="P11" s="599"/>
      <c r="Q11" s="599"/>
      <c r="R11" s="599"/>
      <c r="S11" s="599"/>
      <c r="T11" s="599"/>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spans="3:43" ht="15.95" customHeight="1" x14ac:dyDescent="0.25"/>
    <row r="18" spans="3:43" ht="15.95" customHeight="1" x14ac:dyDescent="0.25"/>
    <row r="19" spans="3:43" ht="15.95" customHeight="1" x14ac:dyDescent="0.25"/>
    <row r="20" spans="3:43" ht="15.95" customHeight="1" x14ac:dyDescent="0.25"/>
    <row r="21" spans="3:43" ht="15.95" customHeight="1" x14ac:dyDescent="0.25"/>
    <row r="22" spans="3:43" ht="15.95" customHeight="1" x14ac:dyDescent="0.25"/>
    <row r="23" spans="3:43" ht="15.95" customHeight="1" x14ac:dyDescent="0.25"/>
    <row r="24" spans="3:43" ht="15.95" customHeight="1" x14ac:dyDescent="0.25"/>
    <row r="25" spans="3:43" ht="15.95" customHeight="1" x14ac:dyDescent="0.25"/>
    <row r="26" spans="3:43" ht="15.95" customHeight="1" x14ac:dyDescent="0.25"/>
    <row r="27" spans="3:43" ht="15.95" customHeight="1" x14ac:dyDescent="0.25">
      <c r="D27" s="16"/>
    </row>
    <row r="28" spans="3:43" ht="15.95" customHeight="1" x14ac:dyDescent="0.25">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62"/>
      <c r="AE28" s="62"/>
      <c r="AF28" s="62"/>
      <c r="AG28" s="62"/>
      <c r="AH28" s="62"/>
      <c r="AI28" s="62"/>
      <c r="AJ28" s="62"/>
      <c r="AK28" s="62"/>
      <c r="AL28" s="62"/>
      <c r="AM28" s="62"/>
      <c r="AN28" s="62"/>
    </row>
    <row r="29" spans="3:43" ht="15.95" customHeight="1" x14ac:dyDescent="0.25">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71"/>
      <c r="AE29" s="271"/>
      <c r="AF29" s="271"/>
      <c r="AG29" s="199"/>
      <c r="AH29" s="199"/>
      <c r="AI29" s="199"/>
      <c r="AJ29" s="199"/>
      <c r="AK29" s="199"/>
      <c r="AL29" s="199"/>
      <c r="AM29" s="199"/>
      <c r="AN29" s="199"/>
      <c r="AO29" s="199"/>
      <c r="AP29" s="199"/>
      <c r="AQ29" s="199"/>
    </row>
    <row r="30" spans="3:43" ht="15.95" customHeight="1" x14ac:dyDescent="0.25">
      <c r="C30" s="272"/>
      <c r="D30" s="272"/>
      <c r="E30" s="272"/>
      <c r="F30" s="272"/>
      <c r="G30" s="272"/>
      <c r="H30" s="272"/>
      <c r="I30" s="272"/>
      <c r="J30" s="272"/>
      <c r="K30" s="272"/>
      <c r="L30" s="272"/>
      <c r="M30" s="272"/>
      <c r="N30" s="272"/>
      <c r="O30" s="272"/>
      <c r="P30" s="272"/>
      <c r="Q30" s="272"/>
      <c r="R30" s="272"/>
      <c r="S30" s="272"/>
      <c r="T30" s="272"/>
      <c r="U30" s="272"/>
      <c r="V30" s="272"/>
      <c r="W30" s="272"/>
      <c r="X30" s="272"/>
      <c r="Y30" s="294"/>
      <c r="Z30" s="294"/>
      <c r="AA30" s="294"/>
      <c r="AB30" s="294"/>
      <c r="AC30" s="294"/>
      <c r="AD30" s="294"/>
      <c r="AE30" s="294"/>
      <c r="AF30" s="294"/>
      <c r="AG30" s="294"/>
      <c r="AH30" s="294"/>
      <c r="AI30" s="294"/>
      <c r="AJ30" s="294"/>
      <c r="AK30" s="294"/>
      <c r="AL30" s="294"/>
      <c r="AM30" s="294"/>
      <c r="AN30" s="294"/>
      <c r="AO30" s="294"/>
      <c r="AP30" s="294"/>
      <c r="AQ30" s="294"/>
    </row>
    <row r="31" spans="3:43" ht="15.95" customHeight="1" x14ac:dyDescent="0.25">
      <c r="C31" s="272"/>
      <c r="D31" s="272"/>
      <c r="E31" s="272"/>
      <c r="F31" s="272"/>
      <c r="G31" s="272"/>
      <c r="H31" s="272"/>
      <c r="I31" s="272"/>
      <c r="J31" s="272"/>
      <c r="K31" s="272"/>
      <c r="L31" s="272"/>
      <c r="M31" s="272"/>
      <c r="N31" s="272"/>
      <c r="O31" s="272"/>
      <c r="P31" s="272"/>
      <c r="Q31" s="272"/>
      <c r="R31" s="272"/>
      <c r="S31" s="272"/>
      <c r="T31" s="272"/>
      <c r="U31" s="272"/>
      <c r="V31" s="272"/>
      <c r="W31" s="272"/>
      <c r="X31" s="272"/>
      <c r="Y31" s="294"/>
      <c r="Z31" s="294"/>
      <c r="AA31" s="294"/>
      <c r="AB31" s="294"/>
      <c r="AC31" s="294"/>
      <c r="AD31" s="294"/>
      <c r="AE31" s="294"/>
      <c r="AF31" s="294"/>
      <c r="AG31" s="294"/>
      <c r="AH31" s="294"/>
      <c r="AI31" s="294"/>
      <c r="AJ31" s="294"/>
      <c r="AK31" s="294"/>
      <c r="AL31" s="294"/>
      <c r="AM31" s="294"/>
      <c r="AN31" s="294"/>
      <c r="AO31" s="294"/>
      <c r="AP31" s="294"/>
      <c r="AQ31" s="294"/>
    </row>
    <row r="32" spans="3:43" ht="15.95" customHeight="1" x14ac:dyDescent="0.25">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row>
    <row r="33" spans="3:43" ht="15.95" customHeight="1" x14ac:dyDescent="0.25">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row>
    <row r="34" spans="3:43" ht="15.95" customHeight="1" x14ac:dyDescent="0.35">
      <c r="D34" s="268"/>
      <c r="E34" s="268"/>
      <c r="F34" s="268"/>
      <c r="G34" s="268"/>
      <c r="H34" s="268"/>
      <c r="J34" s="267"/>
      <c r="K34" s="267"/>
      <c r="L34" s="267"/>
      <c r="M34" s="267"/>
      <c r="N34" s="267"/>
      <c r="O34" s="267"/>
      <c r="P34" s="267"/>
      <c r="Q34" s="267"/>
      <c r="S34" s="269"/>
      <c r="T34" s="269"/>
      <c r="U34" s="269"/>
      <c r="V34" s="269"/>
      <c r="W34" s="269"/>
      <c r="X34" s="269"/>
      <c r="Y34" s="269"/>
      <c r="Z34" s="269"/>
      <c r="AA34" s="269"/>
    </row>
    <row r="35" spans="3:43" ht="15.95" hidden="1" customHeight="1" x14ac:dyDescent="0.35">
      <c r="C35" s="268"/>
      <c r="D35" s="268"/>
      <c r="E35" s="268"/>
      <c r="F35" s="268"/>
      <c r="G35" s="268"/>
      <c r="H35" s="268"/>
      <c r="I35" s="267"/>
      <c r="J35" s="267"/>
      <c r="K35" s="267"/>
      <c r="L35" s="267"/>
      <c r="M35" s="267"/>
      <c r="N35" s="267"/>
      <c r="O35" s="267"/>
      <c r="P35" s="267"/>
      <c r="Q35" s="267"/>
      <c r="S35" s="269"/>
      <c r="T35" s="269"/>
      <c r="U35" s="269"/>
      <c r="V35" s="269"/>
      <c r="W35" s="269"/>
      <c r="X35" s="269"/>
      <c r="Y35" s="269"/>
      <c r="Z35" s="269"/>
      <c r="AA35" s="269"/>
    </row>
    <row r="36" spans="3:43" ht="15.95" hidden="1" customHeight="1" x14ac:dyDescent="0.35">
      <c r="C36" s="268"/>
      <c r="D36" s="268"/>
      <c r="E36" s="268"/>
      <c r="F36" s="268"/>
      <c r="G36" s="268"/>
      <c r="H36" s="268"/>
      <c r="I36" s="267"/>
      <c r="J36" s="267"/>
      <c r="K36" s="267"/>
      <c r="L36" s="267"/>
      <c r="M36" s="267"/>
      <c r="N36" s="267"/>
      <c r="O36" s="267"/>
      <c r="P36" s="267"/>
      <c r="Q36" s="267"/>
      <c r="S36" s="269"/>
      <c r="T36" s="269"/>
      <c r="U36" s="269"/>
      <c r="V36" s="269"/>
      <c r="W36" s="269"/>
      <c r="X36" s="269"/>
      <c r="Y36" s="269"/>
      <c r="Z36" s="269"/>
      <c r="AA36" s="269"/>
    </row>
    <row r="37" spans="3:43" ht="15.95" hidden="1" customHeight="1" x14ac:dyDescent="0.35">
      <c r="C37" s="268"/>
      <c r="D37" s="268"/>
      <c r="E37" s="268"/>
      <c r="F37" s="268"/>
      <c r="G37" s="268"/>
      <c r="H37" s="268"/>
      <c r="I37" s="267"/>
      <c r="J37" s="267"/>
      <c r="K37" s="267"/>
      <c r="L37" s="267"/>
      <c r="M37" s="267"/>
      <c r="N37" s="267"/>
      <c r="O37" s="267"/>
      <c r="P37" s="267"/>
      <c r="Q37" s="267"/>
      <c r="S37" s="269"/>
      <c r="T37" s="269"/>
      <c r="U37" s="269"/>
      <c r="V37" s="269"/>
      <c r="W37" s="269"/>
      <c r="X37" s="269"/>
      <c r="Y37" s="269"/>
      <c r="Z37" s="269"/>
      <c r="AA37" s="269"/>
    </row>
    <row r="38" spans="3:43" ht="15.95" hidden="1" customHeight="1" x14ac:dyDescent="0.35">
      <c r="C38" s="268"/>
      <c r="D38" s="268"/>
      <c r="E38" s="268"/>
      <c r="F38" s="268"/>
      <c r="G38" s="268"/>
      <c r="H38" s="268"/>
      <c r="I38" s="267"/>
      <c r="J38" s="267"/>
      <c r="K38" s="267"/>
      <c r="L38" s="267"/>
      <c r="M38" s="267"/>
      <c r="N38" s="267"/>
      <c r="O38" s="267"/>
      <c r="P38" s="267"/>
      <c r="Q38" s="267"/>
      <c r="S38" s="269"/>
      <c r="T38" s="269"/>
      <c r="U38" s="269"/>
      <c r="V38" s="269"/>
      <c r="W38" s="269"/>
      <c r="X38" s="269"/>
      <c r="Y38" s="269"/>
      <c r="Z38" s="269"/>
      <c r="AA38" s="269"/>
    </row>
    <row r="39" spans="3:43" ht="15.95" hidden="1" customHeight="1" x14ac:dyDescent="0.35">
      <c r="C39" s="268"/>
      <c r="D39" s="268"/>
      <c r="E39" s="268"/>
      <c r="F39" s="268"/>
      <c r="G39" s="268"/>
      <c r="H39" s="268"/>
      <c r="I39" s="267"/>
      <c r="J39" s="267"/>
      <c r="K39" s="267"/>
      <c r="L39" s="267"/>
      <c r="M39" s="267"/>
      <c r="N39" s="267"/>
      <c r="O39" s="267"/>
      <c r="P39" s="267"/>
      <c r="Q39" s="267"/>
      <c r="S39" s="269"/>
      <c r="T39" s="269"/>
      <c r="U39" s="269"/>
      <c r="V39" s="269"/>
      <c r="W39" s="269"/>
      <c r="X39" s="269"/>
      <c r="Y39" s="269"/>
      <c r="Z39" s="269"/>
      <c r="AA39" s="269"/>
    </row>
    <row r="40" spans="3:43" ht="15.95" hidden="1" customHeight="1" x14ac:dyDescent="0.35">
      <c r="C40" s="268"/>
      <c r="D40" s="268"/>
      <c r="E40" s="268"/>
      <c r="F40" s="268"/>
      <c r="G40" s="268"/>
      <c r="H40" s="268"/>
      <c r="I40" s="267"/>
      <c r="J40" s="267"/>
      <c r="K40" s="267"/>
      <c r="L40" s="267"/>
      <c r="M40" s="267"/>
      <c r="N40" s="267"/>
      <c r="O40" s="267"/>
      <c r="P40" s="267"/>
      <c r="Q40" s="267"/>
      <c r="S40" s="269"/>
      <c r="T40" s="269"/>
      <c r="U40" s="269"/>
      <c r="V40" s="269"/>
      <c r="W40" s="269"/>
      <c r="X40" s="269"/>
      <c r="Y40" s="269"/>
      <c r="Z40" s="269"/>
      <c r="AA40" s="269"/>
    </row>
    <row r="41" spans="3:43" ht="15.95" hidden="1" customHeight="1" x14ac:dyDescent="0.35">
      <c r="C41" s="268"/>
      <c r="D41" s="268"/>
      <c r="E41" s="268"/>
      <c r="F41" s="268"/>
      <c r="G41" s="268"/>
      <c r="H41" s="268"/>
      <c r="I41" s="267"/>
      <c r="J41" s="267"/>
      <c r="K41" s="267"/>
      <c r="L41" s="267"/>
      <c r="M41" s="267"/>
      <c r="N41" s="267"/>
      <c r="O41" s="267"/>
      <c r="P41" s="267"/>
      <c r="Q41" s="267"/>
      <c r="S41" s="269"/>
      <c r="T41" s="269"/>
      <c r="U41" s="269"/>
      <c r="V41" s="269"/>
      <c r="W41" s="269"/>
      <c r="X41" s="269"/>
      <c r="Y41" s="269"/>
      <c r="Z41" s="269"/>
      <c r="AA41" s="269"/>
    </row>
    <row r="42" spans="3:43" ht="15.95" hidden="1" customHeight="1" x14ac:dyDescent="0.35">
      <c r="C42" s="268"/>
      <c r="D42" s="268"/>
      <c r="E42" s="268"/>
      <c r="F42" s="268"/>
      <c r="G42" s="268"/>
      <c r="H42" s="268"/>
      <c r="I42" s="267"/>
      <c r="J42" s="267"/>
      <c r="K42" s="267"/>
      <c r="L42" s="267"/>
      <c r="M42" s="267"/>
      <c r="N42" s="267"/>
      <c r="O42" s="267"/>
      <c r="P42" s="267"/>
      <c r="Q42" s="267"/>
      <c r="S42" s="269"/>
      <c r="T42" s="269"/>
      <c r="U42" s="269"/>
      <c r="V42" s="269"/>
      <c r="W42" s="269"/>
      <c r="X42" s="269"/>
      <c r="Y42" s="269"/>
      <c r="Z42" s="269"/>
      <c r="AA42" s="269"/>
    </row>
    <row r="43" spans="3:43" ht="15.95" hidden="1" customHeight="1" x14ac:dyDescent="0.35">
      <c r="C43" s="268"/>
      <c r="D43" s="268"/>
      <c r="E43" s="268"/>
      <c r="F43" s="268"/>
      <c r="G43" s="268"/>
      <c r="H43" s="268"/>
      <c r="I43" s="267"/>
      <c r="J43" s="267"/>
      <c r="K43" s="267"/>
      <c r="L43" s="267"/>
      <c r="M43" s="267"/>
      <c r="N43" s="267"/>
      <c r="O43" s="267"/>
      <c r="P43" s="267"/>
      <c r="Q43" s="267"/>
      <c r="S43" s="269"/>
      <c r="T43" s="269"/>
      <c r="U43" s="269"/>
      <c r="V43" s="269"/>
      <c r="W43" s="269"/>
      <c r="X43" s="269"/>
      <c r="Y43" s="269"/>
      <c r="Z43" s="269"/>
      <c r="AA43" s="269"/>
    </row>
    <row r="44" spans="3:43" ht="15.95" hidden="1" customHeight="1" x14ac:dyDescent="0.35">
      <c r="C44" s="268"/>
      <c r="D44" s="268"/>
      <c r="E44" s="268"/>
      <c r="F44" s="268"/>
      <c r="G44" s="268"/>
      <c r="H44" s="268"/>
      <c r="I44" s="267"/>
      <c r="J44" s="267"/>
      <c r="K44" s="267"/>
      <c r="L44" s="267"/>
      <c r="M44" s="267"/>
      <c r="N44" s="267"/>
      <c r="O44" s="267"/>
      <c r="P44" s="267"/>
      <c r="Q44" s="267"/>
      <c r="S44" s="269"/>
      <c r="T44" s="269"/>
      <c r="U44" s="269"/>
      <c r="V44" s="269"/>
      <c r="W44" s="269"/>
      <c r="X44" s="269"/>
      <c r="Y44" s="269"/>
      <c r="Z44" s="269"/>
      <c r="AA44" s="269"/>
    </row>
    <row r="45" spans="3:43" ht="15.95" hidden="1" customHeight="1" x14ac:dyDescent="0.35">
      <c r="C45" s="268"/>
      <c r="D45" s="268"/>
      <c r="E45" s="268"/>
      <c r="F45" s="268"/>
      <c r="G45" s="268"/>
      <c r="H45" s="268"/>
      <c r="I45" s="267"/>
      <c r="J45" s="267"/>
      <c r="K45" s="267"/>
      <c r="L45" s="267"/>
      <c r="M45" s="267"/>
      <c r="N45" s="267"/>
      <c r="O45" s="267"/>
      <c r="P45" s="267"/>
      <c r="Q45" s="267"/>
      <c r="S45" s="269"/>
      <c r="T45" s="269"/>
      <c r="U45" s="269"/>
      <c r="V45" s="269"/>
      <c r="W45" s="269"/>
      <c r="X45" s="269"/>
      <c r="Y45" s="269"/>
      <c r="Z45" s="269"/>
      <c r="AA45" s="269"/>
    </row>
    <row r="46" spans="3:43" ht="15.95" hidden="1" customHeight="1" x14ac:dyDescent="0.35">
      <c r="C46" s="268"/>
      <c r="D46" s="268"/>
      <c r="E46" s="268"/>
      <c r="F46" s="268"/>
      <c r="G46" s="268"/>
      <c r="H46" s="268"/>
      <c r="I46" s="267"/>
      <c r="J46" s="267"/>
      <c r="K46" s="267"/>
      <c r="L46" s="267"/>
      <c r="M46" s="267"/>
      <c r="N46" s="267"/>
      <c r="O46" s="267"/>
      <c r="P46" s="267"/>
      <c r="Q46" s="267"/>
      <c r="S46" s="269"/>
      <c r="T46" s="269"/>
      <c r="U46" s="269"/>
      <c r="V46" s="269"/>
      <c r="W46" s="269"/>
      <c r="X46" s="269"/>
      <c r="Y46" s="269"/>
      <c r="Z46" s="269"/>
      <c r="AA46" s="269"/>
    </row>
    <row r="47" spans="3:43" ht="15.95" hidden="1" customHeight="1" x14ac:dyDescent="0.35">
      <c r="C47" s="268"/>
      <c r="D47" s="268"/>
      <c r="E47" s="268"/>
      <c r="F47" s="268"/>
      <c r="G47" s="268"/>
      <c r="H47" s="268"/>
      <c r="I47" s="267"/>
      <c r="J47" s="267"/>
      <c r="K47" s="267"/>
      <c r="L47" s="267"/>
      <c r="M47" s="267"/>
      <c r="N47" s="267"/>
      <c r="O47" s="267"/>
      <c r="P47" s="267"/>
      <c r="Q47" s="267"/>
      <c r="S47" s="269"/>
      <c r="T47" s="269"/>
      <c r="U47" s="269"/>
      <c r="V47" s="269"/>
      <c r="W47" s="269"/>
      <c r="X47" s="269"/>
      <c r="Y47" s="269"/>
      <c r="Z47" s="269"/>
      <c r="AA47" s="269"/>
    </row>
    <row r="48" spans="3:43" ht="15.95" hidden="1" customHeight="1" x14ac:dyDescent="0.35">
      <c r="C48" s="268"/>
      <c r="D48" s="268"/>
      <c r="E48" s="268"/>
      <c r="F48" s="268"/>
      <c r="G48" s="268"/>
      <c r="H48" s="268"/>
      <c r="I48" s="267"/>
      <c r="J48" s="267"/>
      <c r="K48" s="267"/>
      <c r="L48" s="267"/>
      <c r="M48" s="267"/>
      <c r="N48" s="267"/>
      <c r="O48" s="267"/>
      <c r="P48" s="267"/>
      <c r="Q48" s="267"/>
      <c r="S48" s="269"/>
      <c r="T48" s="269"/>
      <c r="U48" s="269"/>
      <c r="V48" s="269"/>
      <c r="W48" s="269"/>
      <c r="X48" s="269"/>
      <c r="Y48" s="269"/>
      <c r="Z48" s="269"/>
      <c r="AA48" s="269"/>
    </row>
    <row r="49" spans="3:43" ht="15.95" hidden="1" customHeight="1" x14ac:dyDescent="0.35">
      <c r="C49" s="268"/>
      <c r="D49" s="268"/>
      <c r="E49" s="268"/>
      <c r="F49" s="268"/>
      <c r="G49" s="268"/>
      <c r="H49" s="268"/>
      <c r="I49" s="267"/>
      <c r="J49" s="267"/>
      <c r="K49" s="267"/>
      <c r="L49" s="267"/>
      <c r="M49" s="267"/>
      <c r="N49" s="267"/>
      <c r="O49" s="267"/>
      <c r="P49" s="267"/>
      <c r="Q49" s="267"/>
      <c r="S49" s="269"/>
      <c r="T49" s="269"/>
      <c r="U49" s="269"/>
      <c r="V49" s="269"/>
      <c r="W49" s="269"/>
      <c r="X49" s="269"/>
      <c r="Y49" s="269"/>
      <c r="Z49" s="269"/>
      <c r="AA49" s="269"/>
    </row>
    <row r="50" spans="3:43" ht="15.95" hidden="1" customHeight="1" x14ac:dyDescent="0.35">
      <c r="C50" s="268"/>
      <c r="D50" s="268"/>
      <c r="E50" s="268"/>
      <c r="F50" s="268"/>
      <c r="G50" s="268"/>
      <c r="H50" s="268"/>
      <c r="I50" s="267"/>
      <c r="J50" s="267"/>
      <c r="K50" s="267"/>
      <c r="L50" s="267"/>
      <c r="M50" s="267"/>
      <c r="N50" s="267"/>
      <c r="O50" s="267"/>
      <c r="P50" s="267"/>
      <c r="Q50" s="267"/>
      <c r="S50" s="269"/>
      <c r="T50" s="269"/>
      <c r="U50" s="269"/>
      <c r="V50" s="269"/>
      <c r="W50" s="269"/>
      <c r="X50" s="269"/>
      <c r="Y50" s="269"/>
      <c r="Z50" s="269"/>
      <c r="AA50" s="269"/>
    </row>
    <row r="51" spans="3:43" ht="15.95" hidden="1" customHeight="1" x14ac:dyDescent="0.35">
      <c r="C51" s="268"/>
      <c r="D51" s="268"/>
      <c r="E51" s="268"/>
      <c r="F51" s="268"/>
      <c r="G51" s="268"/>
      <c r="H51" s="268"/>
      <c r="I51" s="267"/>
      <c r="J51" s="267"/>
      <c r="K51" s="267"/>
      <c r="L51" s="267"/>
      <c r="M51" s="267"/>
      <c r="N51" s="267"/>
      <c r="O51" s="267"/>
      <c r="P51" s="267"/>
      <c r="Q51" s="267"/>
      <c r="S51" s="269"/>
      <c r="T51" s="269"/>
      <c r="U51" s="269"/>
      <c r="V51" s="269"/>
      <c r="W51" s="269"/>
      <c r="X51" s="269"/>
      <c r="Y51" s="269"/>
      <c r="Z51" s="269"/>
      <c r="AA51" s="269"/>
    </row>
    <row r="52" spans="3:43" ht="15.95" hidden="1" customHeight="1" x14ac:dyDescent="0.35">
      <c r="C52" s="268"/>
      <c r="D52" s="268"/>
      <c r="E52" s="268"/>
      <c r="F52" s="268"/>
      <c r="G52" s="268"/>
      <c r="H52" s="268"/>
      <c r="I52" s="267"/>
      <c r="J52" s="267"/>
      <c r="K52" s="267"/>
      <c r="L52" s="267"/>
      <c r="M52" s="267"/>
      <c r="N52" s="267"/>
      <c r="O52" s="267"/>
      <c r="P52" s="267"/>
      <c r="Q52" s="267"/>
      <c r="S52" s="269"/>
      <c r="T52" s="269"/>
      <c r="U52" s="269"/>
      <c r="V52" s="269"/>
      <c r="W52" s="269"/>
      <c r="X52" s="269"/>
      <c r="Y52" s="269"/>
      <c r="Z52" s="269"/>
      <c r="AA52" s="269"/>
    </row>
    <row r="53" spans="3:43" ht="15.95" hidden="1" customHeight="1" x14ac:dyDescent="0.35">
      <c r="C53" s="268"/>
      <c r="D53" s="268"/>
      <c r="E53" s="268"/>
      <c r="F53" s="268"/>
      <c r="G53" s="268"/>
      <c r="H53" s="268"/>
      <c r="I53" s="267"/>
      <c r="J53" s="267"/>
      <c r="K53" s="267"/>
      <c r="L53" s="267"/>
      <c r="M53" s="267"/>
      <c r="N53" s="267"/>
      <c r="O53" s="267"/>
      <c r="P53" s="267"/>
      <c r="Q53" s="267"/>
      <c r="S53" s="269"/>
      <c r="T53" s="269"/>
      <c r="U53" s="269"/>
      <c r="V53" s="269"/>
      <c r="W53" s="269"/>
      <c r="X53" s="269"/>
      <c r="Y53" s="269"/>
      <c r="Z53" s="269"/>
      <c r="AA53" s="269"/>
    </row>
    <row r="54" spans="3:43" ht="15.95" hidden="1" customHeight="1" x14ac:dyDescent="0.35">
      <c r="C54" s="268"/>
      <c r="D54" s="268"/>
      <c r="E54" s="268"/>
      <c r="F54" s="268"/>
      <c r="G54" s="268"/>
      <c r="H54" s="268"/>
      <c r="I54" s="267"/>
      <c r="J54" s="267"/>
      <c r="K54" s="267"/>
      <c r="L54" s="267"/>
      <c r="M54" s="267"/>
      <c r="N54" s="267"/>
      <c r="O54" s="267"/>
      <c r="P54" s="267"/>
      <c r="Q54" s="267"/>
      <c r="S54" s="269"/>
      <c r="T54" s="269"/>
      <c r="U54" s="269"/>
      <c r="V54" s="269"/>
      <c r="W54" s="269"/>
      <c r="X54" s="269"/>
      <c r="Y54" s="269"/>
      <c r="Z54" s="269"/>
      <c r="AA54" s="269"/>
    </row>
    <row r="55" spans="3:43" ht="15.95" hidden="1" customHeight="1" x14ac:dyDescent="0.35">
      <c r="C55" s="268"/>
      <c r="D55" s="268"/>
      <c r="E55" s="268"/>
      <c r="F55" s="268"/>
      <c r="G55" s="268"/>
      <c r="H55" s="268"/>
      <c r="I55" s="267"/>
      <c r="J55" s="267"/>
      <c r="K55" s="267"/>
      <c r="L55" s="267"/>
      <c r="M55" s="267"/>
      <c r="N55" s="267"/>
      <c r="O55" s="267"/>
      <c r="P55" s="267"/>
      <c r="Q55" s="267"/>
      <c r="S55" s="269"/>
      <c r="T55" s="269"/>
      <c r="U55" s="269"/>
      <c r="V55" s="269"/>
      <c r="W55" s="269"/>
      <c r="X55" s="269"/>
      <c r="Y55" s="269"/>
      <c r="Z55" s="269"/>
      <c r="AA55" s="269"/>
    </row>
    <row r="56" spans="3:43" ht="15.95" hidden="1" customHeight="1" x14ac:dyDescent="0.35">
      <c r="C56" s="268"/>
      <c r="D56" s="268"/>
      <c r="E56" s="268"/>
      <c r="F56" s="268"/>
      <c r="G56" s="268"/>
      <c r="H56" s="268"/>
      <c r="I56" s="267"/>
      <c r="J56" s="267"/>
      <c r="K56" s="267"/>
      <c r="L56" s="267"/>
      <c r="M56" s="267"/>
      <c r="N56" s="267"/>
      <c r="O56" s="267"/>
      <c r="P56" s="267"/>
      <c r="Q56" s="267"/>
      <c r="S56" s="269"/>
      <c r="T56" s="269"/>
      <c r="U56" s="269"/>
      <c r="V56" s="269"/>
      <c r="W56" s="269"/>
      <c r="X56" s="269"/>
      <c r="Y56" s="269"/>
      <c r="Z56" s="269"/>
      <c r="AA56" s="269"/>
    </row>
    <row r="57" spans="3:43" ht="15.95" hidden="1" customHeight="1" x14ac:dyDescent="0.35">
      <c r="C57" s="268"/>
      <c r="D57" s="268"/>
      <c r="E57" s="268"/>
      <c r="F57" s="268"/>
      <c r="G57" s="268"/>
      <c r="H57" s="268"/>
      <c r="I57" s="267"/>
      <c r="J57" s="267"/>
      <c r="K57" s="267"/>
      <c r="L57" s="267"/>
      <c r="M57" s="267"/>
      <c r="N57" s="267"/>
      <c r="O57" s="267"/>
      <c r="P57" s="267"/>
      <c r="Q57" s="267"/>
      <c r="S57" s="269"/>
      <c r="T57" s="269"/>
      <c r="U57" s="269"/>
      <c r="V57" s="269"/>
      <c r="W57" s="269"/>
      <c r="X57" s="269"/>
      <c r="Y57" s="269"/>
      <c r="Z57" s="269"/>
      <c r="AA57" s="269"/>
    </row>
    <row r="58" spans="3:43" ht="15.95" hidden="1" customHeight="1" x14ac:dyDescent="0.35">
      <c r="C58" s="268"/>
      <c r="D58" s="268"/>
      <c r="E58" s="268"/>
      <c r="F58" s="268"/>
      <c r="G58" s="268"/>
      <c r="H58" s="268"/>
      <c r="I58" s="267"/>
      <c r="J58" s="267"/>
      <c r="K58" s="267"/>
      <c r="L58" s="267"/>
      <c r="M58" s="267"/>
      <c r="N58" s="267"/>
      <c r="O58" s="267"/>
      <c r="P58" s="267"/>
      <c r="Q58" s="267"/>
      <c r="S58" s="269"/>
      <c r="T58" s="269"/>
      <c r="U58" s="269"/>
      <c r="V58" s="269"/>
      <c r="W58" s="269"/>
      <c r="X58" s="269"/>
      <c r="Y58" s="269"/>
      <c r="Z58" s="269"/>
      <c r="AA58" s="269"/>
    </row>
    <row r="59" spans="3:43" ht="15.95" hidden="1" customHeight="1" x14ac:dyDescent="0.35">
      <c r="C59" s="268"/>
      <c r="D59" s="268"/>
      <c r="E59" s="268"/>
      <c r="F59" s="268"/>
      <c r="G59" s="268"/>
      <c r="H59" s="268"/>
      <c r="I59" s="267"/>
      <c r="J59" s="267"/>
      <c r="K59" s="267"/>
      <c r="L59" s="267"/>
      <c r="M59" s="267"/>
      <c r="N59" s="267"/>
      <c r="O59" s="267"/>
      <c r="P59" s="267"/>
      <c r="Q59" s="267"/>
      <c r="S59" s="269"/>
      <c r="T59" s="269"/>
      <c r="U59" s="269"/>
      <c r="V59" s="269"/>
      <c r="W59" s="269"/>
      <c r="X59" s="269"/>
      <c r="Y59" s="269"/>
      <c r="Z59" s="269"/>
      <c r="AA59" s="269"/>
    </row>
    <row r="60" spans="3:43" ht="15.95" hidden="1" customHeight="1" x14ac:dyDescent="0.35">
      <c r="C60" s="268"/>
      <c r="D60" s="268"/>
      <c r="E60" s="268"/>
      <c r="F60" s="268"/>
      <c r="G60" s="268"/>
      <c r="H60" s="268"/>
      <c r="I60" s="267"/>
      <c r="J60" s="267"/>
      <c r="K60" s="267"/>
      <c r="L60" s="267"/>
      <c r="M60" s="267"/>
      <c r="N60" s="267"/>
      <c r="O60" s="267"/>
      <c r="P60" s="267"/>
      <c r="Q60" s="267"/>
      <c r="S60" s="269"/>
      <c r="T60" s="269"/>
      <c r="U60" s="269"/>
      <c r="V60" s="269"/>
      <c r="W60" s="269"/>
      <c r="X60" s="269"/>
      <c r="Y60" s="269"/>
      <c r="Z60" s="269"/>
      <c r="AA60" s="269"/>
    </row>
    <row r="61" spans="3:43" ht="15.95" hidden="1" customHeight="1" x14ac:dyDescent="0.35">
      <c r="C61" s="268"/>
      <c r="D61" s="268"/>
      <c r="E61" s="268"/>
      <c r="F61" s="268"/>
      <c r="G61" s="268"/>
      <c r="H61" s="268"/>
      <c r="I61" s="267"/>
      <c r="J61" s="267"/>
      <c r="K61" s="267"/>
      <c r="L61" s="267"/>
      <c r="M61" s="267"/>
      <c r="N61" s="267"/>
      <c r="O61" s="267"/>
      <c r="P61" s="267"/>
      <c r="Q61" s="267"/>
      <c r="S61" s="269"/>
      <c r="T61" s="269"/>
      <c r="U61" s="269"/>
      <c r="V61" s="269"/>
      <c r="W61" s="269"/>
      <c r="X61" s="269"/>
      <c r="Y61" s="269"/>
      <c r="Z61" s="269"/>
      <c r="AA61" s="269"/>
    </row>
    <row r="62" spans="3:43" ht="15.95" customHeight="1" x14ac:dyDescent="0.35">
      <c r="C62" s="597" t="s">
        <v>75</v>
      </c>
      <c r="D62" s="597"/>
      <c r="E62" s="597"/>
      <c r="F62" s="597"/>
      <c r="G62" s="597"/>
      <c r="H62" s="597"/>
      <c r="I62" s="596">
        <v>45488</v>
      </c>
      <c r="J62" s="596"/>
      <c r="K62" s="596"/>
      <c r="L62" s="596"/>
      <c r="M62" s="596"/>
      <c r="N62" s="596"/>
      <c r="O62" s="596"/>
      <c r="P62" s="598" t="str">
        <f ca="1">IF(I62&lt;TODAY(),"APPLICATION EXPIRED","")</f>
        <v/>
      </c>
      <c r="Q62" s="598"/>
      <c r="R62" s="598"/>
      <c r="S62" s="598"/>
      <c r="T62" s="598"/>
      <c r="U62" s="269"/>
      <c r="V62" s="269"/>
      <c r="W62" s="269"/>
      <c r="X62" s="269"/>
      <c r="Y62" s="269"/>
      <c r="Z62" s="269"/>
      <c r="AA62" s="269"/>
      <c r="AC62" s="597"/>
      <c r="AD62" s="597"/>
      <c r="AE62" s="597"/>
      <c r="AF62" s="597"/>
      <c r="AG62" s="597"/>
      <c r="AH62" s="597"/>
      <c r="AI62" s="597"/>
      <c r="AJ62" s="597"/>
      <c r="AK62" s="596"/>
      <c r="AL62" s="596"/>
      <c r="AM62" s="596"/>
      <c r="AN62" s="596"/>
      <c r="AO62" s="596"/>
      <c r="AP62" s="596"/>
      <c r="AQ62" s="596"/>
    </row>
    <row r="63" spans="3:43" ht="15.95" hidden="1" customHeight="1" x14ac:dyDescent="0.25">
      <c r="C63" s="63"/>
      <c r="D63" s="63"/>
      <c r="E63" s="63"/>
      <c r="F63" s="63"/>
      <c r="G63" s="63"/>
      <c r="H63" s="63"/>
      <c r="I63" s="64"/>
      <c r="J63" s="64"/>
      <c r="K63" s="64"/>
      <c r="L63" s="64"/>
      <c r="M63" s="64"/>
      <c r="N63" s="64"/>
      <c r="O63" s="65"/>
      <c r="P63" s="65"/>
      <c r="Q63" s="65"/>
      <c r="R63" s="65"/>
      <c r="S63" s="65"/>
    </row>
    <row r="64" spans="3:43" ht="15.95" hidden="1" customHeight="1" x14ac:dyDescent="0.25">
      <c r="C64" s="63"/>
      <c r="D64" s="63"/>
      <c r="E64" s="63"/>
      <c r="F64" s="63"/>
      <c r="G64" s="63"/>
      <c r="H64" s="63"/>
      <c r="I64" s="64"/>
      <c r="J64" s="64"/>
      <c r="K64" s="64"/>
      <c r="L64" s="64"/>
      <c r="M64" s="64"/>
      <c r="N64" s="64"/>
      <c r="O64" s="65"/>
      <c r="P64" s="65"/>
      <c r="Q64" s="65"/>
      <c r="R64" s="65"/>
      <c r="S64" s="65"/>
    </row>
    <row r="65" spans="3:19" ht="15.95" hidden="1" customHeight="1" x14ac:dyDescent="0.25">
      <c r="C65" s="63"/>
      <c r="D65" s="63"/>
      <c r="E65" s="63"/>
      <c r="F65" s="63"/>
      <c r="G65" s="63"/>
      <c r="H65" s="63"/>
      <c r="I65" s="64"/>
      <c r="J65" s="64"/>
      <c r="K65" s="64"/>
      <c r="L65" s="64"/>
      <c r="M65" s="64"/>
      <c r="N65" s="64"/>
      <c r="O65" s="65"/>
      <c r="P65" s="65"/>
      <c r="Q65" s="65"/>
      <c r="R65" s="65"/>
      <c r="S65" s="65"/>
    </row>
    <row r="66" spans="3:19" ht="15.95" hidden="1" customHeight="1" x14ac:dyDescent="0.25">
      <c r="C66" s="63"/>
      <c r="D66" s="63"/>
      <c r="E66" s="63"/>
      <c r="F66" s="63"/>
      <c r="G66" s="63"/>
      <c r="H66" s="63"/>
      <c r="I66" s="64"/>
      <c r="J66" s="64"/>
      <c r="K66" s="64"/>
      <c r="L66" s="64"/>
      <c r="M66" s="64"/>
      <c r="N66" s="64"/>
      <c r="O66" s="65"/>
      <c r="P66" s="65"/>
      <c r="Q66" s="65"/>
      <c r="R66" s="65"/>
      <c r="S66" s="65"/>
    </row>
    <row r="67" spans="3:19" ht="15.95" hidden="1" customHeight="1" x14ac:dyDescent="0.25">
      <c r="C67" s="63"/>
      <c r="D67" s="63"/>
      <c r="E67" s="63"/>
      <c r="F67" s="63"/>
      <c r="G67" s="63"/>
      <c r="H67" s="63"/>
      <c r="I67" s="64"/>
      <c r="J67" s="64"/>
      <c r="K67" s="64"/>
      <c r="L67" s="64"/>
      <c r="M67" s="64"/>
      <c r="N67" s="64"/>
      <c r="O67" s="65"/>
      <c r="P67" s="65"/>
      <c r="Q67" s="65"/>
      <c r="R67" s="65"/>
      <c r="S67" s="65"/>
    </row>
    <row r="68" spans="3:19" ht="15.95" hidden="1" customHeight="1" x14ac:dyDescent="0.25">
      <c r="C68" s="63"/>
      <c r="D68" s="63"/>
      <c r="E68" s="63"/>
      <c r="F68" s="63"/>
      <c r="G68" s="63"/>
      <c r="H68" s="63"/>
      <c r="I68" s="64"/>
      <c r="J68" s="64"/>
      <c r="K68" s="64"/>
      <c r="L68" s="64"/>
      <c r="M68" s="64"/>
      <c r="N68" s="64"/>
      <c r="O68" s="65"/>
      <c r="P68" s="65"/>
      <c r="Q68" s="65"/>
      <c r="R68" s="65"/>
      <c r="S68" s="65"/>
    </row>
    <row r="69" spans="3:19" ht="15.95" hidden="1" customHeight="1" x14ac:dyDescent="0.25">
      <c r="C69" s="63"/>
      <c r="D69" s="63"/>
      <c r="E69" s="63"/>
      <c r="F69" s="63"/>
      <c r="G69" s="63"/>
      <c r="H69" s="63"/>
      <c r="I69" s="64"/>
      <c r="J69" s="64"/>
      <c r="K69" s="64"/>
      <c r="L69" s="64"/>
      <c r="M69" s="64"/>
      <c r="N69" s="64"/>
      <c r="O69" s="65"/>
      <c r="P69" s="65"/>
      <c r="Q69" s="65"/>
      <c r="R69" s="65"/>
      <c r="S69" s="65"/>
    </row>
    <row r="70" spans="3:19" ht="15.95" hidden="1" customHeight="1" x14ac:dyDescent="0.25">
      <c r="C70" s="63"/>
      <c r="D70" s="63"/>
      <c r="E70" s="63"/>
      <c r="F70" s="63"/>
      <c r="G70" s="63"/>
      <c r="H70" s="63"/>
      <c r="I70" s="64"/>
      <c r="J70" s="64"/>
      <c r="K70" s="64"/>
      <c r="L70" s="64"/>
      <c r="M70" s="64"/>
      <c r="N70" s="64"/>
      <c r="O70" s="65"/>
      <c r="P70" s="65"/>
      <c r="Q70" s="65"/>
      <c r="R70" s="65"/>
      <c r="S70" s="65"/>
    </row>
    <row r="71" spans="3:19" ht="15.95" hidden="1" customHeight="1" x14ac:dyDescent="0.25">
      <c r="C71" s="63"/>
      <c r="D71" s="63"/>
      <c r="E71" s="63"/>
      <c r="F71" s="63"/>
      <c r="G71" s="63"/>
      <c r="H71" s="63"/>
      <c r="I71" s="64"/>
      <c r="J71" s="64"/>
      <c r="K71" s="64"/>
      <c r="L71" s="64"/>
      <c r="M71" s="64"/>
      <c r="N71" s="64"/>
      <c r="O71" s="65"/>
      <c r="P71" s="65"/>
      <c r="Q71" s="65"/>
      <c r="R71" s="65"/>
      <c r="S71" s="65"/>
    </row>
    <row r="72" spans="3:19" ht="15.95" hidden="1" customHeight="1" x14ac:dyDescent="0.25">
      <c r="C72" s="63"/>
      <c r="D72" s="63"/>
      <c r="E72" s="63"/>
      <c r="F72" s="63"/>
      <c r="G72" s="63"/>
      <c r="H72" s="63"/>
      <c r="I72" s="64"/>
      <c r="J72" s="64"/>
      <c r="K72" s="64"/>
      <c r="L72" s="64"/>
      <c r="M72" s="64"/>
      <c r="N72" s="64"/>
      <c r="O72" s="65"/>
      <c r="P72" s="65"/>
      <c r="Q72" s="65"/>
      <c r="R72" s="65"/>
      <c r="S72" s="65"/>
    </row>
    <row r="73" spans="3:19" ht="15.95" hidden="1" customHeight="1" x14ac:dyDescent="0.25">
      <c r="C73" s="63"/>
      <c r="D73" s="63"/>
      <c r="E73" s="63"/>
      <c r="F73" s="63"/>
      <c r="G73" s="63"/>
      <c r="H73" s="63"/>
      <c r="I73" s="64"/>
      <c r="J73" s="64"/>
      <c r="K73" s="64"/>
      <c r="L73" s="64"/>
      <c r="M73" s="64"/>
      <c r="N73" s="64"/>
      <c r="O73" s="65"/>
      <c r="P73" s="65"/>
      <c r="Q73" s="65"/>
      <c r="R73" s="65"/>
      <c r="S73" s="65"/>
    </row>
    <row r="74" spans="3:19" ht="15.95" hidden="1" customHeight="1" x14ac:dyDescent="0.25">
      <c r="C74" s="63"/>
      <c r="D74" s="63"/>
      <c r="E74" s="63"/>
      <c r="F74" s="63"/>
      <c r="G74" s="63"/>
      <c r="H74" s="63"/>
      <c r="I74" s="64"/>
      <c r="J74" s="64"/>
      <c r="K74" s="64"/>
      <c r="L74" s="64"/>
      <c r="M74" s="64"/>
      <c r="N74" s="64"/>
      <c r="O74" s="65"/>
      <c r="P74" s="65"/>
      <c r="Q74" s="65"/>
      <c r="R74" s="65"/>
      <c r="S74" s="65"/>
    </row>
    <row r="75" spans="3:19" ht="15.95" hidden="1" customHeight="1" x14ac:dyDescent="0.25">
      <c r="C75" s="63"/>
      <c r="D75" s="63"/>
      <c r="E75" s="63"/>
      <c r="F75" s="63"/>
      <c r="G75" s="63"/>
      <c r="H75" s="63"/>
      <c r="I75" s="64"/>
      <c r="J75" s="64"/>
      <c r="K75" s="64"/>
      <c r="L75" s="64"/>
      <c r="M75" s="64"/>
      <c r="N75" s="64"/>
      <c r="O75" s="65"/>
      <c r="P75" s="65"/>
      <c r="Q75" s="65"/>
      <c r="R75" s="65"/>
      <c r="S75" s="65"/>
    </row>
    <row r="76" spans="3:19" ht="15.95" hidden="1" customHeight="1" x14ac:dyDescent="0.25">
      <c r="C76" s="63"/>
      <c r="D76" s="63"/>
      <c r="E76" s="63"/>
      <c r="F76" s="63"/>
      <c r="G76" s="63"/>
      <c r="H76" s="63"/>
      <c r="I76" s="64"/>
      <c r="J76" s="64"/>
      <c r="K76" s="64"/>
      <c r="L76" s="64"/>
      <c r="M76" s="64"/>
      <c r="N76" s="64"/>
      <c r="O76" s="65"/>
      <c r="P76" s="65"/>
      <c r="Q76" s="65"/>
      <c r="R76" s="65"/>
      <c r="S76" s="65"/>
    </row>
    <row r="77" spans="3:19" ht="15.95" hidden="1" customHeight="1" x14ac:dyDescent="0.25">
      <c r="C77" s="63"/>
      <c r="D77" s="63"/>
      <c r="E77" s="63"/>
      <c r="F77" s="63"/>
      <c r="G77" s="63"/>
      <c r="H77" s="63"/>
      <c r="I77" s="64"/>
      <c r="J77" s="64"/>
      <c r="K77" s="64"/>
      <c r="L77" s="64"/>
      <c r="M77" s="64"/>
      <c r="N77" s="64"/>
      <c r="O77" s="65"/>
      <c r="P77" s="65"/>
      <c r="Q77" s="65"/>
      <c r="R77" s="65"/>
      <c r="S77" s="65"/>
    </row>
    <row r="78" spans="3:19" ht="15.95" hidden="1" customHeight="1" x14ac:dyDescent="0.25">
      <c r="C78" s="63"/>
      <c r="D78" s="63"/>
      <c r="E78" s="63"/>
      <c r="F78" s="63"/>
      <c r="G78" s="63"/>
      <c r="H78" s="63"/>
      <c r="I78" s="64"/>
      <c r="J78" s="64"/>
      <c r="K78" s="64"/>
      <c r="L78" s="64"/>
      <c r="M78" s="64"/>
      <c r="N78" s="64"/>
      <c r="O78" s="65"/>
      <c r="P78" s="65"/>
      <c r="Q78" s="65"/>
      <c r="R78" s="65"/>
      <c r="S78" s="65"/>
    </row>
    <row r="79" spans="3:19" ht="15.95" hidden="1" customHeight="1" x14ac:dyDescent="0.25">
      <c r="C79" s="63"/>
      <c r="D79" s="63"/>
      <c r="E79" s="63"/>
      <c r="F79" s="63"/>
      <c r="G79" s="63"/>
      <c r="H79" s="63"/>
      <c r="I79" s="64"/>
      <c r="J79" s="64"/>
      <c r="K79" s="64"/>
      <c r="L79" s="64"/>
      <c r="M79" s="64"/>
      <c r="N79" s="64"/>
      <c r="O79" s="65"/>
      <c r="P79" s="65"/>
      <c r="Q79" s="65"/>
      <c r="R79" s="65"/>
      <c r="S79" s="65"/>
    </row>
    <row r="80" spans="3:19" ht="15.95" hidden="1" customHeight="1" x14ac:dyDescent="0.25">
      <c r="C80" s="63"/>
      <c r="D80" s="63"/>
      <c r="E80" s="63"/>
      <c r="F80" s="63"/>
      <c r="G80" s="63"/>
      <c r="H80" s="63"/>
      <c r="I80" s="64"/>
      <c r="J80" s="64"/>
      <c r="K80" s="64"/>
      <c r="L80" s="64"/>
      <c r="M80" s="64"/>
      <c r="N80" s="64"/>
      <c r="O80" s="65"/>
      <c r="P80" s="65"/>
      <c r="Q80" s="65"/>
      <c r="R80" s="65"/>
      <c r="S80" s="65"/>
    </row>
    <row r="81" spans="3:19" ht="15.95" hidden="1" customHeight="1" x14ac:dyDescent="0.25">
      <c r="C81" s="63"/>
      <c r="D81" s="63"/>
      <c r="E81" s="63"/>
      <c r="F81" s="63"/>
      <c r="G81" s="63"/>
      <c r="H81" s="63"/>
      <c r="I81" s="64"/>
      <c r="J81" s="64"/>
      <c r="K81" s="64"/>
      <c r="L81" s="64"/>
      <c r="M81" s="64"/>
      <c r="N81" s="64"/>
      <c r="O81" s="65"/>
      <c r="P81" s="65"/>
      <c r="Q81" s="65"/>
      <c r="R81" s="65"/>
      <c r="S81" s="65"/>
    </row>
    <row r="82" spans="3:19" ht="15.95" hidden="1" customHeight="1" x14ac:dyDescent="0.25">
      <c r="C82" s="63"/>
      <c r="D82" s="63"/>
      <c r="E82" s="63"/>
      <c r="F82" s="63"/>
      <c r="G82" s="63"/>
      <c r="H82" s="63"/>
      <c r="I82" s="64"/>
      <c r="J82" s="64"/>
      <c r="K82" s="64"/>
      <c r="L82" s="64"/>
      <c r="M82" s="64"/>
      <c r="N82" s="64"/>
      <c r="O82" s="65"/>
      <c r="P82" s="65"/>
      <c r="Q82" s="65"/>
      <c r="R82" s="65"/>
      <c r="S82" s="65"/>
    </row>
    <row r="83" spans="3:19" ht="15.95" hidden="1" customHeight="1" x14ac:dyDescent="0.25">
      <c r="C83" s="63"/>
      <c r="D83" s="63"/>
      <c r="E83" s="63"/>
      <c r="F83" s="63"/>
      <c r="G83" s="63"/>
      <c r="H83" s="63"/>
      <c r="I83" s="64"/>
      <c r="J83" s="64"/>
      <c r="K83" s="64"/>
      <c r="L83" s="64"/>
      <c r="M83" s="64"/>
      <c r="N83" s="64"/>
      <c r="O83" s="65"/>
      <c r="P83" s="65"/>
      <c r="Q83" s="65"/>
      <c r="R83" s="65"/>
      <c r="S83" s="65"/>
    </row>
    <row r="84" spans="3:19" ht="15.95" hidden="1" customHeight="1" x14ac:dyDescent="0.25">
      <c r="C84" s="63"/>
      <c r="D84" s="63"/>
      <c r="E84" s="63"/>
      <c r="F84" s="63"/>
      <c r="G84" s="63"/>
      <c r="H84" s="63"/>
      <c r="I84" s="64"/>
      <c r="J84" s="64"/>
      <c r="K84" s="64"/>
      <c r="L84" s="64"/>
      <c r="M84" s="64"/>
      <c r="N84" s="64"/>
      <c r="O84" s="65"/>
      <c r="P84" s="65"/>
      <c r="Q84" s="65"/>
      <c r="R84" s="65"/>
      <c r="S84" s="65"/>
    </row>
    <row r="85" spans="3:19" ht="15.95" hidden="1" customHeight="1" x14ac:dyDescent="0.25">
      <c r="C85" s="63"/>
      <c r="D85" s="63"/>
      <c r="E85" s="63"/>
      <c r="F85" s="63"/>
      <c r="G85" s="63"/>
      <c r="H85" s="63"/>
      <c r="I85" s="64"/>
      <c r="J85" s="64"/>
      <c r="K85" s="64"/>
      <c r="L85" s="64"/>
      <c r="M85" s="64"/>
      <c r="N85" s="64"/>
      <c r="O85" s="65"/>
      <c r="P85" s="65"/>
      <c r="Q85" s="65"/>
      <c r="R85" s="65"/>
      <c r="S85" s="65"/>
    </row>
    <row r="86" spans="3:19" ht="15.95" hidden="1" customHeight="1" x14ac:dyDescent="0.25">
      <c r="C86" s="63"/>
      <c r="D86" s="63"/>
      <c r="E86" s="63"/>
      <c r="F86" s="63"/>
      <c r="G86" s="63"/>
      <c r="H86" s="63"/>
      <c r="I86" s="64"/>
      <c r="J86" s="64"/>
      <c r="K86" s="64"/>
      <c r="L86" s="64"/>
      <c r="M86" s="64"/>
      <c r="N86" s="64"/>
      <c r="O86" s="65"/>
      <c r="P86" s="65"/>
      <c r="Q86" s="65"/>
      <c r="R86" s="65"/>
      <c r="S86" s="65"/>
    </row>
    <row r="87" spans="3:19" ht="15.95" hidden="1" customHeight="1" x14ac:dyDescent="0.25">
      <c r="C87" s="63"/>
      <c r="D87" s="63"/>
      <c r="E87" s="63"/>
      <c r="F87" s="63"/>
      <c r="G87" s="63"/>
      <c r="H87" s="63"/>
      <c r="I87" s="64"/>
      <c r="J87" s="64"/>
      <c r="K87" s="64"/>
      <c r="L87" s="64"/>
      <c r="M87" s="64"/>
      <c r="N87" s="64"/>
      <c r="O87" s="65"/>
      <c r="P87" s="65"/>
      <c r="Q87" s="65"/>
      <c r="R87" s="65"/>
      <c r="S87" s="65"/>
    </row>
    <row r="88" spans="3:19" ht="15.95" hidden="1" customHeight="1" x14ac:dyDescent="0.25">
      <c r="C88" s="63"/>
      <c r="D88" s="63"/>
      <c r="E88" s="63"/>
      <c r="F88" s="63"/>
      <c r="G88" s="63"/>
      <c r="H88" s="63"/>
      <c r="I88" s="64"/>
      <c r="J88" s="64"/>
      <c r="K88" s="64"/>
      <c r="L88" s="64"/>
      <c r="M88" s="64"/>
      <c r="N88" s="64"/>
      <c r="O88" s="65"/>
      <c r="P88" s="65"/>
      <c r="Q88" s="65"/>
      <c r="R88" s="65"/>
      <c r="S88" s="65"/>
    </row>
    <row r="89" spans="3:19" ht="15.95" hidden="1" customHeight="1" x14ac:dyDescent="0.25">
      <c r="C89" s="63"/>
      <c r="D89" s="63"/>
      <c r="E89" s="63"/>
      <c r="F89" s="63"/>
      <c r="G89" s="63"/>
      <c r="H89" s="63"/>
      <c r="I89" s="64"/>
      <c r="J89" s="64"/>
      <c r="K89" s="64"/>
      <c r="L89" s="64"/>
      <c r="M89" s="64"/>
      <c r="N89" s="64"/>
      <c r="O89" s="65"/>
      <c r="P89" s="65"/>
      <c r="Q89" s="65"/>
      <c r="R89" s="65"/>
      <c r="S89" s="65"/>
    </row>
    <row r="90" spans="3:19" ht="15.95" hidden="1" customHeight="1" x14ac:dyDescent="0.25">
      <c r="C90" s="63"/>
      <c r="D90" s="63"/>
      <c r="E90" s="63"/>
      <c r="F90" s="63"/>
      <c r="G90" s="63"/>
      <c r="H90" s="63"/>
      <c r="I90" s="64"/>
      <c r="J90" s="64"/>
      <c r="K90" s="64"/>
      <c r="L90" s="64"/>
      <c r="M90" s="64"/>
      <c r="N90" s="64"/>
      <c r="O90" s="65"/>
      <c r="P90" s="65"/>
      <c r="Q90" s="65"/>
      <c r="R90" s="65"/>
      <c r="S90" s="65"/>
    </row>
    <row r="91" spans="3:19" ht="15.95" hidden="1" customHeight="1" x14ac:dyDescent="0.25">
      <c r="C91" s="63"/>
      <c r="D91" s="63"/>
      <c r="E91" s="63"/>
      <c r="F91" s="63"/>
      <c r="G91" s="63"/>
      <c r="H91" s="63"/>
      <c r="I91" s="64"/>
      <c r="J91" s="64"/>
      <c r="K91" s="64"/>
      <c r="L91" s="64"/>
      <c r="M91" s="64"/>
      <c r="N91" s="64"/>
      <c r="O91" s="65"/>
      <c r="P91" s="65"/>
      <c r="Q91" s="65"/>
      <c r="R91" s="65"/>
      <c r="S91" s="65"/>
    </row>
    <row r="92" spans="3:19" ht="15.95" hidden="1" customHeight="1" x14ac:dyDescent="0.25">
      <c r="C92" s="63"/>
      <c r="D92" s="63"/>
      <c r="E92" s="63"/>
      <c r="F92" s="63"/>
      <c r="G92" s="63"/>
      <c r="H92" s="63"/>
      <c r="I92" s="64"/>
      <c r="J92" s="64"/>
      <c r="K92" s="64"/>
      <c r="L92" s="64"/>
      <c r="M92" s="64"/>
      <c r="N92" s="64"/>
      <c r="O92" s="65"/>
      <c r="P92" s="65"/>
      <c r="Q92" s="65"/>
      <c r="R92" s="65"/>
      <c r="S92" s="65"/>
    </row>
    <row r="93" spans="3:19" ht="15.95" hidden="1" customHeight="1" x14ac:dyDescent="0.25">
      <c r="C93" s="63"/>
      <c r="D93" s="63"/>
      <c r="E93" s="63"/>
      <c r="F93" s="63"/>
      <c r="G93" s="63"/>
      <c r="H93" s="63"/>
      <c r="I93" s="64"/>
      <c r="J93" s="64"/>
      <c r="K93" s="64"/>
      <c r="L93" s="64"/>
      <c r="M93" s="64"/>
      <c r="N93" s="64"/>
      <c r="O93" s="65"/>
      <c r="P93" s="65"/>
      <c r="Q93" s="65"/>
      <c r="R93" s="65"/>
      <c r="S93" s="65"/>
    </row>
    <row r="94" spans="3:19" ht="15.95" hidden="1" customHeight="1" x14ac:dyDescent="0.25">
      <c r="C94" s="63"/>
      <c r="D94" s="63"/>
      <c r="E94" s="63"/>
      <c r="F94" s="63"/>
      <c r="G94" s="63"/>
      <c r="H94" s="63"/>
      <c r="I94" s="64"/>
      <c r="J94" s="64"/>
      <c r="K94" s="64"/>
      <c r="L94" s="64"/>
      <c r="M94" s="64"/>
      <c r="N94" s="64"/>
      <c r="O94" s="65"/>
      <c r="P94" s="65"/>
      <c r="Q94" s="65"/>
      <c r="R94" s="65"/>
      <c r="S94" s="65"/>
    </row>
    <row r="95" spans="3:19" ht="15.95" hidden="1" customHeight="1" x14ac:dyDescent="0.25">
      <c r="C95" s="63"/>
      <c r="D95" s="63"/>
      <c r="E95" s="63"/>
      <c r="F95" s="63"/>
      <c r="G95" s="63"/>
      <c r="H95" s="63"/>
      <c r="I95" s="64"/>
      <c r="J95" s="64"/>
      <c r="K95" s="64"/>
      <c r="L95" s="64"/>
      <c r="M95" s="64"/>
      <c r="N95" s="64"/>
      <c r="O95" s="65"/>
      <c r="P95" s="65"/>
      <c r="Q95" s="65"/>
      <c r="R95" s="65"/>
      <c r="S95" s="65"/>
    </row>
    <row r="96" spans="3:19" ht="15.95" hidden="1" customHeight="1" x14ac:dyDescent="0.25">
      <c r="C96" s="63"/>
      <c r="D96" s="63"/>
      <c r="E96" s="63"/>
      <c r="F96" s="63"/>
      <c r="G96" s="63"/>
      <c r="H96" s="63"/>
      <c r="I96" s="64"/>
      <c r="J96" s="64"/>
      <c r="K96" s="64"/>
      <c r="L96" s="64"/>
      <c r="M96" s="64"/>
      <c r="N96" s="64"/>
      <c r="O96" s="65"/>
      <c r="P96" s="65"/>
      <c r="Q96" s="65"/>
      <c r="R96" s="65"/>
      <c r="S96" s="65"/>
    </row>
    <row r="97" spans="3:19" ht="15.95" hidden="1" customHeight="1" x14ac:dyDescent="0.25">
      <c r="C97" s="63"/>
      <c r="D97" s="63"/>
      <c r="E97" s="63"/>
      <c r="F97" s="63"/>
      <c r="G97" s="63"/>
      <c r="H97" s="63"/>
      <c r="I97" s="64"/>
      <c r="J97" s="64"/>
      <c r="K97" s="64"/>
      <c r="L97" s="64"/>
      <c r="M97" s="64"/>
      <c r="N97" s="64"/>
      <c r="O97" s="65"/>
      <c r="P97" s="65"/>
      <c r="Q97" s="65"/>
      <c r="R97" s="65"/>
      <c r="S97" s="65"/>
    </row>
    <row r="98" spans="3:19" ht="15.95" hidden="1" customHeight="1" x14ac:dyDescent="0.25">
      <c r="C98" s="63"/>
      <c r="D98" s="63"/>
      <c r="E98" s="63"/>
      <c r="F98" s="63"/>
      <c r="G98" s="63"/>
      <c r="H98" s="63"/>
      <c r="I98" s="64"/>
      <c r="J98" s="64"/>
      <c r="K98" s="64"/>
      <c r="L98" s="64"/>
      <c r="M98" s="64"/>
      <c r="N98" s="64"/>
      <c r="O98" s="65"/>
      <c r="P98" s="65"/>
      <c r="Q98" s="65"/>
      <c r="R98" s="65"/>
      <c r="S98" s="65"/>
    </row>
    <row r="99" spans="3:19" ht="15.95" hidden="1" customHeight="1" x14ac:dyDescent="0.25">
      <c r="C99" s="63"/>
      <c r="D99" s="63"/>
      <c r="E99" s="63"/>
      <c r="F99" s="63"/>
      <c r="G99" s="63"/>
      <c r="H99" s="63"/>
      <c r="I99" s="64"/>
      <c r="J99" s="64"/>
      <c r="K99" s="64"/>
      <c r="L99" s="64"/>
      <c r="M99" s="64"/>
      <c r="N99" s="64"/>
      <c r="O99" s="65"/>
      <c r="P99" s="65"/>
      <c r="Q99" s="65"/>
      <c r="R99" s="65"/>
      <c r="S99" s="65"/>
    </row>
    <row r="100" spans="3:19" ht="15.95" hidden="1" customHeight="1" x14ac:dyDescent="0.25">
      <c r="C100" s="63"/>
      <c r="D100" s="63"/>
      <c r="E100" s="63"/>
      <c r="F100" s="63"/>
      <c r="G100" s="63"/>
      <c r="H100" s="63"/>
      <c r="I100" s="64"/>
      <c r="J100" s="64"/>
      <c r="K100" s="64"/>
      <c r="L100" s="64"/>
      <c r="M100" s="64"/>
      <c r="N100" s="64"/>
      <c r="O100" s="65"/>
      <c r="P100" s="65"/>
      <c r="Q100" s="65"/>
      <c r="R100" s="65"/>
      <c r="S100" s="65"/>
    </row>
    <row r="101" spans="3:19" ht="15.95" hidden="1" customHeight="1" x14ac:dyDescent="0.25">
      <c r="C101" s="63"/>
      <c r="D101" s="63"/>
      <c r="E101" s="63"/>
      <c r="F101" s="63"/>
      <c r="G101" s="63"/>
      <c r="H101" s="63"/>
      <c r="I101" s="64"/>
      <c r="J101" s="64"/>
      <c r="K101" s="64"/>
      <c r="L101" s="64"/>
      <c r="M101" s="64"/>
      <c r="N101" s="64"/>
      <c r="O101" s="65"/>
      <c r="P101" s="65"/>
      <c r="Q101" s="65"/>
      <c r="R101" s="65"/>
      <c r="S101" s="65"/>
    </row>
    <row r="102" spans="3:19" ht="15.95" hidden="1" customHeight="1" x14ac:dyDescent="0.25">
      <c r="C102" s="63"/>
      <c r="D102" s="63"/>
      <c r="E102" s="63"/>
      <c r="F102" s="63"/>
      <c r="G102" s="63"/>
      <c r="H102" s="63"/>
      <c r="I102" s="64"/>
      <c r="J102" s="64"/>
      <c r="K102" s="64"/>
      <c r="L102" s="64"/>
      <c r="M102" s="64"/>
      <c r="N102" s="64"/>
      <c r="O102" s="65"/>
      <c r="P102" s="65"/>
      <c r="Q102" s="65"/>
      <c r="R102" s="65"/>
      <c r="S102" s="65"/>
    </row>
    <row r="103" spans="3:19" ht="15.95" hidden="1" customHeight="1" x14ac:dyDescent="0.25">
      <c r="C103" s="63"/>
      <c r="D103" s="63"/>
      <c r="E103" s="63"/>
      <c r="F103" s="63"/>
      <c r="G103" s="63"/>
      <c r="H103" s="63"/>
      <c r="I103" s="64"/>
      <c r="J103" s="64"/>
      <c r="K103" s="64"/>
      <c r="L103" s="64"/>
      <c r="M103" s="64"/>
      <c r="N103" s="64"/>
      <c r="O103" s="65"/>
      <c r="P103" s="65"/>
      <c r="Q103" s="65"/>
      <c r="R103" s="65"/>
      <c r="S103" s="65"/>
    </row>
    <row r="104" spans="3:19" ht="15.95" hidden="1" customHeight="1" x14ac:dyDescent="0.25">
      <c r="C104" s="63"/>
      <c r="D104" s="63"/>
      <c r="E104" s="63"/>
      <c r="F104" s="63"/>
      <c r="G104" s="63"/>
      <c r="H104" s="63"/>
      <c r="I104" s="64"/>
      <c r="J104" s="64"/>
      <c r="K104" s="64"/>
      <c r="L104" s="64"/>
      <c r="M104" s="64"/>
      <c r="N104" s="64"/>
      <c r="O104" s="65"/>
      <c r="P104" s="65"/>
      <c r="Q104" s="65"/>
      <c r="R104" s="65"/>
      <c r="S104" s="65"/>
    </row>
    <row r="105" spans="3:19" ht="15.95" hidden="1" customHeight="1" x14ac:dyDescent="0.25">
      <c r="C105" s="63"/>
      <c r="D105" s="63"/>
      <c r="E105" s="63"/>
      <c r="F105" s="63"/>
      <c r="G105" s="63"/>
      <c r="H105" s="63"/>
      <c r="I105" s="64"/>
      <c r="J105" s="64"/>
      <c r="K105" s="64"/>
      <c r="L105" s="64"/>
      <c r="M105" s="64"/>
      <c r="N105" s="64"/>
      <c r="O105" s="65"/>
      <c r="P105" s="65"/>
      <c r="Q105" s="65"/>
      <c r="R105" s="65"/>
      <c r="S105" s="65"/>
    </row>
    <row r="106" spans="3:19" ht="15.95" hidden="1" customHeight="1" x14ac:dyDescent="0.25">
      <c r="C106" s="63"/>
      <c r="D106" s="63"/>
      <c r="E106" s="63"/>
      <c r="F106" s="63"/>
      <c r="G106" s="63"/>
      <c r="H106" s="63"/>
      <c r="I106" s="64"/>
      <c r="J106" s="64"/>
      <c r="K106" s="64"/>
      <c r="L106" s="64"/>
      <c r="M106" s="64"/>
      <c r="N106" s="64"/>
      <c r="O106" s="65"/>
      <c r="P106" s="65"/>
      <c r="Q106" s="65"/>
      <c r="R106" s="65"/>
      <c r="S106" s="65"/>
    </row>
    <row r="107" spans="3:19" ht="15.95" hidden="1" customHeight="1" x14ac:dyDescent="0.25">
      <c r="C107" s="63"/>
      <c r="D107" s="63"/>
      <c r="E107" s="63"/>
      <c r="F107" s="63"/>
      <c r="G107" s="63"/>
      <c r="H107" s="63"/>
      <c r="I107" s="64"/>
      <c r="J107" s="64"/>
      <c r="K107" s="64"/>
      <c r="L107" s="64"/>
      <c r="M107" s="64"/>
      <c r="N107" s="64"/>
      <c r="O107" s="65"/>
      <c r="P107" s="65"/>
      <c r="Q107" s="65"/>
      <c r="R107" s="65"/>
      <c r="S107" s="65"/>
    </row>
    <row r="108" spans="3:19" ht="15.95" hidden="1" customHeight="1" x14ac:dyDescent="0.25">
      <c r="C108" s="63"/>
      <c r="D108" s="63"/>
      <c r="E108" s="63"/>
      <c r="F108" s="63"/>
      <c r="G108" s="63"/>
      <c r="H108" s="63"/>
      <c r="I108" s="64"/>
      <c r="J108" s="64"/>
      <c r="K108" s="64"/>
      <c r="L108" s="64"/>
      <c r="M108" s="64"/>
      <c r="N108" s="64"/>
      <c r="O108" s="65"/>
      <c r="P108" s="65"/>
      <c r="Q108" s="65"/>
      <c r="R108" s="65"/>
      <c r="S108" s="65"/>
    </row>
    <row r="109" spans="3:19" ht="15.95" hidden="1" customHeight="1" x14ac:dyDescent="0.25">
      <c r="C109" s="63"/>
      <c r="D109" s="63"/>
      <c r="E109" s="63"/>
      <c r="F109" s="63"/>
      <c r="G109" s="63"/>
      <c r="H109" s="63"/>
      <c r="I109" s="64"/>
      <c r="J109" s="64"/>
      <c r="K109" s="64"/>
      <c r="L109" s="64"/>
      <c r="M109" s="64"/>
      <c r="N109" s="64"/>
      <c r="O109" s="65"/>
      <c r="P109" s="65"/>
      <c r="Q109" s="65"/>
      <c r="R109" s="65"/>
      <c r="S109" s="65"/>
    </row>
    <row r="110" spans="3:19" ht="15.95" hidden="1" customHeight="1" x14ac:dyDescent="0.25">
      <c r="C110" s="63"/>
      <c r="D110" s="63"/>
      <c r="E110" s="63"/>
      <c r="F110" s="63"/>
      <c r="G110" s="63"/>
      <c r="H110" s="63"/>
      <c r="I110" s="64"/>
      <c r="J110" s="64"/>
      <c r="K110" s="64"/>
      <c r="L110" s="64"/>
      <c r="M110" s="64"/>
      <c r="N110" s="64"/>
      <c r="O110" s="65"/>
      <c r="P110" s="65"/>
      <c r="Q110" s="65"/>
      <c r="R110" s="65"/>
      <c r="S110" s="65"/>
    </row>
    <row r="111" spans="3:19" ht="15.95" hidden="1" customHeight="1" x14ac:dyDescent="0.25">
      <c r="C111" s="63"/>
      <c r="D111" s="63"/>
      <c r="E111" s="63"/>
      <c r="F111" s="63"/>
      <c r="G111" s="63"/>
      <c r="H111" s="63"/>
      <c r="I111" s="64"/>
      <c r="J111" s="64"/>
      <c r="K111" s="64"/>
      <c r="L111" s="64"/>
      <c r="M111" s="64"/>
      <c r="N111" s="64"/>
      <c r="O111" s="65"/>
      <c r="P111" s="65"/>
      <c r="Q111" s="65"/>
      <c r="R111" s="65"/>
      <c r="S111" s="65"/>
    </row>
    <row r="112" spans="3:19" ht="15.95" hidden="1" customHeight="1" x14ac:dyDescent="0.25">
      <c r="C112" s="63"/>
      <c r="D112" s="63"/>
      <c r="E112" s="63"/>
      <c r="F112" s="63"/>
      <c r="G112" s="63"/>
      <c r="H112" s="63"/>
      <c r="I112" s="64"/>
      <c r="J112" s="64"/>
      <c r="K112" s="64"/>
      <c r="L112" s="64"/>
      <c r="M112" s="64"/>
      <c r="N112" s="64"/>
      <c r="O112" s="65"/>
      <c r="P112" s="65"/>
      <c r="Q112" s="65"/>
      <c r="R112" s="65"/>
      <c r="S112" s="65"/>
    </row>
    <row r="113" spans="3:19" ht="15.95" hidden="1" customHeight="1" x14ac:dyDescent="0.25">
      <c r="C113" s="63"/>
      <c r="D113" s="63"/>
      <c r="E113" s="63"/>
      <c r="F113" s="63"/>
      <c r="G113" s="63"/>
      <c r="H113" s="63"/>
      <c r="I113" s="64"/>
      <c r="J113" s="64"/>
      <c r="K113" s="64"/>
      <c r="L113" s="64"/>
      <c r="M113" s="64"/>
      <c r="N113" s="64"/>
      <c r="O113" s="65"/>
      <c r="P113" s="65"/>
      <c r="Q113" s="65"/>
      <c r="R113" s="65"/>
      <c r="S113" s="65"/>
    </row>
    <row r="114" spans="3:19" ht="15.95" hidden="1" customHeight="1" x14ac:dyDescent="0.25">
      <c r="C114" s="63"/>
      <c r="D114" s="63"/>
      <c r="E114" s="63"/>
      <c r="F114" s="63"/>
      <c r="G114" s="63"/>
      <c r="H114" s="63"/>
      <c r="I114" s="64"/>
      <c r="J114" s="64"/>
      <c r="K114" s="64"/>
      <c r="L114" s="64"/>
      <c r="M114" s="64"/>
      <c r="N114" s="64"/>
      <c r="O114" s="65"/>
      <c r="P114" s="65"/>
      <c r="Q114" s="65"/>
      <c r="R114" s="65"/>
      <c r="S114" s="65"/>
    </row>
    <row r="115" spans="3:19" ht="15.95" hidden="1" customHeight="1" x14ac:dyDescent="0.25">
      <c r="C115" s="63"/>
      <c r="D115" s="63"/>
      <c r="E115" s="63"/>
      <c r="F115" s="63"/>
      <c r="G115" s="63"/>
      <c r="H115" s="63"/>
      <c r="I115" s="64"/>
      <c r="J115" s="64"/>
      <c r="K115" s="64"/>
      <c r="L115" s="64"/>
      <c r="M115" s="64"/>
      <c r="N115" s="64"/>
      <c r="O115" s="65"/>
      <c r="P115" s="65"/>
      <c r="Q115" s="65"/>
      <c r="R115" s="65"/>
      <c r="S115" s="65"/>
    </row>
    <row r="116" spans="3:19" ht="15.95" hidden="1" customHeight="1" x14ac:dyDescent="0.25">
      <c r="C116" s="63"/>
      <c r="D116" s="63"/>
      <c r="E116" s="63"/>
      <c r="F116" s="63"/>
      <c r="G116" s="63"/>
      <c r="H116" s="63"/>
      <c r="I116" s="64"/>
      <c r="J116" s="64"/>
      <c r="K116" s="64"/>
      <c r="L116" s="64"/>
      <c r="M116" s="64"/>
      <c r="N116" s="64"/>
      <c r="O116" s="65"/>
      <c r="P116" s="65"/>
      <c r="Q116" s="65"/>
      <c r="R116" s="65"/>
      <c r="S116" s="65"/>
    </row>
    <row r="117" spans="3:19" ht="15.95" hidden="1" customHeight="1" x14ac:dyDescent="0.25">
      <c r="C117" s="63"/>
      <c r="D117" s="63"/>
      <c r="E117" s="63"/>
      <c r="F117" s="63"/>
      <c r="G117" s="63"/>
      <c r="H117" s="63"/>
      <c r="I117" s="64"/>
      <c r="J117" s="64"/>
      <c r="K117" s="64"/>
      <c r="L117" s="64"/>
      <c r="M117" s="64"/>
      <c r="N117" s="64"/>
      <c r="O117" s="65"/>
      <c r="P117" s="65"/>
      <c r="Q117" s="65"/>
      <c r="R117" s="65"/>
      <c r="S117" s="65"/>
    </row>
    <row r="118" spans="3:19" ht="15.95" hidden="1" customHeight="1" x14ac:dyDescent="0.25">
      <c r="C118" s="63"/>
      <c r="D118" s="63"/>
      <c r="E118" s="63"/>
      <c r="F118" s="63"/>
      <c r="G118" s="63"/>
      <c r="H118" s="63"/>
      <c r="I118" s="64"/>
      <c r="J118" s="64"/>
      <c r="K118" s="64"/>
      <c r="L118" s="64"/>
      <c r="M118" s="64"/>
      <c r="N118" s="64"/>
      <c r="O118" s="65"/>
      <c r="P118" s="65"/>
      <c r="Q118" s="65"/>
      <c r="R118" s="65"/>
      <c r="S118" s="65"/>
    </row>
    <row r="119" spans="3:19" ht="15.95" hidden="1" customHeight="1" x14ac:dyDescent="0.25">
      <c r="C119" s="63"/>
      <c r="D119" s="63"/>
      <c r="E119" s="63"/>
      <c r="F119" s="63"/>
      <c r="G119" s="63"/>
      <c r="H119" s="63"/>
      <c r="I119" s="64"/>
      <c r="J119" s="64"/>
      <c r="K119" s="64"/>
      <c r="L119" s="64"/>
      <c r="M119" s="64"/>
      <c r="N119" s="64"/>
      <c r="O119" s="65"/>
      <c r="P119" s="65"/>
      <c r="Q119" s="65"/>
      <c r="R119" s="65"/>
      <c r="S119" s="65"/>
    </row>
    <row r="120" spans="3:19" ht="15.95" hidden="1" customHeight="1" x14ac:dyDescent="0.25">
      <c r="C120" s="63"/>
      <c r="D120" s="63"/>
      <c r="E120" s="63"/>
      <c r="F120" s="63"/>
      <c r="G120" s="63"/>
      <c r="H120" s="63"/>
      <c r="I120" s="64"/>
      <c r="J120" s="64"/>
      <c r="K120" s="64"/>
      <c r="L120" s="64"/>
      <c r="M120" s="64"/>
      <c r="N120" s="64"/>
      <c r="O120" s="65"/>
      <c r="P120" s="65"/>
      <c r="Q120" s="65"/>
      <c r="R120" s="65"/>
      <c r="S120" s="65"/>
    </row>
    <row r="121" spans="3:19" ht="15.95" hidden="1" customHeight="1" x14ac:dyDescent="0.25">
      <c r="C121" s="63"/>
      <c r="D121" s="63"/>
      <c r="E121" s="63"/>
      <c r="F121" s="63"/>
      <c r="G121" s="63"/>
      <c r="H121" s="63"/>
      <c r="I121" s="64"/>
      <c r="J121" s="64"/>
      <c r="K121" s="64"/>
      <c r="L121" s="64"/>
      <c r="M121" s="64"/>
      <c r="N121" s="64"/>
      <c r="O121" s="65"/>
      <c r="P121" s="65"/>
      <c r="Q121" s="65"/>
      <c r="R121" s="65"/>
      <c r="S121" s="65"/>
    </row>
    <row r="122" spans="3:19" ht="15.95" hidden="1" customHeight="1" x14ac:dyDescent="0.25">
      <c r="C122" s="63"/>
      <c r="D122" s="63"/>
      <c r="E122" s="63"/>
      <c r="F122" s="63"/>
      <c r="G122" s="63"/>
      <c r="H122" s="63"/>
      <c r="I122" s="64"/>
      <c r="J122" s="64"/>
      <c r="K122" s="64"/>
      <c r="L122" s="64"/>
      <c r="M122" s="64"/>
      <c r="N122" s="64"/>
      <c r="O122" s="65"/>
      <c r="P122" s="65"/>
      <c r="Q122" s="65"/>
      <c r="R122" s="65"/>
      <c r="S122" s="65"/>
    </row>
    <row r="123" spans="3:19" ht="15.95" hidden="1" customHeight="1" x14ac:dyDescent="0.25">
      <c r="C123" s="63"/>
      <c r="D123" s="63"/>
      <c r="E123" s="63"/>
      <c r="F123" s="63"/>
      <c r="G123" s="63"/>
      <c r="H123" s="63"/>
      <c r="I123" s="64"/>
      <c r="J123" s="64"/>
      <c r="K123" s="64"/>
      <c r="L123" s="64"/>
      <c r="M123" s="64"/>
      <c r="N123" s="64"/>
      <c r="O123" s="65"/>
      <c r="P123" s="65"/>
      <c r="Q123" s="65"/>
      <c r="R123" s="65"/>
      <c r="S123" s="65"/>
    </row>
    <row r="124" spans="3:19" ht="15.95" hidden="1" customHeight="1" x14ac:dyDescent="0.25">
      <c r="C124" s="63"/>
      <c r="D124" s="63"/>
      <c r="E124" s="63"/>
      <c r="F124" s="63"/>
      <c r="G124" s="63"/>
      <c r="H124" s="63"/>
      <c r="I124" s="64"/>
      <c r="J124" s="64"/>
      <c r="K124" s="64"/>
      <c r="L124" s="64"/>
      <c r="M124" s="64"/>
      <c r="N124" s="64"/>
      <c r="O124" s="65"/>
      <c r="P124" s="65"/>
      <c r="Q124" s="65"/>
      <c r="R124" s="65"/>
      <c r="S124" s="65"/>
    </row>
    <row r="125" spans="3:19" ht="15.95" hidden="1" customHeight="1" x14ac:dyDescent="0.25">
      <c r="C125" s="63"/>
      <c r="D125" s="63"/>
      <c r="E125" s="63"/>
      <c r="F125" s="63"/>
      <c r="G125" s="63"/>
      <c r="H125" s="63"/>
      <c r="I125" s="64"/>
      <c r="J125" s="64"/>
      <c r="K125" s="64"/>
      <c r="L125" s="64"/>
      <c r="M125" s="64"/>
      <c r="N125" s="64"/>
      <c r="O125" s="65"/>
      <c r="P125" s="65"/>
      <c r="Q125" s="65"/>
      <c r="R125" s="65"/>
      <c r="S125" s="65"/>
    </row>
    <row r="126" spans="3:19" ht="15.95" hidden="1" customHeight="1" x14ac:dyDescent="0.25">
      <c r="C126" s="63"/>
      <c r="D126" s="63"/>
      <c r="E126" s="63"/>
      <c r="F126" s="63"/>
      <c r="G126" s="63"/>
      <c r="H126" s="63"/>
      <c r="I126" s="64"/>
      <c r="J126" s="64"/>
      <c r="K126" s="64"/>
      <c r="L126" s="64"/>
      <c r="M126" s="64"/>
      <c r="N126" s="64"/>
      <c r="O126" s="65"/>
      <c r="P126" s="65"/>
      <c r="Q126" s="65"/>
      <c r="R126" s="65"/>
      <c r="S126" s="65"/>
    </row>
    <row r="127" spans="3:19" ht="15.95" hidden="1" customHeight="1" x14ac:dyDescent="0.25">
      <c r="C127" s="63"/>
      <c r="D127" s="63"/>
      <c r="E127" s="63"/>
      <c r="F127" s="63"/>
      <c r="G127" s="63"/>
      <c r="H127" s="63"/>
      <c r="I127" s="64"/>
      <c r="J127" s="64"/>
      <c r="K127" s="64"/>
      <c r="L127" s="64"/>
      <c r="M127" s="64"/>
      <c r="N127" s="64"/>
      <c r="O127" s="65"/>
      <c r="P127" s="65"/>
      <c r="Q127" s="65"/>
      <c r="R127" s="65"/>
      <c r="S127" s="65"/>
    </row>
    <row r="128" spans="3:19" ht="15.95" hidden="1" customHeight="1" x14ac:dyDescent="0.25">
      <c r="C128" s="63"/>
      <c r="D128" s="63"/>
      <c r="E128" s="63"/>
      <c r="F128" s="63"/>
      <c r="G128" s="63"/>
      <c r="H128" s="63"/>
      <c r="I128" s="64"/>
      <c r="J128" s="64"/>
      <c r="K128" s="64"/>
      <c r="L128" s="64"/>
      <c r="M128" s="64"/>
      <c r="N128" s="64"/>
      <c r="O128" s="65"/>
      <c r="P128" s="65"/>
      <c r="Q128" s="65"/>
      <c r="R128" s="65"/>
      <c r="S128" s="65"/>
    </row>
    <row r="129" spans="3:19" ht="15.95" hidden="1" customHeight="1" x14ac:dyDescent="0.25">
      <c r="C129" s="63"/>
      <c r="D129" s="63"/>
      <c r="E129" s="63"/>
      <c r="F129" s="63"/>
      <c r="G129" s="63"/>
      <c r="H129" s="63"/>
      <c r="I129" s="64"/>
      <c r="J129" s="64"/>
      <c r="K129" s="64"/>
      <c r="L129" s="64"/>
      <c r="M129" s="64"/>
      <c r="N129" s="64"/>
      <c r="O129" s="65"/>
      <c r="P129" s="65"/>
      <c r="Q129" s="65"/>
      <c r="R129" s="65"/>
      <c r="S129" s="65"/>
    </row>
    <row r="130" spans="3:19" ht="15.95" hidden="1" customHeight="1" x14ac:dyDescent="0.25">
      <c r="C130" s="63"/>
      <c r="D130" s="63"/>
      <c r="E130" s="63"/>
      <c r="F130" s="63"/>
      <c r="G130" s="63"/>
      <c r="H130" s="63"/>
      <c r="I130" s="64"/>
      <c r="J130" s="64"/>
      <c r="K130" s="64"/>
      <c r="L130" s="64"/>
      <c r="M130" s="64"/>
      <c r="N130" s="64"/>
      <c r="O130" s="65"/>
      <c r="P130" s="65"/>
      <c r="Q130" s="65"/>
      <c r="R130" s="65"/>
      <c r="S130" s="65"/>
    </row>
    <row r="131" spans="3:19" ht="15.95" hidden="1" customHeight="1" x14ac:dyDescent="0.25">
      <c r="C131" s="63"/>
      <c r="D131" s="63"/>
      <c r="E131" s="63"/>
      <c r="F131" s="63"/>
      <c r="G131" s="63"/>
      <c r="H131" s="63"/>
      <c r="I131" s="64"/>
      <c r="J131" s="64"/>
      <c r="K131" s="64"/>
      <c r="L131" s="64"/>
      <c r="M131" s="64"/>
      <c r="N131" s="64"/>
      <c r="O131" s="65"/>
      <c r="P131" s="65"/>
      <c r="Q131" s="65"/>
      <c r="R131" s="65"/>
      <c r="S131" s="65"/>
    </row>
    <row r="132" spans="3:19" ht="15.95" hidden="1" customHeight="1" x14ac:dyDescent="0.25">
      <c r="C132" s="63"/>
      <c r="D132" s="63"/>
      <c r="E132" s="63"/>
      <c r="F132" s="63"/>
      <c r="G132" s="63"/>
      <c r="H132" s="63"/>
      <c r="I132" s="64"/>
      <c r="J132" s="64"/>
      <c r="K132" s="64"/>
      <c r="L132" s="64"/>
      <c r="M132" s="64"/>
      <c r="N132" s="64"/>
      <c r="O132" s="65"/>
      <c r="P132" s="65"/>
      <c r="Q132" s="65"/>
      <c r="R132" s="65"/>
      <c r="S132" s="65"/>
    </row>
    <row r="133" spans="3:19" ht="15.95" hidden="1" customHeight="1" x14ac:dyDescent="0.25">
      <c r="C133" s="63"/>
      <c r="D133" s="63"/>
      <c r="E133" s="63"/>
      <c r="F133" s="63"/>
      <c r="G133" s="63"/>
      <c r="H133" s="63"/>
      <c r="I133" s="64"/>
      <c r="J133" s="64"/>
      <c r="K133" s="64"/>
      <c r="L133" s="64"/>
      <c r="M133" s="64"/>
      <c r="N133" s="64"/>
      <c r="O133" s="65"/>
      <c r="P133" s="65"/>
      <c r="Q133" s="65"/>
      <c r="R133" s="65"/>
      <c r="S133" s="65"/>
    </row>
    <row r="134" spans="3:19" ht="15.95" hidden="1" customHeight="1" x14ac:dyDescent="0.25">
      <c r="C134" s="63"/>
      <c r="D134" s="63"/>
      <c r="E134" s="63"/>
      <c r="F134" s="63"/>
      <c r="G134" s="63"/>
      <c r="H134" s="63"/>
      <c r="I134" s="64"/>
      <c r="J134" s="64"/>
      <c r="K134" s="64"/>
      <c r="L134" s="64"/>
      <c r="M134" s="64"/>
      <c r="N134" s="64"/>
      <c r="O134" s="65"/>
      <c r="P134" s="65"/>
      <c r="Q134" s="65"/>
      <c r="R134" s="65"/>
      <c r="S134" s="65"/>
    </row>
    <row r="135" spans="3:19" ht="15.95" hidden="1" customHeight="1" x14ac:dyDescent="0.25">
      <c r="C135" s="63"/>
      <c r="D135" s="63"/>
      <c r="E135" s="63"/>
      <c r="F135" s="63"/>
      <c r="G135" s="63"/>
      <c r="H135" s="63"/>
      <c r="I135" s="64"/>
      <c r="J135" s="64"/>
      <c r="K135" s="64"/>
      <c r="L135" s="64"/>
      <c r="M135" s="64"/>
      <c r="N135" s="64"/>
      <c r="O135" s="65"/>
      <c r="P135" s="65"/>
      <c r="Q135" s="65"/>
      <c r="R135" s="65"/>
      <c r="S135" s="65"/>
    </row>
    <row r="136" spans="3:19" ht="15.95" hidden="1" customHeight="1" x14ac:dyDescent="0.25">
      <c r="C136" s="63"/>
      <c r="D136" s="63"/>
      <c r="E136" s="63"/>
      <c r="F136" s="63"/>
      <c r="G136" s="63"/>
      <c r="H136" s="63"/>
      <c r="I136" s="64"/>
      <c r="J136" s="64"/>
      <c r="K136" s="64"/>
      <c r="L136" s="64"/>
      <c r="M136" s="64"/>
      <c r="N136" s="64"/>
      <c r="O136" s="65"/>
      <c r="P136" s="65"/>
      <c r="Q136" s="65"/>
      <c r="R136" s="65"/>
      <c r="S136" s="65"/>
    </row>
    <row r="137" spans="3:19" ht="15.95" hidden="1" customHeight="1" x14ac:dyDescent="0.25">
      <c r="C137" s="63"/>
      <c r="D137" s="63"/>
      <c r="E137" s="63"/>
      <c r="F137" s="63"/>
      <c r="G137" s="63"/>
      <c r="H137" s="63"/>
      <c r="I137" s="64"/>
      <c r="J137" s="64"/>
      <c r="K137" s="64"/>
      <c r="L137" s="64"/>
      <c r="M137" s="64"/>
      <c r="N137" s="64"/>
      <c r="O137" s="65"/>
      <c r="P137" s="65"/>
      <c r="Q137" s="65"/>
      <c r="R137" s="65"/>
      <c r="S137" s="65"/>
    </row>
    <row r="138" spans="3:19" ht="15.95" hidden="1" customHeight="1" x14ac:dyDescent="0.25">
      <c r="C138" s="63"/>
      <c r="D138" s="63"/>
      <c r="E138" s="63"/>
      <c r="F138" s="63"/>
      <c r="G138" s="63"/>
      <c r="H138" s="63"/>
      <c r="I138" s="64"/>
      <c r="J138" s="64"/>
      <c r="K138" s="64"/>
      <c r="L138" s="64"/>
      <c r="M138" s="64"/>
      <c r="N138" s="64"/>
      <c r="O138" s="65"/>
      <c r="P138" s="65"/>
      <c r="Q138" s="65"/>
      <c r="R138" s="65"/>
      <c r="S138" s="65"/>
    </row>
    <row r="139" spans="3:19" ht="15.95" hidden="1" customHeight="1" x14ac:dyDescent="0.25">
      <c r="C139" s="63"/>
      <c r="D139" s="63"/>
      <c r="E139" s="63"/>
      <c r="F139" s="63"/>
      <c r="G139" s="63"/>
      <c r="H139" s="63"/>
      <c r="I139" s="64"/>
      <c r="J139" s="64"/>
      <c r="K139" s="64"/>
      <c r="L139" s="64"/>
      <c r="M139" s="64"/>
      <c r="N139" s="64"/>
      <c r="O139" s="65"/>
      <c r="P139" s="65"/>
      <c r="Q139" s="65"/>
      <c r="R139" s="65"/>
      <c r="S139" s="65"/>
    </row>
    <row r="140" spans="3:19" ht="15.95" hidden="1" customHeight="1" x14ac:dyDescent="0.25">
      <c r="C140" s="63"/>
      <c r="D140" s="63"/>
      <c r="E140" s="63"/>
      <c r="F140" s="63"/>
      <c r="G140" s="63"/>
      <c r="H140" s="63"/>
      <c r="I140" s="64"/>
      <c r="J140" s="64"/>
      <c r="K140" s="64"/>
      <c r="L140" s="64"/>
      <c r="M140" s="64"/>
      <c r="N140" s="64"/>
      <c r="O140" s="65"/>
      <c r="P140" s="65"/>
      <c r="Q140" s="65"/>
      <c r="R140" s="65"/>
      <c r="S140" s="65"/>
    </row>
    <row r="141" spans="3:19" ht="15.95" hidden="1" customHeight="1" x14ac:dyDescent="0.25">
      <c r="C141" s="63"/>
      <c r="D141" s="63"/>
      <c r="E141" s="63"/>
      <c r="F141" s="63"/>
      <c r="G141" s="63"/>
      <c r="H141" s="63"/>
      <c r="I141" s="64"/>
      <c r="J141" s="64"/>
      <c r="K141" s="64"/>
      <c r="L141" s="64"/>
      <c r="M141" s="64"/>
      <c r="N141" s="64"/>
      <c r="O141" s="65"/>
      <c r="P141" s="65"/>
      <c r="Q141" s="65"/>
      <c r="R141" s="65"/>
      <c r="S141" s="65"/>
    </row>
    <row r="142" spans="3:19" ht="15.95" hidden="1" customHeight="1" x14ac:dyDescent="0.25">
      <c r="C142" s="63"/>
      <c r="D142" s="63"/>
      <c r="E142" s="63"/>
      <c r="F142" s="63"/>
      <c r="G142" s="63"/>
      <c r="H142" s="63"/>
      <c r="I142" s="64"/>
      <c r="J142" s="64"/>
      <c r="K142" s="64"/>
      <c r="L142" s="64"/>
      <c r="M142" s="64"/>
      <c r="N142" s="64"/>
      <c r="O142" s="65"/>
      <c r="P142" s="65"/>
      <c r="Q142" s="65"/>
      <c r="R142" s="65"/>
      <c r="S142" s="65"/>
    </row>
    <row r="143" spans="3:19" ht="15.95" hidden="1" customHeight="1" x14ac:dyDescent="0.25">
      <c r="C143" s="63"/>
      <c r="D143" s="63"/>
      <c r="E143" s="63"/>
      <c r="F143" s="63"/>
      <c r="G143" s="63"/>
      <c r="H143" s="63"/>
      <c r="I143" s="64"/>
      <c r="J143" s="64"/>
      <c r="K143" s="64"/>
      <c r="L143" s="64"/>
      <c r="M143" s="64"/>
      <c r="N143" s="64"/>
      <c r="O143" s="65"/>
      <c r="P143" s="65"/>
      <c r="Q143" s="65"/>
      <c r="R143" s="65"/>
      <c r="S143" s="65"/>
    </row>
    <row r="144" spans="3:19" ht="15.95" hidden="1" customHeight="1" x14ac:dyDescent="0.25">
      <c r="C144" s="63"/>
      <c r="D144" s="63"/>
      <c r="E144" s="63"/>
      <c r="F144" s="63"/>
      <c r="G144" s="63"/>
      <c r="H144" s="63"/>
      <c r="I144" s="64"/>
      <c r="J144" s="64"/>
      <c r="K144" s="64"/>
      <c r="L144" s="64"/>
      <c r="M144" s="64"/>
      <c r="N144" s="64"/>
      <c r="O144" s="65"/>
      <c r="P144" s="65"/>
      <c r="Q144" s="65"/>
      <c r="R144" s="65"/>
      <c r="S144" s="65"/>
    </row>
    <row r="145" spans="3:19" ht="15.95" hidden="1" customHeight="1" x14ac:dyDescent="0.25">
      <c r="C145" s="63"/>
      <c r="D145" s="63"/>
      <c r="E145" s="63"/>
      <c r="F145" s="63"/>
      <c r="G145" s="63"/>
      <c r="H145" s="63"/>
      <c r="I145" s="64"/>
      <c r="J145" s="64"/>
      <c r="K145" s="64"/>
      <c r="L145" s="64"/>
      <c r="M145" s="64"/>
      <c r="N145" s="64"/>
      <c r="O145" s="65"/>
      <c r="P145" s="65"/>
      <c r="Q145" s="65"/>
      <c r="R145" s="65"/>
      <c r="S145" s="65"/>
    </row>
    <row r="146" spans="3:19" ht="15.95" hidden="1" customHeight="1" x14ac:dyDescent="0.25">
      <c r="C146" s="63"/>
      <c r="D146" s="63"/>
      <c r="E146" s="63"/>
      <c r="F146" s="63"/>
      <c r="G146" s="63"/>
      <c r="H146" s="63"/>
      <c r="I146" s="64"/>
      <c r="J146" s="64"/>
      <c r="K146" s="64"/>
      <c r="L146" s="64"/>
      <c r="M146" s="64"/>
      <c r="N146" s="64"/>
      <c r="O146" s="65"/>
      <c r="P146" s="65"/>
      <c r="Q146" s="65"/>
      <c r="R146" s="65"/>
      <c r="S146" s="65"/>
    </row>
    <row r="147" spans="3:19" ht="15.95" hidden="1" customHeight="1" x14ac:dyDescent="0.25">
      <c r="C147" s="63"/>
      <c r="D147" s="63"/>
      <c r="E147" s="63"/>
      <c r="F147" s="63"/>
      <c r="G147" s="63"/>
      <c r="H147" s="63"/>
      <c r="I147" s="64"/>
      <c r="J147" s="64"/>
      <c r="K147" s="64"/>
      <c r="L147" s="64"/>
      <c r="M147" s="64"/>
      <c r="N147" s="64"/>
      <c r="O147" s="65"/>
      <c r="P147" s="65"/>
      <c r="Q147" s="65"/>
      <c r="R147" s="65"/>
      <c r="S147" s="65"/>
    </row>
    <row r="148" spans="3:19" ht="15.95" hidden="1" customHeight="1" x14ac:dyDescent="0.25">
      <c r="C148" s="63"/>
      <c r="D148" s="63"/>
      <c r="E148" s="63"/>
      <c r="F148" s="63"/>
      <c r="G148" s="63"/>
      <c r="H148" s="63"/>
      <c r="I148" s="64"/>
      <c r="J148" s="64"/>
      <c r="K148" s="64"/>
      <c r="L148" s="64"/>
      <c r="M148" s="64"/>
      <c r="N148" s="64"/>
      <c r="O148" s="65"/>
      <c r="P148" s="65"/>
      <c r="Q148" s="65"/>
      <c r="R148" s="65"/>
      <c r="S148" s="65"/>
    </row>
    <row r="149" spans="3:19" ht="15.95" hidden="1" customHeight="1" x14ac:dyDescent="0.25">
      <c r="C149" s="63"/>
      <c r="D149" s="63"/>
      <c r="E149" s="63"/>
      <c r="F149" s="63"/>
      <c r="G149" s="63"/>
      <c r="H149" s="63"/>
      <c r="I149" s="64"/>
      <c r="J149" s="64"/>
      <c r="K149" s="64"/>
      <c r="L149" s="64"/>
      <c r="M149" s="64"/>
      <c r="N149" s="64"/>
      <c r="O149" s="65"/>
      <c r="P149" s="65"/>
      <c r="Q149" s="65"/>
      <c r="R149" s="65"/>
      <c r="S149" s="65"/>
    </row>
    <row r="150" spans="3:19" ht="15.95" hidden="1" customHeight="1" x14ac:dyDescent="0.25">
      <c r="C150" s="63"/>
      <c r="D150" s="63"/>
      <c r="E150" s="63"/>
      <c r="F150" s="63"/>
      <c r="G150" s="63"/>
      <c r="H150" s="63"/>
      <c r="I150" s="64"/>
      <c r="J150" s="64"/>
      <c r="K150" s="64"/>
      <c r="L150" s="64"/>
      <c r="M150" s="64"/>
      <c r="N150" s="64"/>
      <c r="O150" s="65"/>
      <c r="P150" s="65"/>
      <c r="Q150" s="65"/>
      <c r="R150" s="65"/>
      <c r="S150" s="65"/>
    </row>
    <row r="151" spans="3:19" ht="15.95" hidden="1" customHeight="1" x14ac:dyDescent="0.25">
      <c r="C151" s="63"/>
      <c r="D151" s="63"/>
      <c r="E151" s="63"/>
      <c r="F151" s="63"/>
      <c r="G151" s="63"/>
      <c r="H151" s="63"/>
      <c r="I151" s="64"/>
      <c r="J151" s="64"/>
      <c r="K151" s="64"/>
      <c r="L151" s="64"/>
      <c r="M151" s="64"/>
      <c r="N151" s="64"/>
      <c r="O151" s="65"/>
      <c r="P151" s="65"/>
      <c r="Q151" s="65"/>
      <c r="R151" s="65"/>
      <c r="S151" s="65"/>
    </row>
    <row r="152" spans="3:19" ht="15.95" hidden="1" customHeight="1" x14ac:dyDescent="0.25">
      <c r="C152" s="63"/>
      <c r="D152" s="63"/>
      <c r="E152" s="63"/>
      <c r="F152" s="63"/>
      <c r="G152" s="63"/>
      <c r="H152" s="63"/>
      <c r="I152" s="64"/>
      <c r="J152" s="64"/>
      <c r="K152" s="64"/>
      <c r="L152" s="64"/>
      <c r="M152" s="64"/>
      <c r="N152" s="64"/>
      <c r="O152" s="65"/>
      <c r="P152" s="65"/>
      <c r="Q152" s="65"/>
      <c r="R152" s="65"/>
      <c r="S152" s="65"/>
    </row>
    <row r="153" spans="3:19" ht="15.95" hidden="1" customHeight="1" x14ac:dyDescent="0.25">
      <c r="C153" s="63"/>
      <c r="D153" s="63"/>
      <c r="E153" s="63"/>
      <c r="F153" s="63"/>
      <c r="G153" s="63"/>
      <c r="H153" s="63"/>
      <c r="I153" s="64"/>
      <c r="J153" s="64"/>
      <c r="K153" s="64"/>
      <c r="L153" s="64"/>
      <c r="M153" s="64"/>
      <c r="N153" s="64"/>
      <c r="O153" s="65"/>
      <c r="P153" s="65"/>
      <c r="Q153" s="65"/>
      <c r="R153" s="65"/>
      <c r="S153" s="65"/>
    </row>
    <row r="154" spans="3:19" ht="15.95" hidden="1" customHeight="1" x14ac:dyDescent="0.25">
      <c r="C154" s="63"/>
      <c r="D154" s="63"/>
      <c r="E154" s="63"/>
      <c r="F154" s="63"/>
      <c r="G154" s="63"/>
      <c r="H154" s="63"/>
      <c r="I154" s="64"/>
      <c r="J154" s="64"/>
      <c r="K154" s="64"/>
      <c r="L154" s="64"/>
      <c r="M154" s="64"/>
      <c r="N154" s="64"/>
      <c r="O154" s="65"/>
      <c r="P154" s="65"/>
      <c r="Q154" s="65"/>
      <c r="R154" s="65"/>
      <c r="S154" s="65"/>
    </row>
    <row r="155" spans="3:19" ht="15.95" hidden="1" customHeight="1" x14ac:dyDescent="0.25">
      <c r="C155" s="63"/>
      <c r="D155" s="63"/>
      <c r="E155" s="63"/>
      <c r="F155" s="63"/>
      <c r="G155" s="63"/>
      <c r="H155" s="63"/>
      <c r="I155" s="64"/>
      <c r="J155" s="64"/>
      <c r="K155" s="64"/>
      <c r="L155" s="64"/>
      <c r="M155" s="64"/>
      <c r="N155" s="64"/>
      <c r="O155" s="65"/>
      <c r="P155" s="65"/>
      <c r="Q155" s="65"/>
      <c r="R155" s="65"/>
      <c r="S155" s="65"/>
    </row>
    <row r="156" spans="3:19" ht="15.95" hidden="1" customHeight="1" x14ac:dyDescent="0.25">
      <c r="C156" s="63"/>
      <c r="D156" s="63"/>
      <c r="E156" s="63"/>
      <c r="F156" s="63"/>
      <c r="G156" s="63"/>
      <c r="H156" s="63"/>
      <c r="I156" s="64"/>
      <c r="J156" s="64"/>
      <c r="K156" s="64"/>
      <c r="L156" s="64"/>
      <c r="M156" s="64"/>
      <c r="N156" s="64"/>
      <c r="O156" s="65"/>
      <c r="P156" s="65"/>
      <c r="Q156" s="65"/>
      <c r="R156" s="65"/>
      <c r="S156" s="65"/>
    </row>
    <row r="157" spans="3:19" ht="15.95" hidden="1" customHeight="1" x14ac:dyDescent="0.25">
      <c r="C157" s="63"/>
      <c r="D157" s="63"/>
      <c r="E157" s="63"/>
      <c r="F157" s="63"/>
      <c r="G157" s="63"/>
      <c r="H157" s="63"/>
      <c r="I157" s="64"/>
      <c r="J157" s="64"/>
      <c r="K157" s="64"/>
      <c r="L157" s="64"/>
      <c r="M157" s="64"/>
      <c r="N157" s="64"/>
      <c r="O157" s="65"/>
      <c r="P157" s="65"/>
      <c r="Q157" s="65"/>
      <c r="R157" s="65"/>
      <c r="S157" s="65"/>
    </row>
    <row r="158" spans="3:19" ht="15.95" hidden="1" customHeight="1" x14ac:dyDescent="0.25">
      <c r="C158" s="63"/>
      <c r="D158" s="63"/>
      <c r="E158" s="63"/>
      <c r="F158" s="63"/>
      <c r="G158" s="63"/>
      <c r="H158" s="63"/>
      <c r="I158" s="64"/>
      <c r="J158" s="64"/>
      <c r="K158" s="64"/>
      <c r="L158" s="64"/>
      <c r="M158" s="64"/>
      <c r="N158" s="64"/>
      <c r="O158" s="65"/>
      <c r="P158" s="65"/>
      <c r="Q158" s="65"/>
      <c r="R158" s="65"/>
      <c r="S158" s="65"/>
    </row>
    <row r="159" spans="3:19" ht="15.95" hidden="1" customHeight="1" x14ac:dyDescent="0.25">
      <c r="C159" s="63"/>
      <c r="D159" s="63"/>
      <c r="E159" s="63"/>
      <c r="F159" s="63"/>
      <c r="G159" s="63"/>
      <c r="H159" s="63"/>
      <c r="I159" s="64"/>
      <c r="J159" s="64"/>
      <c r="K159" s="64"/>
      <c r="L159" s="64"/>
      <c r="M159" s="64"/>
      <c r="N159" s="64"/>
      <c r="O159" s="65"/>
      <c r="P159" s="65"/>
      <c r="Q159" s="65"/>
      <c r="R159" s="65"/>
      <c r="S159" s="65"/>
    </row>
    <row r="160" spans="3:19" ht="15.95" hidden="1" customHeight="1" x14ac:dyDescent="0.25">
      <c r="C160" s="63"/>
      <c r="D160" s="63"/>
      <c r="E160" s="63"/>
      <c r="F160" s="63"/>
      <c r="G160" s="63"/>
      <c r="H160" s="63"/>
      <c r="I160" s="64"/>
      <c r="J160" s="64"/>
      <c r="K160" s="64"/>
      <c r="L160" s="64"/>
      <c r="M160" s="64"/>
      <c r="N160" s="64"/>
      <c r="O160" s="65"/>
      <c r="P160" s="65"/>
      <c r="Q160" s="65"/>
      <c r="R160" s="65"/>
      <c r="S160" s="65"/>
    </row>
    <row r="161" spans="3:19" ht="15.95" hidden="1" customHeight="1" x14ac:dyDescent="0.25">
      <c r="C161" s="63"/>
      <c r="D161" s="63"/>
      <c r="E161" s="63"/>
      <c r="F161" s="63"/>
      <c r="G161" s="63"/>
      <c r="H161" s="63"/>
      <c r="I161" s="64"/>
      <c r="J161" s="64"/>
      <c r="K161" s="64"/>
      <c r="L161" s="64"/>
      <c r="M161" s="64"/>
      <c r="N161" s="64"/>
      <c r="O161" s="65"/>
      <c r="P161" s="65"/>
      <c r="Q161" s="65"/>
      <c r="R161" s="65"/>
      <c r="S161" s="65"/>
    </row>
    <row r="162" spans="3:19" ht="15.95" hidden="1" customHeight="1" x14ac:dyDescent="0.25">
      <c r="C162" s="63"/>
      <c r="D162" s="63"/>
      <c r="E162" s="63"/>
      <c r="F162" s="63"/>
      <c r="G162" s="63"/>
      <c r="H162" s="63"/>
      <c r="I162" s="64"/>
      <c r="J162" s="64"/>
      <c r="K162" s="64"/>
      <c r="L162" s="64"/>
      <c r="M162" s="64"/>
      <c r="N162" s="64"/>
      <c r="O162" s="65"/>
      <c r="P162" s="65"/>
      <c r="Q162" s="65"/>
      <c r="R162" s="65"/>
      <c r="S162" s="65"/>
    </row>
    <row r="163" spans="3:19" ht="15.95" hidden="1" customHeight="1" x14ac:dyDescent="0.25">
      <c r="C163" s="63"/>
      <c r="D163" s="63"/>
      <c r="E163" s="63"/>
      <c r="F163" s="63"/>
      <c r="G163" s="63"/>
      <c r="H163" s="63"/>
      <c r="I163" s="64"/>
      <c r="J163" s="64"/>
      <c r="K163" s="64"/>
      <c r="L163" s="64"/>
      <c r="M163" s="64"/>
      <c r="N163" s="64"/>
      <c r="O163" s="65"/>
      <c r="P163" s="65"/>
      <c r="Q163" s="65"/>
      <c r="R163" s="65"/>
      <c r="S163" s="65"/>
    </row>
    <row r="164" spans="3:19" ht="15.95" hidden="1" customHeight="1" x14ac:dyDescent="0.25">
      <c r="C164" s="63"/>
      <c r="D164" s="63"/>
      <c r="E164" s="63"/>
      <c r="F164" s="63"/>
      <c r="G164" s="63"/>
      <c r="H164" s="63"/>
      <c r="I164" s="64"/>
      <c r="J164" s="64"/>
      <c r="K164" s="64"/>
      <c r="L164" s="64"/>
      <c r="M164" s="64"/>
      <c r="N164" s="64"/>
      <c r="O164" s="65"/>
      <c r="P164" s="65"/>
      <c r="Q164" s="65"/>
      <c r="R164" s="65"/>
      <c r="S164" s="65"/>
    </row>
    <row r="165" spans="3:19" ht="15.95" hidden="1" customHeight="1" x14ac:dyDescent="0.25">
      <c r="C165" s="63"/>
      <c r="D165" s="63"/>
      <c r="E165" s="63"/>
      <c r="F165" s="63"/>
      <c r="G165" s="63"/>
      <c r="H165" s="63"/>
      <c r="I165" s="64"/>
      <c r="J165" s="64"/>
      <c r="K165" s="64"/>
      <c r="L165" s="64"/>
      <c r="M165" s="64"/>
      <c r="N165" s="64"/>
      <c r="O165" s="65"/>
      <c r="P165" s="65"/>
      <c r="Q165" s="65"/>
      <c r="R165" s="65"/>
      <c r="S165" s="65"/>
    </row>
    <row r="166" spans="3:19" ht="15.95" hidden="1" customHeight="1" x14ac:dyDescent="0.25">
      <c r="C166" s="63"/>
      <c r="D166" s="63"/>
      <c r="E166" s="63"/>
      <c r="F166" s="63"/>
      <c r="G166" s="63"/>
      <c r="H166" s="63"/>
      <c r="I166" s="64"/>
      <c r="J166" s="64"/>
      <c r="K166" s="64"/>
      <c r="L166" s="64"/>
      <c r="M166" s="64"/>
      <c r="N166" s="64"/>
      <c r="O166" s="65"/>
      <c r="P166" s="65"/>
      <c r="Q166" s="65"/>
      <c r="R166" s="65"/>
      <c r="S166" s="65"/>
    </row>
    <row r="167" spans="3:19" ht="15.95" hidden="1" customHeight="1" x14ac:dyDescent="0.25">
      <c r="C167" s="63"/>
      <c r="D167" s="63"/>
      <c r="E167" s="63"/>
      <c r="F167" s="63"/>
      <c r="G167" s="63"/>
      <c r="H167" s="63"/>
      <c r="I167" s="64"/>
      <c r="J167" s="64"/>
      <c r="K167" s="64"/>
      <c r="L167" s="64"/>
      <c r="M167" s="64"/>
      <c r="N167" s="64"/>
      <c r="O167" s="65"/>
      <c r="P167" s="65"/>
      <c r="Q167" s="65"/>
      <c r="R167" s="65"/>
      <c r="S167" s="65"/>
    </row>
    <row r="168" spans="3:19" ht="15.95" hidden="1" customHeight="1" x14ac:dyDescent="0.25">
      <c r="C168" s="63"/>
      <c r="D168" s="63"/>
      <c r="E168" s="63"/>
      <c r="F168" s="63"/>
      <c r="G168" s="63"/>
      <c r="H168" s="63"/>
      <c r="I168" s="64"/>
      <c r="J168" s="64"/>
      <c r="K168" s="64"/>
      <c r="L168" s="64"/>
      <c r="M168" s="64"/>
      <c r="N168" s="64"/>
      <c r="O168" s="65"/>
      <c r="P168" s="65"/>
      <c r="Q168" s="65"/>
      <c r="R168" s="65"/>
      <c r="S168" s="65"/>
    </row>
    <row r="169" spans="3:19" ht="15.95" hidden="1" customHeight="1" x14ac:dyDescent="0.25">
      <c r="C169" s="63"/>
      <c r="D169" s="63"/>
      <c r="E169" s="63"/>
      <c r="F169" s="63"/>
      <c r="G169" s="63"/>
      <c r="H169" s="63"/>
      <c r="I169" s="64"/>
      <c r="J169" s="64"/>
      <c r="K169" s="64"/>
      <c r="L169" s="64"/>
      <c r="M169" s="64"/>
      <c r="N169" s="64"/>
      <c r="O169" s="65"/>
      <c r="P169" s="65"/>
      <c r="Q169" s="65"/>
      <c r="R169" s="65"/>
      <c r="S169" s="65"/>
    </row>
    <row r="170" spans="3:19" ht="15.95" hidden="1" customHeight="1" x14ac:dyDescent="0.25">
      <c r="C170" s="63"/>
      <c r="D170" s="63"/>
      <c r="E170" s="63"/>
      <c r="F170" s="63"/>
      <c r="G170" s="63"/>
      <c r="H170" s="63"/>
      <c r="I170" s="64"/>
      <c r="J170" s="64"/>
      <c r="K170" s="64"/>
      <c r="L170" s="64"/>
      <c r="M170" s="64"/>
      <c r="N170" s="64"/>
      <c r="O170" s="65"/>
      <c r="P170" s="65"/>
      <c r="Q170" s="65"/>
      <c r="R170" s="65"/>
      <c r="S170" s="65"/>
    </row>
    <row r="171" spans="3:19" ht="15.95" hidden="1" customHeight="1" x14ac:dyDescent="0.25">
      <c r="C171" s="63"/>
      <c r="D171" s="63"/>
      <c r="E171" s="63"/>
      <c r="F171" s="63"/>
      <c r="G171" s="63"/>
      <c r="H171" s="63"/>
      <c r="I171" s="64"/>
      <c r="J171" s="64"/>
      <c r="K171" s="64"/>
      <c r="L171" s="64"/>
      <c r="M171" s="64"/>
      <c r="N171" s="64"/>
      <c r="O171" s="65"/>
      <c r="P171" s="65"/>
      <c r="Q171" s="65"/>
      <c r="R171" s="65"/>
      <c r="S171" s="65"/>
    </row>
    <row r="172" spans="3:19" ht="15.95" hidden="1" customHeight="1" x14ac:dyDescent="0.25">
      <c r="C172" s="63"/>
      <c r="D172" s="63"/>
      <c r="E172" s="63"/>
      <c r="F172" s="63"/>
      <c r="G172" s="63"/>
      <c r="H172" s="63"/>
      <c r="I172" s="64"/>
      <c r="J172" s="64"/>
      <c r="K172" s="64"/>
      <c r="L172" s="64"/>
      <c r="M172" s="64"/>
      <c r="N172" s="64"/>
      <c r="O172" s="65"/>
      <c r="P172" s="65"/>
      <c r="Q172" s="65"/>
      <c r="R172" s="65"/>
      <c r="S172" s="65"/>
    </row>
    <row r="173" spans="3:19" ht="15.95" hidden="1" customHeight="1" x14ac:dyDescent="0.25">
      <c r="C173" s="63"/>
      <c r="D173" s="63"/>
      <c r="E173" s="63"/>
      <c r="F173" s="63"/>
      <c r="G173" s="63"/>
      <c r="H173" s="63"/>
      <c r="I173" s="64"/>
      <c r="J173" s="64"/>
      <c r="K173" s="64"/>
      <c r="L173" s="64"/>
      <c r="M173" s="64"/>
      <c r="N173" s="64"/>
      <c r="O173" s="65"/>
      <c r="P173" s="65"/>
      <c r="Q173" s="65"/>
      <c r="R173" s="65"/>
      <c r="S173" s="65"/>
    </row>
    <row r="174" spans="3:19" ht="15.95" hidden="1" customHeight="1" x14ac:dyDescent="0.25">
      <c r="C174" s="63"/>
      <c r="D174" s="63"/>
      <c r="E174" s="63"/>
      <c r="F174" s="63"/>
      <c r="G174" s="63"/>
      <c r="H174" s="63"/>
      <c r="I174" s="64"/>
      <c r="J174" s="64"/>
      <c r="K174" s="64"/>
      <c r="L174" s="64"/>
      <c r="M174" s="64"/>
      <c r="N174" s="64"/>
      <c r="O174" s="65"/>
      <c r="P174" s="65"/>
      <c r="Q174" s="65"/>
      <c r="R174" s="65"/>
      <c r="S174" s="65"/>
    </row>
    <row r="175" spans="3:19" ht="15.95" hidden="1" customHeight="1" x14ac:dyDescent="0.25">
      <c r="C175" s="63"/>
      <c r="D175" s="63"/>
      <c r="E175" s="63"/>
      <c r="F175" s="63"/>
      <c r="G175" s="63"/>
      <c r="H175" s="63"/>
      <c r="I175" s="64"/>
      <c r="J175" s="64"/>
      <c r="K175" s="64"/>
      <c r="L175" s="64"/>
      <c r="M175" s="64"/>
      <c r="N175" s="64"/>
      <c r="O175" s="65"/>
      <c r="P175" s="65"/>
      <c r="Q175" s="65"/>
      <c r="R175" s="65"/>
      <c r="S175" s="65"/>
    </row>
    <row r="176" spans="3:19" ht="15.95" hidden="1" customHeight="1" x14ac:dyDescent="0.25">
      <c r="C176" s="63"/>
      <c r="D176" s="63"/>
      <c r="E176" s="63"/>
      <c r="F176" s="63"/>
      <c r="G176" s="63"/>
      <c r="H176" s="63"/>
      <c r="I176" s="64"/>
      <c r="J176" s="64"/>
      <c r="K176" s="64"/>
      <c r="L176" s="64"/>
      <c r="M176" s="64"/>
      <c r="N176" s="64"/>
      <c r="O176" s="65"/>
      <c r="P176" s="65"/>
      <c r="Q176" s="65"/>
      <c r="R176" s="65"/>
      <c r="S176" s="65"/>
    </row>
    <row r="177" spans="3:19" ht="15.95" hidden="1" customHeight="1" x14ac:dyDescent="0.25">
      <c r="C177" s="63"/>
      <c r="D177" s="63"/>
      <c r="E177" s="63"/>
      <c r="F177" s="63"/>
      <c r="G177" s="63"/>
      <c r="H177" s="63"/>
      <c r="I177" s="64"/>
      <c r="J177" s="64"/>
      <c r="K177" s="64"/>
      <c r="L177" s="64"/>
      <c r="M177" s="64"/>
      <c r="N177" s="64"/>
      <c r="O177" s="65"/>
      <c r="P177" s="65"/>
      <c r="Q177" s="65"/>
      <c r="R177" s="65"/>
      <c r="S177" s="65"/>
    </row>
    <row r="178" spans="3:19" ht="15.95" hidden="1" customHeight="1" x14ac:dyDescent="0.25">
      <c r="C178" s="63"/>
      <c r="D178" s="63"/>
      <c r="E178" s="63"/>
      <c r="F178" s="63"/>
      <c r="G178" s="63"/>
      <c r="H178" s="63"/>
      <c r="I178" s="64"/>
      <c r="J178" s="64"/>
      <c r="K178" s="64"/>
      <c r="L178" s="64"/>
      <c r="M178" s="64"/>
      <c r="N178" s="64"/>
      <c r="O178" s="65"/>
      <c r="P178" s="65"/>
      <c r="Q178" s="65"/>
      <c r="R178" s="65"/>
      <c r="S178" s="65"/>
    </row>
    <row r="179" spans="3:19" ht="15.95" hidden="1" customHeight="1" x14ac:dyDescent="0.25">
      <c r="C179" s="63"/>
      <c r="D179" s="63"/>
      <c r="E179" s="63"/>
      <c r="F179" s="63"/>
      <c r="G179" s="63"/>
      <c r="H179" s="63"/>
      <c r="I179" s="64"/>
      <c r="J179" s="64"/>
      <c r="K179" s="64"/>
      <c r="L179" s="64"/>
      <c r="M179" s="64"/>
      <c r="N179" s="64"/>
      <c r="O179" s="65"/>
      <c r="P179" s="65"/>
      <c r="Q179" s="65"/>
      <c r="R179" s="65"/>
      <c r="S179" s="65"/>
    </row>
    <row r="180" spans="3:19" ht="15.95" hidden="1" customHeight="1" x14ac:dyDescent="0.25">
      <c r="C180" s="63"/>
      <c r="D180" s="63"/>
      <c r="E180" s="63"/>
      <c r="F180" s="63"/>
      <c r="G180" s="63"/>
      <c r="H180" s="63"/>
      <c r="I180" s="64"/>
      <c r="J180" s="64"/>
      <c r="K180" s="64"/>
      <c r="L180" s="64"/>
      <c r="M180" s="64"/>
      <c r="N180" s="64"/>
      <c r="O180" s="65"/>
      <c r="P180" s="65"/>
      <c r="Q180" s="65"/>
      <c r="R180" s="65"/>
      <c r="S180" s="65"/>
    </row>
    <row r="181" spans="3:19" ht="15.95" hidden="1" customHeight="1" x14ac:dyDescent="0.25">
      <c r="C181" s="63"/>
      <c r="D181" s="63"/>
      <c r="E181" s="63"/>
      <c r="F181" s="63"/>
      <c r="G181" s="63"/>
      <c r="H181" s="63"/>
      <c r="I181" s="64"/>
      <c r="J181" s="64"/>
      <c r="K181" s="64"/>
      <c r="L181" s="64"/>
      <c r="M181" s="64"/>
      <c r="N181" s="64"/>
      <c r="O181" s="65"/>
      <c r="P181" s="65"/>
      <c r="Q181" s="65"/>
      <c r="R181" s="65"/>
      <c r="S181" s="65"/>
    </row>
    <row r="182" spans="3:19" ht="15.95" hidden="1" customHeight="1" x14ac:dyDescent="0.25">
      <c r="C182" s="63"/>
      <c r="D182" s="63"/>
      <c r="E182" s="63"/>
      <c r="F182" s="63"/>
      <c r="G182" s="63"/>
      <c r="H182" s="63"/>
      <c r="I182" s="64"/>
      <c r="J182" s="64"/>
      <c r="K182" s="64"/>
      <c r="L182" s="64"/>
      <c r="M182" s="64"/>
      <c r="N182" s="64"/>
      <c r="O182" s="65"/>
      <c r="P182" s="65"/>
      <c r="Q182" s="65"/>
      <c r="R182" s="65"/>
      <c r="S182" s="65"/>
    </row>
    <row r="183" spans="3:19" ht="15.95" hidden="1" customHeight="1" x14ac:dyDescent="0.25">
      <c r="C183" s="63"/>
      <c r="D183" s="63"/>
      <c r="E183" s="63"/>
      <c r="F183" s="63"/>
      <c r="G183" s="63"/>
      <c r="H183" s="63"/>
      <c r="I183" s="64"/>
      <c r="J183" s="64"/>
      <c r="K183" s="64"/>
      <c r="L183" s="64"/>
      <c r="M183" s="64"/>
      <c r="N183" s="64"/>
      <c r="O183" s="65"/>
      <c r="P183" s="65"/>
      <c r="Q183" s="65"/>
      <c r="R183" s="65"/>
      <c r="S183" s="65"/>
    </row>
    <row r="184" spans="3:19" ht="15.95" hidden="1" customHeight="1" x14ac:dyDescent="0.25">
      <c r="C184" s="63"/>
      <c r="D184" s="63"/>
      <c r="E184" s="63"/>
      <c r="F184" s="63"/>
      <c r="G184" s="63"/>
      <c r="H184" s="63"/>
      <c r="I184" s="64"/>
      <c r="J184" s="64"/>
      <c r="K184" s="64"/>
      <c r="L184" s="64"/>
      <c r="M184" s="64"/>
      <c r="N184" s="64"/>
      <c r="O184" s="65"/>
      <c r="P184" s="65"/>
      <c r="Q184" s="65"/>
      <c r="R184" s="65"/>
      <c r="S184" s="65"/>
    </row>
    <row r="185" spans="3:19" ht="15.95" hidden="1" customHeight="1" x14ac:dyDescent="0.25">
      <c r="C185" s="63"/>
      <c r="D185" s="63"/>
      <c r="E185" s="63"/>
      <c r="F185" s="63"/>
      <c r="G185" s="63"/>
      <c r="H185" s="63"/>
      <c r="I185" s="64"/>
      <c r="J185" s="64"/>
      <c r="K185" s="64"/>
      <c r="L185" s="64"/>
      <c r="M185" s="64"/>
      <c r="N185" s="64"/>
      <c r="O185" s="65"/>
      <c r="P185" s="65"/>
      <c r="Q185" s="65"/>
      <c r="R185" s="65"/>
      <c r="S185" s="65"/>
    </row>
    <row r="186" spans="3:19" ht="15.95" hidden="1" customHeight="1" x14ac:dyDescent="0.25">
      <c r="C186" s="63"/>
      <c r="D186" s="63"/>
      <c r="E186" s="63"/>
      <c r="F186" s="63"/>
      <c r="G186" s="63"/>
      <c r="H186" s="63"/>
      <c r="I186" s="64"/>
      <c r="J186" s="64"/>
      <c r="K186" s="64"/>
      <c r="L186" s="64"/>
      <c r="M186" s="64"/>
      <c r="N186" s="64"/>
      <c r="O186" s="65"/>
      <c r="P186" s="65"/>
      <c r="Q186" s="65"/>
      <c r="R186" s="65"/>
      <c r="S186" s="65"/>
    </row>
    <row r="187" spans="3:19" ht="15.95" hidden="1" customHeight="1" x14ac:dyDescent="0.25">
      <c r="C187" s="63"/>
      <c r="D187" s="63"/>
      <c r="E187" s="63"/>
      <c r="F187" s="63"/>
      <c r="G187" s="63"/>
      <c r="H187" s="63"/>
      <c r="I187" s="64"/>
      <c r="J187" s="64"/>
      <c r="K187" s="64"/>
      <c r="L187" s="64"/>
      <c r="M187" s="64"/>
      <c r="N187" s="64"/>
      <c r="O187" s="65"/>
      <c r="P187" s="65"/>
      <c r="Q187" s="65"/>
      <c r="R187" s="65"/>
      <c r="S187" s="65"/>
    </row>
    <row r="188" spans="3:19" ht="15.95" hidden="1" customHeight="1" x14ac:dyDescent="0.25">
      <c r="C188" s="63"/>
      <c r="D188" s="63"/>
      <c r="E188" s="63"/>
      <c r="F188" s="63"/>
      <c r="G188" s="63"/>
      <c r="H188" s="63"/>
      <c r="I188" s="64"/>
      <c r="J188" s="64"/>
      <c r="K188" s="64"/>
      <c r="L188" s="64"/>
      <c r="M188" s="64"/>
      <c r="N188" s="64"/>
      <c r="O188" s="65"/>
      <c r="P188" s="65"/>
      <c r="Q188" s="65"/>
      <c r="R188" s="65"/>
      <c r="S188" s="65"/>
    </row>
    <row r="189" spans="3:19" ht="15.95" hidden="1" customHeight="1" x14ac:dyDescent="0.25">
      <c r="C189" s="63"/>
      <c r="D189" s="63"/>
      <c r="E189" s="63"/>
      <c r="F189" s="63"/>
      <c r="G189" s="63"/>
      <c r="H189" s="63"/>
      <c r="I189" s="64"/>
      <c r="J189" s="64"/>
      <c r="K189" s="64"/>
      <c r="L189" s="64"/>
      <c r="M189" s="64"/>
      <c r="N189" s="64"/>
      <c r="O189" s="65"/>
      <c r="P189" s="65"/>
      <c r="Q189" s="65"/>
      <c r="R189" s="65"/>
      <c r="S189" s="65"/>
    </row>
    <row r="190" spans="3:19" ht="15.95" hidden="1" customHeight="1" x14ac:dyDescent="0.25">
      <c r="C190" s="63"/>
      <c r="D190" s="63"/>
      <c r="E190" s="63"/>
      <c r="F190" s="63"/>
      <c r="G190" s="63"/>
      <c r="H190" s="63"/>
      <c r="I190" s="64"/>
      <c r="J190" s="64"/>
      <c r="K190" s="64"/>
      <c r="L190" s="64"/>
      <c r="M190" s="64"/>
      <c r="N190" s="64"/>
      <c r="O190" s="65"/>
      <c r="P190" s="65"/>
      <c r="Q190" s="65"/>
      <c r="R190" s="65"/>
      <c r="S190" s="65"/>
    </row>
    <row r="191" spans="3:19" ht="15.95" hidden="1" customHeight="1" x14ac:dyDescent="0.25">
      <c r="C191" s="63"/>
      <c r="D191" s="63"/>
      <c r="E191" s="63"/>
      <c r="F191" s="63"/>
      <c r="G191" s="63"/>
      <c r="H191" s="63"/>
      <c r="I191" s="64"/>
      <c r="J191" s="64"/>
      <c r="K191" s="64"/>
      <c r="L191" s="64"/>
      <c r="M191" s="64"/>
      <c r="N191" s="64"/>
      <c r="O191" s="65"/>
      <c r="P191" s="65"/>
      <c r="Q191" s="65"/>
      <c r="R191" s="65"/>
      <c r="S191" s="65"/>
    </row>
    <row r="192" spans="3:19" ht="15.95" hidden="1" customHeight="1" x14ac:dyDescent="0.25">
      <c r="C192" s="63"/>
      <c r="D192" s="63"/>
      <c r="E192" s="63"/>
      <c r="F192" s="63"/>
      <c r="G192" s="63"/>
      <c r="H192" s="63"/>
      <c r="I192" s="64"/>
      <c r="J192" s="64"/>
      <c r="K192" s="64"/>
      <c r="L192" s="64"/>
      <c r="M192" s="64"/>
      <c r="N192" s="64"/>
      <c r="O192" s="65"/>
      <c r="P192" s="65"/>
      <c r="Q192" s="65"/>
      <c r="R192" s="65"/>
      <c r="S192" s="65"/>
    </row>
    <row r="193" spans="2:44" ht="15.95" hidden="1" customHeight="1" x14ac:dyDescent="0.25">
      <c r="C193" s="63"/>
      <c r="D193" s="63"/>
      <c r="E193" s="63"/>
      <c r="F193" s="63"/>
      <c r="G193" s="63"/>
      <c r="H193" s="63"/>
      <c r="I193" s="64"/>
      <c r="J193" s="64"/>
      <c r="K193" s="64"/>
      <c r="L193" s="64"/>
      <c r="M193" s="64"/>
      <c r="N193" s="64"/>
      <c r="O193" s="65"/>
      <c r="P193" s="65"/>
      <c r="Q193" s="65"/>
      <c r="R193" s="65"/>
      <c r="S193" s="65"/>
    </row>
    <row r="194" spans="2:44" ht="15.95" hidden="1" customHeight="1" x14ac:dyDescent="0.25">
      <c r="C194" s="63"/>
      <c r="D194" s="63"/>
      <c r="E194" s="63"/>
      <c r="F194" s="63"/>
      <c r="G194" s="63"/>
      <c r="H194" s="63"/>
      <c r="I194" s="64"/>
      <c r="J194" s="64"/>
      <c r="K194" s="64"/>
      <c r="L194" s="64"/>
      <c r="M194" s="64"/>
      <c r="N194" s="64"/>
      <c r="O194" s="65"/>
      <c r="P194" s="65"/>
      <c r="Q194" s="65"/>
      <c r="R194" s="65"/>
      <c r="S194" s="65"/>
    </row>
    <row r="195" spans="2:44" ht="15.95" hidden="1" customHeight="1" x14ac:dyDescent="0.25">
      <c r="C195" s="63"/>
      <c r="D195" s="63"/>
      <c r="E195" s="63"/>
      <c r="F195" s="63"/>
      <c r="G195" s="63"/>
      <c r="H195" s="63"/>
      <c r="I195" s="64"/>
      <c r="J195" s="64"/>
      <c r="K195" s="64"/>
      <c r="L195" s="64"/>
      <c r="M195" s="64"/>
      <c r="N195" s="64"/>
      <c r="O195" s="65"/>
      <c r="P195" s="65"/>
      <c r="Q195" s="65"/>
      <c r="R195" s="65"/>
      <c r="S195" s="65"/>
    </row>
    <row r="196" spans="2:44" ht="15.95" hidden="1" customHeight="1" x14ac:dyDescent="0.25">
      <c r="C196" s="63"/>
      <c r="D196" s="63"/>
      <c r="E196" s="63"/>
      <c r="F196" s="63"/>
      <c r="G196" s="63"/>
      <c r="H196" s="63"/>
      <c r="I196" s="64"/>
      <c r="J196" s="64"/>
      <c r="K196" s="64"/>
      <c r="L196" s="64"/>
      <c r="M196" s="64"/>
      <c r="N196" s="64"/>
      <c r="O196" s="65"/>
      <c r="P196" s="65"/>
      <c r="Q196" s="65"/>
      <c r="R196" s="65"/>
      <c r="S196" s="65"/>
    </row>
    <row r="197" spans="2:44" ht="15.95" hidden="1" customHeight="1" x14ac:dyDescent="0.25">
      <c r="C197" s="63"/>
      <c r="D197" s="63"/>
      <c r="E197" s="63"/>
      <c r="F197" s="63"/>
      <c r="G197" s="63"/>
      <c r="H197" s="63"/>
      <c r="I197" s="64"/>
      <c r="J197" s="64"/>
      <c r="K197" s="64"/>
      <c r="L197" s="64"/>
      <c r="M197" s="64"/>
      <c r="N197" s="64"/>
      <c r="O197" s="65"/>
      <c r="P197" s="65"/>
      <c r="Q197" s="65"/>
      <c r="R197" s="65"/>
      <c r="S197" s="65"/>
    </row>
    <row r="198" spans="2:44" ht="15.95" hidden="1" customHeight="1" x14ac:dyDescent="0.25">
      <c r="C198" s="63"/>
      <c r="D198" s="63"/>
      <c r="E198" s="63"/>
      <c r="F198" s="63"/>
      <c r="G198" s="63"/>
      <c r="H198" s="63"/>
      <c r="I198" s="64"/>
      <c r="J198" s="64"/>
      <c r="K198" s="64"/>
      <c r="L198" s="64"/>
      <c r="M198" s="64"/>
      <c r="N198" s="64"/>
      <c r="O198" s="65"/>
      <c r="P198" s="65"/>
      <c r="Q198" s="65"/>
      <c r="R198" s="65"/>
      <c r="S198" s="65"/>
    </row>
    <row r="199" spans="2:44" ht="15.95" hidden="1" customHeight="1" x14ac:dyDescent="0.25">
      <c r="C199" s="63"/>
      <c r="D199" s="63"/>
      <c r="E199" s="63"/>
      <c r="F199" s="63"/>
      <c r="G199" s="63"/>
      <c r="H199" s="63"/>
      <c r="I199" s="64"/>
      <c r="J199" s="64"/>
      <c r="K199" s="64"/>
      <c r="L199" s="64"/>
      <c r="M199" s="64"/>
      <c r="N199" s="64"/>
      <c r="O199" s="65"/>
      <c r="P199" s="65"/>
      <c r="Q199" s="65"/>
      <c r="R199" s="65"/>
      <c r="S199" s="65"/>
    </row>
    <row r="200" spans="2:44" ht="15.95" customHeight="1" x14ac:dyDescent="0.25">
      <c r="B200" s="70" t="s">
        <v>1300</v>
      </c>
      <c r="C200" s="70"/>
      <c r="D200" s="70"/>
      <c r="E200" s="70"/>
      <c r="F200" s="70"/>
      <c r="G200" s="70"/>
      <c r="H200" s="70"/>
      <c r="I200" s="70"/>
      <c r="J200" s="70"/>
      <c r="K200" s="70"/>
      <c r="L200" s="70"/>
      <c r="M200" s="595" t="str">
        <f>IF(PROJID=0,"",CONCATENATE("Project ",PROJID))</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71" t="str">
        <f>""</f>
        <v/>
      </c>
    </row>
    <row r="201" spans="2:44" ht="15.95" customHeight="1" x14ac:dyDescent="0.25">
      <c r="B201" s="70" t="s">
        <v>1302</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71" t="str">
        <f>""</f>
        <v/>
      </c>
    </row>
    <row r="202" spans="2:44" ht="15.95" customHeight="1" x14ac:dyDescent="0.25">
      <c r="B202" s="72" t="s">
        <v>1079</v>
      </c>
      <c r="C202" s="70"/>
      <c r="D202" s="70"/>
      <c r="E202" s="70"/>
      <c r="F202" s="70"/>
      <c r="G202" s="70"/>
      <c r="H202" s="70"/>
      <c r="I202" s="70"/>
      <c r="J202" s="70"/>
      <c r="K202" s="70"/>
      <c r="L202" s="70"/>
      <c r="M202" s="73"/>
      <c r="N202" s="70"/>
      <c r="O202" s="70"/>
      <c r="P202" s="73"/>
      <c r="Q202" s="73"/>
      <c r="R202" s="73"/>
      <c r="S202" s="73"/>
      <c r="T202" s="73"/>
      <c r="U202" s="73"/>
      <c r="V202" s="73"/>
      <c r="W202" s="74" t="s">
        <v>2481</v>
      </c>
      <c r="X202" s="73"/>
      <c r="Y202" s="73"/>
      <c r="Z202" s="73"/>
      <c r="AA202" s="73"/>
      <c r="AB202" s="73"/>
      <c r="AC202" s="73"/>
      <c r="AD202" s="73"/>
      <c r="AE202" s="70"/>
      <c r="AF202" s="70"/>
      <c r="AG202" s="70"/>
      <c r="AH202" s="70"/>
      <c r="AI202" s="70"/>
      <c r="AJ202" s="70"/>
      <c r="AK202" s="70"/>
      <c r="AL202" s="70"/>
      <c r="AM202" s="70"/>
      <c r="AN202" s="70"/>
      <c r="AO202" s="70"/>
      <c r="AP202" s="70"/>
      <c r="AQ202" s="70"/>
      <c r="AR202" s="163" t="s">
        <v>1999</v>
      </c>
    </row>
  </sheetData>
  <sheetProtection algorithmName="SHA-512" hashValue="ap94x178F/KNaRZtEEuTdMz8p3n70H2gR7639CO5kdoYbEhPfqJ8dWpLhq/vI+//CtEZYiv9b6Pi2OdfSQqPLA==" saltValue="6IPT5IirxxGAYOqGLh3iRQ==" spinCount="100000" sheet="1" objects="1" scenarios="1" selectLockedCells="1"/>
  <mergeCells count="16">
    <mergeCell ref="C10:AQ11"/>
    <mergeCell ref="AH1:AK1"/>
    <mergeCell ref="AH2:AK3"/>
    <mergeCell ref="AQ1:AR1"/>
    <mergeCell ref="AQ2:AR3"/>
    <mergeCell ref="AL1:AP1"/>
    <mergeCell ref="AL2:AP3"/>
    <mergeCell ref="U1:V1"/>
    <mergeCell ref="Y1:Z1"/>
    <mergeCell ref="Q1:R1"/>
    <mergeCell ref="M200:AG201"/>
    <mergeCell ref="I62:O62"/>
    <mergeCell ref="C62:H62"/>
    <mergeCell ref="P62:T62"/>
    <mergeCell ref="AK62:AQ62"/>
    <mergeCell ref="AC62:AJ62"/>
  </mergeCells>
  <conditionalFormatting sqref="AQ2:AR3">
    <cfRule type="cellIs" dxfId="788" priority="13" operator="equal">
      <formula>1</formula>
    </cfRule>
    <cfRule type="cellIs" dxfId="787" priority="14" operator="between">
      <formula>0.51</formula>
      <formula>0.99</formula>
    </cfRule>
    <cfRule type="cellIs" dxfId="786" priority="15" operator="lessThanOrEqual">
      <formula>0.5</formula>
    </cfRule>
  </conditionalFormatting>
  <conditionalFormatting sqref="AH2 AL2">
    <cfRule type="expression" dxfId="785" priority="11">
      <formula>PROJSTATUS=PROJSTATELI</formula>
    </cfRule>
    <cfRule type="expression" dxfId="784" priority="12">
      <formula>PROJSTATUS=PROJSTATREVIEW</formula>
    </cfRule>
    <cfRule type="expression" dxfId="783" priority="16">
      <formula>PROJSTATUS=PROJSTATPREAPPROVE</formula>
    </cfRule>
    <cfRule type="expression" dxfId="782" priority="17">
      <formula>PROJSTATUS=PROJSTATSTANDARD</formula>
    </cfRule>
    <cfRule type="expression" dxfId="781" priority="18">
      <formula>PROJSTATUS=PROJSTATEXP</formula>
    </cfRule>
  </conditionalFormatting>
  <conditionalFormatting sqref="C28">
    <cfRule type="expression" dxfId="780" priority="7">
      <formula>I62-TODAY()&gt;=7</formula>
    </cfRule>
    <cfRule type="expression" dxfId="779" priority="8">
      <formula>AND(I62-TODAY()&lt;7,I62-TODAY()&gt;2)</formula>
    </cfRule>
    <cfRule type="expression" dxfId="778" priority="9">
      <formula>I62-TODAY()&lt;=2</formula>
    </cfRule>
  </conditionalFormatting>
  <conditionalFormatting sqref="C30">
    <cfRule type="expression" dxfId="777" priority="4">
      <formula>I64-TODAY()&gt;=7</formula>
    </cfRule>
    <cfRule type="expression" dxfId="776" priority="5">
      <formula>AND(I64-TODAY()&lt;7,I64-TODAY()&gt;2)</formula>
    </cfRule>
    <cfRule type="expression" dxfId="775" priority="6">
      <formula>I64-TODAY()&lt;=2</formula>
    </cfRule>
  </conditionalFormatting>
  <conditionalFormatting sqref="Y30">
    <cfRule type="expression" dxfId="774" priority="1">
      <formula>AE64-TODAY()&gt;=7</formula>
    </cfRule>
    <cfRule type="expression" dxfId="773" priority="2">
      <formula>AND(AE64-TODAY()&lt;7,AE64-TODAY()&gt;2)</formula>
    </cfRule>
    <cfRule type="expression" dxfId="772" priority="3">
      <formula>AE64-TODAY()&lt;=2</formula>
    </cfRule>
  </conditionalFormatting>
  <conditionalFormatting sqref="D32">
    <cfRule type="expression" dxfId="771" priority="205">
      <formula>I66-TODAY()&gt;=7</formula>
    </cfRule>
    <cfRule type="expression" dxfId="770" priority="206">
      <formula>AND(I66-TODAY()&lt;7,I66-TODAY()&gt;2)</formula>
    </cfRule>
    <cfRule type="expression" dxfId="769" priority="207">
      <formula>I66-TODAY()&lt;=2</formula>
    </cfRule>
  </conditionalFormatting>
  <hyperlinks>
    <hyperlink ref="B202" r:id="rId1" xr:uid="{00000000-0004-0000-0800-000000000000}"/>
  </hyperlinks>
  <pageMargins left="0.25" right="0.25" top="0.25" bottom="0.25" header="0.25" footer="0.25"/>
  <pageSetup scale="62" fitToHeight="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Q1" s="616" t="str">
        <f>IF(OR('M03-S01'!AU13&lt;&gt;0,'M03-S02'!AU13&lt;&gt;0,'M03-S03'!AU13&lt;&gt;0,'M03-S04'!AU13&lt;&gt;0,'M03-S05'!AU13&lt;&gt;0, 'M03-S06'!AU11&lt;&gt;0,'M03-S07'!AW13&lt;&gt;0,'M03-S08'!AW13&lt;&gt;0,),"P","")</f>
        <v/>
      </c>
      <c r="R1" s="616"/>
      <c r="U1" s="615" t="str">
        <f>IF(OR('M04-S01'!AU13&lt;&gt;0,'M04-S02'!AU13&lt;&gt;0,'M04-S03'!AU13&lt;&gt;0,'M04-S04'!AU13&lt;&gt;0,'M04-S05'!AU13&lt;&gt;0,'M04-S06'!AU13&gt;0,'M04-S07'!AU13&gt;0),"P","")</f>
        <v/>
      </c>
      <c r="V1" s="615"/>
      <c r="Y1" s="615" t="str">
        <f>IF(OR('M05-S01'!AU13&lt;&gt;0,'M05-S02'!AU13&lt;&gt;0,'M05-S03'!AU13&lt;&gt;0,'M05-S04'!AU13&lt;&gt;0,'M05-S05'!AU13&lt;&gt;0,'M05-S06'!AU13&lt;&gt;0,'M05-S07'!AU13&lt;&gt;0),"P","")</f>
        <v/>
      </c>
      <c r="Z1" s="615"/>
      <c r="AH1" s="600" t="s">
        <v>448</v>
      </c>
      <c r="AI1" s="601"/>
      <c r="AJ1" s="601"/>
      <c r="AK1" s="601"/>
      <c r="AL1" s="612" t="s">
        <v>829</v>
      </c>
      <c r="AM1" s="612"/>
      <c r="AN1" s="612"/>
      <c r="AO1" s="612"/>
      <c r="AP1" s="612"/>
      <c r="AQ1" s="606" t="s">
        <v>451</v>
      </c>
      <c r="AR1" s="607"/>
    </row>
    <row r="2" spans="3:44" ht="15.95" customHeight="1" x14ac:dyDescent="0.25">
      <c r="AH2" s="602" t="str">
        <f>INCENSTATUS</f>
        <v>---</v>
      </c>
      <c r="AI2" s="603"/>
      <c r="AJ2" s="603"/>
      <c r="AK2" s="603"/>
      <c r="AL2" s="613" t="str">
        <f ca="1">PROJSTATUS</f>
        <v>Enter Measures</v>
      </c>
      <c r="AM2" s="613"/>
      <c r="AN2" s="613"/>
      <c r="AO2" s="613"/>
      <c r="AP2" s="613"/>
      <c r="AQ2" s="608">
        <f ca="1">PROGRESSSTATUS</f>
        <v>0</v>
      </c>
      <c r="AR2" s="609"/>
    </row>
    <row r="3" spans="3:44" ht="15.95" customHeight="1" x14ac:dyDescent="0.25">
      <c r="AH3" s="604"/>
      <c r="AI3" s="605"/>
      <c r="AJ3" s="605"/>
      <c r="AK3" s="605"/>
      <c r="AL3" s="614"/>
      <c r="AM3" s="614"/>
      <c r="AN3" s="614"/>
      <c r="AO3" s="614"/>
      <c r="AP3" s="614"/>
      <c r="AQ3" s="610"/>
      <c r="AR3" s="611"/>
    </row>
    <row r="4" spans="3:44" ht="15.95" customHeight="1" x14ac:dyDescent="0.25"/>
    <row r="5" spans="3:44" ht="15.95" customHeight="1" x14ac:dyDescent="0.25"/>
    <row r="6" spans="3:44" ht="15.95" customHeight="1" x14ac:dyDescent="0.25">
      <c r="C6" s="37"/>
    </row>
    <row r="7" spans="3:44" ht="15.95" customHeight="1" x14ac:dyDescent="0.25"/>
    <row r="8" spans="3:44" ht="15.95" customHeight="1" x14ac:dyDescent="0.25"/>
    <row r="9" spans="3:44" ht="15.95" customHeight="1" x14ac:dyDescent="0.25"/>
    <row r="10" spans="3:44" ht="15.95" customHeight="1" x14ac:dyDescent="0.3">
      <c r="F10" s="617" t="s">
        <v>1075</v>
      </c>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row>
    <row r="11" spans="3:44" ht="15.95" customHeight="1" x14ac:dyDescent="0.25">
      <c r="F11" s="618" t="s">
        <v>568</v>
      </c>
      <c r="G11" s="618"/>
      <c r="H11" s="618"/>
      <c r="I11" s="618"/>
      <c r="J11" s="618"/>
      <c r="K11" s="618"/>
      <c r="L11" s="618"/>
      <c r="M11" s="618"/>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618"/>
      <c r="AM11" s="618"/>
      <c r="AN11" s="618"/>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customFormat="1" ht="15.95" customHeight="1" x14ac:dyDescent="0.25"/>
    <row r="33" ht="15.95" customHeight="1" x14ac:dyDescent="0.25"/>
    <row r="34" ht="15.95" customHeight="1" x14ac:dyDescent="0.25"/>
    <row r="35" ht="15.95"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ht="15.95" hidden="1" customHeight="1" x14ac:dyDescent="0.25"/>
    <row r="50" ht="15.95" hidden="1" customHeight="1" x14ac:dyDescent="0.25"/>
    <row r="51" ht="15.95" hidden="1" customHeight="1" x14ac:dyDescent="0.25"/>
    <row r="52" ht="15.95" hidden="1" customHeight="1" x14ac:dyDescent="0.25"/>
    <row r="53" ht="15.95" hidden="1" customHeight="1" x14ac:dyDescent="0.25"/>
    <row r="54" ht="15.95" hidden="1" customHeight="1" x14ac:dyDescent="0.25"/>
    <row r="55" ht="15.95" hidden="1" customHeight="1" x14ac:dyDescent="0.25"/>
    <row r="56" ht="15.95" hidden="1" customHeight="1" x14ac:dyDescent="0.25"/>
    <row r="57" customFormat="1" ht="15.95" hidden="1" customHeight="1" x14ac:dyDescent="0.25"/>
    <row r="58" customFormat="1" ht="15.95" hidden="1" customHeight="1" x14ac:dyDescent="0.25"/>
    <row r="59" customFormat="1" ht="15.95" hidden="1" customHeight="1" x14ac:dyDescent="0.25"/>
    <row r="60" customFormat="1" ht="15.95" hidden="1" customHeight="1" x14ac:dyDescent="0.25"/>
    <row r="61" customFormat="1" ht="15.95" hidden="1" customHeight="1" x14ac:dyDescent="0.25"/>
    <row r="62" customFormat="1" ht="15.95" hidden="1" customHeight="1" x14ac:dyDescent="0.25"/>
    <row r="63" ht="15.95" hidden="1" customHeight="1" x14ac:dyDescent="0.25"/>
    <row r="64" customFormat="1" ht="15.95" hidden="1" customHeight="1" x14ac:dyDescent="0.25"/>
    <row r="65" customFormat="1" ht="15.95" hidden="1" customHeight="1" x14ac:dyDescent="0.25"/>
    <row r="66" customFormat="1" ht="15.95" hidden="1" customHeight="1" x14ac:dyDescent="0.25"/>
    <row r="67" customFormat="1" ht="15.95" hidden="1" customHeight="1" x14ac:dyDescent="0.25"/>
    <row r="68" customFormat="1" ht="15.95" hidden="1" customHeight="1" x14ac:dyDescent="0.25"/>
    <row r="69" customFormat="1" ht="15.95" hidden="1" customHeight="1" x14ac:dyDescent="0.25"/>
    <row r="70" customFormat="1" ht="15.95" hidden="1" customHeight="1" x14ac:dyDescent="0.25"/>
    <row r="71" customFormat="1" ht="15.95" hidden="1" customHeight="1" x14ac:dyDescent="0.25"/>
    <row r="72" customFormat="1" ht="15.95" hidden="1" customHeight="1" x14ac:dyDescent="0.25"/>
    <row r="73" customFormat="1" ht="15.95" hidden="1" customHeight="1" x14ac:dyDescent="0.25"/>
    <row r="74" customFormat="1" ht="15.95" hidden="1" customHeight="1" x14ac:dyDescent="0.25"/>
    <row r="75" customFormat="1" ht="15.95" hidden="1" customHeight="1" x14ac:dyDescent="0.25"/>
    <row r="76" customFormat="1" ht="15.95" hidden="1" customHeight="1" x14ac:dyDescent="0.25"/>
    <row r="77" customFormat="1" ht="15.95" hidden="1" customHeight="1" x14ac:dyDescent="0.25"/>
    <row r="78" customFormat="1" ht="15.95" hidden="1" customHeight="1" x14ac:dyDescent="0.25"/>
    <row r="79" customFormat="1" ht="15.95" hidden="1" customHeight="1" x14ac:dyDescent="0.25"/>
    <row r="80" customFormat="1" ht="15.95" hidden="1" customHeight="1" x14ac:dyDescent="0.25"/>
    <row r="81" customFormat="1" ht="15.95" hidden="1" customHeight="1" x14ac:dyDescent="0.25"/>
    <row r="82" customFormat="1" ht="15.95" hidden="1" customHeight="1" x14ac:dyDescent="0.25"/>
    <row r="83" customFormat="1" ht="15.95" hidden="1" customHeight="1" x14ac:dyDescent="0.25"/>
    <row r="84" customFormat="1" ht="15.95" hidden="1" customHeight="1" x14ac:dyDescent="0.25"/>
    <row r="85" customFormat="1" ht="15.95" hidden="1" customHeight="1" x14ac:dyDescent="0.25"/>
    <row r="86" customFormat="1" ht="15.95" hidden="1" customHeight="1" x14ac:dyDescent="0.25"/>
    <row r="87" customFormat="1" ht="15.95" hidden="1" customHeight="1" x14ac:dyDescent="0.25"/>
    <row r="88" customFormat="1" ht="15.95" hidden="1" customHeight="1" x14ac:dyDescent="0.25"/>
    <row r="89" customFormat="1" ht="15.95" hidden="1" customHeight="1" x14ac:dyDescent="0.25"/>
    <row r="90" customFormat="1" ht="15.95" hidden="1" customHeight="1" x14ac:dyDescent="0.25"/>
    <row r="91" customFormat="1" ht="15.95" hidden="1" customHeight="1" x14ac:dyDescent="0.25"/>
    <row r="92" customFormat="1" ht="15.95" hidden="1" customHeight="1" x14ac:dyDescent="0.25"/>
    <row r="93" customFormat="1" ht="15.95" hidden="1" customHeight="1" x14ac:dyDescent="0.25"/>
    <row r="94" customFormat="1" ht="15.95" hidden="1" customHeight="1" x14ac:dyDescent="0.25"/>
    <row r="95" customFormat="1" ht="15.95" hidden="1" customHeight="1" x14ac:dyDescent="0.25"/>
    <row r="96" customFormat="1" ht="15.95" hidden="1" customHeight="1" x14ac:dyDescent="0.25"/>
    <row r="97" customFormat="1" ht="15.95" hidden="1" customHeight="1" x14ac:dyDescent="0.25"/>
    <row r="98" customFormat="1" ht="15.95" hidden="1" customHeight="1" x14ac:dyDescent="0.25"/>
    <row r="99" customFormat="1" ht="15.95" hidden="1" customHeight="1" x14ac:dyDescent="0.25"/>
    <row r="100" customFormat="1" ht="15.95" hidden="1" customHeight="1" x14ac:dyDescent="0.25"/>
    <row r="101" customFormat="1" ht="15.95" hidden="1" customHeight="1" x14ac:dyDescent="0.25"/>
    <row r="102" customFormat="1" ht="15.95" hidden="1" customHeight="1" x14ac:dyDescent="0.25"/>
    <row r="103" customFormat="1" ht="15.95" hidden="1" customHeight="1" x14ac:dyDescent="0.25"/>
    <row r="104" customFormat="1" ht="15.95" hidden="1" customHeight="1" x14ac:dyDescent="0.25"/>
    <row r="105" customFormat="1" ht="15.95" hidden="1" customHeight="1" x14ac:dyDescent="0.25"/>
    <row r="106" customFormat="1" ht="15.95" hidden="1" customHeight="1" x14ac:dyDescent="0.25"/>
    <row r="107" customFormat="1" ht="15.95" hidden="1" customHeight="1" x14ac:dyDescent="0.25"/>
    <row r="108" customFormat="1" ht="15.95" hidden="1" customHeight="1" x14ac:dyDescent="0.25"/>
    <row r="109" customFormat="1" ht="15.95" hidden="1" customHeight="1" x14ac:dyDescent="0.25"/>
    <row r="110" customFormat="1" ht="15.95" hidden="1" customHeight="1" x14ac:dyDescent="0.25"/>
    <row r="111" customFormat="1" ht="15.95" hidden="1" customHeight="1" x14ac:dyDescent="0.25"/>
    <row r="112" customFormat="1" ht="15.95" hidden="1" customHeight="1" x14ac:dyDescent="0.25"/>
    <row r="113" customFormat="1" ht="15.95" hidden="1" customHeight="1" x14ac:dyDescent="0.25"/>
    <row r="114" customFormat="1" ht="15.95" hidden="1" customHeight="1" x14ac:dyDescent="0.25"/>
    <row r="115" customFormat="1" ht="15.95" hidden="1" customHeight="1" x14ac:dyDescent="0.25"/>
    <row r="116" customFormat="1" ht="15.95" hidden="1" customHeight="1" x14ac:dyDescent="0.25"/>
    <row r="117" customFormat="1" ht="15.95" hidden="1" customHeight="1" x14ac:dyDescent="0.25"/>
    <row r="118" customFormat="1" ht="15.95" hidden="1" customHeight="1" x14ac:dyDescent="0.25"/>
    <row r="119" customFormat="1" ht="15.95" hidden="1" customHeight="1" x14ac:dyDescent="0.25"/>
    <row r="120" customFormat="1" ht="15.95" hidden="1" customHeight="1" x14ac:dyDescent="0.25"/>
    <row r="121" customFormat="1" ht="15.95" hidden="1" customHeight="1" x14ac:dyDescent="0.25"/>
    <row r="122" customFormat="1" ht="15.95" hidden="1" customHeight="1" x14ac:dyDescent="0.25"/>
    <row r="123" customFormat="1" ht="15.95" hidden="1" customHeight="1" x14ac:dyDescent="0.25"/>
    <row r="124" customFormat="1" ht="15.95" hidden="1" customHeight="1" x14ac:dyDescent="0.25"/>
    <row r="125" customFormat="1" ht="15.95" hidden="1" customHeight="1" x14ac:dyDescent="0.25"/>
    <row r="126" customFormat="1" ht="15.95" hidden="1" customHeight="1" x14ac:dyDescent="0.25"/>
    <row r="127" customFormat="1" ht="15.95" hidden="1" customHeight="1" x14ac:dyDescent="0.25"/>
    <row r="128" customFormat="1" ht="15.95" hidden="1" customHeight="1" x14ac:dyDescent="0.25"/>
    <row r="129" customFormat="1" ht="15.95" hidden="1" customHeight="1" x14ac:dyDescent="0.25"/>
    <row r="130" customFormat="1" ht="15.95" hidden="1" customHeight="1" x14ac:dyDescent="0.25"/>
    <row r="131" customFormat="1" ht="15.95" hidden="1" customHeight="1" x14ac:dyDescent="0.25"/>
    <row r="132" customFormat="1" ht="15.95" hidden="1" customHeight="1" x14ac:dyDescent="0.25"/>
    <row r="133" customFormat="1" ht="15.95" hidden="1" customHeight="1" x14ac:dyDescent="0.25"/>
    <row r="134" customFormat="1" ht="15.95" hidden="1" customHeight="1" x14ac:dyDescent="0.25"/>
    <row r="135" customFormat="1" ht="15.95" hidden="1" customHeight="1" x14ac:dyDescent="0.25"/>
    <row r="136" customFormat="1" ht="15.95" hidden="1" customHeight="1" x14ac:dyDescent="0.25"/>
    <row r="137" customFormat="1" ht="15.95" hidden="1" customHeight="1" x14ac:dyDescent="0.25"/>
    <row r="138" customFormat="1" ht="15.95" hidden="1" customHeight="1" x14ac:dyDescent="0.25"/>
    <row r="139" customFormat="1" ht="15.95" hidden="1" customHeight="1" x14ac:dyDescent="0.25"/>
    <row r="140" customFormat="1" ht="15.95" hidden="1" customHeight="1" x14ac:dyDescent="0.25"/>
    <row r="141" customFormat="1" ht="15.95" hidden="1" customHeight="1" x14ac:dyDescent="0.25"/>
    <row r="142" customFormat="1" ht="15.95" hidden="1" customHeight="1" x14ac:dyDescent="0.25"/>
    <row r="143" customFormat="1" ht="15.95" hidden="1" customHeight="1" x14ac:dyDescent="0.25"/>
    <row r="144" customFormat="1" ht="15.95" hidden="1" customHeight="1" x14ac:dyDescent="0.25"/>
    <row r="145" customFormat="1" ht="15.95" hidden="1" customHeight="1" x14ac:dyDescent="0.25"/>
    <row r="146" customFormat="1" ht="15.95" hidden="1" customHeight="1" x14ac:dyDescent="0.25"/>
    <row r="147" customFormat="1" ht="15.95" hidden="1" customHeight="1" x14ac:dyDescent="0.25"/>
    <row r="148" customFormat="1" ht="15.95" hidden="1" customHeight="1" x14ac:dyDescent="0.25"/>
    <row r="149" customFormat="1" ht="15.95" hidden="1" customHeight="1" x14ac:dyDescent="0.25"/>
    <row r="150" customFormat="1" ht="15.95" hidden="1" customHeight="1" x14ac:dyDescent="0.25"/>
    <row r="151" customFormat="1" ht="15.95" hidden="1" customHeight="1" x14ac:dyDescent="0.25"/>
    <row r="152" customFormat="1" ht="15.95" hidden="1" customHeight="1" x14ac:dyDescent="0.25"/>
    <row r="153" customFormat="1" ht="15.95" hidden="1" customHeight="1" x14ac:dyDescent="0.25"/>
    <row r="154" customFormat="1" ht="15.95" hidden="1" customHeight="1" x14ac:dyDescent="0.25"/>
    <row r="155" customFormat="1" ht="15.95" hidden="1" customHeight="1" x14ac:dyDescent="0.25"/>
    <row r="156" customFormat="1" ht="15.95" hidden="1" customHeight="1" x14ac:dyDescent="0.25"/>
    <row r="157" customFormat="1" ht="15.95" hidden="1" customHeight="1" x14ac:dyDescent="0.25"/>
    <row r="158" customFormat="1" ht="15.95" hidden="1" customHeight="1" x14ac:dyDescent="0.25"/>
    <row r="159" customFormat="1" ht="15.95" hidden="1" customHeight="1" x14ac:dyDescent="0.25"/>
    <row r="160" customFormat="1" ht="15.95" hidden="1" customHeight="1" x14ac:dyDescent="0.25"/>
    <row r="161" customFormat="1" ht="15.95" hidden="1" customHeight="1" x14ac:dyDescent="0.25"/>
    <row r="162" customFormat="1" ht="15.95" hidden="1" customHeight="1" x14ac:dyDescent="0.25"/>
    <row r="163" customFormat="1" ht="15.95" hidden="1" customHeight="1" x14ac:dyDescent="0.25"/>
    <row r="164" customFormat="1" ht="15.95" hidden="1" customHeight="1" x14ac:dyDescent="0.25"/>
    <row r="165" customFormat="1" ht="15.95" hidden="1" customHeight="1" x14ac:dyDescent="0.25"/>
    <row r="166" customFormat="1" ht="15.95" hidden="1" customHeight="1" x14ac:dyDescent="0.25"/>
    <row r="167" customFormat="1" ht="15.95" hidden="1" customHeight="1" x14ac:dyDescent="0.25"/>
    <row r="168" customFormat="1" ht="15.95" hidden="1" customHeight="1" x14ac:dyDescent="0.25"/>
    <row r="169" customFormat="1" ht="15.95" hidden="1" customHeight="1" x14ac:dyDescent="0.25"/>
    <row r="170" customFormat="1" ht="15.95" hidden="1" customHeight="1" x14ac:dyDescent="0.25"/>
    <row r="171" customFormat="1" ht="15.95" hidden="1" customHeight="1" x14ac:dyDescent="0.25"/>
    <row r="172" customFormat="1" ht="15.95" hidden="1" customHeight="1" x14ac:dyDescent="0.25"/>
    <row r="173" customFormat="1" ht="15.95" hidden="1" customHeight="1" x14ac:dyDescent="0.25"/>
    <row r="174" customFormat="1" ht="15.95" hidden="1" customHeight="1" x14ac:dyDescent="0.25"/>
    <row r="175" customFormat="1" ht="15.95" hidden="1" customHeight="1" x14ac:dyDescent="0.25"/>
    <row r="176" customFormat="1" ht="15.95" hidden="1" customHeight="1" x14ac:dyDescent="0.25"/>
    <row r="177" customFormat="1" ht="15.95" hidden="1" customHeight="1" x14ac:dyDescent="0.25"/>
    <row r="178" customFormat="1" ht="15.95" hidden="1" customHeight="1" x14ac:dyDescent="0.25"/>
    <row r="179" customFormat="1" ht="15.95" hidden="1" customHeight="1" x14ac:dyDescent="0.25"/>
    <row r="180" customFormat="1" ht="15.95" hidden="1" customHeight="1" x14ac:dyDescent="0.25"/>
    <row r="181" customFormat="1" ht="15.95" hidden="1" customHeight="1" x14ac:dyDescent="0.25"/>
    <row r="182" customFormat="1" ht="15.95" hidden="1" customHeight="1" x14ac:dyDescent="0.25"/>
    <row r="183" customFormat="1" ht="15.95" hidden="1" customHeight="1" x14ac:dyDescent="0.25"/>
    <row r="184" customFormat="1" ht="15.95" hidden="1" customHeight="1" x14ac:dyDescent="0.25"/>
    <row r="185" customFormat="1" ht="15.95" hidden="1" customHeight="1" x14ac:dyDescent="0.25"/>
    <row r="186" customFormat="1" ht="15.95" hidden="1" customHeight="1" x14ac:dyDescent="0.25"/>
    <row r="187" customFormat="1" ht="15.95" hidden="1" customHeight="1" x14ac:dyDescent="0.25"/>
    <row r="188" customFormat="1" ht="15.95" hidden="1" customHeight="1" x14ac:dyDescent="0.25"/>
    <row r="189" customFormat="1" ht="15.95" hidden="1" customHeight="1" x14ac:dyDescent="0.25"/>
    <row r="190" customFormat="1" ht="15.95" hidden="1" customHeight="1" x14ac:dyDescent="0.25"/>
    <row r="191" customFormat="1" ht="15.95" hidden="1" customHeight="1" x14ac:dyDescent="0.25"/>
    <row r="192" customFormat="1" ht="15.95" hidden="1" customHeight="1" x14ac:dyDescent="0.25"/>
    <row r="193" spans="2:44" ht="15.95" hidden="1" customHeight="1" x14ac:dyDescent="0.25"/>
    <row r="194" spans="2:44" ht="15.95" hidden="1" customHeight="1" x14ac:dyDescent="0.25"/>
    <row r="195" spans="2:44" ht="15.95" hidden="1" customHeight="1" x14ac:dyDescent="0.25"/>
    <row r="196" spans="2:44"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70" t="str">
        <f>FOOT1</f>
        <v>Ameren Missouri BizSavers Program</v>
      </c>
      <c r="C200" s="70"/>
      <c r="D200" s="70"/>
      <c r="E200" s="70"/>
      <c r="F200" s="70"/>
      <c r="G200" s="70"/>
      <c r="H200" s="70"/>
      <c r="I200" s="70"/>
      <c r="J200" s="70"/>
      <c r="K200" s="70"/>
      <c r="L200" s="70"/>
      <c r="M200" s="595" t="str">
        <f>FOOTDISCLAIM</f>
        <v/>
      </c>
      <c r="N200" s="595"/>
      <c r="O200" s="595"/>
      <c r="P200" s="595"/>
      <c r="Q200" s="595"/>
      <c r="R200" s="595"/>
      <c r="S200" s="595"/>
      <c r="T200" s="595"/>
      <c r="U200" s="595"/>
      <c r="V200" s="595"/>
      <c r="W200" s="595"/>
      <c r="X200" s="595"/>
      <c r="Y200" s="595"/>
      <c r="Z200" s="595"/>
      <c r="AA200" s="595"/>
      <c r="AB200" s="595"/>
      <c r="AC200" s="595"/>
      <c r="AD200" s="595"/>
      <c r="AE200" s="595"/>
      <c r="AF200" s="595"/>
      <c r="AG200" s="595"/>
      <c r="AH200" s="70"/>
      <c r="AI200" s="70"/>
      <c r="AJ200" s="70"/>
      <c r="AK200" s="70"/>
      <c r="AL200" s="70"/>
      <c r="AM200" s="70"/>
      <c r="AN200" s="70"/>
      <c r="AO200" s="70"/>
      <c r="AP200" s="70"/>
      <c r="AQ200" s="70"/>
      <c r="AR200" s="163" t="str">
        <f>FOOT4</f>
        <v/>
      </c>
    </row>
    <row r="201" spans="2:44" ht="15.95" customHeight="1" x14ac:dyDescent="0.25">
      <c r="B201" s="70" t="str">
        <f>FOOT2</f>
        <v>Toll-Free 866-941-7299</v>
      </c>
      <c r="C201" s="70"/>
      <c r="D201" s="70"/>
      <c r="E201" s="70"/>
      <c r="F201" s="70"/>
      <c r="G201" s="70"/>
      <c r="H201" s="70"/>
      <c r="I201" s="70"/>
      <c r="J201" s="70"/>
      <c r="K201" s="70"/>
      <c r="L201" s="70"/>
      <c r="M201" s="595"/>
      <c r="N201" s="595"/>
      <c r="O201" s="595"/>
      <c r="P201" s="595"/>
      <c r="Q201" s="595"/>
      <c r="R201" s="595"/>
      <c r="S201" s="595"/>
      <c r="T201" s="595"/>
      <c r="U201" s="595"/>
      <c r="V201" s="595"/>
      <c r="W201" s="595"/>
      <c r="X201" s="595"/>
      <c r="Y201" s="595"/>
      <c r="Z201" s="595"/>
      <c r="AA201" s="595"/>
      <c r="AB201" s="595"/>
      <c r="AC201" s="595"/>
      <c r="AD201" s="595"/>
      <c r="AE201" s="595"/>
      <c r="AF201" s="595"/>
      <c r="AG201" s="595"/>
      <c r="AH201" s="70"/>
      <c r="AI201" s="70"/>
      <c r="AJ201" s="70"/>
      <c r="AK201" s="70"/>
      <c r="AL201" s="70"/>
      <c r="AM201" s="70"/>
      <c r="AN201" s="70"/>
      <c r="AO201" s="70"/>
      <c r="AP201" s="70"/>
      <c r="AQ201" s="70"/>
      <c r="AR201" s="163" t="str">
        <f>FOOT5</f>
        <v/>
      </c>
    </row>
    <row r="202" spans="2:44" ht="15.95" customHeight="1" x14ac:dyDescent="0.25">
      <c r="B202" s="72" t="str">
        <f>FOOT3</f>
        <v>BizSavers@ameren.com</v>
      </c>
      <c r="C202" s="70"/>
      <c r="D202" s="70"/>
      <c r="E202" s="70"/>
      <c r="F202" s="70"/>
      <c r="G202" s="70"/>
      <c r="H202" s="70"/>
      <c r="I202" s="70"/>
      <c r="J202" s="70"/>
      <c r="K202" s="70"/>
      <c r="L202" s="70"/>
      <c r="M202" s="73"/>
      <c r="N202" s="70"/>
      <c r="O202" s="70"/>
      <c r="P202" s="73"/>
      <c r="Q202" s="73"/>
      <c r="R202" s="73"/>
      <c r="S202" s="73"/>
      <c r="T202" s="73"/>
      <c r="U202" s="73"/>
      <c r="V202" s="73"/>
      <c r="W202" s="74" t="str">
        <f>VERSION</f>
        <v>Custom and Standard v8.1.0</v>
      </c>
      <c r="X202" s="73"/>
      <c r="Y202" s="73"/>
      <c r="Z202" s="73"/>
      <c r="AA202" s="73"/>
      <c r="AB202" s="73"/>
      <c r="AC202" s="73"/>
      <c r="AD202" s="73"/>
      <c r="AE202" s="70"/>
      <c r="AF202" s="70"/>
      <c r="AG202" s="70"/>
      <c r="AH202" s="70"/>
      <c r="AI202" s="70"/>
      <c r="AJ202" s="70"/>
      <c r="AK202" s="70"/>
      <c r="AL202" s="70"/>
      <c r="AM202" s="70"/>
      <c r="AN202" s="70"/>
      <c r="AO202" s="70"/>
      <c r="AP202" s="70"/>
      <c r="AQ202" s="70"/>
      <c r="AR202" s="163" t="str">
        <f>FOOT6</f>
        <v>Product of TRC Companies</v>
      </c>
    </row>
  </sheetData>
  <sheetProtection algorithmName="SHA-512" hashValue="bwkLM9lncMANGN5LJ4+PxFmyhyK3qxKWePo3SD4FhV5yqGjup+DvvK2AHHVvskPIswI8MY5FfW6ocOJoU4tl3Q==" saltValue="XnvUOT9hCGJLFTcIKQAqaA==" spinCount="100000" sheet="1" objects="1" scenarios="1" selectLockedCells="1"/>
  <mergeCells count="12">
    <mergeCell ref="AQ1:AR1"/>
    <mergeCell ref="AQ2:AR3"/>
    <mergeCell ref="M200:AG201"/>
    <mergeCell ref="F10:AN10"/>
    <mergeCell ref="F11:AN11"/>
    <mergeCell ref="AH1:AK1"/>
    <mergeCell ref="AL1:AP1"/>
    <mergeCell ref="AH2:AK3"/>
    <mergeCell ref="AL2:AP3"/>
    <mergeCell ref="Q1:R1"/>
    <mergeCell ref="U1:V1"/>
    <mergeCell ref="Y1:Z1"/>
  </mergeCells>
  <conditionalFormatting sqref="AH2 AL2">
    <cfRule type="expression" dxfId="526" priority="1">
      <formula>PROJSTATUS=PROJSTATELI</formula>
    </cfRule>
    <cfRule type="expression" dxfId="525" priority="2">
      <formula>PROJSTATUS=PROJSTATREVIEW</formula>
    </cfRule>
    <cfRule type="expression" dxfId="524" priority="3">
      <formula>PROJSTATUS=PROJSTATPREAPPROVE</formula>
    </cfRule>
    <cfRule type="expression" dxfId="523" priority="4">
      <formula>PROJSTATUS=PROJSTATSTANDARD</formula>
    </cfRule>
    <cfRule type="expression" dxfId="522" priority="5">
      <formula>PROJSTATUS=PROJSTATEXP</formula>
    </cfRule>
  </conditionalFormatting>
  <conditionalFormatting sqref="AQ2:AR3">
    <cfRule type="cellIs" dxfId="521" priority="8" operator="equal">
      <formula>1</formula>
    </cfRule>
    <cfRule type="cellIs" dxfId="520" priority="9" operator="between">
      <formula>0.51</formula>
      <formula>0.99</formula>
    </cfRule>
    <cfRule type="cellIs" dxfId="519" priority="10" operator="lessThanOrEqual">
      <formula>0.5</formula>
    </cfRule>
  </conditionalFormatting>
  <hyperlinks>
    <hyperlink ref="B202" r:id="rId1" display="NIPSCO.Savings@LMCO.com"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6183eef-e5b6-4449-b443-53ec3f5c91f4"/>
    <ds:schemaRef ds:uri="http://www.w3.org/XML/1998/namespace"/>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374</vt:i4>
      </vt:variant>
    </vt:vector>
  </HeadingPairs>
  <TitlesOfParts>
    <vt:vector size="420" baseType="lpstr">
      <vt:lpstr>TEMPLATE</vt:lpstr>
      <vt:lpstr>LIGHTPRESCRIP</vt:lpstr>
      <vt:lpstr>CUSTOMRCXNC</vt:lpstr>
      <vt:lpstr>CBDATA</vt:lpstr>
      <vt:lpstr>DATA TABLES</vt:lpstr>
      <vt:lpstr>EXPORT</vt:lpstr>
      <vt:lpstr>Changelog</vt:lpstr>
      <vt:lpstr>M01-S01</vt:lpstr>
      <vt:lpstr>M01-S02</vt:lpstr>
      <vt:lpstr>M01-S03</vt:lpstr>
      <vt:lpstr>M01-S04</vt:lpstr>
      <vt:lpstr>M01-S05</vt:lpstr>
      <vt:lpstr>M02-S01</vt:lpstr>
      <vt:lpstr>M02-S02</vt:lpstr>
      <vt:lpstr>M02-S05</vt:lpstr>
      <vt:lpstr>M02-S03</vt:lpstr>
      <vt:lpstr>M02-S04</vt:lpstr>
      <vt:lpstr>M03-S01</vt:lpstr>
      <vt:lpstr>M03-S01-2</vt:lpstr>
      <vt:lpstr>M03-S02</vt:lpstr>
      <vt:lpstr>M03-S03</vt:lpstr>
      <vt:lpstr>M03-S04</vt:lpstr>
      <vt:lpstr>M03-S06</vt:lpstr>
      <vt:lpstr>M03-S05</vt:lpstr>
      <vt:lpstr>M03-S07</vt:lpstr>
      <vt:lpstr>M03-S08</vt:lpstr>
      <vt:lpstr>M04-S01</vt:lpstr>
      <vt:lpstr>M04-S02</vt:lpstr>
      <vt:lpstr>M04-S03</vt:lpstr>
      <vt:lpstr>M04-S04</vt:lpstr>
      <vt:lpstr>M04-S05</vt:lpstr>
      <vt:lpstr>M04-S06</vt:lpstr>
      <vt:lpstr>M04-S07</vt:lpstr>
      <vt:lpstr>M05-S01</vt:lpstr>
      <vt:lpstr>M05-S02</vt:lpstr>
      <vt:lpstr>M05-S04</vt:lpstr>
      <vt:lpstr>M05-S03</vt:lpstr>
      <vt:lpstr>M05-S05</vt:lpstr>
      <vt:lpstr>M05-S06</vt:lpstr>
      <vt:lpstr>M05-S07</vt:lpstr>
      <vt:lpstr>M06-S01</vt:lpstr>
      <vt:lpstr>M06-S01-2</vt:lpstr>
      <vt:lpstr>M06-S02</vt:lpstr>
      <vt:lpstr>M06-S04</vt:lpstr>
      <vt:lpstr>M06-S05</vt:lpstr>
      <vt:lpstr>M06-S07</vt:lpstr>
      <vt:lpstr>ACTBONUS</vt:lpstr>
      <vt:lpstr>ACTLIGHT</vt:lpstr>
      <vt:lpstr>APPTITLE</vt:lpstr>
      <vt:lpstr>BASEHIDTYPE</vt:lpstr>
      <vt:lpstr>BASEINCANDTYPE</vt:lpstr>
      <vt:lpstr>BASEINCANDTYPEEX</vt:lpstr>
      <vt:lpstr>BASEKWHALL</vt:lpstr>
      <vt:lpstr>BASEKWHCUSE</vt:lpstr>
      <vt:lpstr>BASEKWHFT</vt:lpstr>
      <vt:lpstr>BASEKWHPA</vt:lpstr>
      <vt:lpstr>BASEKWHPRESE</vt:lpstr>
      <vt:lpstr>BONUSADJ</vt:lpstr>
      <vt:lpstr>BONUSCOST</vt:lpstr>
      <vt:lpstr>BUILDING</vt:lpstr>
      <vt:lpstr>BUILDINGSITEINFO</vt:lpstr>
      <vt:lpstr>BUSDEVELEMAIL</vt:lpstr>
      <vt:lpstr>BUSDEVELNAME</vt:lpstr>
      <vt:lpstr>BUSDEVELPHONE</vt:lpstr>
      <vt:lpstr>CBALL</vt:lpstr>
      <vt:lpstr>CBCUSE</vt:lpstr>
      <vt:lpstr>CBPRESE</vt:lpstr>
      <vt:lpstr>CFLEFF1</vt:lpstr>
      <vt:lpstr>CMELIGHTACTUALW</vt:lpstr>
      <vt:lpstr>CMELIGHTBASE1</vt:lpstr>
      <vt:lpstr>CMELIGHTBASEW</vt:lpstr>
      <vt:lpstr>CMELIGHTDESC</vt:lpstr>
      <vt:lpstr>CMELIGHTEFF1</vt:lpstr>
      <vt:lpstr>CMELIGHTEFFBASEW</vt:lpstr>
      <vt:lpstr>CODEBASE</vt:lpstr>
      <vt:lpstr>COSTTOTAL</vt:lpstr>
      <vt:lpstr>COSTTOTALALL</vt:lpstr>
      <vt:lpstr>COSTTOTALALLCUSE</vt:lpstr>
      <vt:lpstr>COSTTOTALALLFT</vt:lpstr>
      <vt:lpstr>COSTTOTALALLPA</vt:lpstr>
      <vt:lpstr>COSTTOTALALLPRESE</vt:lpstr>
      <vt:lpstr>COSTTOTALCUSE</vt:lpstr>
      <vt:lpstr>COSTTOTALFT</vt:lpstr>
      <vt:lpstr>COSTTOTALPA</vt:lpstr>
      <vt:lpstr>COSTTOTALPRESE</vt:lpstr>
      <vt:lpstr>CUSTSUBAPP</vt:lpstr>
      <vt:lpstr>DIVERSITYBUSTYPE</vt:lpstr>
      <vt:lpstr>DIVERSITYORG</vt:lpstr>
      <vt:lpstr>EDR</vt:lpstr>
      <vt:lpstr>ELIBONUS</vt:lpstr>
      <vt:lpstr>ELOSS</vt:lpstr>
      <vt:lpstr>ENDUSECAT</vt:lpstr>
      <vt:lpstr>ENGNRSNAMES</vt:lpstr>
      <vt:lpstr>ENGSIGN</vt:lpstr>
      <vt:lpstr>ENGSIGNDATE</vt:lpstr>
      <vt:lpstr>EXPIRATION</vt:lpstr>
      <vt:lpstr>EXTLIGHTADJ</vt:lpstr>
      <vt:lpstr>FOOT1</vt:lpstr>
      <vt:lpstr>FOOT2</vt:lpstr>
      <vt:lpstr>FOOT3</vt:lpstr>
      <vt:lpstr>FOOT4</vt:lpstr>
      <vt:lpstr>FOOT5</vt:lpstr>
      <vt:lpstr>FOOT6</vt:lpstr>
      <vt:lpstr>FOOTDISCLAIM</vt:lpstr>
      <vt:lpstr>GDR</vt:lpstr>
      <vt:lpstr>GLOSS</vt:lpstr>
      <vt:lpstr>HEARABOUT</vt:lpstr>
      <vt:lpstr>HIDEXTLEDLIST</vt:lpstr>
      <vt:lpstr>HVACENDUSETYPE</vt:lpstr>
      <vt:lpstr>HVACTYPE</vt:lpstr>
      <vt:lpstr>IMPLSPECNAME</vt:lpstr>
      <vt:lpstr>INCENEW</vt:lpstr>
      <vt:lpstr>INCENLIGHTBONUS</vt:lpstr>
      <vt:lpstr>INCENLIGHTTOTAL</vt:lpstr>
      <vt:lpstr>INCENNEWCUS</vt:lpstr>
      <vt:lpstr>INCENNEWPRES</vt:lpstr>
      <vt:lpstr>INCENSTATUS</vt:lpstr>
      <vt:lpstr>INCENTCAPADJ</vt:lpstr>
      <vt:lpstr>INCENTOTAL</vt:lpstr>
      <vt:lpstr>INCENTOTALCUSE</vt:lpstr>
      <vt:lpstr>INCENTOTALFT</vt:lpstr>
      <vt:lpstr>INCENTOTALPA</vt:lpstr>
      <vt:lpstr>INCENTOTALPRESE</vt:lpstr>
      <vt:lpstr>INEXTLEDLIST</vt:lpstr>
      <vt:lpstr>INSTALL</vt:lpstr>
      <vt:lpstr>KWHSTATUS</vt:lpstr>
      <vt:lpstr>KWHTOTAL</vt:lpstr>
      <vt:lpstr>KWHTOTALALL</vt:lpstr>
      <vt:lpstr>KWHTOTALALLCUSE</vt:lpstr>
      <vt:lpstr>KWHTOTALALLFT</vt:lpstr>
      <vt:lpstr>KWHTOTALALLPA</vt:lpstr>
      <vt:lpstr>KWHTOTALALLPRESE</vt:lpstr>
      <vt:lpstr>KWHTOTALCUSE</vt:lpstr>
      <vt:lpstr>KWHTOTALFT</vt:lpstr>
      <vt:lpstr>KWHTOTALPA</vt:lpstr>
      <vt:lpstr>KWHTOTALPRESE</vt:lpstr>
      <vt:lpstr>KWTOTAL</vt:lpstr>
      <vt:lpstr>KWTOTALALL</vt:lpstr>
      <vt:lpstr>KWTOTALALLCUSE</vt:lpstr>
      <vt:lpstr>KWTOTALALLFT</vt:lpstr>
      <vt:lpstr>KWTOTALALLPA</vt:lpstr>
      <vt:lpstr>KWTOTALALLPRESE</vt:lpstr>
      <vt:lpstr>KWTOTALCUSE</vt:lpstr>
      <vt:lpstr>KWTOTALFT</vt:lpstr>
      <vt:lpstr>KWTOTALPA</vt:lpstr>
      <vt:lpstr>KWTOTALPRESE</vt:lpstr>
      <vt:lpstr>LEDREDEFF1</vt:lpstr>
      <vt:lpstr>LGHTSCHEDTYPES</vt:lpstr>
      <vt:lpstr>LIGHTHEATCOIN</vt:lpstr>
      <vt:lpstr>LIGHTING2021</vt:lpstr>
      <vt:lpstr>LIGHTRATE21</vt:lpstr>
      <vt:lpstr>LINEARUPGTYPE</vt:lpstr>
      <vt:lpstr>LINEXTLEDLIST</vt:lpstr>
      <vt:lpstr>LINFIXTTYPE</vt:lpstr>
      <vt:lpstr>LINLEDTYPE</vt:lpstr>
      <vt:lpstr>LPDEXMEASNUM</vt:lpstr>
      <vt:lpstr>LPDMEASNUM</vt:lpstr>
      <vt:lpstr>LPDRATE</vt:lpstr>
      <vt:lpstr>M02S01F01</vt:lpstr>
      <vt:lpstr>M02S01F02</vt:lpstr>
      <vt:lpstr>M02S01F03</vt:lpstr>
      <vt:lpstr>M02S01F04</vt:lpstr>
      <vt:lpstr>M02S01F05</vt:lpstr>
      <vt:lpstr>M02S02F01</vt:lpstr>
      <vt:lpstr>M02S02F02</vt:lpstr>
      <vt:lpstr>M02S02F03</vt:lpstr>
      <vt:lpstr>M02S02F04</vt:lpstr>
      <vt:lpstr>M02S02F05</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M02S02F15</vt:lpstr>
      <vt:lpstr>M02S02F16</vt:lpstr>
      <vt:lpstr>M02S02F17</vt:lpstr>
      <vt:lpstr>M02S02F18</vt:lpstr>
      <vt:lpstr>M02S02F19</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M02S02F42</vt:lpstr>
      <vt:lpstr>M02S02F43</vt:lpstr>
      <vt:lpstr>M02S02F44</vt:lpstr>
      <vt:lpstr>M02S02F45</vt:lpstr>
      <vt:lpstr>M02S02F46</vt:lpstr>
      <vt:lpstr>M02S02F47</vt:lpstr>
      <vt:lpstr>M02S02F48</vt:lpstr>
      <vt:lpstr>M02S02F49</vt:lpstr>
      <vt:lpstr>M02S02F50</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M02S03F18</vt:lpstr>
      <vt:lpstr>M02S03F19</vt:lpstr>
      <vt:lpstr>M02S03F20</vt:lpstr>
      <vt:lpstr>M02S03F21</vt:lpstr>
      <vt:lpstr>M02S03F22</vt:lpstr>
      <vt:lpstr>M02S03F23</vt:lpstr>
      <vt:lpstr>M02S03F24</vt:lpstr>
      <vt:lpstr>M02S03F25</vt:lpstr>
      <vt:lpstr>M02S03F26</vt:lpstr>
      <vt:lpstr>M02S03F27</vt:lpstr>
      <vt:lpstr>M02S03F28</vt:lpstr>
      <vt:lpstr>M02S03F29</vt:lpstr>
      <vt:lpstr>M02S03F30</vt:lpstr>
      <vt:lpstr>M02S03F31</vt:lpstr>
      <vt:lpstr>M02S03F32</vt:lpstr>
      <vt:lpstr>M02S03F33</vt:lpstr>
      <vt:lpstr>M02S03F34</vt:lpstr>
      <vt:lpstr>M02S03F35</vt:lpstr>
      <vt:lpstr>M02S03F36</vt:lpstr>
      <vt:lpstr>M02S03F37</vt:lpstr>
      <vt:lpstr>M02S03F38</vt:lpstr>
      <vt:lpstr>M02S03F39</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M02S04F13</vt:lpstr>
      <vt:lpstr>M02S04F14</vt:lpstr>
      <vt:lpstr>M02S04F15</vt:lpstr>
      <vt:lpstr>M02S04F16</vt:lpstr>
      <vt:lpstr>M02S04F17</vt:lpstr>
      <vt:lpstr>M02S05F01</vt:lpstr>
      <vt:lpstr>M05S02F01</vt:lpstr>
      <vt:lpstr>M05S02F02</vt:lpstr>
      <vt:lpstr>M05S02F03</vt:lpstr>
      <vt:lpstr>M05S07F02</vt:lpstr>
      <vt:lpstr>M05S07F03</vt:lpstr>
      <vt:lpstr>M05S07F04</vt:lpstr>
      <vt:lpstr>M05S07F05</vt:lpstr>
      <vt:lpstr>M05S07F06</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NCPROVMEASNUM</vt:lpstr>
      <vt:lpstr>NONPRESCPROGRAM</vt:lpstr>
      <vt:lpstr>PAYALL</vt:lpstr>
      <vt:lpstr>PAYCUSE</vt:lpstr>
      <vt:lpstr>PAYPRESE</vt:lpstr>
      <vt:lpstr>PAYTO</vt:lpstr>
      <vt:lpstr>PEAKTD</vt:lpstr>
      <vt:lpstr>PMECOMPAIREFF1</vt:lpstr>
      <vt:lpstr>PMECOMPAIRMAX</vt:lpstr>
      <vt:lpstr>PMECOMPAIRMIN</vt:lpstr>
      <vt:lpstr>PMEFANSMEAS</vt:lpstr>
      <vt:lpstr>PMEHVACEFFMAX</vt:lpstr>
      <vt:lpstr>PMEHVACEFFMIN</vt:lpstr>
      <vt:lpstr>PMEHVACMEAS</vt:lpstr>
      <vt:lpstr>PMEHVACSIZEMAX</vt:lpstr>
      <vt:lpstr>PMEHVACSIZEMIN</vt:lpstr>
      <vt:lpstr>PMEKITCHENEFF1</vt:lpstr>
      <vt:lpstr>PMELIGHTHIDEFFMAX</vt:lpstr>
      <vt:lpstr>PMELIGHTINCANBASEMAX</vt:lpstr>
      <vt:lpstr>PMELIGHTINCANBASEMIN</vt:lpstr>
      <vt:lpstr>PMELIGHTINCANCAT</vt:lpstr>
      <vt:lpstr>PMELIGHTINCANEFFMIN</vt:lpstr>
      <vt:lpstr>PMELIGHTINCANVALID</vt:lpstr>
      <vt:lpstr>PMELIGHTLINBASEMAX</vt:lpstr>
      <vt:lpstr>PMELIGHTLINBASEMIN</vt:lpstr>
      <vt:lpstr>PMELIGHTLINCAT</vt:lpstr>
      <vt:lpstr>PMELIGHTLINEFFMAX</vt:lpstr>
      <vt:lpstr>PMELINLENGTH</vt:lpstr>
      <vt:lpstr>PMELINUPGTYP</vt:lpstr>
      <vt:lpstr>PMEMOTOREFF1</vt:lpstr>
      <vt:lpstr>PMEOCCSENEFF</vt:lpstr>
      <vt:lpstr>PMEOCCSENWATT</vt:lpstr>
      <vt:lpstr>PMEREFRIEFF1</vt:lpstr>
      <vt:lpstr>PMEVFDEFF1</vt:lpstr>
      <vt:lpstr>PMEVFDMAXHP</vt:lpstr>
      <vt:lpstr>PMEVFDMINHP</vt:lpstr>
      <vt:lpstr>PNAME</vt:lpstr>
      <vt:lpstr>PREAPPROV2018</vt:lpstr>
      <vt:lpstr>'M06-S01'!Print_Area</vt:lpstr>
      <vt:lpstr>'M06-S01-2'!Print_Area</vt:lpstr>
      <vt:lpstr>'M06-S04'!Print_Area</vt:lpstr>
      <vt:lpstr>'M06-S05'!Print_Area</vt:lpstr>
      <vt:lpstr>'M06-S07'!Print_Area</vt:lpstr>
      <vt:lpstr>PROGRAM</vt:lpstr>
      <vt:lpstr>PROGRESSSTATUS</vt:lpstr>
      <vt:lpstr>PROJID</vt:lpstr>
      <vt:lpstr>PROJSTATBOUGHT</vt:lpstr>
      <vt:lpstr>PROJSTATELI</vt:lpstr>
      <vt:lpstr>PROJSTATEXP</vt:lpstr>
      <vt:lpstr>PROJSTATMEASURE</vt:lpstr>
      <vt:lpstr>PROJSTATNCINIT</vt:lpstr>
      <vt:lpstr>PROJSTATPREAPPROVE</vt:lpstr>
      <vt:lpstr>PROJSTATRES</vt:lpstr>
      <vt:lpstr>PROJSTATREVIEW</vt:lpstr>
      <vt:lpstr>PROJSTATSTANDARD</vt:lpstr>
      <vt:lpstr>PROJSTATUNDER</vt:lpstr>
      <vt:lpstr>PROJSTATUS</vt:lpstr>
      <vt:lpstr>PROSTATNCSUBMIT</vt:lpstr>
      <vt:lpstr>RATECAT</vt:lpstr>
      <vt:lpstr>REDESIGNBASEDESC</vt:lpstr>
      <vt:lpstr>SHEAT</vt:lpstr>
      <vt:lpstr>STATESABBREV</vt:lpstr>
      <vt:lpstr>SUBLIGHTDATE1</vt:lpstr>
      <vt:lpstr>SUBLIGHTDATE2</vt:lpstr>
      <vt:lpstr>SUBLIGHTDATE3</vt:lpstr>
      <vt:lpstr>TATYPE</vt:lpstr>
      <vt:lpstr>TAX</vt:lpstr>
      <vt:lpstr>THERMSTATUS</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2021-10-04T20:45:27Z</cp:lastPrinted>
  <dcterms:created xsi:type="dcterms:W3CDTF">2015-10-07T20:52:11Z</dcterms:created>
  <dcterms:modified xsi:type="dcterms:W3CDTF">2024-04-16T03:33:14Z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ACCT02\jonest20</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